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data" ContentType="application/vnd.openxmlformats-officedocument.model+data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ables/table17.xml" ContentType="application/vnd.openxmlformats-officedocument.spreadsheetml.table+xml"/>
  <Override PartName="/xl/tables/table18.xml" ContentType="application/vnd.openxmlformats-officedocument.spreadsheetml.table+xml"/>
  <Override PartName="/xl/tables/table19.xml" ContentType="application/vnd.openxmlformats-officedocument.spreadsheetml.table+xml"/>
  <Override PartName="/xl/tables/table20.xml" ContentType="application/vnd.openxmlformats-officedocument.spreadsheetml.table+xml"/>
  <Override PartName="/xl/tables/table21.xml" ContentType="application/vnd.openxmlformats-officedocument.spreadsheetml.table+xml"/>
  <Override PartName="/xl/tables/table22.xml" ContentType="application/vnd.openxmlformats-officedocument.spreadsheetml.table+xml"/>
  <Override PartName="/xl/tables/table23.xml" ContentType="application/vnd.openxmlformats-officedocument.spreadsheetml.table+xml"/>
  <Override PartName="/xl/tables/table24.xml" ContentType="application/vnd.openxmlformats-officedocument.spreadsheetml.table+xml"/>
  <Override PartName="/xl/tables/table25.xml" ContentType="application/vnd.openxmlformats-officedocument.spreadsheetml.table+xml"/>
  <Override PartName="/xl/tables/table26.xml" ContentType="application/vnd.openxmlformats-officedocument.spreadsheetml.table+xml"/>
  <Override PartName="/xl/tables/table27.xml" ContentType="application/vnd.openxmlformats-officedocument.spreadsheetml.table+xml"/>
  <Override PartName="/xl/tables/table28.xml" ContentType="application/vnd.openxmlformats-officedocument.spreadsheetml.table+xml"/>
  <Override PartName="/xl/tables/table29.xml" ContentType="application/vnd.openxmlformats-officedocument.spreadsheetml.table+xml"/>
  <Override PartName="/xl/tables/table30.xml" ContentType="application/vnd.openxmlformats-officedocument.spreadsheetml.table+xml"/>
  <Override PartName="/xl/tables/table31.xml" ContentType="application/vnd.openxmlformats-officedocument.spreadsheetml.table+xml"/>
  <Override PartName="/xl/tables/table32.xml" ContentType="application/vnd.openxmlformats-officedocument.spreadsheetml.table+xml"/>
  <Override PartName="/xl/tables/table33.xml" ContentType="application/vnd.openxmlformats-officedocument.spreadsheetml.table+xml"/>
  <Override PartName="/xl/tables/table34.xml" ContentType="application/vnd.openxmlformats-officedocument.spreadsheetml.table+xml"/>
  <Override PartName="/xl/tables/table35.xml" ContentType="application/vnd.openxmlformats-officedocument.spreadsheetml.table+xml"/>
  <Override PartName="/xl/tables/table36.xml" ContentType="application/vnd.openxmlformats-officedocument.spreadsheetml.table+xml"/>
  <Override PartName="/xl/tables/table37.xml" ContentType="application/vnd.openxmlformats-officedocument.spreadsheetml.table+xml"/>
  <Override PartName="/xl/tables/table38.xml" ContentType="application/vnd.openxmlformats-officedocument.spreadsheetml.table+xml"/>
  <Override PartName="/xl/tables/table39.xml" ContentType="application/vnd.openxmlformats-officedocument.spreadsheetml.table+xml"/>
  <Override PartName="/xl/tables/table40.xml" ContentType="application/vnd.openxmlformats-officedocument.spreadsheetml.table+xml"/>
  <Override PartName="/xl/tables/table41.xml" ContentType="application/vnd.openxmlformats-officedocument.spreadsheetml.table+xml"/>
  <Override PartName="/xl/tables/table42.xml" ContentType="application/vnd.openxmlformats-officedocument.spreadsheetml.table+xml"/>
  <Override PartName="/xl/tables/table43.xml" ContentType="application/vnd.openxmlformats-officedocument.spreadsheetml.table+xml"/>
  <Override PartName="/xl/tables/table44.xml" ContentType="application/vnd.openxmlformats-officedocument.spreadsheetml.table+xml"/>
  <Override PartName="/xl/tables/table45.xml" ContentType="application/vnd.openxmlformats-officedocument.spreadsheetml.table+xml"/>
  <Override PartName="/xl/tables/table46.xml" ContentType="application/vnd.openxmlformats-officedocument.spreadsheetml.table+xml"/>
  <Override PartName="/xl/tables/table47.xml" ContentType="application/vnd.openxmlformats-officedocument.spreadsheetml.table+xml"/>
  <Override PartName="/xl/tables/table48.xml" ContentType="application/vnd.openxmlformats-officedocument.spreadsheetml.table+xml"/>
  <Override PartName="/xl/tables/table49.xml" ContentType="application/vnd.openxmlformats-officedocument.spreadsheetml.table+xml"/>
  <Override PartName="/xl/tables/table50.xml" ContentType="application/vnd.openxmlformats-officedocument.spreadsheetml.table+xml"/>
  <Override PartName="/xl/tables/table51.xml" ContentType="application/vnd.openxmlformats-officedocument.spreadsheetml.table+xml"/>
  <Override PartName="/xl/tables/table52.xml" ContentType="application/vnd.openxmlformats-officedocument.spreadsheetml.table+xml"/>
  <Override PartName="/xl/tables/table5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 showInkAnnotation="0"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MARIA FERNANDA\Desktop\ECU 911 2023\PAPP 2023\12. DICIEMBRE 2023\"/>
    </mc:Choice>
  </mc:AlternateContent>
  <xr:revisionPtr revIDLastSave="0" documentId="8_{96014041-FBA3-44DB-AB0C-67A55A711CF3}" xr6:coauthVersionLast="47" xr6:coauthVersionMax="47" xr10:uidLastSave="{00000000-0000-0000-0000-000000000000}"/>
  <workbookProtection workbookAlgorithmName="SHA-512" workbookHashValue="pBYYreX8+sM8j41Hex/6eX0xwdRY+wrlhxOx84MQ7yOYDOQjI8ZEO0s6uhcrXAL9D5NvdpHhzpQriujAJ1yyrA==" workbookSaltValue="2Ko3j+sP3Sn56Cz55rLa/Q==" workbookSpinCount="100000" lockStructure="1"/>
  <bookViews>
    <workbookView xWindow="-120" yWindow="-120" windowWidth="20640" windowHeight="11160" tabRatio="523" firstSheet="1" activeTab="1" xr2:uid="{00000000-000D-0000-FFFF-FFFF00000000}"/>
  </bookViews>
  <sheets>
    <sheet name="Hoja2" sheetId="6" r:id="rId1"/>
    <sheet name="PAPP 2023" sheetId="1" r:id="rId2"/>
    <sheet name="Listas" sheetId="2" state="hidden" r:id="rId3"/>
    <sheet name="Listas2" sheetId="3" state="hidden" r:id="rId4"/>
    <sheet name="Hoja1" sheetId="4" state="hidden" r:id="rId5"/>
  </sheets>
  <definedNames>
    <definedName name="_266_0001">Tabla14[266 0001]</definedName>
    <definedName name="_266_0003">Tabla18[266 0003]</definedName>
    <definedName name="_266_0004">Tabla39[266 0004]</definedName>
    <definedName name="_266_0005">Tabla43[266 0005]</definedName>
    <definedName name="_266_0006">Tabla44[266 0006]</definedName>
    <definedName name="_266_0007">Tabla45[266 0007]</definedName>
    <definedName name="_266_9999">Tabla46[266 9999]</definedName>
    <definedName name="_51">Tabla5[51]</definedName>
    <definedName name="_53">Tabla7[53]</definedName>
    <definedName name="_57">Tabla8[57]</definedName>
    <definedName name="_73">Tabla49[73]</definedName>
    <definedName name="_84">Tabla50[84]</definedName>
    <definedName name="_99">Tabla10[99]</definedName>
    <definedName name="_xlnm._FilterDatabase" localSheetId="1" hidden="1">'PAPP 2023'!#REF!</definedName>
    <definedName name="_xlcn.WorksheetConnection_MATRIZPAPPPROFORMAPRESUPUESTARIA2023.rv.xlsxTabla3" hidden="1">Tabla3[]</definedName>
    <definedName name="_xlcn.WorksheetConnection_MATRIZPAPPPROFORMAPRESUPUESTARIA2023.rv.xlsxTabla5" hidden="1">Tabla5[]</definedName>
    <definedName name="AC">Tabla36[AC]</definedName>
    <definedName name="CAPITAL">Listas2!$F$21</definedName>
    <definedName name="COORDINACIÓN_GENERAL_ADMINISTRATIVA_FINANCIERA">Tabla22[COORDINACIÓN GENERAL ADMINISTRATIVA FINANCIERA]</definedName>
    <definedName name="COORDINACIÓN_ZONAL">Tabla21[COORDINACIÓN ZONAL]</definedName>
    <definedName name="COORDINACIÓN_ZONAL_1">Tabla27[COORDINACIÓN ZONAL 1]</definedName>
    <definedName name="COORDINACIÓN_ZONAL_2_9">Tabla28[COORDINACIÓN ZONAL 2 - 9]</definedName>
    <definedName name="COORDINACIÓN_ZONAL_3">Tabla29[COORDINACIÓN ZONAL 3]</definedName>
    <definedName name="COORDINACIÓN_ZONAL_4">Tabla30[COORDINACIÓN ZONAL 4]</definedName>
    <definedName name="COORDINACIÓN_ZONAL_5_8">Tabla31[COORDINACIÓN ZONAL 5 - 8]</definedName>
    <definedName name="COORDINACIÓN_ZONAL_6">Tabla32[COORDINACIÓN ZONAL 6]</definedName>
    <definedName name="COORDINACIÓN_ZONAL_7">Tabla33[COORDINACIÓN ZONAL 7]</definedName>
    <definedName name="COR">Tabla4[Columna1]</definedName>
    <definedName name="CORRIENTE">Tabla51[CORRIENTE]</definedName>
    <definedName name="DIRECCIÓN_ADMINISTRATIVA">DIRECCIÓN[DIRECCIÓN]</definedName>
    <definedName name="DIRECCIÓN_GENERAL">Tabla23[[DIRECCIÓN GENERAL ]]</definedName>
    <definedName name="DIRECCIÓN_GENERAL_1">SUBDIRECCIÓN[[#All],[DIRECCIÓN GENERAL / COORDINACIÓN / SUBDIRECCIÓN]]</definedName>
    <definedName name="EOD">#REF!</definedName>
    <definedName name="ESTADO_DE_LA_ACTIVIDAD">#REF!</definedName>
    <definedName name="Estrategicos">Tabla11[OBJETIVOS ESTRATÉGICOS]</definedName>
    <definedName name="FTE">Tabla47[FTE]</definedName>
    <definedName name="GEO">Tabla37[GEO]</definedName>
    <definedName name="GG">Tabla3[GG]</definedName>
    <definedName name="INVERSIÓN">Tabla52[INVERSIÓN]</definedName>
    <definedName name="ÍTEM_PRESUPUESTARIO">Tabla2[ÍTEM PRESUPUESTARIO]</definedName>
    <definedName name="MacroPAPP">#REF!</definedName>
    <definedName name="NOMBRE_GEO">Tabla37[NOMBRE GEO]</definedName>
    <definedName name="Objetivos">Tabla1[OBJETIVOS]</definedName>
    <definedName name="Operativos">Tabla12[OBJETIVOS OPERATIVOS]</definedName>
    <definedName name="ORG">Tabla48[ORG]</definedName>
    <definedName name="PG">Tabla20[PG]</definedName>
    <definedName name="Planta">Tabla13[PLANTA]</definedName>
    <definedName name="PLANTA_CENTRAL">Tabla19[PLANTA CENTRAL]</definedName>
    <definedName name="Politicas">Tabla9[POLÍTICAS]</definedName>
    <definedName name="PY">Tabla35[PY]</definedName>
    <definedName name="SUBDIRECCIÓN_TÉCNICA_DE_DOCTRINA">Tabla24[SUBDIRECCIÓN TÉCNICA DE DOCTRINA]</definedName>
    <definedName name="SUBDIRECCIÓN_TÉCNICA_DE_OPERACIONES">Tabla25[SUBDIRECCIÓN TÉCNICA DE OPERACIONES]</definedName>
    <definedName name="SUBDIRECCIÓN_TÉCNICA_DE_TECNOLOGÍA_E_INNOVACIÓN">Tabla26[SUBDIRECCIÓN TÉCNICA DE TECNOLOGÍA E INNOVACIÓN]</definedName>
    <definedName name="TIPO_DE_GASTO">Tabla4[TIPO DE GASTO]</definedName>
  </definedNames>
  <calcPr calcId="191029"/>
  <pivotCaches>
    <pivotCache cacheId="0" r:id="rId6"/>
  </pivotCaches>
  <extLst>
    <ext xmlns:x15="http://schemas.microsoft.com/office/spreadsheetml/2010/11/main" uri="{FCE2AD5D-F65C-4FA6-A056-5C36A1767C68}">
      <x15:dataModel>
        <x15:modelTables>
          <x15:modelTable id="Tabla5-dcba878a-c444-4dd8-a34c-eb33847ac3f3" name="Tabla5" connection="WorksheetConnection_MATRIZ PAPP PROFORMA PRESUPUESTARIA 2023.rv.xlsx!Tabla5"/>
          <x15:modelTable id="Tabla3-60635661-99f3-405c-ab22-6c56574a13e6" name="Tabla3" connection="WorksheetConnection_MATRIZ PAPP PROFORMA PRESUPUESTARIA 2023.rv.xlsx!Tabla3"/>
        </x15:modelTables>
        <x15:modelRelationships>
          <x15:modelRelationship fromTable="Tabla3" fromColumn="GG" toTable="Tabla5" toColumn="51"/>
        </x15:modelRelationships>
      </x15:dataModel>
    </ext>
  </extLst>
</workbook>
</file>

<file path=xl/calcChain.xml><?xml version="1.0" encoding="utf-8"?>
<calcChain xmlns="http://schemas.openxmlformats.org/spreadsheetml/2006/main">
  <c r="AN1345" i="1" l="1"/>
  <c r="AN1459" i="1"/>
  <c r="AN1397" i="1"/>
  <c r="AN1389" i="1"/>
  <c r="AN1407" i="1"/>
  <c r="AN1374" i="1"/>
  <c r="AN1367" i="1"/>
  <c r="AN1366" i="1"/>
  <c r="AN1356" i="1"/>
  <c r="AN1355" i="1"/>
  <c r="AN1341" i="1"/>
  <c r="AN1335" i="1"/>
  <c r="AN1331" i="1"/>
  <c r="AN1328" i="1"/>
  <c r="AN1327" i="1"/>
  <c r="AN1322" i="1"/>
  <c r="AN910" i="1" l="1"/>
  <c r="AN908" i="1"/>
  <c r="AN904" i="1"/>
  <c r="AN902" i="1"/>
  <c r="AN899" i="1"/>
  <c r="AN898" i="1"/>
  <c r="AN895" i="1"/>
  <c r="AN892" i="1"/>
  <c r="AO892" i="1" s="1"/>
  <c r="AN889" i="1"/>
  <c r="AN887" i="1"/>
  <c r="AN886" i="1"/>
  <c r="AN885" i="1"/>
  <c r="AN882" i="1"/>
  <c r="AN881" i="1"/>
  <c r="AN856" i="1"/>
  <c r="AN853" i="1"/>
  <c r="AN849" i="1"/>
  <c r="AN842" i="1"/>
  <c r="AN840" i="1"/>
  <c r="AN835" i="1"/>
  <c r="AN832" i="1"/>
  <c r="AN829" i="1"/>
  <c r="AN828" i="1"/>
  <c r="AN826" i="1"/>
  <c r="AN825" i="1"/>
  <c r="AN824" i="1"/>
  <c r="AN823" i="1"/>
  <c r="AN822" i="1"/>
  <c r="AN820" i="1"/>
  <c r="AN819" i="1"/>
  <c r="AN817" i="1"/>
  <c r="AN810" i="1"/>
  <c r="AN791" i="1"/>
  <c r="AN790" i="1"/>
  <c r="AN789" i="1"/>
  <c r="AN788" i="1"/>
  <c r="AN787" i="1"/>
  <c r="AN784" i="1"/>
  <c r="AN783" i="1"/>
  <c r="AN781" i="1"/>
  <c r="AN780" i="1"/>
  <c r="AN779" i="1"/>
  <c r="AN775" i="1"/>
  <c r="AN774" i="1"/>
  <c r="AN773" i="1"/>
  <c r="AN772" i="1"/>
  <c r="AN770" i="1"/>
  <c r="AN767" i="1"/>
  <c r="AN765" i="1"/>
  <c r="AN761" i="1"/>
  <c r="AN758" i="1"/>
  <c r="AN756" i="1"/>
  <c r="AN755" i="1"/>
  <c r="AN753" i="1"/>
  <c r="AN752" i="1"/>
  <c r="AN751" i="1"/>
  <c r="AO751" i="1" s="1"/>
  <c r="AN750" i="1"/>
  <c r="AN749" i="1"/>
  <c r="AN748" i="1"/>
  <c r="AN747" i="1"/>
  <c r="AN746" i="1"/>
  <c r="AN745" i="1"/>
  <c r="AN744" i="1"/>
  <c r="AN741" i="1"/>
  <c r="AO741" i="1" s="1"/>
  <c r="AN739" i="1"/>
  <c r="AN738" i="1"/>
  <c r="AN737" i="1"/>
  <c r="AN733" i="1"/>
  <c r="AN731" i="1"/>
  <c r="AN730" i="1"/>
  <c r="Y911" i="1"/>
  <c r="Y910" i="1"/>
  <c r="Y909" i="1"/>
  <c r="Y908" i="1"/>
  <c r="Y907" i="1"/>
  <c r="Y906" i="1"/>
  <c r="Y905" i="1"/>
  <c r="Y904" i="1"/>
  <c r="Y903" i="1"/>
  <c r="Y899" i="1"/>
  <c r="Y898" i="1"/>
  <c r="Y897" i="1"/>
  <c r="Y896" i="1"/>
  <c r="Y895" i="1"/>
  <c r="Y894" i="1"/>
  <c r="Y893" i="1"/>
  <c r="AO893" i="1" s="1"/>
  <c r="Y892" i="1"/>
  <c r="Y891" i="1"/>
  <c r="Y890" i="1"/>
  <c r="Y889" i="1"/>
  <c r="Y888" i="1"/>
  <c r="Y887" i="1"/>
  <c r="Y886" i="1"/>
  <c r="Y885" i="1"/>
  <c r="Y883" i="1"/>
  <c r="Y882" i="1"/>
  <c r="Y881" i="1"/>
  <c r="Y880" i="1"/>
  <c r="Y879" i="1"/>
  <c r="Y878" i="1"/>
  <c r="Y877" i="1"/>
  <c r="Y876" i="1"/>
  <c r="AO876" i="1" s="1"/>
  <c r="Y875" i="1"/>
  <c r="AK874" i="1"/>
  <c r="AJ874" i="1"/>
  <c r="AI874" i="1"/>
  <c r="AH874" i="1"/>
  <c r="AG874" i="1"/>
  <c r="AF874" i="1"/>
  <c r="AE874" i="1"/>
  <c r="AL874" i="1" s="1"/>
  <c r="AM874" i="1" s="1"/>
  <c r="AD874" i="1"/>
  <c r="AC874" i="1"/>
  <c r="AB874" i="1"/>
  <c r="AA874" i="1"/>
  <c r="Y874" i="1"/>
  <c r="Y873" i="1"/>
  <c r="Y872" i="1"/>
  <c r="Y871" i="1"/>
  <c r="AO871" i="1" s="1"/>
  <c r="Y870" i="1"/>
  <c r="Y869" i="1"/>
  <c r="Y868" i="1"/>
  <c r="Y867" i="1"/>
  <c r="Y866" i="1"/>
  <c r="Y865" i="1"/>
  <c r="Y864" i="1"/>
  <c r="Y863" i="1"/>
  <c r="AO863" i="1" s="1"/>
  <c r="Y862" i="1"/>
  <c r="Y861" i="1"/>
  <c r="Y860" i="1"/>
  <c r="Y859" i="1"/>
  <c r="Y858" i="1"/>
  <c r="Y857" i="1"/>
  <c r="Y856" i="1"/>
  <c r="Y855" i="1"/>
  <c r="AO855" i="1" s="1"/>
  <c r="Y854" i="1"/>
  <c r="Y853" i="1"/>
  <c r="Y852" i="1"/>
  <c r="Y851" i="1"/>
  <c r="Y850" i="1"/>
  <c r="Y849" i="1"/>
  <c r="Y848" i="1"/>
  <c r="Y847" i="1"/>
  <c r="AO847" i="1" s="1"/>
  <c r="X847" i="1"/>
  <c r="Y846" i="1"/>
  <c r="Y845" i="1"/>
  <c r="Y844" i="1"/>
  <c r="Y843" i="1"/>
  <c r="Y842" i="1"/>
  <c r="Y841" i="1"/>
  <c r="Y840" i="1"/>
  <c r="Y839" i="1"/>
  <c r="Y838" i="1"/>
  <c r="Y837" i="1"/>
  <c r="Y836" i="1"/>
  <c r="Y835" i="1"/>
  <c r="Y834" i="1"/>
  <c r="Y833" i="1"/>
  <c r="Y832" i="1"/>
  <c r="Y831" i="1"/>
  <c r="Y830" i="1"/>
  <c r="Y829" i="1"/>
  <c r="Y828" i="1"/>
  <c r="Y827" i="1"/>
  <c r="Y826" i="1"/>
  <c r="Y825" i="1"/>
  <c r="Y824" i="1"/>
  <c r="Y823" i="1"/>
  <c r="Y822" i="1"/>
  <c r="Y821" i="1"/>
  <c r="Y820" i="1"/>
  <c r="Y819" i="1"/>
  <c r="Y818" i="1"/>
  <c r="Y817" i="1"/>
  <c r="Y816" i="1"/>
  <c r="Y815" i="1"/>
  <c r="Y814" i="1"/>
  <c r="Y812" i="1"/>
  <c r="Y811" i="1"/>
  <c r="Y810" i="1"/>
  <c r="Y809" i="1"/>
  <c r="Y808" i="1"/>
  <c r="Y807" i="1"/>
  <c r="AO807" i="1" s="1"/>
  <c r="Y806" i="1"/>
  <c r="Y805" i="1"/>
  <c r="Y804" i="1"/>
  <c r="Y803" i="1"/>
  <c r="Y802" i="1"/>
  <c r="Y801" i="1"/>
  <c r="Y800" i="1"/>
  <c r="Y799" i="1"/>
  <c r="AO799" i="1" s="1"/>
  <c r="Y798" i="1"/>
  <c r="Y797" i="1"/>
  <c r="Y796" i="1"/>
  <c r="Y795" i="1"/>
  <c r="Y794" i="1"/>
  <c r="Y793" i="1"/>
  <c r="Y792" i="1"/>
  <c r="Y791" i="1"/>
  <c r="AO791" i="1" s="1"/>
  <c r="Y790" i="1"/>
  <c r="Y789" i="1"/>
  <c r="Y788" i="1"/>
  <c r="Y787" i="1"/>
  <c r="Y786" i="1"/>
  <c r="Y785" i="1"/>
  <c r="Y784" i="1"/>
  <c r="Y783" i="1"/>
  <c r="AO783" i="1" s="1"/>
  <c r="X783" i="1"/>
  <c r="Y782" i="1"/>
  <c r="Y781" i="1"/>
  <c r="Y780" i="1"/>
  <c r="Y779" i="1"/>
  <c r="Y777" i="1"/>
  <c r="Y776" i="1"/>
  <c r="Y775" i="1"/>
  <c r="AO775" i="1" s="1"/>
  <c r="Y774" i="1"/>
  <c r="Y773" i="1"/>
  <c r="Y772" i="1"/>
  <c r="Y771" i="1"/>
  <c r="Y770" i="1"/>
  <c r="Y769" i="1"/>
  <c r="Y768" i="1"/>
  <c r="Y767" i="1"/>
  <c r="Y766" i="1"/>
  <c r="Y765" i="1"/>
  <c r="Y764" i="1"/>
  <c r="Y763" i="1"/>
  <c r="Y762" i="1"/>
  <c r="Y761" i="1"/>
  <c r="Y760" i="1"/>
  <c r="Y759" i="1"/>
  <c r="AO759" i="1" s="1"/>
  <c r="Y758" i="1"/>
  <c r="Y757" i="1"/>
  <c r="Y755" i="1"/>
  <c r="Y754" i="1"/>
  <c r="Y753" i="1"/>
  <c r="Y752" i="1"/>
  <c r="Y751" i="1"/>
  <c r="Y750" i="1"/>
  <c r="AO750" i="1" s="1"/>
  <c r="Y749" i="1"/>
  <c r="Y748" i="1"/>
  <c r="Y747" i="1"/>
  <c r="Y746" i="1"/>
  <c r="Y745" i="1"/>
  <c r="Y744" i="1"/>
  <c r="Y743" i="1"/>
  <c r="Y742" i="1"/>
  <c r="Y741" i="1"/>
  <c r="Y740" i="1"/>
  <c r="Y739" i="1"/>
  <c r="Y738" i="1"/>
  <c r="Y737" i="1"/>
  <c r="Y736" i="1"/>
  <c r="Y735" i="1"/>
  <c r="Y734" i="1"/>
  <c r="AO734" i="1" s="1"/>
  <c r="Y733" i="1"/>
  <c r="Y732" i="1"/>
  <c r="Y731" i="1"/>
  <c r="Y730" i="1"/>
  <c r="Y729" i="1"/>
  <c r="Y728" i="1"/>
  <c r="Y727" i="1"/>
  <c r="Y726" i="1"/>
  <c r="AO726" i="1" s="1"/>
  <c r="Y725" i="1"/>
  <c r="Y724" i="1"/>
  <c r="Y723" i="1"/>
  <c r="Y722" i="1"/>
  <c r="Y721" i="1"/>
  <c r="Y720" i="1"/>
  <c r="Y719" i="1"/>
  <c r="Y718" i="1"/>
  <c r="AO718" i="1" s="1"/>
  <c r="Y717" i="1"/>
  <c r="Y716" i="1"/>
  <c r="Y715" i="1"/>
  <c r="Y714" i="1"/>
  <c r="Y713" i="1"/>
  <c r="Y712" i="1"/>
  <c r="Y711" i="1"/>
  <c r="Y710" i="1"/>
  <c r="Y709" i="1"/>
  <c r="Y708" i="1"/>
  <c r="Y707" i="1"/>
  <c r="Y706" i="1"/>
  <c r="Y705" i="1"/>
  <c r="Y704" i="1"/>
  <c r="Y703" i="1"/>
  <c r="Y702" i="1"/>
  <c r="AO702" i="1" s="1"/>
  <c r="Y701" i="1"/>
  <c r="Y700" i="1"/>
  <c r="B700" i="1"/>
  <c r="B701" i="1"/>
  <c r="B702" i="1"/>
  <c r="B703" i="1"/>
  <c r="B704" i="1"/>
  <c r="B705" i="1"/>
  <c r="B706" i="1"/>
  <c r="B707" i="1"/>
  <c r="B708" i="1"/>
  <c r="B709" i="1"/>
  <c r="B710" i="1"/>
  <c r="B711" i="1"/>
  <c r="B712" i="1"/>
  <c r="B713" i="1"/>
  <c r="B714" i="1"/>
  <c r="B715" i="1"/>
  <c r="B716" i="1"/>
  <c r="B717" i="1"/>
  <c r="B718" i="1"/>
  <c r="B719" i="1"/>
  <c r="B720" i="1"/>
  <c r="B721" i="1"/>
  <c r="B722" i="1"/>
  <c r="B723" i="1"/>
  <c r="B724" i="1"/>
  <c r="B725" i="1"/>
  <c r="B726" i="1"/>
  <c r="B727" i="1"/>
  <c r="B728" i="1"/>
  <c r="B729" i="1"/>
  <c r="B730" i="1"/>
  <c r="B731" i="1"/>
  <c r="B732" i="1"/>
  <c r="B733" i="1"/>
  <c r="B734" i="1"/>
  <c r="B735" i="1"/>
  <c r="B736" i="1"/>
  <c r="B737" i="1"/>
  <c r="B738" i="1"/>
  <c r="B739" i="1"/>
  <c r="B740" i="1"/>
  <c r="B741" i="1"/>
  <c r="B742" i="1"/>
  <c r="B743" i="1"/>
  <c r="B744" i="1"/>
  <c r="B745" i="1"/>
  <c r="B746" i="1"/>
  <c r="B747" i="1"/>
  <c r="B748" i="1"/>
  <c r="B749" i="1"/>
  <c r="B750" i="1"/>
  <c r="B751" i="1"/>
  <c r="B752" i="1"/>
  <c r="B753" i="1"/>
  <c r="B754" i="1"/>
  <c r="B755" i="1"/>
  <c r="B756" i="1"/>
  <c r="B757" i="1"/>
  <c r="B758" i="1"/>
  <c r="B759" i="1"/>
  <c r="B760" i="1"/>
  <c r="B761" i="1"/>
  <c r="B762" i="1"/>
  <c r="B763" i="1"/>
  <c r="B764" i="1"/>
  <c r="B765" i="1"/>
  <c r="B766" i="1"/>
  <c r="B767" i="1"/>
  <c r="B768" i="1"/>
  <c r="B769" i="1"/>
  <c r="B770" i="1"/>
  <c r="B771" i="1"/>
  <c r="B772" i="1"/>
  <c r="B773" i="1"/>
  <c r="B774" i="1"/>
  <c r="B775" i="1"/>
  <c r="B776" i="1"/>
  <c r="B777" i="1"/>
  <c r="B778" i="1"/>
  <c r="B779" i="1"/>
  <c r="B780" i="1"/>
  <c r="B781" i="1"/>
  <c r="B782" i="1"/>
  <c r="B783" i="1"/>
  <c r="B784" i="1"/>
  <c r="B785" i="1"/>
  <c r="B786" i="1"/>
  <c r="B787" i="1"/>
  <c r="B788" i="1"/>
  <c r="B789" i="1"/>
  <c r="B790" i="1"/>
  <c r="B791" i="1"/>
  <c r="B792" i="1"/>
  <c r="B793" i="1"/>
  <c r="B794" i="1"/>
  <c r="B795" i="1"/>
  <c r="B796" i="1"/>
  <c r="B797" i="1"/>
  <c r="B798" i="1"/>
  <c r="B799" i="1"/>
  <c r="B800" i="1"/>
  <c r="B801" i="1"/>
  <c r="B802" i="1"/>
  <c r="B803" i="1"/>
  <c r="B804" i="1"/>
  <c r="B805" i="1"/>
  <c r="B806" i="1"/>
  <c r="B807" i="1"/>
  <c r="B808" i="1"/>
  <c r="B809" i="1"/>
  <c r="B810" i="1"/>
  <c r="B811" i="1"/>
  <c r="B812" i="1"/>
  <c r="B813" i="1"/>
  <c r="B814" i="1"/>
  <c r="B815" i="1"/>
  <c r="B816" i="1"/>
  <c r="B817" i="1"/>
  <c r="B818" i="1"/>
  <c r="B819" i="1"/>
  <c r="B820" i="1"/>
  <c r="B821" i="1"/>
  <c r="B822" i="1"/>
  <c r="B823" i="1"/>
  <c r="B824" i="1"/>
  <c r="B825" i="1"/>
  <c r="B826" i="1"/>
  <c r="B827" i="1"/>
  <c r="B828" i="1"/>
  <c r="B829" i="1"/>
  <c r="B830" i="1"/>
  <c r="B831" i="1"/>
  <c r="B832" i="1"/>
  <c r="B833" i="1"/>
  <c r="B834" i="1"/>
  <c r="B835" i="1"/>
  <c r="B836" i="1"/>
  <c r="B837" i="1"/>
  <c r="B838" i="1"/>
  <c r="B839" i="1"/>
  <c r="B840" i="1"/>
  <c r="B841" i="1"/>
  <c r="B842" i="1"/>
  <c r="B843" i="1"/>
  <c r="B844" i="1"/>
  <c r="B845" i="1"/>
  <c r="B846" i="1"/>
  <c r="B847" i="1"/>
  <c r="B848" i="1"/>
  <c r="B849" i="1"/>
  <c r="B850" i="1"/>
  <c r="B851" i="1"/>
  <c r="B852" i="1"/>
  <c r="B853" i="1"/>
  <c r="B854" i="1"/>
  <c r="B855" i="1"/>
  <c r="B856" i="1"/>
  <c r="B857" i="1"/>
  <c r="B858" i="1"/>
  <c r="B859" i="1"/>
  <c r="B860" i="1"/>
  <c r="B861" i="1"/>
  <c r="B862" i="1"/>
  <c r="B863" i="1"/>
  <c r="B864" i="1"/>
  <c r="B865" i="1"/>
  <c r="B866" i="1"/>
  <c r="B867" i="1"/>
  <c r="B868" i="1"/>
  <c r="B869" i="1"/>
  <c r="B870" i="1"/>
  <c r="B871" i="1"/>
  <c r="B872" i="1"/>
  <c r="B873" i="1"/>
  <c r="B874" i="1"/>
  <c r="B875" i="1"/>
  <c r="B876" i="1"/>
  <c r="B877" i="1"/>
  <c r="B878" i="1"/>
  <c r="B879" i="1"/>
  <c r="B880" i="1"/>
  <c r="B881" i="1"/>
  <c r="B882" i="1"/>
  <c r="B883" i="1"/>
  <c r="B884" i="1"/>
  <c r="B885" i="1"/>
  <c r="B886" i="1"/>
  <c r="B887" i="1"/>
  <c r="B888" i="1"/>
  <c r="B889" i="1"/>
  <c r="B890" i="1"/>
  <c r="B891" i="1"/>
  <c r="B892" i="1"/>
  <c r="B893" i="1"/>
  <c r="B894" i="1"/>
  <c r="B895" i="1"/>
  <c r="B896" i="1"/>
  <c r="B897" i="1"/>
  <c r="B898" i="1"/>
  <c r="B899" i="1"/>
  <c r="B900" i="1"/>
  <c r="B901" i="1"/>
  <c r="B902" i="1"/>
  <c r="B903" i="1"/>
  <c r="B904" i="1"/>
  <c r="B905" i="1"/>
  <c r="B906" i="1"/>
  <c r="B907" i="1"/>
  <c r="B908" i="1"/>
  <c r="B909" i="1"/>
  <c r="B910" i="1"/>
  <c r="B911" i="1"/>
  <c r="H700" i="1"/>
  <c r="H701" i="1"/>
  <c r="H702" i="1"/>
  <c r="H703" i="1"/>
  <c r="H704" i="1"/>
  <c r="H705" i="1"/>
  <c r="H706" i="1"/>
  <c r="H707" i="1"/>
  <c r="H708" i="1"/>
  <c r="H709" i="1"/>
  <c r="H710" i="1"/>
  <c r="H711" i="1"/>
  <c r="H712" i="1"/>
  <c r="H713" i="1"/>
  <c r="H714" i="1"/>
  <c r="H715" i="1"/>
  <c r="H716" i="1"/>
  <c r="H717" i="1"/>
  <c r="H718" i="1"/>
  <c r="H719" i="1"/>
  <c r="H720" i="1"/>
  <c r="H721" i="1"/>
  <c r="H722" i="1"/>
  <c r="H723" i="1"/>
  <c r="H724" i="1"/>
  <c r="H725" i="1"/>
  <c r="H726" i="1"/>
  <c r="H727" i="1"/>
  <c r="H728" i="1"/>
  <c r="H729" i="1"/>
  <c r="H730" i="1"/>
  <c r="H731" i="1"/>
  <c r="H732" i="1"/>
  <c r="H733" i="1"/>
  <c r="H734" i="1"/>
  <c r="H735" i="1"/>
  <c r="H736" i="1"/>
  <c r="H737" i="1"/>
  <c r="H738" i="1"/>
  <c r="H739" i="1"/>
  <c r="H740" i="1"/>
  <c r="H741" i="1"/>
  <c r="H742" i="1"/>
  <c r="H743" i="1"/>
  <c r="H744" i="1"/>
  <c r="H745" i="1"/>
  <c r="H746" i="1"/>
  <c r="H747" i="1"/>
  <c r="H748" i="1"/>
  <c r="H749" i="1"/>
  <c r="H750" i="1"/>
  <c r="H751" i="1"/>
  <c r="H752" i="1"/>
  <c r="H753" i="1"/>
  <c r="H754" i="1"/>
  <c r="H755" i="1"/>
  <c r="H756" i="1"/>
  <c r="H757" i="1"/>
  <c r="H758" i="1"/>
  <c r="H759" i="1"/>
  <c r="H760" i="1"/>
  <c r="H761" i="1"/>
  <c r="H762" i="1"/>
  <c r="H763" i="1"/>
  <c r="H764" i="1"/>
  <c r="H765" i="1"/>
  <c r="H766" i="1"/>
  <c r="H767" i="1"/>
  <c r="H768" i="1"/>
  <c r="H769" i="1"/>
  <c r="H770" i="1"/>
  <c r="H771" i="1"/>
  <c r="H772" i="1"/>
  <c r="H773" i="1"/>
  <c r="H774" i="1"/>
  <c r="H775" i="1"/>
  <c r="H776" i="1"/>
  <c r="H777" i="1"/>
  <c r="H778" i="1"/>
  <c r="H779" i="1"/>
  <c r="H780" i="1"/>
  <c r="H781" i="1"/>
  <c r="H782" i="1"/>
  <c r="H783" i="1"/>
  <c r="H784" i="1"/>
  <c r="H785" i="1"/>
  <c r="H786" i="1"/>
  <c r="H787" i="1"/>
  <c r="H788" i="1"/>
  <c r="H789" i="1"/>
  <c r="H790" i="1"/>
  <c r="H791" i="1"/>
  <c r="H792" i="1"/>
  <c r="H793" i="1"/>
  <c r="H794" i="1"/>
  <c r="H795" i="1"/>
  <c r="H796" i="1"/>
  <c r="H797" i="1"/>
  <c r="H798" i="1"/>
  <c r="H799" i="1"/>
  <c r="H800" i="1"/>
  <c r="H801" i="1"/>
  <c r="H802" i="1"/>
  <c r="H803" i="1"/>
  <c r="H804" i="1"/>
  <c r="H805" i="1"/>
  <c r="H806" i="1"/>
  <c r="H807" i="1"/>
  <c r="H808" i="1"/>
  <c r="H809" i="1"/>
  <c r="H810" i="1"/>
  <c r="H811" i="1"/>
  <c r="H812" i="1"/>
  <c r="H813" i="1"/>
  <c r="H814" i="1"/>
  <c r="H815" i="1"/>
  <c r="H816" i="1"/>
  <c r="H817" i="1"/>
  <c r="H818" i="1"/>
  <c r="H819" i="1"/>
  <c r="H820" i="1"/>
  <c r="H821" i="1"/>
  <c r="H822" i="1"/>
  <c r="H823" i="1"/>
  <c r="H824" i="1"/>
  <c r="H825" i="1"/>
  <c r="H826" i="1"/>
  <c r="H827" i="1"/>
  <c r="H828" i="1"/>
  <c r="H829" i="1"/>
  <c r="H830" i="1"/>
  <c r="H831" i="1"/>
  <c r="H832" i="1"/>
  <c r="H833" i="1"/>
  <c r="H834" i="1"/>
  <c r="H835" i="1"/>
  <c r="H836" i="1"/>
  <c r="H837" i="1"/>
  <c r="H838" i="1"/>
  <c r="H839" i="1"/>
  <c r="H840" i="1"/>
  <c r="H841" i="1"/>
  <c r="H842" i="1"/>
  <c r="H843" i="1"/>
  <c r="H844" i="1"/>
  <c r="H845" i="1"/>
  <c r="H846" i="1"/>
  <c r="H847" i="1"/>
  <c r="H848" i="1"/>
  <c r="H849" i="1"/>
  <c r="H850" i="1"/>
  <c r="H851" i="1"/>
  <c r="H852" i="1"/>
  <c r="H853" i="1"/>
  <c r="H854" i="1"/>
  <c r="H855" i="1"/>
  <c r="H856" i="1"/>
  <c r="H857" i="1"/>
  <c r="H858" i="1"/>
  <c r="H859" i="1"/>
  <c r="H860" i="1"/>
  <c r="H861" i="1"/>
  <c r="H862" i="1"/>
  <c r="H863" i="1"/>
  <c r="H864" i="1"/>
  <c r="H865" i="1"/>
  <c r="H866" i="1"/>
  <c r="H867" i="1"/>
  <c r="H868" i="1"/>
  <c r="H869" i="1"/>
  <c r="H870" i="1"/>
  <c r="H871" i="1"/>
  <c r="H872" i="1"/>
  <c r="H873" i="1"/>
  <c r="H874" i="1"/>
  <c r="H875" i="1"/>
  <c r="H876" i="1"/>
  <c r="H877" i="1"/>
  <c r="H878" i="1"/>
  <c r="H879" i="1"/>
  <c r="H880" i="1"/>
  <c r="H881" i="1"/>
  <c r="H882" i="1"/>
  <c r="H883" i="1"/>
  <c r="H884" i="1"/>
  <c r="H885" i="1"/>
  <c r="H886" i="1"/>
  <c r="H887" i="1"/>
  <c r="H888" i="1"/>
  <c r="H889" i="1"/>
  <c r="H890" i="1"/>
  <c r="H891" i="1"/>
  <c r="H892" i="1"/>
  <c r="H893" i="1"/>
  <c r="H894" i="1"/>
  <c r="H895" i="1"/>
  <c r="H896" i="1"/>
  <c r="H897" i="1"/>
  <c r="H898" i="1"/>
  <c r="H899" i="1"/>
  <c r="H900" i="1"/>
  <c r="H901" i="1"/>
  <c r="H902" i="1"/>
  <c r="H903" i="1"/>
  <c r="H904" i="1"/>
  <c r="H905" i="1"/>
  <c r="H906" i="1"/>
  <c r="H907" i="1"/>
  <c r="H908" i="1"/>
  <c r="H909" i="1"/>
  <c r="H910" i="1"/>
  <c r="H911" i="1"/>
  <c r="K700" i="1"/>
  <c r="K701" i="1"/>
  <c r="K702" i="1"/>
  <c r="K703" i="1"/>
  <c r="K704" i="1"/>
  <c r="K705" i="1"/>
  <c r="K706" i="1"/>
  <c r="K707" i="1"/>
  <c r="K708" i="1"/>
  <c r="K709" i="1"/>
  <c r="K710" i="1"/>
  <c r="K711" i="1"/>
  <c r="K712" i="1"/>
  <c r="K713" i="1"/>
  <c r="K714" i="1"/>
  <c r="K715" i="1"/>
  <c r="K716" i="1"/>
  <c r="K717" i="1"/>
  <c r="K718" i="1"/>
  <c r="K719" i="1"/>
  <c r="K720" i="1"/>
  <c r="K721" i="1"/>
  <c r="K722" i="1"/>
  <c r="K723" i="1"/>
  <c r="K724" i="1"/>
  <c r="K725" i="1"/>
  <c r="K726" i="1"/>
  <c r="K727" i="1"/>
  <c r="K728" i="1"/>
  <c r="K729" i="1"/>
  <c r="K730" i="1"/>
  <c r="K731" i="1"/>
  <c r="K732" i="1"/>
  <c r="K733" i="1"/>
  <c r="K734" i="1"/>
  <c r="K735" i="1"/>
  <c r="K736" i="1"/>
  <c r="K737" i="1"/>
  <c r="K738" i="1"/>
  <c r="K739" i="1"/>
  <c r="K740" i="1"/>
  <c r="K741" i="1"/>
  <c r="K742" i="1"/>
  <c r="K743" i="1"/>
  <c r="K744" i="1"/>
  <c r="K745" i="1"/>
  <c r="K746" i="1"/>
  <c r="K747" i="1"/>
  <c r="K748" i="1"/>
  <c r="K749" i="1"/>
  <c r="K750" i="1"/>
  <c r="K751" i="1"/>
  <c r="K752" i="1"/>
  <c r="K753" i="1"/>
  <c r="K754" i="1"/>
  <c r="K755" i="1"/>
  <c r="K756" i="1"/>
  <c r="K757" i="1"/>
  <c r="K758" i="1"/>
  <c r="K759" i="1"/>
  <c r="K760" i="1"/>
  <c r="K761" i="1"/>
  <c r="K762" i="1"/>
  <c r="K763" i="1"/>
  <c r="K764" i="1"/>
  <c r="K765" i="1"/>
  <c r="K766" i="1"/>
  <c r="K767" i="1"/>
  <c r="K768" i="1"/>
  <c r="K769" i="1"/>
  <c r="K770" i="1"/>
  <c r="K771" i="1"/>
  <c r="K772" i="1"/>
  <c r="K773" i="1"/>
  <c r="K774" i="1"/>
  <c r="K775" i="1"/>
  <c r="K776" i="1"/>
  <c r="K777" i="1"/>
  <c r="K778" i="1"/>
  <c r="K779" i="1"/>
  <c r="K780" i="1"/>
  <c r="K781" i="1"/>
  <c r="K782" i="1"/>
  <c r="K783" i="1"/>
  <c r="K784" i="1"/>
  <c r="K785" i="1"/>
  <c r="K786" i="1"/>
  <c r="K787" i="1"/>
  <c r="K788" i="1"/>
  <c r="K789" i="1"/>
  <c r="K790" i="1"/>
  <c r="K791" i="1"/>
  <c r="K792" i="1"/>
  <c r="K793" i="1"/>
  <c r="K794" i="1"/>
  <c r="K795" i="1"/>
  <c r="K796" i="1"/>
  <c r="K797" i="1"/>
  <c r="K798" i="1"/>
  <c r="K799" i="1"/>
  <c r="K800" i="1"/>
  <c r="K801" i="1"/>
  <c r="K802" i="1"/>
  <c r="K803" i="1"/>
  <c r="K804" i="1"/>
  <c r="K805" i="1"/>
  <c r="K806" i="1"/>
  <c r="K807" i="1"/>
  <c r="K808" i="1"/>
  <c r="K809" i="1"/>
  <c r="K810" i="1"/>
  <c r="K811" i="1"/>
  <c r="K812" i="1"/>
  <c r="K813" i="1"/>
  <c r="K814" i="1"/>
  <c r="K815" i="1"/>
  <c r="K816" i="1"/>
  <c r="K817" i="1"/>
  <c r="K818" i="1"/>
  <c r="K819" i="1"/>
  <c r="K820" i="1"/>
  <c r="K821" i="1"/>
  <c r="K822" i="1"/>
  <c r="K823" i="1"/>
  <c r="K824" i="1"/>
  <c r="K825" i="1"/>
  <c r="K826" i="1"/>
  <c r="K827" i="1"/>
  <c r="K828" i="1"/>
  <c r="K829" i="1"/>
  <c r="K830" i="1"/>
  <c r="K831" i="1"/>
  <c r="K832" i="1"/>
  <c r="K833" i="1"/>
  <c r="K834" i="1"/>
  <c r="K835" i="1"/>
  <c r="K836" i="1"/>
  <c r="K837" i="1"/>
  <c r="K838" i="1"/>
  <c r="K839" i="1"/>
  <c r="K840" i="1"/>
  <c r="K841" i="1"/>
  <c r="K842" i="1"/>
  <c r="K843" i="1"/>
  <c r="K844" i="1"/>
  <c r="K845" i="1"/>
  <c r="K846" i="1"/>
  <c r="K847" i="1"/>
  <c r="K848" i="1"/>
  <c r="K849" i="1"/>
  <c r="K850" i="1"/>
  <c r="K851" i="1"/>
  <c r="K852" i="1"/>
  <c r="K853" i="1"/>
  <c r="K854" i="1"/>
  <c r="K855" i="1"/>
  <c r="K856" i="1"/>
  <c r="K857" i="1"/>
  <c r="K858" i="1"/>
  <c r="K859" i="1"/>
  <c r="K860" i="1"/>
  <c r="K861" i="1"/>
  <c r="K862" i="1"/>
  <c r="K863" i="1"/>
  <c r="K864" i="1"/>
  <c r="K865" i="1"/>
  <c r="K866" i="1"/>
  <c r="K867" i="1"/>
  <c r="K868" i="1"/>
  <c r="K869" i="1"/>
  <c r="K870" i="1"/>
  <c r="K871" i="1"/>
  <c r="K872" i="1"/>
  <c r="K873" i="1"/>
  <c r="K874" i="1"/>
  <c r="K875" i="1"/>
  <c r="K876" i="1"/>
  <c r="K877" i="1"/>
  <c r="K878" i="1"/>
  <c r="K879" i="1"/>
  <c r="K880" i="1"/>
  <c r="K881" i="1"/>
  <c r="K882" i="1"/>
  <c r="K883" i="1"/>
  <c r="K884" i="1"/>
  <c r="K885" i="1"/>
  <c r="K886" i="1"/>
  <c r="K887" i="1"/>
  <c r="K888" i="1"/>
  <c r="K889" i="1"/>
  <c r="K890" i="1"/>
  <c r="K891" i="1"/>
  <c r="K892" i="1"/>
  <c r="K893" i="1"/>
  <c r="K894" i="1"/>
  <c r="K895" i="1"/>
  <c r="K896" i="1"/>
  <c r="K897" i="1"/>
  <c r="K898" i="1"/>
  <c r="K899" i="1"/>
  <c r="K900" i="1"/>
  <c r="K901" i="1"/>
  <c r="K902" i="1"/>
  <c r="K903" i="1"/>
  <c r="K904" i="1"/>
  <c r="K905" i="1"/>
  <c r="K906" i="1"/>
  <c r="K907" i="1"/>
  <c r="K908" i="1"/>
  <c r="K909" i="1"/>
  <c r="K910" i="1"/>
  <c r="K911" i="1"/>
  <c r="L700" i="1"/>
  <c r="M700" i="1" s="1"/>
  <c r="L701" i="1"/>
  <c r="R701" i="1" s="1"/>
  <c r="L702" i="1"/>
  <c r="M702" i="1" s="1"/>
  <c r="L703" i="1"/>
  <c r="M703" i="1" s="1"/>
  <c r="L704" i="1"/>
  <c r="M704" i="1" s="1"/>
  <c r="L705" i="1"/>
  <c r="M705" i="1" s="1"/>
  <c r="L706" i="1"/>
  <c r="M706" i="1" s="1"/>
  <c r="L707" i="1"/>
  <c r="M707" i="1" s="1"/>
  <c r="L708" i="1"/>
  <c r="R708" i="1" s="1"/>
  <c r="L709" i="1"/>
  <c r="R709" i="1" s="1"/>
  <c r="L710" i="1"/>
  <c r="R710" i="1" s="1"/>
  <c r="L711" i="1"/>
  <c r="M711" i="1" s="1"/>
  <c r="L712" i="1"/>
  <c r="M712" i="1" s="1"/>
  <c r="L713" i="1"/>
  <c r="Q713" i="1" s="1"/>
  <c r="L714" i="1"/>
  <c r="S714" i="1" s="1"/>
  <c r="L715" i="1"/>
  <c r="Q715" i="1" s="1"/>
  <c r="L716" i="1"/>
  <c r="M716" i="1" s="1"/>
  <c r="L717" i="1"/>
  <c r="R717" i="1" s="1"/>
  <c r="L718" i="1"/>
  <c r="M718" i="1" s="1"/>
  <c r="L719" i="1"/>
  <c r="M719" i="1" s="1"/>
  <c r="L720" i="1"/>
  <c r="M720" i="1" s="1"/>
  <c r="L721" i="1"/>
  <c r="M721" i="1" s="1"/>
  <c r="L722" i="1"/>
  <c r="R722" i="1" s="1"/>
  <c r="L723" i="1"/>
  <c r="R723" i="1" s="1"/>
  <c r="L724" i="1"/>
  <c r="R724" i="1" s="1"/>
  <c r="L725" i="1"/>
  <c r="R725" i="1" s="1"/>
  <c r="L726" i="1"/>
  <c r="M726" i="1" s="1"/>
  <c r="L727" i="1"/>
  <c r="M727" i="1" s="1"/>
  <c r="L728" i="1"/>
  <c r="M728" i="1" s="1"/>
  <c r="L729" i="1"/>
  <c r="M729" i="1" s="1"/>
  <c r="L730" i="1"/>
  <c r="S730" i="1" s="1"/>
  <c r="L731" i="1"/>
  <c r="Q731" i="1" s="1"/>
  <c r="L732" i="1"/>
  <c r="R732" i="1" s="1"/>
  <c r="L733" i="1"/>
  <c r="R733" i="1" s="1"/>
  <c r="L734" i="1"/>
  <c r="M734" i="1" s="1"/>
  <c r="L735" i="1"/>
  <c r="M735" i="1" s="1"/>
  <c r="L736" i="1"/>
  <c r="M736" i="1" s="1"/>
  <c r="L737" i="1"/>
  <c r="M737" i="1" s="1"/>
  <c r="L738" i="1"/>
  <c r="M738" i="1" s="1"/>
  <c r="L739" i="1"/>
  <c r="R739" i="1" s="1"/>
  <c r="L740" i="1"/>
  <c r="Q740" i="1" s="1"/>
  <c r="L741" i="1"/>
  <c r="R741" i="1" s="1"/>
  <c r="L742" i="1"/>
  <c r="R742" i="1" s="1"/>
  <c r="L743" i="1"/>
  <c r="M743" i="1" s="1"/>
  <c r="L744" i="1"/>
  <c r="Q744" i="1" s="1"/>
  <c r="L745" i="1"/>
  <c r="M745" i="1" s="1"/>
  <c r="L746" i="1"/>
  <c r="R746" i="1" s="1"/>
  <c r="L747" i="1"/>
  <c r="M747" i="1" s="1"/>
  <c r="L748" i="1"/>
  <c r="R748" i="1" s="1"/>
  <c r="L749" i="1"/>
  <c r="L750" i="1"/>
  <c r="M750" i="1" s="1"/>
  <c r="L751" i="1"/>
  <c r="M751" i="1" s="1"/>
  <c r="L752" i="1"/>
  <c r="M752" i="1" s="1"/>
  <c r="L753" i="1"/>
  <c r="M753" i="1" s="1"/>
  <c r="L754" i="1"/>
  <c r="Q754" i="1" s="1"/>
  <c r="L755" i="1"/>
  <c r="S755" i="1" s="1"/>
  <c r="L756" i="1"/>
  <c r="M756" i="1" s="1"/>
  <c r="L757" i="1"/>
  <c r="L758" i="1"/>
  <c r="M758" i="1" s="1"/>
  <c r="L759" i="1"/>
  <c r="M759" i="1" s="1"/>
  <c r="L760" i="1"/>
  <c r="M760" i="1" s="1"/>
  <c r="L761" i="1"/>
  <c r="M761" i="1" s="1"/>
  <c r="L762" i="1"/>
  <c r="M762" i="1" s="1"/>
  <c r="L763" i="1"/>
  <c r="Q763" i="1" s="1"/>
  <c r="L764" i="1"/>
  <c r="R764" i="1" s="1"/>
  <c r="L765" i="1"/>
  <c r="R765" i="1" s="1"/>
  <c r="L766" i="1"/>
  <c r="S766" i="1" s="1"/>
  <c r="L767" i="1"/>
  <c r="M767" i="1" s="1"/>
  <c r="L768" i="1"/>
  <c r="Q768" i="1" s="1"/>
  <c r="L769" i="1"/>
  <c r="M769" i="1" s="1"/>
  <c r="L770" i="1"/>
  <c r="M770" i="1" s="1"/>
  <c r="L771" i="1"/>
  <c r="M771" i="1" s="1"/>
  <c r="L772" i="1"/>
  <c r="M772" i="1" s="1"/>
  <c r="L773" i="1"/>
  <c r="R773" i="1" s="1"/>
  <c r="L774" i="1"/>
  <c r="R774" i="1" s="1"/>
  <c r="L775" i="1"/>
  <c r="M775" i="1" s="1"/>
  <c r="L776" i="1"/>
  <c r="Q776" i="1" s="1"/>
  <c r="L777" i="1"/>
  <c r="S777" i="1" s="1"/>
  <c r="L778" i="1"/>
  <c r="Q778" i="1" s="1"/>
  <c r="L779" i="1"/>
  <c r="S779" i="1" s="1"/>
  <c r="L780" i="1"/>
  <c r="R780" i="1" s="1"/>
  <c r="L781" i="1"/>
  <c r="R781" i="1" s="1"/>
  <c r="L782" i="1"/>
  <c r="M782" i="1" s="1"/>
  <c r="L783" i="1"/>
  <c r="M783" i="1" s="1"/>
  <c r="L784" i="1"/>
  <c r="Q784" i="1" s="1"/>
  <c r="L785" i="1"/>
  <c r="M785" i="1" s="1"/>
  <c r="L786" i="1"/>
  <c r="R786" i="1" s="1"/>
  <c r="L787" i="1"/>
  <c r="Q787" i="1" s="1"/>
  <c r="L788" i="1"/>
  <c r="R788" i="1" s="1"/>
  <c r="L789" i="1"/>
  <c r="R789" i="1" s="1"/>
  <c r="L790" i="1"/>
  <c r="M790" i="1" s="1"/>
  <c r="L791" i="1"/>
  <c r="M791" i="1" s="1"/>
  <c r="L792" i="1"/>
  <c r="M792" i="1" s="1"/>
  <c r="L793" i="1"/>
  <c r="Q793" i="1" s="1"/>
  <c r="L794" i="1"/>
  <c r="M794" i="1" s="1"/>
  <c r="L795" i="1"/>
  <c r="M795" i="1" s="1"/>
  <c r="L796" i="1"/>
  <c r="M796" i="1" s="1"/>
  <c r="L797" i="1"/>
  <c r="L798" i="1"/>
  <c r="S798" i="1" s="1"/>
  <c r="L799" i="1"/>
  <c r="M799" i="1" s="1"/>
  <c r="L800" i="1"/>
  <c r="M800" i="1" s="1"/>
  <c r="L801" i="1"/>
  <c r="M801" i="1" s="1"/>
  <c r="L802" i="1"/>
  <c r="M802" i="1" s="1"/>
  <c r="L803" i="1"/>
  <c r="M803" i="1" s="1"/>
  <c r="L804" i="1"/>
  <c r="M804" i="1" s="1"/>
  <c r="L805" i="1"/>
  <c r="R805" i="1" s="1"/>
  <c r="L806" i="1"/>
  <c r="R806" i="1" s="1"/>
  <c r="L807" i="1"/>
  <c r="M807" i="1" s="1"/>
  <c r="L808" i="1"/>
  <c r="M808" i="1" s="1"/>
  <c r="L809" i="1"/>
  <c r="Q809" i="1" s="1"/>
  <c r="L810" i="1"/>
  <c r="M810" i="1" s="1"/>
  <c r="L811" i="1"/>
  <c r="S811" i="1" s="1"/>
  <c r="L812" i="1"/>
  <c r="R812" i="1" s="1"/>
  <c r="L813" i="1"/>
  <c r="L814" i="1"/>
  <c r="M814" i="1" s="1"/>
  <c r="L815" i="1"/>
  <c r="M815" i="1" s="1"/>
  <c r="L816" i="1"/>
  <c r="M816" i="1" s="1"/>
  <c r="L817" i="1"/>
  <c r="M817" i="1" s="1"/>
  <c r="L818" i="1"/>
  <c r="R818" i="1" s="1"/>
  <c r="L819" i="1"/>
  <c r="R819" i="1" s="1"/>
  <c r="L820" i="1"/>
  <c r="Q820" i="1" s="1"/>
  <c r="L821" i="1"/>
  <c r="R821" i="1" s="1"/>
  <c r="L822" i="1"/>
  <c r="Q822" i="1" s="1"/>
  <c r="L823" i="1"/>
  <c r="M823" i="1" s="1"/>
  <c r="L824" i="1"/>
  <c r="M824" i="1" s="1"/>
  <c r="L825" i="1"/>
  <c r="M825" i="1" s="1"/>
  <c r="L826" i="1"/>
  <c r="M826" i="1" s="1"/>
  <c r="L827" i="1"/>
  <c r="M827" i="1" s="1"/>
  <c r="L828" i="1"/>
  <c r="Q828" i="1" s="1"/>
  <c r="L829" i="1"/>
  <c r="L830" i="1"/>
  <c r="S830" i="1" s="1"/>
  <c r="L831" i="1"/>
  <c r="M831" i="1" s="1"/>
  <c r="L832" i="1"/>
  <c r="Q832" i="1" s="1"/>
  <c r="L833" i="1"/>
  <c r="M833" i="1" s="1"/>
  <c r="L834" i="1"/>
  <c r="M834" i="1" s="1"/>
  <c r="L835" i="1"/>
  <c r="S835" i="1" s="1"/>
  <c r="L836" i="1"/>
  <c r="Q836" i="1" s="1"/>
  <c r="L837" i="1"/>
  <c r="R837" i="1" s="1"/>
  <c r="L838" i="1"/>
  <c r="R838" i="1" s="1"/>
  <c r="L839" i="1"/>
  <c r="M839" i="1" s="1"/>
  <c r="L840" i="1"/>
  <c r="R840" i="1" s="1"/>
  <c r="L841" i="1"/>
  <c r="R841" i="1" s="1"/>
  <c r="L842" i="1"/>
  <c r="M842" i="1" s="1"/>
  <c r="L843" i="1"/>
  <c r="Q843" i="1" s="1"/>
  <c r="L844" i="1"/>
  <c r="R844" i="1" s="1"/>
  <c r="L845" i="1"/>
  <c r="R845" i="1" s="1"/>
  <c r="L846" i="1"/>
  <c r="M846" i="1" s="1"/>
  <c r="L847" i="1"/>
  <c r="M847" i="1" s="1"/>
  <c r="L848" i="1"/>
  <c r="M848" i="1" s="1"/>
  <c r="L849" i="1"/>
  <c r="M849" i="1" s="1"/>
  <c r="L850" i="1"/>
  <c r="M850" i="1" s="1"/>
  <c r="L851" i="1"/>
  <c r="M851" i="1" s="1"/>
  <c r="L852" i="1"/>
  <c r="R852" i="1" s="1"/>
  <c r="L853" i="1"/>
  <c r="R853" i="1" s="1"/>
  <c r="L854" i="1"/>
  <c r="Q854" i="1" s="1"/>
  <c r="L855" i="1"/>
  <c r="M855" i="1" s="1"/>
  <c r="L856" i="1"/>
  <c r="R856" i="1" s="1"/>
  <c r="L857" i="1"/>
  <c r="R857" i="1" s="1"/>
  <c r="L858" i="1"/>
  <c r="M858" i="1" s="1"/>
  <c r="L859" i="1"/>
  <c r="M859" i="1" s="1"/>
  <c r="L860" i="1"/>
  <c r="M860" i="1" s="1"/>
  <c r="L861" i="1"/>
  <c r="R861" i="1" s="1"/>
  <c r="L862" i="1"/>
  <c r="Q862" i="1" s="1"/>
  <c r="L863" i="1"/>
  <c r="M863" i="1" s="1"/>
  <c r="L864" i="1"/>
  <c r="Q864" i="1" s="1"/>
  <c r="L865" i="1"/>
  <c r="M865" i="1" s="1"/>
  <c r="L866" i="1"/>
  <c r="M866" i="1" s="1"/>
  <c r="L867" i="1"/>
  <c r="Q867" i="1" s="1"/>
  <c r="L868" i="1"/>
  <c r="M868" i="1" s="1"/>
  <c r="L869" i="1"/>
  <c r="L870" i="1"/>
  <c r="R870" i="1" s="1"/>
  <c r="L871" i="1"/>
  <c r="M871" i="1" s="1"/>
  <c r="L872" i="1"/>
  <c r="R872" i="1" s="1"/>
  <c r="L873" i="1"/>
  <c r="M873" i="1" s="1"/>
  <c r="L874" i="1"/>
  <c r="M874" i="1" s="1"/>
  <c r="L875" i="1"/>
  <c r="Q875" i="1" s="1"/>
  <c r="L876" i="1"/>
  <c r="M876" i="1" s="1"/>
  <c r="L877" i="1"/>
  <c r="R877" i="1" s="1"/>
  <c r="L878" i="1"/>
  <c r="M878" i="1" s="1"/>
  <c r="L879" i="1"/>
  <c r="M879" i="1" s="1"/>
  <c r="L880" i="1"/>
  <c r="Q880" i="1" s="1"/>
  <c r="L881" i="1"/>
  <c r="M881" i="1" s="1"/>
  <c r="L882" i="1"/>
  <c r="Q882" i="1" s="1"/>
  <c r="L883" i="1"/>
  <c r="M883" i="1" s="1"/>
  <c r="L884" i="1"/>
  <c r="Q884" i="1" s="1"/>
  <c r="L885" i="1"/>
  <c r="L886" i="1"/>
  <c r="Q886" i="1" s="1"/>
  <c r="L887" i="1"/>
  <c r="M887" i="1" s="1"/>
  <c r="L888" i="1"/>
  <c r="Q888" i="1" s="1"/>
  <c r="L889" i="1"/>
  <c r="M889" i="1" s="1"/>
  <c r="L890" i="1"/>
  <c r="R890" i="1" s="1"/>
  <c r="L891" i="1"/>
  <c r="Q891" i="1" s="1"/>
  <c r="L892" i="1"/>
  <c r="M892" i="1" s="1"/>
  <c r="L893" i="1"/>
  <c r="R893" i="1" s="1"/>
  <c r="L894" i="1"/>
  <c r="S894" i="1" s="1"/>
  <c r="L895" i="1"/>
  <c r="M895" i="1" s="1"/>
  <c r="L896" i="1"/>
  <c r="S896" i="1" s="1"/>
  <c r="L897" i="1"/>
  <c r="M897" i="1" s="1"/>
  <c r="L898" i="1"/>
  <c r="R898" i="1" s="1"/>
  <c r="L899" i="1"/>
  <c r="M899" i="1" s="1"/>
  <c r="L900" i="1"/>
  <c r="M900" i="1" s="1"/>
  <c r="L901" i="1"/>
  <c r="R901" i="1" s="1"/>
  <c r="L902" i="1"/>
  <c r="R902" i="1" s="1"/>
  <c r="L903" i="1"/>
  <c r="M903" i="1" s="1"/>
  <c r="L904" i="1"/>
  <c r="R904" i="1" s="1"/>
  <c r="L905" i="1"/>
  <c r="M905" i="1" s="1"/>
  <c r="L906" i="1"/>
  <c r="M906" i="1" s="1"/>
  <c r="L907" i="1"/>
  <c r="M907" i="1" s="1"/>
  <c r="L908" i="1"/>
  <c r="Q908" i="1" s="1"/>
  <c r="L909" i="1"/>
  <c r="R909" i="1" s="1"/>
  <c r="L910" i="1"/>
  <c r="Q910" i="1" s="1"/>
  <c r="L911" i="1"/>
  <c r="M911" i="1" s="1"/>
  <c r="M744" i="1"/>
  <c r="P700" i="1"/>
  <c r="P701" i="1"/>
  <c r="P702" i="1"/>
  <c r="P703" i="1"/>
  <c r="P704" i="1"/>
  <c r="P705" i="1"/>
  <c r="P706" i="1"/>
  <c r="P707" i="1"/>
  <c r="P708" i="1"/>
  <c r="P709" i="1"/>
  <c r="P710" i="1"/>
  <c r="P711" i="1"/>
  <c r="P712" i="1"/>
  <c r="P713" i="1"/>
  <c r="P714" i="1"/>
  <c r="P715" i="1"/>
  <c r="P716" i="1"/>
  <c r="P717" i="1"/>
  <c r="P718" i="1"/>
  <c r="P719" i="1"/>
  <c r="P720" i="1"/>
  <c r="P721" i="1"/>
  <c r="P722" i="1"/>
  <c r="P723" i="1"/>
  <c r="P724" i="1"/>
  <c r="P725" i="1"/>
  <c r="P726" i="1"/>
  <c r="P727" i="1"/>
  <c r="P728" i="1"/>
  <c r="P729" i="1"/>
  <c r="P730" i="1"/>
  <c r="P731" i="1"/>
  <c r="P732" i="1"/>
  <c r="P733" i="1"/>
  <c r="P734" i="1"/>
  <c r="P735" i="1"/>
  <c r="P736" i="1"/>
  <c r="P737" i="1"/>
  <c r="P738" i="1"/>
  <c r="P739" i="1"/>
  <c r="P740" i="1"/>
  <c r="P741" i="1"/>
  <c r="P742" i="1"/>
  <c r="P743" i="1"/>
  <c r="P744" i="1"/>
  <c r="P745" i="1"/>
  <c r="P746" i="1"/>
  <c r="P747" i="1"/>
  <c r="P748" i="1"/>
  <c r="P749" i="1"/>
  <c r="P750" i="1"/>
  <c r="P751" i="1"/>
  <c r="P752" i="1"/>
  <c r="P753" i="1"/>
  <c r="P754" i="1"/>
  <c r="P755" i="1"/>
  <c r="P756" i="1"/>
  <c r="P757" i="1"/>
  <c r="P758" i="1"/>
  <c r="P759" i="1"/>
  <c r="P760" i="1"/>
  <c r="P761" i="1"/>
  <c r="P762" i="1"/>
  <c r="P763" i="1"/>
  <c r="P764" i="1"/>
  <c r="P765" i="1"/>
  <c r="P766" i="1"/>
  <c r="P767" i="1"/>
  <c r="P768" i="1"/>
  <c r="P769" i="1"/>
  <c r="P770" i="1"/>
  <c r="P771" i="1"/>
  <c r="P772" i="1"/>
  <c r="P773" i="1"/>
  <c r="P774" i="1"/>
  <c r="P775" i="1"/>
  <c r="P776" i="1"/>
  <c r="P777" i="1"/>
  <c r="P778" i="1"/>
  <c r="P779" i="1"/>
  <c r="P780" i="1"/>
  <c r="P781" i="1"/>
  <c r="P782" i="1"/>
  <c r="P783" i="1"/>
  <c r="P784" i="1"/>
  <c r="P785" i="1"/>
  <c r="P786" i="1"/>
  <c r="P787" i="1"/>
  <c r="P788" i="1"/>
  <c r="P789" i="1"/>
  <c r="P790" i="1"/>
  <c r="P791" i="1"/>
  <c r="P792" i="1"/>
  <c r="P793" i="1"/>
  <c r="P794" i="1"/>
  <c r="P795" i="1"/>
  <c r="P796" i="1"/>
  <c r="P797" i="1"/>
  <c r="P798" i="1"/>
  <c r="P799" i="1"/>
  <c r="P800" i="1"/>
  <c r="P801" i="1"/>
  <c r="P802" i="1"/>
  <c r="P803" i="1"/>
  <c r="P804" i="1"/>
  <c r="P805" i="1"/>
  <c r="P806" i="1"/>
  <c r="P807" i="1"/>
  <c r="P808" i="1"/>
  <c r="P809" i="1"/>
  <c r="P810" i="1"/>
  <c r="P811" i="1"/>
  <c r="P812" i="1"/>
  <c r="P813" i="1"/>
  <c r="P814" i="1"/>
  <c r="P815" i="1"/>
  <c r="P816" i="1"/>
  <c r="P817" i="1"/>
  <c r="P818" i="1"/>
  <c r="P819" i="1"/>
  <c r="P820" i="1"/>
  <c r="P821" i="1"/>
  <c r="P822" i="1"/>
  <c r="P823" i="1"/>
  <c r="P824" i="1"/>
  <c r="P825" i="1"/>
  <c r="P826" i="1"/>
  <c r="P827" i="1"/>
  <c r="P828" i="1"/>
  <c r="P829" i="1"/>
  <c r="P830" i="1"/>
  <c r="P831" i="1"/>
  <c r="P832" i="1"/>
  <c r="P833" i="1"/>
  <c r="P834" i="1"/>
  <c r="P835" i="1"/>
  <c r="P836" i="1"/>
  <c r="P837" i="1"/>
  <c r="P838" i="1"/>
  <c r="P839" i="1"/>
  <c r="P840" i="1"/>
  <c r="P841" i="1"/>
  <c r="P842" i="1"/>
  <c r="P843" i="1"/>
  <c r="P844" i="1"/>
  <c r="P845" i="1"/>
  <c r="P846" i="1"/>
  <c r="P847" i="1"/>
  <c r="P848" i="1"/>
  <c r="P849" i="1"/>
  <c r="P850" i="1"/>
  <c r="P851" i="1"/>
  <c r="P852" i="1"/>
  <c r="P853" i="1"/>
  <c r="P854" i="1"/>
  <c r="P855" i="1"/>
  <c r="P856" i="1"/>
  <c r="P857" i="1"/>
  <c r="P858" i="1"/>
  <c r="P859" i="1"/>
  <c r="P860" i="1"/>
  <c r="P861" i="1"/>
  <c r="P862" i="1"/>
  <c r="P863" i="1"/>
  <c r="P864" i="1"/>
  <c r="P865" i="1"/>
  <c r="P866" i="1"/>
  <c r="P867" i="1"/>
  <c r="P868" i="1"/>
  <c r="P869" i="1"/>
  <c r="P870" i="1"/>
  <c r="P871" i="1"/>
  <c r="P872" i="1"/>
  <c r="P873" i="1"/>
  <c r="P874" i="1"/>
  <c r="P875" i="1"/>
  <c r="P876" i="1"/>
  <c r="P877" i="1"/>
  <c r="P878" i="1"/>
  <c r="P879" i="1"/>
  <c r="P880" i="1"/>
  <c r="P881" i="1"/>
  <c r="P882" i="1"/>
  <c r="P883" i="1"/>
  <c r="P884" i="1"/>
  <c r="P885" i="1"/>
  <c r="P886" i="1"/>
  <c r="P887" i="1"/>
  <c r="P888" i="1"/>
  <c r="P889" i="1"/>
  <c r="P890" i="1"/>
  <c r="P891" i="1"/>
  <c r="P892" i="1"/>
  <c r="P893" i="1"/>
  <c r="P894" i="1"/>
  <c r="P895" i="1"/>
  <c r="P896" i="1"/>
  <c r="P897" i="1"/>
  <c r="P898" i="1"/>
  <c r="P899" i="1"/>
  <c r="P900" i="1"/>
  <c r="P901" i="1"/>
  <c r="P902" i="1"/>
  <c r="P903" i="1"/>
  <c r="P904" i="1"/>
  <c r="P905" i="1"/>
  <c r="P906" i="1"/>
  <c r="P907" i="1"/>
  <c r="P908" i="1"/>
  <c r="P909" i="1"/>
  <c r="P910" i="1"/>
  <c r="P911" i="1"/>
  <c r="R752" i="1"/>
  <c r="R784" i="1"/>
  <c r="W700" i="1"/>
  <c r="W701" i="1"/>
  <c r="W702" i="1"/>
  <c r="W703" i="1"/>
  <c r="W704" i="1"/>
  <c r="W705" i="1"/>
  <c r="W706" i="1"/>
  <c r="W707" i="1"/>
  <c r="W708" i="1"/>
  <c r="W709" i="1"/>
  <c r="W710" i="1"/>
  <c r="W711" i="1"/>
  <c r="W712" i="1"/>
  <c r="W713" i="1"/>
  <c r="W714" i="1"/>
  <c r="W715" i="1"/>
  <c r="W716" i="1"/>
  <c r="W717" i="1"/>
  <c r="W718" i="1"/>
  <c r="W719" i="1"/>
  <c r="W720" i="1"/>
  <c r="W721" i="1"/>
  <c r="W722" i="1"/>
  <c r="W723" i="1"/>
  <c r="W724" i="1"/>
  <c r="W725" i="1"/>
  <c r="W726" i="1"/>
  <c r="W727" i="1"/>
  <c r="W728" i="1"/>
  <c r="W729" i="1"/>
  <c r="W730" i="1"/>
  <c r="W731" i="1"/>
  <c r="W732" i="1"/>
  <c r="W733" i="1"/>
  <c r="W734" i="1"/>
  <c r="W735" i="1"/>
  <c r="W736" i="1"/>
  <c r="W737" i="1"/>
  <c r="W738" i="1"/>
  <c r="W739" i="1"/>
  <c r="W740" i="1"/>
  <c r="W741" i="1"/>
  <c r="W742" i="1"/>
  <c r="W743" i="1"/>
  <c r="W744" i="1"/>
  <c r="W745" i="1"/>
  <c r="W746" i="1"/>
  <c r="W747" i="1"/>
  <c r="W748" i="1"/>
  <c r="W749" i="1"/>
  <c r="W750" i="1"/>
  <c r="W751" i="1"/>
  <c r="W752" i="1"/>
  <c r="W753" i="1"/>
  <c r="W754" i="1"/>
  <c r="W755" i="1"/>
  <c r="W756" i="1"/>
  <c r="W757" i="1"/>
  <c r="W758" i="1"/>
  <c r="W759" i="1"/>
  <c r="W760" i="1"/>
  <c r="W761" i="1"/>
  <c r="W762" i="1"/>
  <c r="W763" i="1"/>
  <c r="W764" i="1"/>
  <c r="W765" i="1"/>
  <c r="W766" i="1"/>
  <c r="W767" i="1"/>
  <c r="W768" i="1"/>
  <c r="W769" i="1"/>
  <c r="W770" i="1"/>
  <c r="W771" i="1"/>
  <c r="W772" i="1"/>
  <c r="W773" i="1"/>
  <c r="W774" i="1"/>
  <c r="W775" i="1"/>
  <c r="W776" i="1"/>
  <c r="W777" i="1"/>
  <c r="W778" i="1"/>
  <c r="W779" i="1"/>
  <c r="W780" i="1"/>
  <c r="W781" i="1"/>
  <c r="W782" i="1"/>
  <c r="W783" i="1"/>
  <c r="W784" i="1"/>
  <c r="W785" i="1"/>
  <c r="W786" i="1"/>
  <c r="W787" i="1"/>
  <c r="W788" i="1"/>
  <c r="W789" i="1"/>
  <c r="W790" i="1"/>
  <c r="W791" i="1"/>
  <c r="W792" i="1"/>
  <c r="W793" i="1"/>
  <c r="W794" i="1"/>
  <c r="W795" i="1"/>
  <c r="W796" i="1"/>
  <c r="W797" i="1"/>
  <c r="W798" i="1"/>
  <c r="W799" i="1"/>
  <c r="W800" i="1"/>
  <c r="W801" i="1"/>
  <c r="W802" i="1"/>
  <c r="W803" i="1"/>
  <c r="W804" i="1"/>
  <c r="W805" i="1"/>
  <c r="W806" i="1"/>
  <c r="W807" i="1"/>
  <c r="W808" i="1"/>
  <c r="W809" i="1"/>
  <c r="W810" i="1"/>
  <c r="W811" i="1"/>
  <c r="W812" i="1"/>
  <c r="W813" i="1"/>
  <c r="W814" i="1"/>
  <c r="W815" i="1"/>
  <c r="W816" i="1"/>
  <c r="W817" i="1"/>
  <c r="W818" i="1"/>
  <c r="W819" i="1"/>
  <c r="W820" i="1"/>
  <c r="W821" i="1"/>
  <c r="W822" i="1"/>
  <c r="W823" i="1"/>
  <c r="W824" i="1"/>
  <c r="W825" i="1"/>
  <c r="W826" i="1"/>
  <c r="W827" i="1"/>
  <c r="W828" i="1"/>
  <c r="W829" i="1"/>
  <c r="W830" i="1"/>
  <c r="W831" i="1"/>
  <c r="W832" i="1"/>
  <c r="W833" i="1"/>
  <c r="W834" i="1"/>
  <c r="W835" i="1"/>
  <c r="W836" i="1"/>
  <c r="W837" i="1"/>
  <c r="W838" i="1"/>
  <c r="W839" i="1"/>
  <c r="W840" i="1"/>
  <c r="W841" i="1"/>
  <c r="W842" i="1"/>
  <c r="W843" i="1"/>
  <c r="W844" i="1"/>
  <c r="W845" i="1"/>
  <c r="W846" i="1"/>
  <c r="W847" i="1"/>
  <c r="W848" i="1"/>
  <c r="W849" i="1"/>
  <c r="W850" i="1"/>
  <c r="W851" i="1"/>
  <c r="W852" i="1"/>
  <c r="W853" i="1"/>
  <c r="W854" i="1"/>
  <c r="W855" i="1"/>
  <c r="W856" i="1"/>
  <c r="W857" i="1"/>
  <c r="W858" i="1"/>
  <c r="W859" i="1"/>
  <c r="W860" i="1"/>
  <c r="W861" i="1"/>
  <c r="W862" i="1"/>
  <c r="W863" i="1"/>
  <c r="W864" i="1"/>
  <c r="W865" i="1"/>
  <c r="W866" i="1"/>
  <c r="W867" i="1"/>
  <c r="W868" i="1"/>
  <c r="W869" i="1"/>
  <c r="W870" i="1"/>
  <c r="W871" i="1"/>
  <c r="W872" i="1"/>
  <c r="W873" i="1"/>
  <c r="W874" i="1"/>
  <c r="W875" i="1"/>
  <c r="W876" i="1"/>
  <c r="W877" i="1"/>
  <c r="W878" i="1"/>
  <c r="W879" i="1"/>
  <c r="W880" i="1"/>
  <c r="W881" i="1"/>
  <c r="W882" i="1"/>
  <c r="W883" i="1"/>
  <c r="W884" i="1"/>
  <c r="W885" i="1"/>
  <c r="W886" i="1"/>
  <c r="W887" i="1"/>
  <c r="W888" i="1"/>
  <c r="W889" i="1"/>
  <c r="W890" i="1"/>
  <c r="W891" i="1"/>
  <c r="W892" i="1"/>
  <c r="W893" i="1"/>
  <c r="W894" i="1"/>
  <c r="W895" i="1"/>
  <c r="W896" i="1"/>
  <c r="W897" i="1"/>
  <c r="W898" i="1"/>
  <c r="W899" i="1"/>
  <c r="W900" i="1"/>
  <c r="W901" i="1"/>
  <c r="W902" i="1"/>
  <c r="W903" i="1"/>
  <c r="W904" i="1"/>
  <c r="W905" i="1"/>
  <c r="W906" i="1"/>
  <c r="W907" i="1"/>
  <c r="W908" i="1"/>
  <c r="W909" i="1"/>
  <c r="W910" i="1"/>
  <c r="W911" i="1"/>
  <c r="AL700" i="1"/>
  <c r="AM700" i="1" s="1"/>
  <c r="AL701" i="1"/>
  <c r="AM701" i="1" s="1"/>
  <c r="AL702" i="1"/>
  <c r="AL703" i="1"/>
  <c r="AM703" i="1" s="1"/>
  <c r="AL704" i="1"/>
  <c r="AM704" i="1" s="1"/>
  <c r="AL705" i="1"/>
  <c r="AM705" i="1" s="1"/>
  <c r="AL706" i="1"/>
  <c r="AM706" i="1" s="1"/>
  <c r="AL707" i="1"/>
  <c r="AM707" i="1" s="1"/>
  <c r="AL708" i="1"/>
  <c r="AM708" i="1" s="1"/>
  <c r="AL709" i="1"/>
  <c r="AM709" i="1" s="1"/>
  <c r="AL710" i="1"/>
  <c r="AL711" i="1"/>
  <c r="AM711" i="1" s="1"/>
  <c r="AL712" i="1"/>
  <c r="AM712" i="1" s="1"/>
  <c r="AL713" i="1"/>
  <c r="AM713" i="1" s="1"/>
  <c r="AL714" i="1"/>
  <c r="AM714" i="1" s="1"/>
  <c r="AL715" i="1"/>
  <c r="AM715" i="1" s="1"/>
  <c r="AL716" i="1"/>
  <c r="AM716" i="1" s="1"/>
  <c r="AL717" i="1"/>
  <c r="AM717" i="1" s="1"/>
  <c r="AL718" i="1"/>
  <c r="AL719" i="1"/>
  <c r="AM719" i="1" s="1"/>
  <c r="AL720" i="1"/>
  <c r="AM720" i="1" s="1"/>
  <c r="AL721" i="1"/>
  <c r="AM721" i="1" s="1"/>
  <c r="AL722" i="1"/>
  <c r="AM722" i="1" s="1"/>
  <c r="AL723" i="1"/>
  <c r="AM723" i="1" s="1"/>
  <c r="AL724" i="1"/>
  <c r="AM724" i="1" s="1"/>
  <c r="AL725" i="1"/>
  <c r="AM725" i="1" s="1"/>
  <c r="AL726" i="1"/>
  <c r="AL727" i="1"/>
  <c r="AM727" i="1" s="1"/>
  <c r="AL728" i="1"/>
  <c r="AM728" i="1" s="1"/>
  <c r="AL729" i="1"/>
  <c r="AM729" i="1" s="1"/>
  <c r="AL730" i="1"/>
  <c r="AM730" i="1" s="1"/>
  <c r="AL731" i="1"/>
  <c r="AM731" i="1" s="1"/>
  <c r="AL732" i="1"/>
  <c r="AM732" i="1" s="1"/>
  <c r="AL733" i="1"/>
  <c r="AM733" i="1" s="1"/>
  <c r="AL734" i="1"/>
  <c r="AM734" i="1" s="1"/>
  <c r="AL735" i="1"/>
  <c r="AM735" i="1" s="1"/>
  <c r="AL736" i="1"/>
  <c r="AM736" i="1" s="1"/>
  <c r="AL737" i="1"/>
  <c r="AM737" i="1" s="1"/>
  <c r="AL738" i="1"/>
  <c r="AM738" i="1" s="1"/>
  <c r="AL739" i="1"/>
  <c r="AM739" i="1" s="1"/>
  <c r="AL740" i="1"/>
  <c r="AM740" i="1" s="1"/>
  <c r="AL741" i="1"/>
  <c r="AM741" i="1" s="1"/>
  <c r="AL742" i="1"/>
  <c r="AL743" i="1"/>
  <c r="AM743" i="1" s="1"/>
  <c r="AL744" i="1"/>
  <c r="AM744" i="1" s="1"/>
  <c r="AL745" i="1"/>
  <c r="AM745" i="1" s="1"/>
  <c r="AL746" i="1"/>
  <c r="AM746" i="1" s="1"/>
  <c r="AL747" i="1"/>
  <c r="AM747" i="1" s="1"/>
  <c r="AL748" i="1"/>
  <c r="AM748" i="1" s="1"/>
  <c r="AL749" i="1"/>
  <c r="AM749" i="1" s="1"/>
  <c r="AL750" i="1"/>
  <c r="AL751" i="1"/>
  <c r="AM751" i="1" s="1"/>
  <c r="AL752" i="1"/>
  <c r="AM752" i="1" s="1"/>
  <c r="AL753" i="1"/>
  <c r="AM753" i="1" s="1"/>
  <c r="AL754" i="1"/>
  <c r="AM754" i="1" s="1"/>
  <c r="AL755" i="1"/>
  <c r="AM755" i="1" s="1"/>
  <c r="AL756" i="1"/>
  <c r="AM756" i="1" s="1"/>
  <c r="AL757" i="1"/>
  <c r="AM757" i="1" s="1"/>
  <c r="AL758" i="1"/>
  <c r="AM758" i="1" s="1"/>
  <c r="AL759" i="1"/>
  <c r="AM759" i="1" s="1"/>
  <c r="AL760" i="1"/>
  <c r="AM760" i="1" s="1"/>
  <c r="AL761" i="1"/>
  <c r="AM761" i="1" s="1"/>
  <c r="AL762" i="1"/>
  <c r="AM762" i="1" s="1"/>
  <c r="AL763" i="1"/>
  <c r="AM763" i="1" s="1"/>
  <c r="AL764" i="1"/>
  <c r="AM764" i="1" s="1"/>
  <c r="AL765" i="1"/>
  <c r="AM765" i="1" s="1"/>
  <c r="AL766" i="1"/>
  <c r="AM766" i="1" s="1"/>
  <c r="AL767" i="1"/>
  <c r="AM767" i="1" s="1"/>
  <c r="AL768" i="1"/>
  <c r="AM768" i="1" s="1"/>
  <c r="AL769" i="1"/>
  <c r="AM769" i="1" s="1"/>
  <c r="AL770" i="1"/>
  <c r="AM770" i="1" s="1"/>
  <c r="AL771" i="1"/>
  <c r="AM771" i="1" s="1"/>
  <c r="AL772" i="1"/>
  <c r="AM772" i="1" s="1"/>
  <c r="AL773" i="1"/>
  <c r="AM773" i="1" s="1"/>
  <c r="AL774" i="1"/>
  <c r="AM774" i="1" s="1"/>
  <c r="AL775" i="1"/>
  <c r="AM775" i="1" s="1"/>
  <c r="AL776" i="1"/>
  <c r="AM776" i="1" s="1"/>
  <c r="AL777" i="1"/>
  <c r="AM777" i="1" s="1"/>
  <c r="AL778" i="1"/>
  <c r="AM778" i="1" s="1"/>
  <c r="AL779" i="1"/>
  <c r="AM779" i="1" s="1"/>
  <c r="AL780" i="1"/>
  <c r="AM780" i="1" s="1"/>
  <c r="AL781" i="1"/>
  <c r="AM781" i="1" s="1"/>
  <c r="AL782" i="1"/>
  <c r="AM782" i="1" s="1"/>
  <c r="AL783" i="1"/>
  <c r="AM783" i="1" s="1"/>
  <c r="AL784" i="1"/>
  <c r="AM784" i="1" s="1"/>
  <c r="AL785" i="1"/>
  <c r="AM785" i="1" s="1"/>
  <c r="AL786" i="1"/>
  <c r="AM786" i="1" s="1"/>
  <c r="AL787" i="1"/>
  <c r="AM787" i="1" s="1"/>
  <c r="AL788" i="1"/>
  <c r="AM788" i="1" s="1"/>
  <c r="AL789" i="1"/>
  <c r="AM789" i="1" s="1"/>
  <c r="AL790" i="1"/>
  <c r="AM790" i="1" s="1"/>
  <c r="AL791" i="1"/>
  <c r="AM791" i="1" s="1"/>
  <c r="AL792" i="1"/>
  <c r="AM792" i="1" s="1"/>
  <c r="AL793" i="1"/>
  <c r="AM793" i="1" s="1"/>
  <c r="AL794" i="1"/>
  <c r="AM794" i="1" s="1"/>
  <c r="AL795" i="1"/>
  <c r="AM795" i="1" s="1"/>
  <c r="AL796" i="1"/>
  <c r="AM796" i="1" s="1"/>
  <c r="AL797" i="1"/>
  <c r="AM797" i="1" s="1"/>
  <c r="AL798" i="1"/>
  <c r="AM798" i="1" s="1"/>
  <c r="AL799" i="1"/>
  <c r="AM799" i="1" s="1"/>
  <c r="AL800" i="1"/>
  <c r="AM800" i="1" s="1"/>
  <c r="AL801" i="1"/>
  <c r="AM801" i="1" s="1"/>
  <c r="AL802" i="1"/>
  <c r="AM802" i="1" s="1"/>
  <c r="AL803" i="1"/>
  <c r="AM803" i="1" s="1"/>
  <c r="AL804" i="1"/>
  <c r="AM804" i="1" s="1"/>
  <c r="AL805" i="1"/>
  <c r="AM805" i="1" s="1"/>
  <c r="AL806" i="1"/>
  <c r="AM806" i="1" s="1"/>
  <c r="AL807" i="1"/>
  <c r="AM807" i="1" s="1"/>
  <c r="AL808" i="1"/>
  <c r="AM808" i="1" s="1"/>
  <c r="AL809" i="1"/>
  <c r="AM809" i="1" s="1"/>
  <c r="AL810" i="1"/>
  <c r="AM810" i="1" s="1"/>
  <c r="AL811" i="1"/>
  <c r="AM811" i="1" s="1"/>
  <c r="AL812" i="1"/>
  <c r="AM812" i="1" s="1"/>
  <c r="AL813" i="1"/>
  <c r="AM813" i="1" s="1"/>
  <c r="AL814" i="1"/>
  <c r="AM814" i="1" s="1"/>
  <c r="AL815" i="1"/>
  <c r="AM815" i="1" s="1"/>
  <c r="AL816" i="1"/>
  <c r="AL817" i="1"/>
  <c r="AM817" i="1" s="1"/>
  <c r="AL818" i="1"/>
  <c r="AM818" i="1" s="1"/>
  <c r="AL819" i="1"/>
  <c r="AM819" i="1" s="1"/>
  <c r="AL820" i="1"/>
  <c r="AM820" i="1" s="1"/>
  <c r="AL821" i="1"/>
  <c r="AM821" i="1" s="1"/>
  <c r="AL822" i="1"/>
  <c r="AM822" i="1" s="1"/>
  <c r="AL823" i="1"/>
  <c r="AM823" i="1" s="1"/>
  <c r="AL824" i="1"/>
  <c r="AL825" i="1"/>
  <c r="AM825" i="1" s="1"/>
  <c r="AL826" i="1"/>
  <c r="AM826" i="1" s="1"/>
  <c r="AL827" i="1"/>
  <c r="AM827" i="1" s="1"/>
  <c r="AL828" i="1"/>
  <c r="AM828" i="1" s="1"/>
  <c r="AL829" i="1"/>
  <c r="AM829" i="1" s="1"/>
  <c r="AL830" i="1"/>
  <c r="AM830" i="1" s="1"/>
  <c r="AL831" i="1"/>
  <c r="AM831" i="1" s="1"/>
  <c r="AL832" i="1"/>
  <c r="AL833" i="1"/>
  <c r="AM833" i="1" s="1"/>
  <c r="AL834" i="1"/>
  <c r="AM834" i="1" s="1"/>
  <c r="AL835" i="1"/>
  <c r="AM835" i="1" s="1"/>
  <c r="AL836" i="1"/>
  <c r="AM836" i="1" s="1"/>
  <c r="AL837" i="1"/>
  <c r="AM837" i="1" s="1"/>
  <c r="AL838" i="1"/>
  <c r="AM838" i="1" s="1"/>
  <c r="AL839" i="1"/>
  <c r="AM839" i="1" s="1"/>
  <c r="AL840" i="1"/>
  <c r="AL841" i="1"/>
  <c r="AM841" i="1" s="1"/>
  <c r="AL842" i="1"/>
  <c r="AM842" i="1" s="1"/>
  <c r="AL843" i="1"/>
  <c r="AM843" i="1" s="1"/>
  <c r="AL844" i="1"/>
  <c r="AM844" i="1" s="1"/>
  <c r="AL845" i="1"/>
  <c r="AM845" i="1" s="1"/>
  <c r="AL846" i="1"/>
  <c r="AM846" i="1" s="1"/>
  <c r="AL847" i="1"/>
  <c r="AM847" i="1" s="1"/>
  <c r="AL848" i="1"/>
  <c r="AM848" i="1" s="1"/>
  <c r="AL849" i="1"/>
  <c r="AM849" i="1" s="1"/>
  <c r="AL850" i="1"/>
  <c r="AM850" i="1" s="1"/>
  <c r="AL851" i="1"/>
  <c r="AM851" i="1" s="1"/>
  <c r="AL852" i="1"/>
  <c r="AM852" i="1" s="1"/>
  <c r="AL853" i="1"/>
  <c r="AM853" i="1" s="1"/>
  <c r="AL854" i="1"/>
  <c r="AM854" i="1" s="1"/>
  <c r="AL855" i="1"/>
  <c r="AM855" i="1" s="1"/>
  <c r="AL856" i="1"/>
  <c r="AM856" i="1" s="1"/>
  <c r="AL857" i="1"/>
  <c r="AM857" i="1" s="1"/>
  <c r="AL858" i="1"/>
  <c r="AM858" i="1" s="1"/>
  <c r="AL859" i="1"/>
  <c r="AM859" i="1" s="1"/>
  <c r="AL860" i="1"/>
  <c r="AM860" i="1" s="1"/>
  <c r="AL861" i="1"/>
  <c r="AM861" i="1" s="1"/>
  <c r="AL862" i="1"/>
  <c r="AM862" i="1" s="1"/>
  <c r="AL863" i="1"/>
  <c r="AM863" i="1" s="1"/>
  <c r="AL864" i="1"/>
  <c r="AM864" i="1" s="1"/>
  <c r="AL865" i="1"/>
  <c r="AM865" i="1" s="1"/>
  <c r="AL866" i="1"/>
  <c r="AM866" i="1" s="1"/>
  <c r="AL867" i="1"/>
  <c r="AM867" i="1" s="1"/>
  <c r="AL868" i="1"/>
  <c r="AM868" i="1" s="1"/>
  <c r="AL869" i="1"/>
  <c r="AM869" i="1" s="1"/>
  <c r="AL870" i="1"/>
  <c r="AM870" i="1" s="1"/>
  <c r="AL871" i="1"/>
  <c r="AM871" i="1" s="1"/>
  <c r="AL872" i="1"/>
  <c r="AM872" i="1" s="1"/>
  <c r="AL873" i="1"/>
  <c r="AM873" i="1" s="1"/>
  <c r="AL875" i="1"/>
  <c r="AM875" i="1" s="1"/>
  <c r="AL876" i="1"/>
  <c r="AL877" i="1"/>
  <c r="AM877" i="1" s="1"/>
  <c r="AL878" i="1"/>
  <c r="AM878" i="1" s="1"/>
  <c r="AL879" i="1"/>
  <c r="AM879" i="1" s="1"/>
  <c r="AL880" i="1"/>
  <c r="AM880" i="1" s="1"/>
  <c r="AL881" i="1"/>
  <c r="AM881" i="1" s="1"/>
  <c r="AL882" i="1"/>
  <c r="AM882" i="1" s="1"/>
  <c r="AL883" i="1"/>
  <c r="AM883" i="1" s="1"/>
  <c r="AL884" i="1"/>
  <c r="AM884" i="1" s="1"/>
  <c r="AL885" i="1"/>
  <c r="AL886" i="1"/>
  <c r="AM886" i="1" s="1"/>
  <c r="AL887" i="1"/>
  <c r="AM887" i="1" s="1"/>
  <c r="AL888" i="1"/>
  <c r="AM888" i="1" s="1"/>
  <c r="AL889" i="1"/>
  <c r="AM889" i="1" s="1"/>
  <c r="AL890" i="1"/>
  <c r="AM890" i="1" s="1"/>
  <c r="AL891" i="1"/>
  <c r="AM891" i="1" s="1"/>
  <c r="AL892" i="1"/>
  <c r="AM892" i="1" s="1"/>
  <c r="AL893" i="1"/>
  <c r="AM893" i="1" s="1"/>
  <c r="AL894" i="1"/>
  <c r="AM894" i="1" s="1"/>
  <c r="AL895" i="1"/>
  <c r="AM895" i="1" s="1"/>
  <c r="AL896" i="1"/>
  <c r="AM896" i="1" s="1"/>
  <c r="AL897" i="1"/>
  <c r="AM897" i="1" s="1"/>
  <c r="AL898" i="1"/>
  <c r="AM898" i="1" s="1"/>
  <c r="AL899" i="1"/>
  <c r="AM899" i="1" s="1"/>
  <c r="AL900" i="1"/>
  <c r="AM900" i="1" s="1"/>
  <c r="AL901" i="1"/>
  <c r="AM901" i="1" s="1"/>
  <c r="AL902" i="1"/>
  <c r="AM902" i="1" s="1"/>
  <c r="AL903" i="1"/>
  <c r="AM903" i="1" s="1"/>
  <c r="AL904" i="1"/>
  <c r="AL905" i="1"/>
  <c r="AM905" i="1" s="1"/>
  <c r="AL906" i="1"/>
  <c r="AM906" i="1" s="1"/>
  <c r="AL907" i="1"/>
  <c r="AM907" i="1" s="1"/>
  <c r="AL908" i="1"/>
  <c r="AM908" i="1" s="1"/>
  <c r="AL909" i="1"/>
  <c r="AM909" i="1" s="1"/>
  <c r="AL910" i="1"/>
  <c r="AM910" i="1" s="1"/>
  <c r="AL911" i="1"/>
  <c r="AM911" i="1" s="1"/>
  <c r="AO700" i="1"/>
  <c r="AO701" i="1"/>
  <c r="AO703" i="1"/>
  <c r="AO704" i="1"/>
  <c r="AO705" i="1"/>
  <c r="AO706" i="1"/>
  <c r="AO707" i="1"/>
  <c r="AO708" i="1"/>
  <c r="AO709" i="1"/>
  <c r="AO711" i="1"/>
  <c r="AO712" i="1"/>
  <c r="AO713" i="1"/>
  <c r="AO714" i="1"/>
  <c r="AO715" i="1"/>
  <c r="AO716" i="1"/>
  <c r="AO717" i="1"/>
  <c r="AO719" i="1"/>
  <c r="AO720" i="1"/>
  <c r="AO721" i="1"/>
  <c r="AO722" i="1"/>
  <c r="AO723" i="1"/>
  <c r="AO724" i="1"/>
  <c r="AO725" i="1"/>
  <c r="AO727" i="1"/>
  <c r="AO728" i="1"/>
  <c r="AO729" i="1"/>
  <c r="AO730" i="1"/>
  <c r="AO731" i="1"/>
  <c r="AO732" i="1"/>
  <c r="AO733" i="1"/>
  <c r="AO735" i="1"/>
  <c r="AO736" i="1"/>
  <c r="AO737" i="1"/>
  <c r="AO738" i="1"/>
  <c r="AO739" i="1"/>
  <c r="AO740" i="1"/>
  <c r="AO743" i="1"/>
  <c r="AO744" i="1"/>
  <c r="AO745" i="1"/>
  <c r="AO746" i="1"/>
  <c r="AO747" i="1"/>
  <c r="AO748" i="1"/>
  <c r="AO749" i="1"/>
  <c r="AO752" i="1"/>
  <c r="AO753" i="1"/>
  <c r="AO754" i="1"/>
  <c r="AO755" i="1"/>
  <c r="AO756" i="1"/>
  <c r="AO757" i="1"/>
  <c r="AO758" i="1"/>
  <c r="AO760" i="1"/>
  <c r="AO761" i="1"/>
  <c r="AO762" i="1"/>
  <c r="AO763" i="1"/>
  <c r="AO764" i="1"/>
  <c r="AO765" i="1"/>
  <c r="AO766" i="1"/>
  <c r="AO768" i="1"/>
  <c r="AO769" i="1"/>
  <c r="AO770" i="1"/>
  <c r="AO771" i="1"/>
  <c r="AO772" i="1"/>
  <c r="AO773" i="1"/>
  <c r="AO774" i="1"/>
  <c r="AO776" i="1"/>
  <c r="AO777" i="1"/>
  <c r="AO778" i="1"/>
  <c r="AO779" i="1"/>
  <c r="AO780" i="1"/>
  <c r="AO781" i="1"/>
  <c r="AO782" i="1"/>
  <c r="AO784" i="1"/>
  <c r="AO785" i="1"/>
  <c r="AO786" i="1"/>
  <c r="AO787" i="1"/>
  <c r="AO788" i="1"/>
  <c r="AO789" i="1"/>
  <c r="AO790" i="1"/>
  <c r="AO792" i="1"/>
  <c r="AO793" i="1"/>
  <c r="AO794" i="1"/>
  <c r="AO795" i="1"/>
  <c r="AO796" i="1"/>
  <c r="AO797" i="1"/>
  <c r="AO798" i="1"/>
  <c r="AO800" i="1"/>
  <c r="AO801" i="1"/>
  <c r="AO802" i="1"/>
  <c r="AO803" i="1"/>
  <c r="AO804" i="1"/>
  <c r="AO805" i="1"/>
  <c r="AO806" i="1"/>
  <c r="AO808" i="1"/>
  <c r="AO809" i="1"/>
  <c r="AO810" i="1"/>
  <c r="AO811" i="1"/>
  <c r="AO812" i="1"/>
  <c r="AO813" i="1"/>
  <c r="AO814" i="1"/>
  <c r="AO815" i="1"/>
  <c r="AO816" i="1"/>
  <c r="AO817" i="1"/>
  <c r="AO818" i="1"/>
  <c r="AO819" i="1"/>
  <c r="AO820" i="1"/>
  <c r="AO821" i="1"/>
  <c r="AO822" i="1"/>
  <c r="AO823" i="1"/>
  <c r="AO824" i="1"/>
  <c r="AO825" i="1"/>
  <c r="AO826" i="1"/>
  <c r="AO827" i="1"/>
  <c r="AO828" i="1"/>
  <c r="AO829" i="1"/>
  <c r="AO830" i="1"/>
  <c r="AO831" i="1"/>
  <c r="AO832" i="1"/>
  <c r="AO833" i="1"/>
  <c r="AO834" i="1"/>
  <c r="AO835" i="1"/>
  <c r="AO836" i="1"/>
  <c r="AO837" i="1"/>
  <c r="AO838" i="1"/>
  <c r="AO839" i="1"/>
  <c r="AO840" i="1"/>
  <c r="AO841" i="1"/>
  <c r="AO842" i="1"/>
  <c r="AO843" i="1"/>
  <c r="AO844" i="1"/>
  <c r="AO845" i="1"/>
  <c r="AO846" i="1"/>
  <c r="AO848" i="1"/>
  <c r="AO849" i="1"/>
  <c r="AO850" i="1"/>
  <c r="AO851" i="1"/>
  <c r="AO852" i="1"/>
  <c r="AO854" i="1"/>
  <c r="AO856" i="1"/>
  <c r="AO857" i="1"/>
  <c r="AO858" i="1"/>
  <c r="AO859" i="1"/>
  <c r="AO860" i="1"/>
  <c r="AO861" i="1"/>
  <c r="AO862" i="1"/>
  <c r="AO864" i="1"/>
  <c r="AO865" i="1"/>
  <c r="AO866" i="1"/>
  <c r="AO867" i="1"/>
  <c r="AO868" i="1"/>
  <c r="AO869" i="1"/>
  <c r="AO870" i="1"/>
  <c r="AO872" i="1"/>
  <c r="AO873" i="1"/>
  <c r="AO874" i="1"/>
  <c r="AO875" i="1"/>
  <c r="AO877" i="1"/>
  <c r="AO878" i="1"/>
  <c r="AO879" i="1"/>
  <c r="AO880" i="1"/>
  <c r="AO881" i="1"/>
  <c r="AO882" i="1"/>
  <c r="AO883" i="1"/>
  <c r="AO884" i="1"/>
  <c r="AO886" i="1"/>
  <c r="AO887" i="1"/>
  <c r="AO888" i="1"/>
  <c r="AO889" i="1"/>
  <c r="AO890" i="1"/>
  <c r="AO891" i="1"/>
  <c r="AO894" i="1"/>
  <c r="AO895" i="1"/>
  <c r="AO896" i="1"/>
  <c r="AO897" i="1"/>
  <c r="AO898" i="1"/>
  <c r="AO899" i="1"/>
  <c r="AO900" i="1"/>
  <c r="AO901" i="1"/>
  <c r="AO902" i="1"/>
  <c r="AO903" i="1"/>
  <c r="AO904" i="1"/>
  <c r="AO905" i="1"/>
  <c r="AO906" i="1"/>
  <c r="AO907" i="1"/>
  <c r="AO908" i="1"/>
  <c r="AO909" i="1"/>
  <c r="AO910" i="1"/>
  <c r="AO911" i="1"/>
  <c r="AO853" i="1" l="1"/>
  <c r="S792" i="1"/>
  <c r="Q856" i="1"/>
  <c r="S728" i="1"/>
  <c r="Q728" i="1"/>
  <c r="S760" i="1"/>
  <c r="R720" i="1"/>
  <c r="R714" i="1"/>
  <c r="S784" i="1"/>
  <c r="S752" i="1"/>
  <c r="R776" i="1"/>
  <c r="R744" i="1"/>
  <c r="Q720" i="1"/>
  <c r="S720" i="1"/>
  <c r="Q760" i="1"/>
  <c r="S776" i="1"/>
  <c r="S744" i="1"/>
  <c r="S712" i="1"/>
  <c r="R768" i="1"/>
  <c r="R736" i="1"/>
  <c r="R712" i="1"/>
  <c r="Q752" i="1"/>
  <c r="Q712" i="1"/>
  <c r="S768" i="1"/>
  <c r="S736" i="1"/>
  <c r="S704" i="1"/>
  <c r="R760" i="1"/>
  <c r="R728" i="1"/>
  <c r="R704" i="1"/>
  <c r="Q736" i="1"/>
  <c r="Q704" i="1"/>
  <c r="Q738" i="1"/>
  <c r="Q714" i="1"/>
  <c r="M722" i="1"/>
  <c r="S762" i="1"/>
  <c r="S834" i="1"/>
  <c r="Q834" i="1"/>
  <c r="S778" i="1"/>
  <c r="R849" i="1"/>
  <c r="Q705" i="1"/>
  <c r="S785" i="1"/>
  <c r="Q825" i="1"/>
  <c r="R745" i="1"/>
  <c r="Q777" i="1"/>
  <c r="S849" i="1"/>
  <c r="S745" i="1"/>
  <c r="S713" i="1"/>
  <c r="R705" i="1"/>
  <c r="Q761" i="1"/>
  <c r="S769" i="1"/>
  <c r="R777" i="1"/>
  <c r="Q721" i="1"/>
  <c r="S833" i="1"/>
  <c r="S737" i="1"/>
  <c r="S705" i="1"/>
  <c r="R729" i="1"/>
  <c r="Q753" i="1"/>
  <c r="S825" i="1"/>
  <c r="R769" i="1"/>
  <c r="M777" i="1"/>
  <c r="R785" i="1"/>
  <c r="Q729" i="1"/>
  <c r="S761" i="1"/>
  <c r="S729" i="1"/>
  <c r="R865" i="1"/>
  <c r="R721" i="1"/>
  <c r="Q833" i="1"/>
  <c r="Q745" i="1"/>
  <c r="S753" i="1"/>
  <c r="S721" i="1"/>
  <c r="R793" i="1"/>
  <c r="Q785" i="1"/>
  <c r="M713" i="1"/>
  <c r="M857" i="1"/>
  <c r="S905" i="1"/>
  <c r="R891" i="1"/>
  <c r="S883" i="1"/>
  <c r="R755" i="1"/>
  <c r="M841" i="1"/>
  <c r="R906" i="1"/>
  <c r="M714" i="1"/>
  <c r="Q898" i="1"/>
  <c r="S817" i="1"/>
  <c r="R833" i="1"/>
  <c r="Q905" i="1"/>
  <c r="Q817" i="1"/>
  <c r="M793" i="1"/>
  <c r="S873" i="1"/>
  <c r="S809" i="1"/>
  <c r="R825" i="1"/>
  <c r="S865" i="1"/>
  <c r="S801" i="1"/>
  <c r="R809" i="1"/>
  <c r="Q873" i="1"/>
  <c r="S857" i="1"/>
  <c r="Q865" i="1"/>
  <c r="R881" i="1"/>
  <c r="Q795" i="1"/>
  <c r="Q707" i="1"/>
  <c r="Q835" i="1"/>
  <c r="S707" i="1"/>
  <c r="R763" i="1"/>
  <c r="M891" i="1"/>
  <c r="S826" i="1"/>
  <c r="Q890" i="1"/>
  <c r="S882" i="1"/>
  <c r="Q866" i="1"/>
  <c r="S802" i="1"/>
  <c r="Q858" i="1"/>
  <c r="Q786" i="1"/>
  <c r="M890" i="1"/>
  <c r="R826" i="1"/>
  <c r="M882" i="1"/>
  <c r="S889" i="1"/>
  <c r="S851" i="1"/>
  <c r="R873" i="1"/>
  <c r="R787" i="1"/>
  <c r="R715" i="1"/>
  <c r="Q897" i="1"/>
  <c r="Q857" i="1"/>
  <c r="Q819" i="1"/>
  <c r="Q779" i="1"/>
  <c r="M809" i="1"/>
  <c r="S841" i="1"/>
  <c r="S803" i="1"/>
  <c r="R905" i="1"/>
  <c r="R859" i="1"/>
  <c r="R817" i="1"/>
  <c r="R761" i="1"/>
  <c r="R737" i="1"/>
  <c r="R713" i="1"/>
  <c r="Q889" i="1"/>
  <c r="Q849" i="1"/>
  <c r="Q769" i="1"/>
  <c r="Q737" i="1"/>
  <c r="S881" i="1"/>
  <c r="S718" i="1"/>
  <c r="R897" i="1"/>
  <c r="R811" i="1"/>
  <c r="R779" i="1"/>
  <c r="Q881" i="1"/>
  <c r="Q841" i="1"/>
  <c r="Q801" i="1"/>
  <c r="M843" i="1"/>
  <c r="M779" i="1"/>
  <c r="M723" i="1"/>
  <c r="S867" i="1"/>
  <c r="S793" i="1"/>
  <c r="R889" i="1"/>
  <c r="R801" i="1"/>
  <c r="R753" i="1"/>
  <c r="Q755" i="1"/>
  <c r="Q723" i="1"/>
  <c r="M819" i="1"/>
  <c r="M755" i="1"/>
  <c r="R795" i="1"/>
  <c r="R771" i="1"/>
  <c r="S897" i="1"/>
  <c r="S819" i="1"/>
  <c r="R875" i="1"/>
  <c r="R827" i="1"/>
  <c r="R750" i="1"/>
  <c r="S898" i="1"/>
  <c r="S818" i="1"/>
  <c r="S770" i="1"/>
  <c r="R842" i="1"/>
  <c r="Q850" i="1"/>
  <c r="Q770" i="1"/>
  <c r="M730" i="1"/>
  <c r="S842" i="1"/>
  <c r="S746" i="1"/>
  <c r="R866" i="1"/>
  <c r="R738" i="1"/>
  <c r="Q906" i="1"/>
  <c r="Q874" i="1"/>
  <c r="Q794" i="1"/>
  <c r="Q746" i="1"/>
  <c r="Q706" i="1"/>
  <c r="M898" i="1"/>
  <c r="M786" i="1"/>
  <c r="S890" i="1"/>
  <c r="S866" i="1"/>
  <c r="S810" i="1"/>
  <c r="S786" i="1"/>
  <c r="S722" i="1"/>
  <c r="S706" i="1"/>
  <c r="R834" i="1"/>
  <c r="R810" i="1"/>
  <c r="R770" i="1"/>
  <c r="R754" i="1"/>
  <c r="Q842" i="1"/>
  <c r="Q818" i="1"/>
  <c r="Q762" i="1"/>
  <c r="Q722" i="1"/>
  <c r="M818" i="1"/>
  <c r="M754" i="1"/>
  <c r="S858" i="1"/>
  <c r="S738" i="1"/>
  <c r="R882" i="1"/>
  <c r="R858" i="1"/>
  <c r="R802" i="1"/>
  <c r="R730" i="1"/>
  <c r="Q810" i="1"/>
  <c r="M778" i="1"/>
  <c r="M746" i="1"/>
  <c r="S906" i="1"/>
  <c r="S754" i="1"/>
  <c r="R850" i="1"/>
  <c r="R778" i="1"/>
  <c r="R762" i="1"/>
  <c r="R706" i="1"/>
  <c r="Q802" i="1"/>
  <c r="Q730" i="1"/>
  <c r="S874" i="1"/>
  <c r="S850" i="1"/>
  <c r="S794" i="1"/>
  <c r="R874" i="1"/>
  <c r="R794" i="1"/>
  <c r="Q826" i="1"/>
  <c r="R726" i="1"/>
  <c r="R790" i="1"/>
  <c r="Q734" i="1"/>
  <c r="Q798" i="1"/>
  <c r="M766" i="1"/>
  <c r="S891" i="1"/>
  <c r="S827" i="1"/>
  <c r="S787" i="1"/>
  <c r="S771" i="1"/>
  <c r="S739" i="1"/>
  <c r="S723" i="1"/>
  <c r="R899" i="1"/>
  <c r="R835" i="1"/>
  <c r="R747" i="1"/>
  <c r="R731" i="1"/>
  <c r="Q859" i="1"/>
  <c r="Q739" i="1"/>
  <c r="M787" i="1"/>
  <c r="M763" i="1"/>
  <c r="M875" i="1"/>
  <c r="Q907" i="1"/>
  <c r="Q883" i="1"/>
  <c r="S907" i="1"/>
  <c r="S843" i="1"/>
  <c r="R851" i="1"/>
  <c r="Q811" i="1"/>
  <c r="Q771" i="1"/>
  <c r="M835" i="1"/>
  <c r="M811" i="1"/>
  <c r="M739" i="1"/>
  <c r="M715" i="1"/>
  <c r="S859" i="1"/>
  <c r="S795" i="1"/>
  <c r="S763" i="1"/>
  <c r="S747" i="1"/>
  <c r="S731" i="1"/>
  <c r="R867" i="1"/>
  <c r="R803" i="1"/>
  <c r="Q851" i="1"/>
  <c r="Q827" i="1"/>
  <c r="M867" i="1"/>
  <c r="M731" i="1"/>
  <c r="S899" i="1"/>
  <c r="S715" i="1"/>
  <c r="R907" i="1"/>
  <c r="R843" i="1"/>
  <c r="R707" i="1"/>
  <c r="Q803" i="1"/>
  <c r="Q747" i="1"/>
  <c r="S875" i="1"/>
  <c r="R883" i="1"/>
  <c r="S708" i="1"/>
  <c r="Q756" i="1"/>
  <c r="S872" i="1"/>
  <c r="Q852" i="1"/>
  <c r="Q748" i="1"/>
  <c r="Q872" i="1"/>
  <c r="Q816" i="1"/>
  <c r="Q800" i="1"/>
  <c r="S796" i="1"/>
  <c r="M856" i="1"/>
  <c r="S748" i="1"/>
  <c r="Q824" i="1"/>
  <c r="Q808" i="1"/>
  <c r="M776" i="1"/>
  <c r="S856" i="1"/>
  <c r="Q840" i="1"/>
  <c r="M748" i="1"/>
  <c r="S852" i="1"/>
  <c r="S840" i="1"/>
  <c r="S824" i="1"/>
  <c r="S808" i="1"/>
  <c r="R880" i="1"/>
  <c r="R860" i="1"/>
  <c r="R848" i="1"/>
  <c r="R832" i="1"/>
  <c r="R816" i="1"/>
  <c r="R800" i="1"/>
  <c r="Q868" i="1"/>
  <c r="Q792" i="1"/>
  <c r="M880" i="1"/>
  <c r="M832" i="1"/>
  <c r="S904" i="1"/>
  <c r="S804" i="1"/>
  <c r="R876" i="1"/>
  <c r="R796" i="1"/>
  <c r="R740" i="1"/>
  <c r="Q772" i="1"/>
  <c r="M828" i="1"/>
  <c r="M768" i="1"/>
  <c r="S880" i="1"/>
  <c r="S864" i="1"/>
  <c r="Q848" i="1"/>
  <c r="M784" i="1"/>
  <c r="M764" i="1"/>
  <c r="Q904" i="1"/>
  <c r="S848" i="1"/>
  <c r="S832" i="1"/>
  <c r="S816" i="1"/>
  <c r="R888" i="1"/>
  <c r="R836" i="1"/>
  <c r="R824" i="1"/>
  <c r="R808" i="1"/>
  <c r="Q844" i="1"/>
  <c r="Q796" i="1"/>
  <c r="M884" i="1"/>
  <c r="M872" i="1"/>
  <c r="M840" i="1"/>
  <c r="S908" i="1"/>
  <c r="S800" i="1"/>
  <c r="R900" i="1"/>
  <c r="R792" i="1"/>
  <c r="Q896" i="1"/>
  <c r="M836" i="1"/>
  <c r="S846" i="1"/>
  <c r="S806" i="1"/>
  <c r="S782" i="1"/>
  <c r="R854" i="1"/>
  <c r="R814" i="1"/>
  <c r="Q870" i="1"/>
  <c r="S902" i="1"/>
  <c r="S870" i="1"/>
  <c r="S742" i="1"/>
  <c r="R798" i="1"/>
  <c r="Q838" i="1"/>
  <c r="Q702" i="1"/>
  <c r="M822" i="1"/>
  <c r="S854" i="1"/>
  <c r="S726" i="1"/>
  <c r="R910" i="1"/>
  <c r="R758" i="1"/>
  <c r="R734" i="1"/>
  <c r="Q806" i="1"/>
  <c r="Q742" i="1"/>
  <c r="M896" i="1"/>
  <c r="M854" i="1"/>
  <c r="M798" i="1"/>
  <c r="S910" i="1"/>
  <c r="S814" i="1"/>
  <c r="S790" i="1"/>
  <c r="S750" i="1"/>
  <c r="R878" i="1"/>
  <c r="R822" i="1"/>
  <c r="Q766" i="1"/>
  <c r="M710" i="1"/>
  <c r="S878" i="1"/>
  <c r="S710" i="1"/>
  <c r="R782" i="1"/>
  <c r="R718" i="1"/>
  <c r="Q710" i="1"/>
  <c r="M742" i="1"/>
  <c r="S838" i="1"/>
  <c r="S774" i="1"/>
  <c r="R846" i="1"/>
  <c r="R766" i="1"/>
  <c r="R702" i="1"/>
  <c r="Q894" i="1"/>
  <c r="Q830" i="1"/>
  <c r="Q774" i="1"/>
  <c r="S822" i="1"/>
  <c r="S758" i="1"/>
  <c r="R886" i="1"/>
  <c r="R830" i="1"/>
  <c r="M904" i="1"/>
  <c r="M852" i="1"/>
  <c r="S900" i="1"/>
  <c r="S884" i="1"/>
  <c r="S828" i="1"/>
  <c r="S740" i="1"/>
  <c r="R828" i="1"/>
  <c r="R772" i="1"/>
  <c r="Q724" i="1"/>
  <c r="M740" i="1"/>
  <c r="M724" i="1"/>
  <c r="S860" i="1"/>
  <c r="S772" i="1"/>
  <c r="S716" i="1"/>
  <c r="R804" i="1"/>
  <c r="R716" i="1"/>
  <c r="Q900" i="1"/>
  <c r="Q804" i="1"/>
  <c r="Q780" i="1"/>
  <c r="Q700" i="1"/>
  <c r="M812" i="1"/>
  <c r="M780" i="1"/>
  <c r="S836" i="1"/>
  <c r="S780" i="1"/>
  <c r="S724" i="1"/>
  <c r="Q812" i="1"/>
  <c r="Q732" i="1"/>
  <c r="Q708" i="1"/>
  <c r="M870" i="1"/>
  <c r="M732" i="1"/>
  <c r="M708" i="1"/>
  <c r="S892" i="1"/>
  <c r="S868" i="1"/>
  <c r="S812" i="1"/>
  <c r="S756" i="1"/>
  <c r="S700" i="1"/>
  <c r="R884" i="1"/>
  <c r="R756" i="1"/>
  <c r="R700" i="1"/>
  <c r="Q788" i="1"/>
  <c r="M788" i="1"/>
  <c r="S844" i="1"/>
  <c r="S788" i="1"/>
  <c r="S732" i="1"/>
  <c r="Q876" i="1"/>
  <c r="Q860" i="1"/>
  <c r="Q764" i="1"/>
  <c r="Q716" i="1"/>
  <c r="M844" i="1"/>
  <c r="M820" i="1"/>
  <c r="S876" i="1"/>
  <c r="S820" i="1"/>
  <c r="S764" i="1"/>
  <c r="R908" i="1"/>
  <c r="R892" i="1"/>
  <c r="R868" i="1"/>
  <c r="R820" i="1"/>
  <c r="M908" i="1"/>
  <c r="M894" i="1"/>
  <c r="M830" i="1"/>
  <c r="S888" i="1"/>
  <c r="R896" i="1"/>
  <c r="R864" i="1"/>
  <c r="Q902" i="1"/>
  <c r="Q878" i="1"/>
  <c r="Q846" i="1"/>
  <c r="Q814" i="1"/>
  <c r="Q782" i="1"/>
  <c r="Q750" i="1"/>
  <c r="Q718" i="1"/>
  <c r="M902" i="1"/>
  <c r="M864" i="1"/>
  <c r="M774" i="1"/>
  <c r="S886" i="1"/>
  <c r="R894" i="1"/>
  <c r="R862" i="1"/>
  <c r="M888" i="1"/>
  <c r="M862" i="1"/>
  <c r="M806" i="1"/>
  <c r="Q899" i="1"/>
  <c r="Q790" i="1"/>
  <c r="Q758" i="1"/>
  <c r="Q726" i="1"/>
  <c r="M910" i="1"/>
  <c r="M886" i="1"/>
  <c r="M838" i="1"/>
  <c r="S862" i="1"/>
  <c r="S734" i="1"/>
  <c r="S702" i="1"/>
  <c r="AM710" i="1"/>
  <c r="AM742" i="1"/>
  <c r="AO767" i="1"/>
  <c r="AM824" i="1"/>
  <c r="AM840" i="1"/>
  <c r="AM885" i="1"/>
  <c r="AM904" i="1"/>
  <c r="AM876" i="1"/>
  <c r="AM750" i="1"/>
  <c r="AM726" i="1"/>
  <c r="AM718" i="1"/>
  <c r="AM702" i="1"/>
  <c r="AO742" i="1"/>
  <c r="AO710" i="1"/>
  <c r="AO885" i="1"/>
  <c r="AM832" i="1"/>
  <c r="AM816" i="1"/>
  <c r="Q892" i="1"/>
  <c r="Q871" i="1"/>
  <c r="R879" i="1"/>
  <c r="Q807" i="1"/>
  <c r="S887" i="1"/>
  <c r="R815" i="1"/>
  <c r="Q743" i="1"/>
  <c r="S823" i="1"/>
  <c r="R751" i="1"/>
  <c r="S759" i="1"/>
  <c r="S895" i="1"/>
  <c r="S831" i="1"/>
  <c r="S767" i="1"/>
  <c r="S703" i="1"/>
  <c r="R887" i="1"/>
  <c r="R823" i="1"/>
  <c r="R759" i="1"/>
  <c r="Q879" i="1"/>
  <c r="Q815" i="1"/>
  <c r="Q751" i="1"/>
  <c r="S903" i="1"/>
  <c r="S839" i="1"/>
  <c r="S775" i="1"/>
  <c r="S711" i="1"/>
  <c r="R895" i="1"/>
  <c r="R831" i="1"/>
  <c r="R767" i="1"/>
  <c r="R703" i="1"/>
  <c r="Q887" i="1"/>
  <c r="Q823" i="1"/>
  <c r="Q759" i="1"/>
  <c r="S911" i="1"/>
  <c r="S847" i="1"/>
  <c r="S783" i="1"/>
  <c r="S719" i="1"/>
  <c r="R903" i="1"/>
  <c r="R839" i="1"/>
  <c r="R775" i="1"/>
  <c r="R711" i="1"/>
  <c r="Q895" i="1"/>
  <c r="Q831" i="1"/>
  <c r="Q767" i="1"/>
  <c r="Q703" i="1"/>
  <c r="S855" i="1"/>
  <c r="S791" i="1"/>
  <c r="S727" i="1"/>
  <c r="R911" i="1"/>
  <c r="R847" i="1"/>
  <c r="R783" i="1"/>
  <c r="R719" i="1"/>
  <c r="Q903" i="1"/>
  <c r="Q839" i="1"/>
  <c r="Q775" i="1"/>
  <c r="Q711" i="1"/>
  <c r="S863" i="1"/>
  <c r="S799" i="1"/>
  <c r="S735" i="1"/>
  <c r="R855" i="1"/>
  <c r="R791" i="1"/>
  <c r="R727" i="1"/>
  <c r="Q911" i="1"/>
  <c r="Q847" i="1"/>
  <c r="Q783" i="1"/>
  <c r="Q719" i="1"/>
  <c r="S871" i="1"/>
  <c r="S807" i="1"/>
  <c r="S743" i="1"/>
  <c r="R863" i="1"/>
  <c r="R799" i="1"/>
  <c r="R735" i="1"/>
  <c r="Q855" i="1"/>
  <c r="Q791" i="1"/>
  <c r="Q727" i="1"/>
  <c r="S879" i="1"/>
  <c r="S815" i="1"/>
  <c r="S751" i="1"/>
  <c r="R871" i="1"/>
  <c r="R807" i="1"/>
  <c r="R743" i="1"/>
  <c r="Q863" i="1"/>
  <c r="Q799" i="1"/>
  <c r="Q735" i="1"/>
  <c r="M885" i="1"/>
  <c r="S885" i="1"/>
  <c r="Q885" i="1"/>
  <c r="M829" i="1"/>
  <c r="S829" i="1"/>
  <c r="Q829" i="1"/>
  <c r="M797" i="1"/>
  <c r="S797" i="1"/>
  <c r="Q797" i="1"/>
  <c r="M749" i="1"/>
  <c r="S749" i="1"/>
  <c r="Q749" i="1"/>
  <c r="M869" i="1"/>
  <c r="S869" i="1"/>
  <c r="Q869" i="1"/>
  <c r="M813" i="1"/>
  <c r="S813" i="1"/>
  <c r="Q813" i="1"/>
  <c r="M757" i="1"/>
  <c r="S757" i="1"/>
  <c r="Q757" i="1"/>
  <c r="R885" i="1"/>
  <c r="R869" i="1"/>
  <c r="R829" i="1"/>
  <c r="R813" i="1"/>
  <c r="R797" i="1"/>
  <c r="R757" i="1"/>
  <c r="R749" i="1"/>
  <c r="M853" i="1"/>
  <c r="S853" i="1"/>
  <c r="Q853" i="1"/>
  <c r="M773" i="1"/>
  <c r="S773" i="1"/>
  <c r="Q773" i="1"/>
  <c r="M709" i="1"/>
  <c r="S709" i="1"/>
  <c r="Q709" i="1"/>
  <c r="M893" i="1"/>
  <c r="S893" i="1"/>
  <c r="Q893" i="1"/>
  <c r="M837" i="1"/>
  <c r="S837" i="1"/>
  <c r="Q837" i="1"/>
  <c r="M781" i="1"/>
  <c r="S781" i="1"/>
  <c r="Q781" i="1"/>
  <c r="M725" i="1"/>
  <c r="S725" i="1"/>
  <c r="Q725" i="1"/>
  <c r="M909" i="1"/>
  <c r="S909" i="1"/>
  <c r="Q909" i="1"/>
  <c r="M861" i="1"/>
  <c r="S861" i="1"/>
  <c r="Q861" i="1"/>
  <c r="M805" i="1"/>
  <c r="S805" i="1"/>
  <c r="Q805" i="1"/>
  <c r="M741" i="1"/>
  <c r="S741" i="1"/>
  <c r="Q741" i="1"/>
  <c r="M877" i="1"/>
  <c r="S877" i="1"/>
  <c r="Q877" i="1"/>
  <c r="M821" i="1"/>
  <c r="S821" i="1"/>
  <c r="Q821" i="1"/>
  <c r="M765" i="1"/>
  <c r="S765" i="1"/>
  <c r="Q765" i="1"/>
  <c r="M717" i="1"/>
  <c r="S717" i="1"/>
  <c r="Q717" i="1"/>
  <c r="M701" i="1"/>
  <c r="S701" i="1"/>
  <c r="Q701" i="1"/>
  <c r="M901" i="1"/>
  <c r="S901" i="1"/>
  <c r="Q901" i="1"/>
  <c r="M845" i="1"/>
  <c r="S845" i="1"/>
  <c r="Q845" i="1"/>
  <c r="M789" i="1"/>
  <c r="S789" i="1"/>
  <c r="Q789" i="1"/>
  <c r="M733" i="1"/>
  <c r="S733" i="1"/>
  <c r="Q733" i="1"/>
  <c r="AN315" i="1" l="1"/>
  <c r="AN296" i="1"/>
  <c r="AN294" i="1"/>
  <c r="AN268" i="1"/>
  <c r="AN261" i="1"/>
  <c r="AN234" i="1"/>
  <c r="AN211" i="1"/>
  <c r="AN206" i="1"/>
  <c r="AN203" i="1"/>
  <c r="AN189" i="1"/>
  <c r="AN188" i="1"/>
  <c r="AN114" i="1"/>
  <c r="AN96" i="1"/>
  <c r="AN93" i="1"/>
  <c r="AN82" i="1"/>
  <c r="AN44" i="1"/>
  <c r="AN30" i="1"/>
  <c r="AN26" i="1"/>
  <c r="AN24" i="1"/>
  <c r="AN18" i="1"/>
  <c r="Y347" i="1"/>
  <c r="Y346" i="1"/>
  <c r="Y345" i="1"/>
  <c r="Y344" i="1"/>
  <c r="Y343" i="1"/>
  <c r="Y342" i="1"/>
  <c r="Y341" i="1"/>
  <c r="Y340" i="1"/>
  <c r="AO340" i="1" s="1"/>
  <c r="Y339" i="1"/>
  <c r="Y338" i="1"/>
  <c r="Y337" i="1"/>
  <c r="Y335" i="1"/>
  <c r="Y334" i="1"/>
  <c r="Y333" i="1"/>
  <c r="Y332" i="1"/>
  <c r="Y331" i="1"/>
  <c r="Y329" i="1"/>
  <c r="Y328" i="1"/>
  <c r="Y326" i="1"/>
  <c r="Y325" i="1"/>
  <c r="Y323" i="1"/>
  <c r="Y322" i="1"/>
  <c r="Y321" i="1"/>
  <c r="Y320" i="1"/>
  <c r="AO320" i="1" s="1"/>
  <c r="Y319" i="1"/>
  <c r="Y318" i="1"/>
  <c r="Y317" i="1"/>
  <c r="Y316" i="1"/>
  <c r="Y315" i="1"/>
  <c r="Y314" i="1"/>
  <c r="Y313" i="1"/>
  <c r="Y312" i="1"/>
  <c r="AO312" i="1" s="1"/>
  <c r="Y311" i="1"/>
  <c r="Y310" i="1"/>
  <c r="Y309" i="1"/>
  <c r="Y308" i="1"/>
  <c r="Y307" i="1"/>
  <c r="Y306" i="1"/>
  <c r="Y305" i="1"/>
  <c r="Y304" i="1"/>
  <c r="AO304" i="1" s="1"/>
  <c r="Y303" i="1"/>
  <c r="Y302" i="1"/>
  <c r="Y301" i="1"/>
  <c r="Y300" i="1"/>
  <c r="Y299" i="1"/>
  <c r="Y298" i="1"/>
  <c r="Y297" i="1"/>
  <c r="Y296" i="1"/>
  <c r="AO296" i="1" s="1"/>
  <c r="Y295" i="1"/>
  <c r="Y294" i="1"/>
  <c r="Y293" i="1"/>
  <c r="Y292" i="1"/>
  <c r="Y291" i="1"/>
  <c r="Y290" i="1"/>
  <c r="Y289" i="1"/>
  <c r="Y288" i="1"/>
  <c r="AO288" i="1" s="1"/>
  <c r="Y287" i="1"/>
  <c r="Y286" i="1"/>
  <c r="Y285" i="1"/>
  <c r="Y284" i="1"/>
  <c r="Y283" i="1"/>
  <c r="Y281" i="1"/>
  <c r="Y280" i="1"/>
  <c r="Y279" i="1"/>
  <c r="AO279" i="1" s="1"/>
  <c r="Y278" i="1"/>
  <c r="Y277" i="1"/>
  <c r="Y276" i="1"/>
  <c r="Y274" i="1"/>
  <c r="Y272" i="1"/>
  <c r="Y271" i="1"/>
  <c r="Y270" i="1"/>
  <c r="Y269" i="1"/>
  <c r="AO269" i="1" s="1"/>
  <c r="Y268" i="1"/>
  <c r="Y267" i="1"/>
  <c r="Y266" i="1"/>
  <c r="Y265" i="1"/>
  <c r="Y264" i="1"/>
  <c r="Y263" i="1"/>
  <c r="Y262" i="1"/>
  <c r="Y261" i="1"/>
  <c r="Y260" i="1"/>
  <c r="Y259" i="1"/>
  <c r="Y258" i="1"/>
  <c r="Y257" i="1"/>
  <c r="Y256" i="1"/>
  <c r="Y255" i="1"/>
  <c r="Y254" i="1"/>
  <c r="Y253" i="1"/>
  <c r="AO253" i="1" s="1"/>
  <c r="Y252" i="1"/>
  <c r="Y251" i="1"/>
  <c r="Y249" i="1"/>
  <c r="Y248" i="1"/>
  <c r="Y247" i="1"/>
  <c r="Y246" i="1"/>
  <c r="Y245" i="1"/>
  <c r="Y243" i="1"/>
  <c r="Y242" i="1"/>
  <c r="Y241" i="1"/>
  <c r="Y240" i="1"/>
  <c r="Y239" i="1"/>
  <c r="Y238" i="1"/>
  <c r="Y237" i="1"/>
  <c r="Y236" i="1"/>
  <c r="Y235" i="1"/>
  <c r="Y234" i="1"/>
  <c r="Y233" i="1"/>
  <c r="Y232" i="1"/>
  <c r="Y231" i="1"/>
  <c r="Y230" i="1"/>
  <c r="Y229" i="1"/>
  <c r="Y228" i="1"/>
  <c r="Y227" i="1"/>
  <c r="Y226" i="1"/>
  <c r="Y225" i="1"/>
  <c r="Y224" i="1"/>
  <c r="Y223" i="1"/>
  <c r="Y222" i="1"/>
  <c r="Y220" i="1"/>
  <c r="Y219" i="1"/>
  <c r="Y218" i="1"/>
  <c r="AO218" i="1" s="1"/>
  <c r="Y217" i="1"/>
  <c r="Y216" i="1"/>
  <c r="Y215" i="1"/>
  <c r="Y214" i="1"/>
  <c r="Y213" i="1"/>
  <c r="Y212" i="1"/>
  <c r="Y211" i="1"/>
  <c r="Y210" i="1"/>
  <c r="AO210" i="1" s="1"/>
  <c r="Y209" i="1"/>
  <c r="Y208" i="1"/>
  <c r="Y206" i="1"/>
  <c r="Y205" i="1"/>
  <c r="Y204" i="1"/>
  <c r="Y203" i="1"/>
  <c r="Y202" i="1"/>
  <c r="Y201" i="1"/>
  <c r="Y199" i="1"/>
  <c r="Y198" i="1"/>
  <c r="Y197" i="1"/>
  <c r="Y196" i="1"/>
  <c r="Y195" i="1"/>
  <c r="Y194" i="1"/>
  <c r="Y193" i="1"/>
  <c r="Y192" i="1"/>
  <c r="AO192" i="1" s="1"/>
  <c r="Y191" i="1"/>
  <c r="Y190" i="1"/>
  <c r="Y189" i="1"/>
  <c r="Y188" i="1"/>
  <c r="Y187" i="1"/>
  <c r="Y186" i="1"/>
  <c r="Y184" i="1"/>
  <c r="Y183" i="1"/>
  <c r="AO183" i="1" s="1"/>
  <c r="Y182" i="1"/>
  <c r="Y181" i="1"/>
  <c r="Y180" i="1"/>
  <c r="Y179" i="1"/>
  <c r="Y178" i="1"/>
  <c r="Y176" i="1"/>
  <c r="Y175" i="1"/>
  <c r="Y174" i="1"/>
  <c r="AO174" i="1" s="1"/>
  <c r="Y173" i="1"/>
  <c r="Y172" i="1"/>
  <c r="Y171" i="1"/>
  <c r="Y169" i="1"/>
  <c r="Y168" i="1"/>
  <c r="Y167" i="1"/>
  <c r="Y166" i="1"/>
  <c r="Y165" i="1"/>
  <c r="Y164" i="1"/>
  <c r="Y163" i="1"/>
  <c r="Y161" i="1"/>
  <c r="Y160" i="1"/>
  <c r="Y159" i="1"/>
  <c r="Y158" i="1"/>
  <c r="Y157" i="1"/>
  <c r="Y156" i="1"/>
  <c r="AO156" i="1" s="1"/>
  <c r="Y155" i="1"/>
  <c r="Y153" i="1"/>
  <c r="Y152" i="1"/>
  <c r="Y150" i="1"/>
  <c r="Y149" i="1"/>
  <c r="Y148" i="1"/>
  <c r="Y146" i="1"/>
  <c r="Y145" i="1"/>
  <c r="Y144" i="1"/>
  <c r="Y143" i="1"/>
  <c r="Y142" i="1"/>
  <c r="Y140" i="1"/>
  <c r="Y139" i="1"/>
  <c r="Y138" i="1"/>
  <c r="Y137" i="1"/>
  <c r="Y136" i="1"/>
  <c r="AO136" i="1" s="1"/>
  <c r="Y135" i="1"/>
  <c r="Y134" i="1"/>
  <c r="Y133" i="1"/>
  <c r="Y132" i="1"/>
  <c r="Y131" i="1"/>
  <c r="Y130" i="1"/>
  <c r="Y129" i="1"/>
  <c r="Y128" i="1"/>
  <c r="AO128" i="1" s="1"/>
  <c r="Y127" i="1"/>
  <c r="Y126" i="1"/>
  <c r="Y125" i="1"/>
  <c r="Y124" i="1"/>
  <c r="Y122" i="1"/>
  <c r="Y121" i="1"/>
  <c r="Y120" i="1"/>
  <c r="Y119" i="1"/>
  <c r="AO119" i="1" s="1"/>
  <c r="Y118" i="1"/>
  <c r="Y117" i="1"/>
  <c r="Y116" i="1"/>
  <c r="Y115" i="1"/>
  <c r="Y114" i="1"/>
  <c r="Y113" i="1"/>
  <c r="Y112" i="1"/>
  <c r="Y111" i="1"/>
  <c r="AO111" i="1" s="1"/>
  <c r="Y110" i="1"/>
  <c r="Y109" i="1"/>
  <c r="Y108" i="1"/>
  <c r="Y107" i="1"/>
  <c r="Y106" i="1"/>
  <c r="Y105" i="1"/>
  <c r="Y104" i="1"/>
  <c r="Y103" i="1"/>
  <c r="AO103" i="1" s="1"/>
  <c r="Y102" i="1"/>
  <c r="Y101" i="1"/>
  <c r="Y100" i="1"/>
  <c r="Y99" i="1"/>
  <c r="Y98" i="1"/>
  <c r="Y96" i="1"/>
  <c r="Y95" i="1"/>
  <c r="Y94" i="1"/>
  <c r="AO94" i="1" s="1"/>
  <c r="Y93" i="1"/>
  <c r="Y92" i="1"/>
  <c r="Y91" i="1"/>
  <c r="Y90" i="1"/>
  <c r="Y89" i="1"/>
  <c r="Y88" i="1"/>
  <c r="Y87" i="1"/>
  <c r="Y86" i="1"/>
  <c r="AO86" i="1" s="1"/>
  <c r="Y85" i="1"/>
  <c r="Y84" i="1"/>
  <c r="Y83" i="1"/>
  <c r="Y82" i="1"/>
  <c r="Y81" i="1"/>
  <c r="Y80" i="1"/>
  <c r="Y79" i="1"/>
  <c r="Y78" i="1"/>
  <c r="AO78" i="1" s="1"/>
  <c r="Y77" i="1"/>
  <c r="Y76" i="1"/>
  <c r="Y75" i="1"/>
  <c r="Y74" i="1"/>
  <c r="Y73" i="1"/>
  <c r="Y72" i="1"/>
  <c r="Y71" i="1"/>
  <c r="Y70" i="1"/>
  <c r="AO70" i="1" s="1"/>
  <c r="Y69" i="1"/>
  <c r="Y68" i="1"/>
  <c r="Y67" i="1"/>
  <c r="Y66" i="1"/>
  <c r="Y65" i="1"/>
  <c r="Y64" i="1"/>
  <c r="Y63" i="1"/>
  <c r="Y62" i="1"/>
  <c r="AO62" i="1" s="1"/>
  <c r="Y61" i="1"/>
  <c r="Y60" i="1"/>
  <c r="Y59" i="1"/>
  <c r="Y58" i="1"/>
  <c r="Y57" i="1"/>
  <c r="Y56" i="1"/>
  <c r="Y55" i="1"/>
  <c r="Y54" i="1"/>
  <c r="Y53" i="1"/>
  <c r="Y52" i="1"/>
  <c r="Y51" i="1"/>
  <c r="Y50" i="1"/>
  <c r="Y49" i="1"/>
  <c r="Y48" i="1"/>
  <c r="Y47" i="1"/>
  <c r="Y46" i="1"/>
  <c r="AO46" i="1" s="1"/>
  <c r="Y45" i="1"/>
  <c r="Y44" i="1"/>
  <c r="Y43" i="1"/>
  <c r="Y42" i="1"/>
  <c r="Y41" i="1"/>
  <c r="Y40" i="1"/>
  <c r="Y39" i="1"/>
  <c r="Y38" i="1"/>
  <c r="AO38" i="1" s="1"/>
  <c r="Y37" i="1"/>
  <c r="Y36" i="1"/>
  <c r="Y35" i="1"/>
  <c r="Y34" i="1"/>
  <c r="Y33" i="1"/>
  <c r="Y32" i="1"/>
  <c r="Y31" i="1"/>
  <c r="Y30" i="1"/>
  <c r="AO30" i="1" s="1"/>
  <c r="Y29" i="1"/>
  <c r="Y28" i="1"/>
  <c r="Y27" i="1"/>
  <c r="Y26" i="1"/>
  <c r="Y25" i="1"/>
  <c r="Y24" i="1"/>
  <c r="Y23" i="1"/>
  <c r="Y22" i="1"/>
  <c r="AO22" i="1" s="1"/>
  <c r="Y21" i="1"/>
  <c r="Y20" i="1"/>
  <c r="Y19" i="1"/>
  <c r="Y18" i="1"/>
  <c r="Y17" i="1"/>
  <c r="Y16" i="1"/>
  <c r="Y14" i="1"/>
  <c r="Y13" i="1"/>
  <c r="AO13" i="1" s="1"/>
  <c r="Y12" i="1"/>
  <c r="Y11" i="1"/>
  <c r="Y10" i="1"/>
  <c r="Y9" i="1"/>
  <c r="B347" i="1"/>
  <c r="H347" i="1"/>
  <c r="K347" i="1"/>
  <c r="L347" i="1"/>
  <c r="M347" i="1" s="1"/>
  <c r="P347" i="1"/>
  <c r="W347" i="1"/>
  <c r="AL347" i="1"/>
  <c r="AM347" i="1" s="1"/>
  <c r="AO347" i="1"/>
  <c r="B9" i="1"/>
  <c r="B10" i="1"/>
  <c r="B11" i="1"/>
  <c r="B12" i="1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26" i="1"/>
  <c r="B27" i="1"/>
  <c r="B28" i="1"/>
  <c r="B29" i="1"/>
  <c r="B30" i="1"/>
  <c r="B31" i="1"/>
  <c r="B32" i="1"/>
  <c r="B33" i="1"/>
  <c r="B34" i="1"/>
  <c r="B35" i="1"/>
  <c r="B36" i="1"/>
  <c r="B37" i="1"/>
  <c r="B38" i="1"/>
  <c r="B39" i="1"/>
  <c r="B40" i="1"/>
  <c r="B41" i="1"/>
  <c r="B42" i="1"/>
  <c r="B43" i="1"/>
  <c r="B44" i="1"/>
  <c r="B45" i="1"/>
  <c r="B46" i="1"/>
  <c r="B47" i="1"/>
  <c r="B48" i="1"/>
  <c r="B49" i="1"/>
  <c r="B50" i="1"/>
  <c r="B51" i="1"/>
  <c r="B52" i="1"/>
  <c r="B53" i="1"/>
  <c r="B54" i="1"/>
  <c r="B55" i="1"/>
  <c r="B56" i="1"/>
  <c r="B57" i="1"/>
  <c r="B58" i="1"/>
  <c r="B59" i="1"/>
  <c r="B60" i="1"/>
  <c r="B61" i="1"/>
  <c r="B62" i="1"/>
  <c r="B63" i="1"/>
  <c r="B64" i="1"/>
  <c r="B65" i="1"/>
  <c r="B66" i="1"/>
  <c r="B67" i="1"/>
  <c r="B68" i="1"/>
  <c r="B69" i="1"/>
  <c r="B70" i="1"/>
  <c r="B71" i="1"/>
  <c r="B72" i="1"/>
  <c r="B73" i="1"/>
  <c r="B74" i="1"/>
  <c r="B75" i="1"/>
  <c r="B76" i="1"/>
  <c r="B77" i="1"/>
  <c r="B78" i="1"/>
  <c r="B79" i="1"/>
  <c r="B80" i="1"/>
  <c r="B81" i="1"/>
  <c r="B82" i="1"/>
  <c r="B83" i="1"/>
  <c r="B84" i="1"/>
  <c r="B85" i="1"/>
  <c r="B86" i="1"/>
  <c r="B87" i="1"/>
  <c r="B88" i="1"/>
  <c r="B89" i="1"/>
  <c r="B90" i="1"/>
  <c r="B91" i="1"/>
  <c r="B92" i="1"/>
  <c r="B93" i="1"/>
  <c r="B94" i="1"/>
  <c r="B95" i="1"/>
  <c r="B96" i="1"/>
  <c r="B97" i="1"/>
  <c r="B98" i="1"/>
  <c r="B99" i="1"/>
  <c r="B100" i="1"/>
  <c r="B101" i="1"/>
  <c r="B102" i="1"/>
  <c r="B103" i="1"/>
  <c r="B104" i="1"/>
  <c r="B105" i="1"/>
  <c r="B106" i="1"/>
  <c r="B107" i="1"/>
  <c r="B108" i="1"/>
  <c r="B109" i="1"/>
  <c r="B110" i="1"/>
  <c r="B111" i="1"/>
  <c r="B112" i="1"/>
  <c r="B113" i="1"/>
  <c r="B114" i="1"/>
  <c r="B115" i="1"/>
  <c r="B116" i="1"/>
  <c r="B117" i="1"/>
  <c r="B118" i="1"/>
  <c r="B119" i="1"/>
  <c r="B120" i="1"/>
  <c r="B121" i="1"/>
  <c r="B122" i="1"/>
  <c r="B123" i="1"/>
  <c r="B124" i="1"/>
  <c r="B125" i="1"/>
  <c r="B126" i="1"/>
  <c r="B127" i="1"/>
  <c r="B128" i="1"/>
  <c r="B129" i="1"/>
  <c r="B130" i="1"/>
  <c r="B131" i="1"/>
  <c r="B132" i="1"/>
  <c r="B133" i="1"/>
  <c r="B134" i="1"/>
  <c r="B135" i="1"/>
  <c r="B136" i="1"/>
  <c r="B137" i="1"/>
  <c r="B138" i="1"/>
  <c r="B139" i="1"/>
  <c r="B140" i="1"/>
  <c r="B141" i="1"/>
  <c r="B142" i="1"/>
  <c r="B143" i="1"/>
  <c r="B144" i="1"/>
  <c r="B145" i="1"/>
  <c r="B146" i="1"/>
  <c r="B147" i="1"/>
  <c r="B148" i="1"/>
  <c r="B149" i="1"/>
  <c r="B150" i="1"/>
  <c r="B151" i="1"/>
  <c r="B152" i="1"/>
  <c r="B153" i="1"/>
  <c r="B154" i="1"/>
  <c r="B155" i="1"/>
  <c r="B156" i="1"/>
  <c r="B157" i="1"/>
  <c r="B158" i="1"/>
  <c r="B159" i="1"/>
  <c r="B160" i="1"/>
  <c r="B161" i="1"/>
  <c r="B162" i="1"/>
  <c r="B163" i="1"/>
  <c r="B164" i="1"/>
  <c r="B165" i="1"/>
  <c r="B166" i="1"/>
  <c r="B167" i="1"/>
  <c r="B168" i="1"/>
  <c r="B169" i="1"/>
  <c r="B170" i="1"/>
  <c r="B171" i="1"/>
  <c r="B172" i="1"/>
  <c r="B173" i="1"/>
  <c r="B174" i="1"/>
  <c r="B175" i="1"/>
  <c r="B176" i="1"/>
  <c r="B177" i="1"/>
  <c r="B178" i="1"/>
  <c r="B179" i="1"/>
  <c r="B180" i="1"/>
  <c r="B181" i="1"/>
  <c r="B182" i="1"/>
  <c r="B183" i="1"/>
  <c r="B184" i="1"/>
  <c r="B185" i="1"/>
  <c r="B186" i="1"/>
  <c r="B187" i="1"/>
  <c r="B188" i="1"/>
  <c r="B189" i="1"/>
  <c r="B190" i="1"/>
  <c r="B191" i="1"/>
  <c r="B192" i="1"/>
  <c r="B193" i="1"/>
  <c r="B194" i="1"/>
  <c r="B195" i="1"/>
  <c r="B196" i="1"/>
  <c r="B197" i="1"/>
  <c r="B198" i="1"/>
  <c r="B199" i="1"/>
  <c r="B200" i="1"/>
  <c r="B201" i="1"/>
  <c r="B202" i="1"/>
  <c r="B203" i="1"/>
  <c r="B204" i="1"/>
  <c r="B205" i="1"/>
  <c r="B206" i="1"/>
  <c r="B207" i="1"/>
  <c r="B208" i="1"/>
  <c r="B209" i="1"/>
  <c r="B210" i="1"/>
  <c r="B211" i="1"/>
  <c r="B212" i="1"/>
  <c r="B213" i="1"/>
  <c r="B214" i="1"/>
  <c r="B215" i="1"/>
  <c r="B216" i="1"/>
  <c r="B217" i="1"/>
  <c r="B218" i="1"/>
  <c r="B219" i="1"/>
  <c r="B220" i="1"/>
  <c r="B221" i="1"/>
  <c r="B222" i="1"/>
  <c r="B223" i="1"/>
  <c r="B224" i="1"/>
  <c r="B225" i="1"/>
  <c r="B226" i="1"/>
  <c r="B227" i="1"/>
  <c r="B228" i="1"/>
  <c r="B229" i="1"/>
  <c r="B230" i="1"/>
  <c r="B231" i="1"/>
  <c r="B232" i="1"/>
  <c r="B233" i="1"/>
  <c r="B234" i="1"/>
  <c r="B235" i="1"/>
  <c r="B236" i="1"/>
  <c r="B237" i="1"/>
  <c r="B238" i="1"/>
  <c r="B239" i="1"/>
  <c r="B240" i="1"/>
  <c r="B241" i="1"/>
  <c r="B242" i="1"/>
  <c r="B243" i="1"/>
  <c r="B244" i="1"/>
  <c r="B245" i="1"/>
  <c r="B246" i="1"/>
  <c r="B247" i="1"/>
  <c r="B248" i="1"/>
  <c r="B249" i="1"/>
  <c r="B250" i="1"/>
  <c r="B251" i="1"/>
  <c r="B252" i="1"/>
  <c r="B253" i="1"/>
  <c r="B254" i="1"/>
  <c r="B255" i="1"/>
  <c r="B256" i="1"/>
  <c r="B257" i="1"/>
  <c r="B258" i="1"/>
  <c r="B259" i="1"/>
  <c r="B260" i="1"/>
  <c r="B261" i="1"/>
  <c r="B262" i="1"/>
  <c r="B263" i="1"/>
  <c r="B264" i="1"/>
  <c r="B265" i="1"/>
  <c r="B266" i="1"/>
  <c r="B267" i="1"/>
  <c r="B268" i="1"/>
  <c r="B269" i="1"/>
  <c r="B270" i="1"/>
  <c r="B271" i="1"/>
  <c r="B272" i="1"/>
  <c r="B273" i="1"/>
  <c r="B274" i="1"/>
  <c r="B275" i="1"/>
  <c r="B276" i="1"/>
  <c r="B277" i="1"/>
  <c r="B278" i="1"/>
  <c r="B279" i="1"/>
  <c r="B280" i="1"/>
  <c r="B281" i="1"/>
  <c r="B282" i="1"/>
  <c r="B283" i="1"/>
  <c r="B284" i="1"/>
  <c r="B285" i="1"/>
  <c r="B286" i="1"/>
  <c r="B287" i="1"/>
  <c r="B288" i="1"/>
  <c r="B289" i="1"/>
  <c r="B290" i="1"/>
  <c r="B291" i="1"/>
  <c r="B292" i="1"/>
  <c r="B293" i="1"/>
  <c r="B294" i="1"/>
  <c r="B295" i="1"/>
  <c r="B296" i="1"/>
  <c r="B297" i="1"/>
  <c r="B298" i="1"/>
  <c r="B299" i="1"/>
  <c r="B300" i="1"/>
  <c r="B301" i="1"/>
  <c r="B302" i="1"/>
  <c r="B303" i="1"/>
  <c r="B304" i="1"/>
  <c r="B305" i="1"/>
  <c r="B306" i="1"/>
  <c r="B307" i="1"/>
  <c r="B308" i="1"/>
  <c r="B309" i="1"/>
  <c r="B310" i="1"/>
  <c r="B311" i="1"/>
  <c r="B312" i="1"/>
  <c r="B313" i="1"/>
  <c r="B314" i="1"/>
  <c r="B315" i="1"/>
  <c r="B316" i="1"/>
  <c r="B317" i="1"/>
  <c r="B318" i="1"/>
  <c r="B319" i="1"/>
  <c r="B320" i="1"/>
  <c r="B321" i="1"/>
  <c r="B322" i="1"/>
  <c r="B323" i="1"/>
  <c r="B324" i="1"/>
  <c r="B325" i="1"/>
  <c r="B326" i="1"/>
  <c r="B327" i="1"/>
  <c r="B328" i="1"/>
  <c r="B329" i="1"/>
  <c r="B330" i="1"/>
  <c r="B331" i="1"/>
  <c r="B332" i="1"/>
  <c r="B333" i="1"/>
  <c r="B334" i="1"/>
  <c r="B335" i="1"/>
  <c r="B336" i="1"/>
  <c r="B337" i="1"/>
  <c r="B338" i="1"/>
  <c r="B339" i="1"/>
  <c r="B340" i="1"/>
  <c r="B341" i="1"/>
  <c r="B342" i="1"/>
  <c r="B343" i="1"/>
  <c r="B344" i="1"/>
  <c r="B345" i="1"/>
  <c r="B346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65" i="1"/>
  <c r="H66" i="1"/>
  <c r="H67" i="1"/>
  <c r="H68" i="1"/>
  <c r="H69" i="1"/>
  <c r="H70" i="1"/>
  <c r="H71" i="1"/>
  <c r="H72" i="1"/>
  <c r="H73" i="1"/>
  <c r="H74" i="1"/>
  <c r="H75" i="1"/>
  <c r="H76" i="1"/>
  <c r="H77" i="1"/>
  <c r="H78" i="1"/>
  <c r="H79" i="1"/>
  <c r="H80" i="1"/>
  <c r="H81" i="1"/>
  <c r="H82" i="1"/>
  <c r="H83" i="1"/>
  <c r="H84" i="1"/>
  <c r="H85" i="1"/>
  <c r="H86" i="1"/>
  <c r="H87" i="1"/>
  <c r="H88" i="1"/>
  <c r="H89" i="1"/>
  <c r="H90" i="1"/>
  <c r="H91" i="1"/>
  <c r="H92" i="1"/>
  <c r="H93" i="1"/>
  <c r="H94" i="1"/>
  <c r="H95" i="1"/>
  <c r="H96" i="1"/>
  <c r="H97" i="1"/>
  <c r="H98" i="1"/>
  <c r="H99" i="1"/>
  <c r="H100" i="1"/>
  <c r="H101" i="1"/>
  <c r="H102" i="1"/>
  <c r="H103" i="1"/>
  <c r="H104" i="1"/>
  <c r="H105" i="1"/>
  <c r="H106" i="1"/>
  <c r="H107" i="1"/>
  <c r="H108" i="1"/>
  <c r="H109" i="1"/>
  <c r="H110" i="1"/>
  <c r="H111" i="1"/>
  <c r="H112" i="1"/>
  <c r="H113" i="1"/>
  <c r="H114" i="1"/>
  <c r="H115" i="1"/>
  <c r="H116" i="1"/>
  <c r="H117" i="1"/>
  <c r="H118" i="1"/>
  <c r="H119" i="1"/>
  <c r="H120" i="1"/>
  <c r="H121" i="1"/>
  <c r="H122" i="1"/>
  <c r="H123" i="1"/>
  <c r="H124" i="1"/>
  <c r="H125" i="1"/>
  <c r="H126" i="1"/>
  <c r="H127" i="1"/>
  <c r="H128" i="1"/>
  <c r="H129" i="1"/>
  <c r="H130" i="1"/>
  <c r="H131" i="1"/>
  <c r="H132" i="1"/>
  <c r="H133" i="1"/>
  <c r="H134" i="1"/>
  <c r="H135" i="1"/>
  <c r="H136" i="1"/>
  <c r="H137" i="1"/>
  <c r="H138" i="1"/>
  <c r="H139" i="1"/>
  <c r="H140" i="1"/>
  <c r="H141" i="1"/>
  <c r="H142" i="1"/>
  <c r="H143" i="1"/>
  <c r="H144" i="1"/>
  <c r="H145" i="1"/>
  <c r="H146" i="1"/>
  <c r="H147" i="1"/>
  <c r="H148" i="1"/>
  <c r="H149" i="1"/>
  <c r="H150" i="1"/>
  <c r="H151" i="1"/>
  <c r="H152" i="1"/>
  <c r="H153" i="1"/>
  <c r="H154" i="1"/>
  <c r="H155" i="1"/>
  <c r="H156" i="1"/>
  <c r="H157" i="1"/>
  <c r="H158" i="1"/>
  <c r="H159" i="1"/>
  <c r="H160" i="1"/>
  <c r="H161" i="1"/>
  <c r="H162" i="1"/>
  <c r="H163" i="1"/>
  <c r="H164" i="1"/>
  <c r="H165" i="1"/>
  <c r="H166" i="1"/>
  <c r="H167" i="1"/>
  <c r="H168" i="1"/>
  <c r="H169" i="1"/>
  <c r="H170" i="1"/>
  <c r="H171" i="1"/>
  <c r="H172" i="1"/>
  <c r="H173" i="1"/>
  <c r="H174" i="1"/>
  <c r="H175" i="1"/>
  <c r="H176" i="1"/>
  <c r="H177" i="1"/>
  <c r="H178" i="1"/>
  <c r="H179" i="1"/>
  <c r="H180" i="1"/>
  <c r="H181" i="1"/>
  <c r="H182" i="1"/>
  <c r="H183" i="1"/>
  <c r="H184" i="1"/>
  <c r="H185" i="1"/>
  <c r="H186" i="1"/>
  <c r="H187" i="1"/>
  <c r="H188" i="1"/>
  <c r="H189" i="1"/>
  <c r="H190" i="1"/>
  <c r="H191" i="1"/>
  <c r="H192" i="1"/>
  <c r="H193" i="1"/>
  <c r="H194" i="1"/>
  <c r="H195" i="1"/>
  <c r="H196" i="1"/>
  <c r="H197" i="1"/>
  <c r="H198" i="1"/>
  <c r="H199" i="1"/>
  <c r="H200" i="1"/>
  <c r="H201" i="1"/>
  <c r="H202" i="1"/>
  <c r="H203" i="1"/>
  <c r="H204" i="1"/>
  <c r="H205" i="1"/>
  <c r="H206" i="1"/>
  <c r="H207" i="1"/>
  <c r="H208" i="1"/>
  <c r="H209" i="1"/>
  <c r="H210" i="1"/>
  <c r="H211" i="1"/>
  <c r="H212" i="1"/>
  <c r="H213" i="1"/>
  <c r="H214" i="1"/>
  <c r="H215" i="1"/>
  <c r="H216" i="1"/>
  <c r="H217" i="1"/>
  <c r="H218" i="1"/>
  <c r="H219" i="1"/>
  <c r="H220" i="1"/>
  <c r="H221" i="1"/>
  <c r="H222" i="1"/>
  <c r="H223" i="1"/>
  <c r="H224" i="1"/>
  <c r="H225" i="1"/>
  <c r="H226" i="1"/>
  <c r="H227" i="1"/>
  <c r="H228" i="1"/>
  <c r="H229" i="1"/>
  <c r="H230" i="1"/>
  <c r="H231" i="1"/>
  <c r="H232" i="1"/>
  <c r="H233" i="1"/>
  <c r="H234" i="1"/>
  <c r="H235" i="1"/>
  <c r="H236" i="1"/>
  <c r="H237" i="1"/>
  <c r="H238" i="1"/>
  <c r="H239" i="1"/>
  <c r="H240" i="1"/>
  <c r="H241" i="1"/>
  <c r="H242" i="1"/>
  <c r="H243" i="1"/>
  <c r="H244" i="1"/>
  <c r="H245" i="1"/>
  <c r="H246" i="1"/>
  <c r="H247" i="1"/>
  <c r="H248" i="1"/>
  <c r="H249" i="1"/>
  <c r="H250" i="1"/>
  <c r="H251" i="1"/>
  <c r="H252" i="1"/>
  <c r="H253" i="1"/>
  <c r="H254" i="1"/>
  <c r="H255" i="1"/>
  <c r="H256" i="1"/>
  <c r="H257" i="1"/>
  <c r="H258" i="1"/>
  <c r="H259" i="1"/>
  <c r="H260" i="1"/>
  <c r="H261" i="1"/>
  <c r="H262" i="1"/>
  <c r="H263" i="1"/>
  <c r="H264" i="1"/>
  <c r="H265" i="1"/>
  <c r="H266" i="1"/>
  <c r="H267" i="1"/>
  <c r="H268" i="1"/>
  <c r="H269" i="1"/>
  <c r="H270" i="1"/>
  <c r="H271" i="1"/>
  <c r="H272" i="1"/>
  <c r="H273" i="1"/>
  <c r="H274" i="1"/>
  <c r="H275" i="1"/>
  <c r="H276" i="1"/>
  <c r="H277" i="1"/>
  <c r="H278" i="1"/>
  <c r="H279" i="1"/>
  <c r="H280" i="1"/>
  <c r="H281" i="1"/>
  <c r="H282" i="1"/>
  <c r="H283" i="1"/>
  <c r="H284" i="1"/>
  <c r="H285" i="1"/>
  <c r="H286" i="1"/>
  <c r="H287" i="1"/>
  <c r="H288" i="1"/>
  <c r="H289" i="1"/>
  <c r="H290" i="1"/>
  <c r="H291" i="1"/>
  <c r="H292" i="1"/>
  <c r="H293" i="1"/>
  <c r="H294" i="1"/>
  <c r="H295" i="1"/>
  <c r="H296" i="1"/>
  <c r="H297" i="1"/>
  <c r="H298" i="1"/>
  <c r="H299" i="1"/>
  <c r="H300" i="1"/>
  <c r="H301" i="1"/>
  <c r="H302" i="1"/>
  <c r="H303" i="1"/>
  <c r="H304" i="1"/>
  <c r="H305" i="1"/>
  <c r="H306" i="1"/>
  <c r="H307" i="1"/>
  <c r="H308" i="1"/>
  <c r="H309" i="1"/>
  <c r="H310" i="1"/>
  <c r="H311" i="1"/>
  <c r="H312" i="1"/>
  <c r="H313" i="1"/>
  <c r="H314" i="1"/>
  <c r="H315" i="1"/>
  <c r="H316" i="1"/>
  <c r="H317" i="1"/>
  <c r="H318" i="1"/>
  <c r="H319" i="1"/>
  <c r="H320" i="1"/>
  <c r="H321" i="1"/>
  <c r="H322" i="1"/>
  <c r="H323" i="1"/>
  <c r="H324" i="1"/>
  <c r="H325" i="1"/>
  <c r="H326" i="1"/>
  <c r="H327" i="1"/>
  <c r="H328" i="1"/>
  <c r="H329" i="1"/>
  <c r="H330" i="1"/>
  <c r="H331" i="1"/>
  <c r="H332" i="1"/>
  <c r="H333" i="1"/>
  <c r="H334" i="1"/>
  <c r="H335" i="1"/>
  <c r="H336" i="1"/>
  <c r="H337" i="1"/>
  <c r="H338" i="1"/>
  <c r="H339" i="1"/>
  <c r="H340" i="1"/>
  <c r="H341" i="1"/>
  <c r="H342" i="1"/>
  <c r="H343" i="1"/>
  <c r="H344" i="1"/>
  <c r="H345" i="1"/>
  <c r="H346" i="1"/>
  <c r="K9" i="1"/>
  <c r="K10" i="1"/>
  <c r="K11" i="1"/>
  <c r="K12" i="1"/>
  <c r="K13" i="1"/>
  <c r="K14" i="1"/>
  <c r="K15" i="1"/>
  <c r="K16" i="1"/>
  <c r="K17" i="1"/>
  <c r="K18" i="1"/>
  <c r="K19" i="1"/>
  <c r="K20" i="1"/>
  <c r="K21" i="1"/>
  <c r="K22" i="1"/>
  <c r="K23" i="1"/>
  <c r="K24" i="1"/>
  <c r="K25" i="1"/>
  <c r="K26" i="1"/>
  <c r="K27" i="1"/>
  <c r="K28" i="1"/>
  <c r="K29" i="1"/>
  <c r="K30" i="1"/>
  <c r="K31" i="1"/>
  <c r="K32" i="1"/>
  <c r="K33" i="1"/>
  <c r="K34" i="1"/>
  <c r="K35" i="1"/>
  <c r="K36" i="1"/>
  <c r="K37" i="1"/>
  <c r="K38" i="1"/>
  <c r="K39" i="1"/>
  <c r="K40" i="1"/>
  <c r="K41" i="1"/>
  <c r="K42" i="1"/>
  <c r="K43" i="1"/>
  <c r="K44" i="1"/>
  <c r="K45" i="1"/>
  <c r="K46" i="1"/>
  <c r="K47" i="1"/>
  <c r="K48" i="1"/>
  <c r="K49" i="1"/>
  <c r="K50" i="1"/>
  <c r="K51" i="1"/>
  <c r="K52" i="1"/>
  <c r="K53" i="1"/>
  <c r="K54" i="1"/>
  <c r="K55" i="1"/>
  <c r="K56" i="1"/>
  <c r="K57" i="1"/>
  <c r="K58" i="1"/>
  <c r="K59" i="1"/>
  <c r="K60" i="1"/>
  <c r="K61" i="1"/>
  <c r="K62" i="1"/>
  <c r="K63" i="1"/>
  <c r="K64" i="1"/>
  <c r="K65" i="1"/>
  <c r="K66" i="1"/>
  <c r="K67" i="1"/>
  <c r="K68" i="1"/>
  <c r="K69" i="1"/>
  <c r="K70" i="1"/>
  <c r="K71" i="1"/>
  <c r="K72" i="1"/>
  <c r="K73" i="1"/>
  <c r="K74" i="1"/>
  <c r="K75" i="1"/>
  <c r="K76" i="1"/>
  <c r="K77" i="1"/>
  <c r="K78" i="1"/>
  <c r="K79" i="1"/>
  <c r="K80" i="1"/>
  <c r="K81" i="1"/>
  <c r="K82" i="1"/>
  <c r="K83" i="1"/>
  <c r="K84" i="1"/>
  <c r="K85" i="1"/>
  <c r="K86" i="1"/>
  <c r="K87" i="1"/>
  <c r="K88" i="1"/>
  <c r="K89" i="1"/>
  <c r="K90" i="1"/>
  <c r="K91" i="1"/>
  <c r="K92" i="1"/>
  <c r="K93" i="1"/>
  <c r="K94" i="1"/>
  <c r="K95" i="1"/>
  <c r="K96" i="1"/>
  <c r="K97" i="1"/>
  <c r="K98" i="1"/>
  <c r="K99" i="1"/>
  <c r="K100" i="1"/>
  <c r="K101" i="1"/>
  <c r="K102" i="1"/>
  <c r="K103" i="1"/>
  <c r="K104" i="1"/>
  <c r="K105" i="1"/>
  <c r="K106" i="1"/>
  <c r="K107" i="1"/>
  <c r="K108" i="1"/>
  <c r="K109" i="1"/>
  <c r="K110" i="1"/>
  <c r="K111" i="1"/>
  <c r="K112" i="1"/>
  <c r="K113" i="1"/>
  <c r="K114" i="1"/>
  <c r="K115" i="1"/>
  <c r="K116" i="1"/>
  <c r="K117" i="1"/>
  <c r="K118" i="1"/>
  <c r="K119" i="1"/>
  <c r="K120" i="1"/>
  <c r="K121" i="1"/>
  <c r="K122" i="1"/>
  <c r="K123" i="1"/>
  <c r="K124" i="1"/>
  <c r="K125" i="1"/>
  <c r="K126" i="1"/>
  <c r="K127" i="1"/>
  <c r="K128" i="1"/>
  <c r="K129" i="1"/>
  <c r="K130" i="1"/>
  <c r="K131" i="1"/>
  <c r="K132" i="1"/>
  <c r="K133" i="1"/>
  <c r="K134" i="1"/>
  <c r="K135" i="1"/>
  <c r="K136" i="1"/>
  <c r="K137" i="1"/>
  <c r="K138" i="1"/>
  <c r="K139" i="1"/>
  <c r="K140" i="1"/>
  <c r="K141" i="1"/>
  <c r="K142" i="1"/>
  <c r="K143" i="1"/>
  <c r="K144" i="1"/>
  <c r="K145" i="1"/>
  <c r="K146" i="1"/>
  <c r="K147" i="1"/>
  <c r="K148" i="1"/>
  <c r="K149" i="1"/>
  <c r="K150" i="1"/>
  <c r="K151" i="1"/>
  <c r="K152" i="1"/>
  <c r="K153" i="1"/>
  <c r="K154" i="1"/>
  <c r="K155" i="1"/>
  <c r="K156" i="1"/>
  <c r="K157" i="1"/>
  <c r="K158" i="1"/>
  <c r="K159" i="1"/>
  <c r="K160" i="1"/>
  <c r="K161" i="1"/>
  <c r="K162" i="1"/>
  <c r="K163" i="1"/>
  <c r="K164" i="1"/>
  <c r="K165" i="1"/>
  <c r="K166" i="1"/>
  <c r="K167" i="1"/>
  <c r="K168" i="1"/>
  <c r="K169" i="1"/>
  <c r="K170" i="1"/>
  <c r="K171" i="1"/>
  <c r="K172" i="1"/>
  <c r="K173" i="1"/>
  <c r="K174" i="1"/>
  <c r="K175" i="1"/>
  <c r="K176" i="1"/>
  <c r="K177" i="1"/>
  <c r="K178" i="1"/>
  <c r="K179" i="1"/>
  <c r="K180" i="1"/>
  <c r="K181" i="1"/>
  <c r="K182" i="1"/>
  <c r="K183" i="1"/>
  <c r="K184" i="1"/>
  <c r="K185" i="1"/>
  <c r="K186" i="1"/>
  <c r="K187" i="1"/>
  <c r="K188" i="1"/>
  <c r="K189" i="1"/>
  <c r="K190" i="1"/>
  <c r="K191" i="1"/>
  <c r="K192" i="1"/>
  <c r="K193" i="1"/>
  <c r="K194" i="1"/>
  <c r="K195" i="1"/>
  <c r="K196" i="1"/>
  <c r="K197" i="1"/>
  <c r="K198" i="1"/>
  <c r="K199" i="1"/>
  <c r="K200" i="1"/>
  <c r="K201" i="1"/>
  <c r="K202" i="1"/>
  <c r="K203" i="1"/>
  <c r="K204" i="1"/>
  <c r="K205" i="1"/>
  <c r="K206" i="1"/>
  <c r="K207" i="1"/>
  <c r="K208" i="1"/>
  <c r="K209" i="1"/>
  <c r="K210" i="1"/>
  <c r="K211" i="1"/>
  <c r="K212" i="1"/>
  <c r="K213" i="1"/>
  <c r="K214" i="1"/>
  <c r="K215" i="1"/>
  <c r="K216" i="1"/>
  <c r="K217" i="1"/>
  <c r="K218" i="1"/>
  <c r="K219" i="1"/>
  <c r="K220" i="1"/>
  <c r="K221" i="1"/>
  <c r="K222" i="1"/>
  <c r="K223" i="1"/>
  <c r="K224" i="1"/>
  <c r="K225" i="1"/>
  <c r="K226" i="1"/>
  <c r="K227" i="1"/>
  <c r="K228" i="1"/>
  <c r="K229" i="1"/>
  <c r="K230" i="1"/>
  <c r="K231" i="1"/>
  <c r="K232" i="1"/>
  <c r="K233" i="1"/>
  <c r="K234" i="1"/>
  <c r="K235" i="1"/>
  <c r="K236" i="1"/>
  <c r="K237" i="1"/>
  <c r="K238" i="1"/>
  <c r="K239" i="1"/>
  <c r="K240" i="1"/>
  <c r="K241" i="1"/>
  <c r="K242" i="1"/>
  <c r="K243" i="1"/>
  <c r="K244" i="1"/>
  <c r="K245" i="1"/>
  <c r="K246" i="1"/>
  <c r="K247" i="1"/>
  <c r="K248" i="1"/>
  <c r="K249" i="1"/>
  <c r="K250" i="1"/>
  <c r="K251" i="1"/>
  <c r="K252" i="1"/>
  <c r="K253" i="1"/>
  <c r="K254" i="1"/>
  <c r="K255" i="1"/>
  <c r="K256" i="1"/>
  <c r="K257" i="1"/>
  <c r="K258" i="1"/>
  <c r="K259" i="1"/>
  <c r="K260" i="1"/>
  <c r="K261" i="1"/>
  <c r="K262" i="1"/>
  <c r="K263" i="1"/>
  <c r="K264" i="1"/>
  <c r="K265" i="1"/>
  <c r="K266" i="1"/>
  <c r="K267" i="1"/>
  <c r="K268" i="1"/>
  <c r="K269" i="1"/>
  <c r="K270" i="1"/>
  <c r="K271" i="1"/>
  <c r="K272" i="1"/>
  <c r="K273" i="1"/>
  <c r="K274" i="1"/>
  <c r="K275" i="1"/>
  <c r="K276" i="1"/>
  <c r="K277" i="1"/>
  <c r="K278" i="1"/>
  <c r="K279" i="1"/>
  <c r="K280" i="1"/>
  <c r="K281" i="1"/>
  <c r="K282" i="1"/>
  <c r="K283" i="1"/>
  <c r="K284" i="1"/>
  <c r="K285" i="1"/>
  <c r="K286" i="1"/>
  <c r="K287" i="1"/>
  <c r="K288" i="1"/>
  <c r="K289" i="1"/>
  <c r="K290" i="1"/>
  <c r="K291" i="1"/>
  <c r="K292" i="1"/>
  <c r="K293" i="1"/>
  <c r="K294" i="1"/>
  <c r="K295" i="1"/>
  <c r="K296" i="1"/>
  <c r="K297" i="1"/>
  <c r="K298" i="1"/>
  <c r="K299" i="1"/>
  <c r="K300" i="1"/>
  <c r="K301" i="1"/>
  <c r="K302" i="1"/>
  <c r="K303" i="1"/>
  <c r="K304" i="1"/>
  <c r="K305" i="1"/>
  <c r="K306" i="1"/>
  <c r="K307" i="1"/>
  <c r="K308" i="1"/>
  <c r="K309" i="1"/>
  <c r="K310" i="1"/>
  <c r="K311" i="1"/>
  <c r="K312" i="1"/>
  <c r="K313" i="1"/>
  <c r="K314" i="1"/>
  <c r="K315" i="1"/>
  <c r="K316" i="1"/>
  <c r="K317" i="1"/>
  <c r="K318" i="1"/>
  <c r="K319" i="1"/>
  <c r="K320" i="1"/>
  <c r="K321" i="1"/>
  <c r="K322" i="1"/>
  <c r="K323" i="1"/>
  <c r="K324" i="1"/>
  <c r="K325" i="1"/>
  <c r="K326" i="1"/>
  <c r="K327" i="1"/>
  <c r="K328" i="1"/>
  <c r="K329" i="1"/>
  <c r="K330" i="1"/>
  <c r="K331" i="1"/>
  <c r="K332" i="1"/>
  <c r="K333" i="1"/>
  <c r="K334" i="1"/>
  <c r="K335" i="1"/>
  <c r="K336" i="1"/>
  <c r="K337" i="1"/>
  <c r="K338" i="1"/>
  <c r="K339" i="1"/>
  <c r="K340" i="1"/>
  <c r="K341" i="1"/>
  <c r="K342" i="1"/>
  <c r="K343" i="1"/>
  <c r="K344" i="1"/>
  <c r="K345" i="1"/>
  <c r="K346" i="1"/>
  <c r="L9" i="1"/>
  <c r="Q9" i="1" s="1"/>
  <c r="L10" i="1"/>
  <c r="M10" i="1" s="1"/>
  <c r="L11" i="1"/>
  <c r="S11" i="1" s="1"/>
  <c r="L12" i="1"/>
  <c r="R12" i="1" s="1"/>
  <c r="L13" i="1"/>
  <c r="M13" i="1" s="1"/>
  <c r="L14" i="1"/>
  <c r="R14" i="1" s="1"/>
  <c r="L15" i="1"/>
  <c r="M15" i="1" s="1"/>
  <c r="L16" i="1"/>
  <c r="M16" i="1" s="1"/>
  <c r="L17" i="1"/>
  <c r="R17" i="1" s="1"/>
  <c r="L18" i="1"/>
  <c r="S18" i="1" s="1"/>
  <c r="L19" i="1"/>
  <c r="M19" i="1" s="1"/>
  <c r="L20" i="1"/>
  <c r="M20" i="1" s="1"/>
  <c r="L21" i="1"/>
  <c r="M21" i="1" s="1"/>
  <c r="L22" i="1"/>
  <c r="Q22" i="1" s="1"/>
  <c r="L23" i="1"/>
  <c r="M23" i="1" s="1"/>
  <c r="L24" i="1"/>
  <c r="M24" i="1" s="1"/>
  <c r="L25" i="1"/>
  <c r="R25" i="1" s="1"/>
  <c r="L26" i="1"/>
  <c r="R26" i="1" s="1"/>
  <c r="L27" i="1"/>
  <c r="R27" i="1" s="1"/>
  <c r="L28" i="1"/>
  <c r="R28" i="1" s="1"/>
  <c r="L29" i="1"/>
  <c r="M29" i="1" s="1"/>
  <c r="L30" i="1"/>
  <c r="S30" i="1" s="1"/>
  <c r="L31" i="1"/>
  <c r="M31" i="1" s="1"/>
  <c r="L32" i="1"/>
  <c r="R32" i="1" s="1"/>
  <c r="L33" i="1"/>
  <c r="R33" i="1" s="1"/>
  <c r="L34" i="1"/>
  <c r="M34" i="1" s="1"/>
  <c r="L35" i="1"/>
  <c r="M35" i="1" s="1"/>
  <c r="L36" i="1"/>
  <c r="Q36" i="1" s="1"/>
  <c r="L37" i="1"/>
  <c r="M37" i="1" s="1"/>
  <c r="L38" i="1"/>
  <c r="M38" i="1" s="1"/>
  <c r="L39" i="1"/>
  <c r="M39" i="1" s="1"/>
  <c r="L40" i="1"/>
  <c r="R40" i="1" s="1"/>
  <c r="L41" i="1"/>
  <c r="R41" i="1" s="1"/>
  <c r="L42" i="1"/>
  <c r="M42" i="1" s="1"/>
  <c r="L43" i="1"/>
  <c r="R43" i="1" s="1"/>
  <c r="L44" i="1"/>
  <c r="Q44" i="1" s="1"/>
  <c r="L45" i="1"/>
  <c r="M45" i="1" s="1"/>
  <c r="L46" i="1"/>
  <c r="S46" i="1" s="1"/>
  <c r="L47" i="1"/>
  <c r="M47" i="1" s="1"/>
  <c r="L48" i="1"/>
  <c r="M48" i="1" s="1"/>
  <c r="L49" i="1"/>
  <c r="R49" i="1" s="1"/>
  <c r="L50" i="1"/>
  <c r="Q50" i="1" s="1"/>
  <c r="L51" i="1"/>
  <c r="R51" i="1" s="1"/>
  <c r="L52" i="1"/>
  <c r="M52" i="1" s="1"/>
  <c r="L53" i="1"/>
  <c r="M53" i="1" s="1"/>
  <c r="L54" i="1"/>
  <c r="Q54" i="1" s="1"/>
  <c r="L55" i="1"/>
  <c r="M55" i="1" s="1"/>
  <c r="L56" i="1"/>
  <c r="R56" i="1" s="1"/>
  <c r="L57" i="1"/>
  <c r="R57" i="1" s="1"/>
  <c r="L58" i="1"/>
  <c r="M58" i="1" s="1"/>
  <c r="L59" i="1"/>
  <c r="Q59" i="1" s="1"/>
  <c r="L60" i="1"/>
  <c r="S60" i="1" s="1"/>
  <c r="L61" i="1"/>
  <c r="M61" i="1" s="1"/>
  <c r="L62" i="1"/>
  <c r="M62" i="1" s="1"/>
  <c r="L63" i="1"/>
  <c r="M63" i="1" s="1"/>
  <c r="L64" i="1"/>
  <c r="R64" i="1" s="1"/>
  <c r="L65" i="1"/>
  <c r="R65" i="1" s="1"/>
  <c r="L66" i="1"/>
  <c r="Q66" i="1" s="1"/>
  <c r="L67" i="1"/>
  <c r="M67" i="1" s="1"/>
  <c r="L68" i="1"/>
  <c r="R68" i="1" s="1"/>
  <c r="L69" i="1"/>
  <c r="M69" i="1" s="1"/>
  <c r="L70" i="1"/>
  <c r="M70" i="1" s="1"/>
  <c r="L71" i="1"/>
  <c r="M71" i="1" s="1"/>
  <c r="L72" i="1"/>
  <c r="M72" i="1" s="1"/>
  <c r="L73" i="1"/>
  <c r="R73" i="1" s="1"/>
  <c r="L74" i="1"/>
  <c r="M74" i="1" s="1"/>
  <c r="L75" i="1"/>
  <c r="Q75" i="1" s="1"/>
  <c r="L76" i="1"/>
  <c r="R76" i="1" s="1"/>
  <c r="L77" i="1"/>
  <c r="M77" i="1" s="1"/>
  <c r="L78" i="1"/>
  <c r="S78" i="1" s="1"/>
  <c r="L79" i="1"/>
  <c r="M79" i="1" s="1"/>
  <c r="L80" i="1"/>
  <c r="M80" i="1" s="1"/>
  <c r="L81" i="1"/>
  <c r="R81" i="1" s="1"/>
  <c r="L82" i="1"/>
  <c r="S82" i="1" s="1"/>
  <c r="L83" i="1"/>
  <c r="M83" i="1" s="1"/>
  <c r="L84" i="1"/>
  <c r="M84" i="1" s="1"/>
  <c r="L85" i="1"/>
  <c r="M85" i="1" s="1"/>
  <c r="L86" i="1"/>
  <c r="Q86" i="1" s="1"/>
  <c r="L87" i="1"/>
  <c r="M87" i="1" s="1"/>
  <c r="L88" i="1"/>
  <c r="M88" i="1" s="1"/>
  <c r="L89" i="1"/>
  <c r="R89" i="1" s="1"/>
  <c r="L90" i="1"/>
  <c r="M90" i="1" s="1"/>
  <c r="L91" i="1"/>
  <c r="M91" i="1" s="1"/>
  <c r="L92" i="1"/>
  <c r="M92" i="1" s="1"/>
  <c r="L93" i="1"/>
  <c r="M93" i="1" s="1"/>
  <c r="L94" i="1"/>
  <c r="M94" i="1" s="1"/>
  <c r="L95" i="1"/>
  <c r="M95" i="1" s="1"/>
  <c r="L96" i="1"/>
  <c r="R96" i="1" s="1"/>
  <c r="L97" i="1"/>
  <c r="R97" i="1" s="1"/>
  <c r="L98" i="1"/>
  <c r="M98" i="1" s="1"/>
  <c r="L99" i="1"/>
  <c r="M99" i="1" s="1"/>
  <c r="L100" i="1"/>
  <c r="R100" i="1" s="1"/>
  <c r="L101" i="1"/>
  <c r="M101" i="1" s="1"/>
  <c r="L102" i="1"/>
  <c r="Q102" i="1" s="1"/>
  <c r="L103" i="1"/>
  <c r="M103" i="1" s="1"/>
  <c r="L104" i="1"/>
  <c r="R104" i="1" s="1"/>
  <c r="L105" i="1"/>
  <c r="R105" i="1" s="1"/>
  <c r="L106" i="1"/>
  <c r="M106" i="1" s="1"/>
  <c r="L107" i="1"/>
  <c r="M107" i="1" s="1"/>
  <c r="L108" i="1"/>
  <c r="R108" i="1" s="1"/>
  <c r="L109" i="1"/>
  <c r="M109" i="1" s="1"/>
  <c r="L110" i="1"/>
  <c r="M110" i="1" s="1"/>
  <c r="L111" i="1"/>
  <c r="M111" i="1" s="1"/>
  <c r="L112" i="1"/>
  <c r="M112" i="1" s="1"/>
  <c r="L113" i="1"/>
  <c r="R113" i="1" s="1"/>
  <c r="L114" i="1"/>
  <c r="Q114" i="1" s="1"/>
  <c r="L115" i="1"/>
  <c r="M115" i="1" s="1"/>
  <c r="L116" i="1"/>
  <c r="S116" i="1" s="1"/>
  <c r="L117" i="1"/>
  <c r="M117" i="1" s="1"/>
  <c r="L118" i="1"/>
  <c r="S118" i="1" s="1"/>
  <c r="L119" i="1"/>
  <c r="M119" i="1" s="1"/>
  <c r="L120" i="1"/>
  <c r="R120" i="1" s="1"/>
  <c r="L121" i="1"/>
  <c r="R121" i="1" s="1"/>
  <c r="L122" i="1"/>
  <c r="M122" i="1" s="1"/>
  <c r="L123" i="1"/>
  <c r="M123" i="1" s="1"/>
  <c r="L124" i="1"/>
  <c r="M124" i="1" s="1"/>
  <c r="L125" i="1"/>
  <c r="M125" i="1" s="1"/>
  <c r="L126" i="1"/>
  <c r="M126" i="1" s="1"/>
  <c r="L127" i="1"/>
  <c r="M127" i="1" s="1"/>
  <c r="L128" i="1"/>
  <c r="R128" i="1" s="1"/>
  <c r="L129" i="1"/>
  <c r="R129" i="1" s="1"/>
  <c r="L130" i="1"/>
  <c r="Q130" i="1" s="1"/>
  <c r="L131" i="1"/>
  <c r="M131" i="1" s="1"/>
  <c r="L132" i="1"/>
  <c r="S132" i="1" s="1"/>
  <c r="L133" i="1"/>
  <c r="M133" i="1" s="1"/>
  <c r="L134" i="1"/>
  <c r="R134" i="1" s="1"/>
  <c r="L135" i="1"/>
  <c r="M135" i="1" s="1"/>
  <c r="L136" i="1"/>
  <c r="M136" i="1" s="1"/>
  <c r="L137" i="1"/>
  <c r="R137" i="1" s="1"/>
  <c r="L138" i="1"/>
  <c r="Q138" i="1" s="1"/>
  <c r="L139" i="1"/>
  <c r="M139" i="1" s="1"/>
  <c r="L140" i="1"/>
  <c r="M140" i="1" s="1"/>
  <c r="L141" i="1"/>
  <c r="M141" i="1" s="1"/>
  <c r="L142" i="1"/>
  <c r="M142" i="1" s="1"/>
  <c r="L143" i="1"/>
  <c r="M143" i="1" s="1"/>
  <c r="L144" i="1"/>
  <c r="M144" i="1" s="1"/>
  <c r="L145" i="1"/>
  <c r="R145" i="1" s="1"/>
  <c r="L146" i="1"/>
  <c r="S146" i="1" s="1"/>
  <c r="L147" i="1"/>
  <c r="M147" i="1" s="1"/>
  <c r="L148" i="1"/>
  <c r="Q148" i="1" s="1"/>
  <c r="L149" i="1"/>
  <c r="M149" i="1" s="1"/>
  <c r="L150" i="1"/>
  <c r="M150" i="1" s="1"/>
  <c r="L151" i="1"/>
  <c r="M151" i="1" s="1"/>
  <c r="L152" i="1"/>
  <c r="M152" i="1" s="1"/>
  <c r="L153" i="1"/>
  <c r="R153" i="1" s="1"/>
  <c r="L154" i="1"/>
  <c r="R154" i="1" s="1"/>
  <c r="L155" i="1"/>
  <c r="Q155" i="1" s="1"/>
  <c r="L156" i="1"/>
  <c r="M156" i="1" s="1"/>
  <c r="L157" i="1"/>
  <c r="M157" i="1" s="1"/>
  <c r="L158" i="1"/>
  <c r="M158" i="1" s="1"/>
  <c r="L159" i="1"/>
  <c r="M159" i="1" s="1"/>
  <c r="L160" i="1"/>
  <c r="R160" i="1" s="1"/>
  <c r="L161" i="1"/>
  <c r="R161" i="1" s="1"/>
  <c r="L162" i="1"/>
  <c r="Q162" i="1" s="1"/>
  <c r="L163" i="1"/>
  <c r="M163" i="1" s="1"/>
  <c r="L164" i="1"/>
  <c r="S164" i="1" s="1"/>
  <c r="L165" i="1"/>
  <c r="M165" i="1" s="1"/>
  <c r="L166" i="1"/>
  <c r="M166" i="1" s="1"/>
  <c r="L167" i="1"/>
  <c r="M167" i="1" s="1"/>
  <c r="L168" i="1"/>
  <c r="R168" i="1" s="1"/>
  <c r="L169" i="1"/>
  <c r="R169" i="1" s="1"/>
  <c r="L170" i="1"/>
  <c r="M170" i="1" s="1"/>
  <c r="L171" i="1"/>
  <c r="Q171" i="1" s="1"/>
  <c r="L172" i="1"/>
  <c r="M172" i="1" s="1"/>
  <c r="L173" i="1"/>
  <c r="M173" i="1" s="1"/>
  <c r="L174" i="1"/>
  <c r="M174" i="1" s="1"/>
  <c r="L175" i="1"/>
  <c r="M175" i="1" s="1"/>
  <c r="L176" i="1"/>
  <c r="M176" i="1" s="1"/>
  <c r="L177" i="1"/>
  <c r="R177" i="1" s="1"/>
  <c r="L178" i="1"/>
  <c r="Q178" i="1" s="1"/>
  <c r="L179" i="1"/>
  <c r="S179" i="1" s="1"/>
  <c r="L180" i="1"/>
  <c r="Q180" i="1" s="1"/>
  <c r="L181" i="1"/>
  <c r="M181" i="1" s="1"/>
  <c r="L182" i="1"/>
  <c r="M182" i="1" s="1"/>
  <c r="L183" i="1"/>
  <c r="M183" i="1" s="1"/>
  <c r="L184" i="1"/>
  <c r="R184" i="1" s="1"/>
  <c r="L185" i="1"/>
  <c r="R185" i="1" s="1"/>
  <c r="L186" i="1"/>
  <c r="M186" i="1" s="1"/>
  <c r="L187" i="1"/>
  <c r="R187" i="1" s="1"/>
  <c r="L188" i="1"/>
  <c r="M188" i="1" s="1"/>
  <c r="L189" i="1"/>
  <c r="M189" i="1" s="1"/>
  <c r="L190" i="1"/>
  <c r="M190" i="1" s="1"/>
  <c r="L191" i="1"/>
  <c r="M191" i="1" s="1"/>
  <c r="L192" i="1"/>
  <c r="R192" i="1" s="1"/>
  <c r="L193" i="1"/>
  <c r="R193" i="1" s="1"/>
  <c r="L194" i="1"/>
  <c r="Q194" i="1" s="1"/>
  <c r="L195" i="1"/>
  <c r="S195" i="1" s="1"/>
  <c r="L196" i="1"/>
  <c r="S196" i="1" s="1"/>
  <c r="L197" i="1"/>
  <c r="M197" i="1" s="1"/>
  <c r="L198" i="1"/>
  <c r="M198" i="1" s="1"/>
  <c r="L199" i="1"/>
  <c r="M199" i="1" s="1"/>
  <c r="L200" i="1"/>
  <c r="M200" i="1" s="1"/>
  <c r="L201" i="1"/>
  <c r="R201" i="1" s="1"/>
  <c r="L202" i="1"/>
  <c r="M202" i="1" s="1"/>
  <c r="L203" i="1"/>
  <c r="R203" i="1" s="1"/>
  <c r="L204" i="1"/>
  <c r="Q204" i="1" s="1"/>
  <c r="L205" i="1"/>
  <c r="M205" i="1" s="1"/>
  <c r="L206" i="1"/>
  <c r="M206" i="1" s="1"/>
  <c r="L207" i="1"/>
  <c r="M207" i="1" s="1"/>
  <c r="L208" i="1"/>
  <c r="M208" i="1" s="1"/>
  <c r="L209" i="1"/>
  <c r="R209" i="1" s="1"/>
  <c r="L210" i="1"/>
  <c r="S210" i="1" s="1"/>
  <c r="L211" i="1"/>
  <c r="M211" i="1" s="1"/>
  <c r="L212" i="1"/>
  <c r="R212" i="1" s="1"/>
  <c r="L213" i="1"/>
  <c r="M213" i="1" s="1"/>
  <c r="L214" i="1"/>
  <c r="M214" i="1" s="1"/>
  <c r="L215" i="1"/>
  <c r="M215" i="1" s="1"/>
  <c r="L216" i="1"/>
  <c r="M216" i="1" s="1"/>
  <c r="L217" i="1"/>
  <c r="R217" i="1" s="1"/>
  <c r="L218" i="1"/>
  <c r="R218" i="1" s="1"/>
  <c r="L219" i="1"/>
  <c r="Q219" i="1" s="1"/>
  <c r="L220" i="1"/>
  <c r="Q220" i="1" s="1"/>
  <c r="L221" i="1"/>
  <c r="M221" i="1" s="1"/>
  <c r="L222" i="1"/>
  <c r="M222" i="1" s="1"/>
  <c r="L223" i="1"/>
  <c r="M223" i="1" s="1"/>
  <c r="L224" i="1"/>
  <c r="R224" i="1" s="1"/>
  <c r="L225" i="1"/>
  <c r="R225" i="1" s="1"/>
  <c r="L226" i="1"/>
  <c r="Q226" i="1" s="1"/>
  <c r="L227" i="1"/>
  <c r="M227" i="1" s="1"/>
  <c r="L228" i="1"/>
  <c r="M228" i="1" s="1"/>
  <c r="L229" i="1"/>
  <c r="M229" i="1" s="1"/>
  <c r="L230" i="1"/>
  <c r="M230" i="1" s="1"/>
  <c r="L231" i="1"/>
  <c r="M231" i="1" s="1"/>
  <c r="L232" i="1"/>
  <c r="R232" i="1" s="1"/>
  <c r="L233" i="1"/>
  <c r="R233" i="1" s="1"/>
  <c r="L234" i="1"/>
  <c r="Q234" i="1" s="1"/>
  <c r="L235" i="1"/>
  <c r="S235" i="1" s="1"/>
  <c r="L236" i="1"/>
  <c r="Q236" i="1" s="1"/>
  <c r="L237" i="1"/>
  <c r="M237" i="1" s="1"/>
  <c r="L238" i="1"/>
  <c r="M238" i="1" s="1"/>
  <c r="L239" i="1"/>
  <c r="M239" i="1" s="1"/>
  <c r="L240" i="1"/>
  <c r="M240" i="1" s="1"/>
  <c r="L241" i="1"/>
  <c r="R241" i="1" s="1"/>
  <c r="L242" i="1"/>
  <c r="S242" i="1" s="1"/>
  <c r="L243" i="1"/>
  <c r="M243" i="1" s="1"/>
  <c r="L244" i="1"/>
  <c r="R244" i="1" s="1"/>
  <c r="L245" i="1"/>
  <c r="M245" i="1" s="1"/>
  <c r="L246" i="1"/>
  <c r="M246" i="1" s="1"/>
  <c r="L247" i="1"/>
  <c r="M247" i="1" s="1"/>
  <c r="L248" i="1"/>
  <c r="R248" i="1" s="1"/>
  <c r="L249" i="1"/>
  <c r="R249" i="1" s="1"/>
  <c r="L250" i="1"/>
  <c r="M250" i="1" s="1"/>
  <c r="L251" i="1"/>
  <c r="M251" i="1" s="1"/>
  <c r="L252" i="1"/>
  <c r="M252" i="1" s="1"/>
  <c r="L253" i="1"/>
  <c r="M253" i="1" s="1"/>
  <c r="L254" i="1"/>
  <c r="M254" i="1" s="1"/>
  <c r="L255" i="1"/>
  <c r="M255" i="1" s="1"/>
  <c r="L256" i="1"/>
  <c r="M256" i="1" s="1"/>
  <c r="L257" i="1"/>
  <c r="R257" i="1" s="1"/>
  <c r="L258" i="1"/>
  <c r="R258" i="1" s="1"/>
  <c r="L259" i="1"/>
  <c r="M259" i="1" s="1"/>
  <c r="L260" i="1"/>
  <c r="Q260" i="1" s="1"/>
  <c r="L261" i="1"/>
  <c r="M261" i="1" s="1"/>
  <c r="L262" i="1"/>
  <c r="R262" i="1" s="1"/>
  <c r="L263" i="1"/>
  <c r="M263" i="1" s="1"/>
  <c r="L264" i="1"/>
  <c r="R264" i="1" s="1"/>
  <c r="L265" i="1"/>
  <c r="R265" i="1" s="1"/>
  <c r="L266" i="1"/>
  <c r="M266" i="1" s="1"/>
  <c r="L267" i="1"/>
  <c r="M267" i="1" s="1"/>
  <c r="L268" i="1"/>
  <c r="Q268" i="1" s="1"/>
  <c r="L269" i="1"/>
  <c r="M269" i="1" s="1"/>
  <c r="L270" i="1"/>
  <c r="R270" i="1" s="1"/>
  <c r="L271" i="1"/>
  <c r="M271" i="1" s="1"/>
  <c r="L272" i="1"/>
  <c r="M272" i="1" s="1"/>
  <c r="L273" i="1"/>
  <c r="R273" i="1" s="1"/>
  <c r="L274" i="1"/>
  <c r="S274" i="1" s="1"/>
  <c r="L275" i="1"/>
  <c r="M275" i="1" s="1"/>
  <c r="L276" i="1"/>
  <c r="Q276" i="1" s="1"/>
  <c r="L277" i="1"/>
  <c r="M277" i="1" s="1"/>
  <c r="L278" i="1"/>
  <c r="M278" i="1" s="1"/>
  <c r="L279" i="1"/>
  <c r="M279" i="1" s="1"/>
  <c r="L280" i="1"/>
  <c r="R280" i="1" s="1"/>
  <c r="L281" i="1"/>
  <c r="R281" i="1" s="1"/>
  <c r="L282" i="1"/>
  <c r="R282" i="1" s="1"/>
  <c r="L283" i="1"/>
  <c r="M283" i="1" s="1"/>
  <c r="L284" i="1"/>
  <c r="M284" i="1" s="1"/>
  <c r="L285" i="1"/>
  <c r="M285" i="1" s="1"/>
  <c r="L286" i="1"/>
  <c r="M286" i="1" s="1"/>
  <c r="L287" i="1"/>
  <c r="M287" i="1" s="1"/>
  <c r="L288" i="1"/>
  <c r="M288" i="1" s="1"/>
  <c r="L289" i="1"/>
  <c r="R289" i="1" s="1"/>
  <c r="L290" i="1"/>
  <c r="M290" i="1" s="1"/>
  <c r="L291" i="1"/>
  <c r="M291" i="1" s="1"/>
  <c r="L292" i="1"/>
  <c r="S292" i="1" s="1"/>
  <c r="L293" i="1"/>
  <c r="M293" i="1" s="1"/>
  <c r="L294" i="1"/>
  <c r="Q294" i="1" s="1"/>
  <c r="L295" i="1"/>
  <c r="M295" i="1" s="1"/>
  <c r="L296" i="1"/>
  <c r="R296" i="1" s="1"/>
  <c r="L297" i="1"/>
  <c r="R297" i="1" s="1"/>
  <c r="L298" i="1"/>
  <c r="Q298" i="1" s="1"/>
  <c r="L299" i="1"/>
  <c r="M299" i="1" s="1"/>
  <c r="L300" i="1"/>
  <c r="S300" i="1" s="1"/>
  <c r="L301" i="1"/>
  <c r="M301" i="1" s="1"/>
  <c r="L302" i="1"/>
  <c r="Q302" i="1" s="1"/>
  <c r="L303" i="1"/>
  <c r="M303" i="1" s="1"/>
  <c r="L304" i="1"/>
  <c r="M304" i="1" s="1"/>
  <c r="L305" i="1"/>
  <c r="R305" i="1" s="1"/>
  <c r="L306" i="1"/>
  <c r="S306" i="1" s="1"/>
  <c r="L307" i="1"/>
  <c r="M307" i="1" s="1"/>
  <c r="L308" i="1"/>
  <c r="Q308" i="1" s="1"/>
  <c r="L309" i="1"/>
  <c r="M309" i="1" s="1"/>
  <c r="L310" i="1"/>
  <c r="M310" i="1" s="1"/>
  <c r="L311" i="1"/>
  <c r="M311" i="1" s="1"/>
  <c r="L312" i="1"/>
  <c r="R312" i="1" s="1"/>
  <c r="L313" i="1"/>
  <c r="R313" i="1" s="1"/>
  <c r="L314" i="1"/>
  <c r="M314" i="1" s="1"/>
  <c r="L315" i="1"/>
  <c r="M315" i="1" s="1"/>
  <c r="L316" i="1"/>
  <c r="Q316" i="1" s="1"/>
  <c r="L317" i="1"/>
  <c r="M317" i="1" s="1"/>
  <c r="L318" i="1"/>
  <c r="Q318" i="1" s="1"/>
  <c r="L319" i="1"/>
  <c r="M319" i="1" s="1"/>
  <c r="L320" i="1"/>
  <c r="M320" i="1" s="1"/>
  <c r="L321" i="1"/>
  <c r="R321" i="1" s="1"/>
  <c r="L322" i="1"/>
  <c r="R322" i="1" s="1"/>
  <c r="L323" i="1"/>
  <c r="M323" i="1" s="1"/>
  <c r="L324" i="1"/>
  <c r="Q324" i="1" s="1"/>
  <c r="L325" i="1"/>
  <c r="M325" i="1" s="1"/>
  <c r="L326" i="1"/>
  <c r="R326" i="1" s="1"/>
  <c r="L327" i="1"/>
  <c r="M327" i="1" s="1"/>
  <c r="L328" i="1"/>
  <c r="R328" i="1" s="1"/>
  <c r="L329" i="1"/>
  <c r="R329" i="1" s="1"/>
  <c r="L330" i="1"/>
  <c r="M330" i="1" s="1"/>
  <c r="L331" i="1"/>
  <c r="M331" i="1" s="1"/>
  <c r="L332" i="1"/>
  <c r="Q332" i="1" s="1"/>
  <c r="L333" i="1"/>
  <c r="M333" i="1" s="1"/>
  <c r="L334" i="1"/>
  <c r="R334" i="1" s="1"/>
  <c r="L335" i="1"/>
  <c r="M335" i="1" s="1"/>
  <c r="L336" i="1"/>
  <c r="M336" i="1" s="1"/>
  <c r="L337" i="1"/>
  <c r="R337" i="1" s="1"/>
  <c r="L338" i="1"/>
  <c r="M338" i="1" s="1"/>
  <c r="L339" i="1"/>
  <c r="M339" i="1" s="1"/>
  <c r="L340" i="1"/>
  <c r="M340" i="1" s="1"/>
  <c r="L341" i="1"/>
  <c r="M341" i="1" s="1"/>
  <c r="L342" i="1"/>
  <c r="S342" i="1" s="1"/>
  <c r="L343" i="1"/>
  <c r="M343" i="1" s="1"/>
  <c r="L344" i="1"/>
  <c r="R344" i="1" s="1"/>
  <c r="L345" i="1"/>
  <c r="R345" i="1" s="1"/>
  <c r="L346" i="1"/>
  <c r="R346" i="1" s="1"/>
  <c r="M11" i="1"/>
  <c r="M12" i="1"/>
  <c r="P9" i="1"/>
  <c r="P10" i="1"/>
  <c r="P11" i="1"/>
  <c r="P12" i="1"/>
  <c r="P13" i="1"/>
  <c r="P14" i="1"/>
  <c r="P15" i="1"/>
  <c r="P16" i="1"/>
  <c r="P17" i="1"/>
  <c r="P18" i="1"/>
  <c r="P19" i="1"/>
  <c r="P20" i="1"/>
  <c r="P21" i="1"/>
  <c r="P22" i="1"/>
  <c r="P23" i="1"/>
  <c r="P24" i="1"/>
  <c r="P25" i="1"/>
  <c r="P26" i="1"/>
  <c r="P27" i="1"/>
  <c r="P28" i="1"/>
  <c r="P29" i="1"/>
  <c r="P30" i="1"/>
  <c r="P31" i="1"/>
  <c r="P32" i="1"/>
  <c r="P33" i="1"/>
  <c r="P34" i="1"/>
  <c r="P35" i="1"/>
  <c r="P36" i="1"/>
  <c r="P37" i="1"/>
  <c r="P38" i="1"/>
  <c r="P39" i="1"/>
  <c r="P40" i="1"/>
  <c r="P41" i="1"/>
  <c r="P42" i="1"/>
  <c r="P43" i="1"/>
  <c r="P44" i="1"/>
  <c r="P45" i="1"/>
  <c r="P46" i="1"/>
  <c r="P47" i="1"/>
  <c r="P48" i="1"/>
  <c r="P49" i="1"/>
  <c r="P50" i="1"/>
  <c r="P51" i="1"/>
  <c r="P52" i="1"/>
  <c r="P53" i="1"/>
  <c r="P54" i="1"/>
  <c r="P55" i="1"/>
  <c r="P56" i="1"/>
  <c r="P57" i="1"/>
  <c r="P58" i="1"/>
  <c r="P59" i="1"/>
  <c r="P60" i="1"/>
  <c r="P61" i="1"/>
  <c r="P62" i="1"/>
  <c r="P63" i="1"/>
  <c r="P64" i="1"/>
  <c r="P65" i="1"/>
  <c r="P66" i="1"/>
  <c r="P67" i="1"/>
  <c r="P68" i="1"/>
  <c r="P69" i="1"/>
  <c r="P70" i="1"/>
  <c r="P71" i="1"/>
  <c r="P72" i="1"/>
  <c r="P73" i="1"/>
  <c r="P74" i="1"/>
  <c r="P75" i="1"/>
  <c r="P76" i="1"/>
  <c r="P77" i="1"/>
  <c r="P78" i="1"/>
  <c r="P79" i="1"/>
  <c r="P80" i="1"/>
  <c r="P81" i="1"/>
  <c r="P82" i="1"/>
  <c r="P83" i="1"/>
  <c r="P84" i="1"/>
  <c r="P85" i="1"/>
  <c r="P86" i="1"/>
  <c r="P87" i="1"/>
  <c r="P88" i="1"/>
  <c r="P89" i="1"/>
  <c r="P90" i="1"/>
  <c r="P91" i="1"/>
  <c r="P92" i="1"/>
  <c r="P93" i="1"/>
  <c r="P94" i="1"/>
  <c r="P95" i="1"/>
  <c r="P96" i="1"/>
  <c r="P97" i="1"/>
  <c r="P98" i="1"/>
  <c r="P99" i="1"/>
  <c r="P100" i="1"/>
  <c r="P101" i="1"/>
  <c r="P102" i="1"/>
  <c r="P103" i="1"/>
  <c r="P104" i="1"/>
  <c r="P105" i="1"/>
  <c r="P106" i="1"/>
  <c r="P107" i="1"/>
  <c r="P108" i="1"/>
  <c r="P109" i="1"/>
  <c r="P110" i="1"/>
  <c r="P111" i="1"/>
  <c r="P112" i="1"/>
  <c r="P113" i="1"/>
  <c r="P114" i="1"/>
  <c r="P115" i="1"/>
  <c r="P116" i="1"/>
  <c r="P117" i="1"/>
  <c r="P118" i="1"/>
  <c r="P119" i="1"/>
  <c r="P120" i="1"/>
  <c r="P121" i="1"/>
  <c r="P122" i="1"/>
  <c r="P123" i="1"/>
  <c r="P124" i="1"/>
  <c r="P125" i="1"/>
  <c r="P126" i="1"/>
  <c r="P127" i="1"/>
  <c r="P128" i="1"/>
  <c r="P129" i="1"/>
  <c r="P130" i="1"/>
  <c r="P131" i="1"/>
  <c r="P132" i="1"/>
  <c r="P133" i="1"/>
  <c r="P134" i="1"/>
  <c r="P135" i="1"/>
  <c r="P136" i="1"/>
  <c r="P137" i="1"/>
  <c r="P138" i="1"/>
  <c r="P139" i="1"/>
  <c r="P140" i="1"/>
  <c r="P141" i="1"/>
  <c r="P142" i="1"/>
  <c r="P143" i="1"/>
  <c r="P144" i="1"/>
  <c r="P145" i="1"/>
  <c r="P146" i="1"/>
  <c r="P147" i="1"/>
  <c r="P148" i="1"/>
  <c r="P149" i="1"/>
  <c r="P150" i="1"/>
  <c r="P151" i="1"/>
  <c r="P152" i="1"/>
  <c r="P153" i="1"/>
  <c r="P154" i="1"/>
  <c r="P155" i="1"/>
  <c r="P156" i="1"/>
  <c r="P157" i="1"/>
  <c r="P158" i="1"/>
  <c r="P159" i="1"/>
  <c r="P160" i="1"/>
  <c r="P161" i="1"/>
  <c r="P162" i="1"/>
  <c r="P163" i="1"/>
  <c r="P164" i="1"/>
  <c r="P165" i="1"/>
  <c r="P166" i="1"/>
  <c r="P167" i="1"/>
  <c r="P168" i="1"/>
  <c r="P169" i="1"/>
  <c r="P170" i="1"/>
  <c r="P171" i="1"/>
  <c r="P172" i="1"/>
  <c r="P173" i="1"/>
  <c r="P174" i="1"/>
  <c r="P175" i="1"/>
  <c r="P176" i="1"/>
  <c r="P177" i="1"/>
  <c r="P178" i="1"/>
  <c r="P179" i="1"/>
  <c r="P180" i="1"/>
  <c r="P181" i="1"/>
  <c r="P182" i="1"/>
  <c r="P183" i="1"/>
  <c r="P184" i="1"/>
  <c r="P185" i="1"/>
  <c r="P186" i="1"/>
  <c r="P187" i="1"/>
  <c r="P188" i="1"/>
  <c r="P189" i="1"/>
  <c r="P190" i="1"/>
  <c r="P191" i="1"/>
  <c r="P192" i="1"/>
  <c r="P193" i="1"/>
  <c r="P194" i="1"/>
  <c r="P195" i="1"/>
  <c r="P196" i="1"/>
  <c r="P197" i="1"/>
  <c r="P198" i="1"/>
  <c r="P199" i="1"/>
  <c r="P200" i="1"/>
  <c r="P201" i="1"/>
  <c r="P202" i="1"/>
  <c r="P203" i="1"/>
  <c r="P204" i="1"/>
  <c r="P205" i="1"/>
  <c r="P206" i="1"/>
  <c r="P207" i="1"/>
  <c r="P208" i="1"/>
  <c r="P209" i="1"/>
  <c r="P210" i="1"/>
  <c r="P211" i="1"/>
  <c r="P212" i="1"/>
  <c r="P213" i="1"/>
  <c r="P214" i="1"/>
  <c r="P215" i="1"/>
  <c r="P216" i="1"/>
  <c r="P217" i="1"/>
  <c r="P218" i="1"/>
  <c r="P219" i="1"/>
  <c r="P220" i="1"/>
  <c r="P221" i="1"/>
  <c r="P222" i="1"/>
  <c r="P223" i="1"/>
  <c r="P224" i="1"/>
  <c r="P225" i="1"/>
  <c r="P226" i="1"/>
  <c r="P227" i="1"/>
  <c r="P228" i="1"/>
  <c r="P229" i="1"/>
  <c r="P230" i="1"/>
  <c r="P231" i="1"/>
  <c r="P232" i="1"/>
  <c r="P233" i="1"/>
  <c r="P234" i="1"/>
  <c r="P235" i="1"/>
  <c r="P236" i="1"/>
  <c r="P237" i="1"/>
  <c r="P238" i="1"/>
  <c r="P239" i="1"/>
  <c r="P240" i="1"/>
  <c r="P241" i="1"/>
  <c r="P242" i="1"/>
  <c r="P243" i="1"/>
  <c r="P244" i="1"/>
  <c r="P245" i="1"/>
  <c r="P246" i="1"/>
  <c r="P247" i="1"/>
  <c r="P248" i="1"/>
  <c r="P249" i="1"/>
  <c r="P250" i="1"/>
  <c r="P251" i="1"/>
  <c r="P252" i="1"/>
  <c r="P253" i="1"/>
  <c r="P254" i="1"/>
  <c r="P255" i="1"/>
  <c r="P256" i="1"/>
  <c r="P257" i="1"/>
  <c r="P258" i="1"/>
  <c r="P259" i="1"/>
  <c r="P260" i="1"/>
  <c r="P261" i="1"/>
  <c r="P262" i="1"/>
  <c r="P263" i="1"/>
  <c r="P264" i="1"/>
  <c r="P265" i="1"/>
  <c r="P266" i="1"/>
  <c r="P267" i="1"/>
  <c r="P268" i="1"/>
  <c r="P269" i="1"/>
  <c r="P270" i="1"/>
  <c r="P271" i="1"/>
  <c r="P272" i="1"/>
  <c r="P273" i="1"/>
  <c r="P274" i="1"/>
  <c r="P275" i="1"/>
  <c r="P276" i="1"/>
  <c r="P277" i="1"/>
  <c r="P278" i="1"/>
  <c r="P279" i="1"/>
  <c r="P280" i="1"/>
  <c r="P281" i="1"/>
  <c r="P282" i="1"/>
  <c r="P283" i="1"/>
  <c r="P284" i="1"/>
  <c r="P285" i="1"/>
  <c r="P286" i="1"/>
  <c r="P287" i="1"/>
  <c r="P288" i="1"/>
  <c r="P289" i="1"/>
  <c r="P290" i="1"/>
  <c r="P291" i="1"/>
  <c r="P292" i="1"/>
  <c r="P293" i="1"/>
  <c r="P294" i="1"/>
  <c r="P295" i="1"/>
  <c r="P296" i="1"/>
  <c r="P297" i="1"/>
  <c r="P298" i="1"/>
  <c r="P299" i="1"/>
  <c r="P300" i="1"/>
  <c r="P301" i="1"/>
  <c r="P302" i="1"/>
  <c r="P303" i="1"/>
  <c r="P304" i="1"/>
  <c r="P305" i="1"/>
  <c r="P306" i="1"/>
  <c r="P307" i="1"/>
  <c r="P308" i="1"/>
  <c r="P309" i="1"/>
  <c r="P310" i="1"/>
  <c r="P311" i="1"/>
  <c r="P312" i="1"/>
  <c r="P313" i="1"/>
  <c r="P314" i="1"/>
  <c r="P315" i="1"/>
  <c r="P316" i="1"/>
  <c r="P317" i="1"/>
  <c r="P318" i="1"/>
  <c r="P319" i="1"/>
  <c r="P320" i="1"/>
  <c r="P321" i="1"/>
  <c r="P322" i="1"/>
  <c r="P323" i="1"/>
  <c r="P324" i="1"/>
  <c r="P325" i="1"/>
  <c r="P326" i="1"/>
  <c r="P327" i="1"/>
  <c r="P328" i="1"/>
  <c r="P329" i="1"/>
  <c r="P330" i="1"/>
  <c r="P331" i="1"/>
  <c r="P332" i="1"/>
  <c r="P333" i="1"/>
  <c r="P334" i="1"/>
  <c r="P335" i="1"/>
  <c r="P336" i="1"/>
  <c r="P337" i="1"/>
  <c r="P338" i="1"/>
  <c r="P339" i="1"/>
  <c r="P340" i="1"/>
  <c r="P341" i="1"/>
  <c r="P342" i="1"/>
  <c r="P343" i="1"/>
  <c r="P344" i="1"/>
  <c r="P345" i="1"/>
  <c r="P346" i="1"/>
  <c r="W9" i="1"/>
  <c r="W10" i="1"/>
  <c r="W11" i="1"/>
  <c r="W12" i="1"/>
  <c r="W13" i="1"/>
  <c r="W14" i="1"/>
  <c r="W15" i="1"/>
  <c r="W16" i="1"/>
  <c r="W17" i="1"/>
  <c r="W18" i="1"/>
  <c r="W19" i="1"/>
  <c r="W20" i="1"/>
  <c r="W21" i="1"/>
  <c r="W22" i="1"/>
  <c r="W23" i="1"/>
  <c r="W24" i="1"/>
  <c r="W25" i="1"/>
  <c r="W26" i="1"/>
  <c r="W27" i="1"/>
  <c r="W28" i="1"/>
  <c r="W29" i="1"/>
  <c r="W30" i="1"/>
  <c r="W31" i="1"/>
  <c r="W32" i="1"/>
  <c r="W33" i="1"/>
  <c r="W34" i="1"/>
  <c r="W35" i="1"/>
  <c r="W36" i="1"/>
  <c r="W37" i="1"/>
  <c r="W38" i="1"/>
  <c r="W39" i="1"/>
  <c r="W40" i="1"/>
  <c r="W41" i="1"/>
  <c r="W42" i="1"/>
  <c r="W43" i="1"/>
  <c r="W44" i="1"/>
  <c r="W45" i="1"/>
  <c r="W46" i="1"/>
  <c r="W47" i="1"/>
  <c r="W48" i="1"/>
  <c r="W49" i="1"/>
  <c r="W50" i="1"/>
  <c r="W51" i="1"/>
  <c r="W52" i="1"/>
  <c r="W53" i="1"/>
  <c r="W54" i="1"/>
  <c r="W55" i="1"/>
  <c r="W56" i="1"/>
  <c r="W57" i="1"/>
  <c r="W58" i="1"/>
  <c r="W59" i="1"/>
  <c r="W60" i="1"/>
  <c r="W61" i="1"/>
  <c r="W62" i="1"/>
  <c r="W63" i="1"/>
  <c r="W64" i="1"/>
  <c r="W65" i="1"/>
  <c r="W66" i="1"/>
  <c r="W67" i="1"/>
  <c r="W68" i="1"/>
  <c r="W69" i="1"/>
  <c r="W70" i="1"/>
  <c r="W71" i="1"/>
  <c r="W72" i="1"/>
  <c r="W73" i="1"/>
  <c r="W74" i="1"/>
  <c r="W75" i="1"/>
  <c r="W76" i="1"/>
  <c r="W77" i="1"/>
  <c r="W78" i="1"/>
  <c r="W79" i="1"/>
  <c r="W80" i="1"/>
  <c r="W81" i="1"/>
  <c r="W82" i="1"/>
  <c r="W83" i="1"/>
  <c r="W84" i="1"/>
  <c r="W85" i="1"/>
  <c r="W86" i="1"/>
  <c r="W87" i="1"/>
  <c r="W88" i="1"/>
  <c r="W89" i="1"/>
  <c r="W90" i="1"/>
  <c r="W91" i="1"/>
  <c r="W92" i="1"/>
  <c r="W93" i="1"/>
  <c r="W94" i="1"/>
  <c r="W95" i="1"/>
  <c r="W96" i="1"/>
  <c r="W97" i="1"/>
  <c r="W98" i="1"/>
  <c r="W99" i="1"/>
  <c r="W100" i="1"/>
  <c r="W101" i="1"/>
  <c r="W102" i="1"/>
  <c r="W103" i="1"/>
  <c r="W104" i="1"/>
  <c r="W105" i="1"/>
  <c r="W106" i="1"/>
  <c r="W107" i="1"/>
  <c r="W108" i="1"/>
  <c r="W109" i="1"/>
  <c r="W110" i="1"/>
  <c r="W111" i="1"/>
  <c r="W112" i="1"/>
  <c r="W113" i="1"/>
  <c r="W114" i="1"/>
  <c r="W115" i="1"/>
  <c r="W116" i="1"/>
  <c r="W117" i="1"/>
  <c r="W118" i="1"/>
  <c r="W119" i="1"/>
  <c r="W120" i="1"/>
  <c r="W121" i="1"/>
  <c r="W122" i="1"/>
  <c r="W123" i="1"/>
  <c r="W124" i="1"/>
  <c r="W125" i="1"/>
  <c r="W126" i="1"/>
  <c r="W127" i="1"/>
  <c r="W128" i="1"/>
  <c r="W129" i="1"/>
  <c r="W130" i="1"/>
  <c r="W131" i="1"/>
  <c r="W132" i="1"/>
  <c r="W133" i="1"/>
  <c r="W134" i="1"/>
  <c r="W135" i="1"/>
  <c r="W136" i="1"/>
  <c r="W137" i="1"/>
  <c r="W138" i="1"/>
  <c r="W139" i="1"/>
  <c r="W140" i="1"/>
  <c r="W141" i="1"/>
  <c r="W142" i="1"/>
  <c r="W143" i="1"/>
  <c r="W144" i="1"/>
  <c r="W145" i="1"/>
  <c r="W146" i="1"/>
  <c r="W147" i="1"/>
  <c r="W148" i="1"/>
  <c r="W149" i="1"/>
  <c r="W150" i="1"/>
  <c r="W151" i="1"/>
  <c r="W152" i="1"/>
  <c r="W153" i="1"/>
  <c r="W154" i="1"/>
  <c r="W155" i="1"/>
  <c r="W156" i="1"/>
  <c r="W157" i="1"/>
  <c r="W158" i="1"/>
  <c r="W159" i="1"/>
  <c r="W160" i="1"/>
  <c r="W161" i="1"/>
  <c r="W162" i="1"/>
  <c r="W163" i="1"/>
  <c r="W164" i="1"/>
  <c r="W165" i="1"/>
  <c r="W166" i="1"/>
  <c r="W167" i="1"/>
  <c r="W168" i="1"/>
  <c r="W169" i="1"/>
  <c r="W170" i="1"/>
  <c r="W171" i="1"/>
  <c r="W172" i="1"/>
  <c r="W173" i="1"/>
  <c r="W174" i="1"/>
  <c r="W175" i="1"/>
  <c r="W176" i="1"/>
  <c r="W177" i="1"/>
  <c r="W178" i="1"/>
  <c r="W179" i="1"/>
  <c r="W180" i="1"/>
  <c r="W181" i="1"/>
  <c r="W182" i="1"/>
  <c r="W183" i="1"/>
  <c r="W184" i="1"/>
  <c r="W185" i="1"/>
  <c r="W186" i="1"/>
  <c r="W187" i="1"/>
  <c r="W188" i="1"/>
  <c r="W189" i="1"/>
  <c r="W190" i="1"/>
  <c r="W191" i="1"/>
  <c r="W192" i="1"/>
  <c r="W193" i="1"/>
  <c r="W194" i="1"/>
  <c r="W195" i="1"/>
  <c r="W196" i="1"/>
  <c r="W197" i="1"/>
  <c r="W198" i="1"/>
  <c r="W199" i="1"/>
  <c r="W200" i="1"/>
  <c r="W201" i="1"/>
  <c r="W202" i="1"/>
  <c r="W203" i="1"/>
  <c r="W204" i="1"/>
  <c r="W205" i="1"/>
  <c r="W206" i="1"/>
  <c r="W207" i="1"/>
  <c r="W208" i="1"/>
  <c r="W209" i="1"/>
  <c r="W210" i="1"/>
  <c r="W211" i="1"/>
  <c r="W212" i="1"/>
  <c r="W213" i="1"/>
  <c r="W214" i="1"/>
  <c r="W215" i="1"/>
  <c r="W216" i="1"/>
  <c r="W217" i="1"/>
  <c r="W218" i="1"/>
  <c r="W219" i="1"/>
  <c r="W220" i="1"/>
  <c r="W221" i="1"/>
  <c r="W222" i="1"/>
  <c r="W223" i="1"/>
  <c r="W224" i="1"/>
  <c r="W225" i="1"/>
  <c r="W226" i="1"/>
  <c r="W227" i="1"/>
  <c r="W228" i="1"/>
  <c r="W229" i="1"/>
  <c r="W230" i="1"/>
  <c r="W231" i="1"/>
  <c r="W232" i="1"/>
  <c r="W233" i="1"/>
  <c r="W234" i="1"/>
  <c r="W235" i="1"/>
  <c r="W236" i="1"/>
  <c r="W237" i="1"/>
  <c r="W238" i="1"/>
  <c r="W239" i="1"/>
  <c r="W240" i="1"/>
  <c r="W241" i="1"/>
  <c r="W242" i="1"/>
  <c r="W243" i="1"/>
  <c r="W244" i="1"/>
  <c r="W245" i="1"/>
  <c r="W246" i="1"/>
  <c r="W247" i="1"/>
  <c r="W248" i="1"/>
  <c r="W249" i="1"/>
  <c r="W250" i="1"/>
  <c r="W251" i="1"/>
  <c r="W252" i="1"/>
  <c r="W253" i="1"/>
  <c r="W254" i="1"/>
  <c r="W255" i="1"/>
  <c r="W256" i="1"/>
  <c r="W257" i="1"/>
  <c r="W258" i="1"/>
  <c r="W259" i="1"/>
  <c r="W260" i="1"/>
  <c r="W261" i="1"/>
  <c r="W262" i="1"/>
  <c r="W263" i="1"/>
  <c r="W264" i="1"/>
  <c r="W265" i="1"/>
  <c r="W266" i="1"/>
  <c r="W267" i="1"/>
  <c r="W268" i="1"/>
  <c r="W269" i="1"/>
  <c r="W270" i="1"/>
  <c r="W271" i="1"/>
  <c r="W272" i="1"/>
  <c r="W273" i="1"/>
  <c r="W274" i="1"/>
  <c r="W275" i="1"/>
  <c r="W276" i="1"/>
  <c r="W277" i="1"/>
  <c r="W278" i="1"/>
  <c r="W279" i="1"/>
  <c r="W280" i="1"/>
  <c r="W281" i="1"/>
  <c r="W282" i="1"/>
  <c r="W283" i="1"/>
  <c r="W284" i="1"/>
  <c r="W285" i="1"/>
  <c r="W286" i="1"/>
  <c r="W287" i="1"/>
  <c r="W288" i="1"/>
  <c r="W289" i="1"/>
  <c r="W290" i="1"/>
  <c r="W291" i="1"/>
  <c r="W292" i="1"/>
  <c r="W293" i="1"/>
  <c r="W294" i="1"/>
  <c r="W295" i="1"/>
  <c r="W296" i="1"/>
  <c r="W297" i="1"/>
  <c r="W298" i="1"/>
  <c r="W299" i="1"/>
  <c r="W300" i="1"/>
  <c r="W301" i="1"/>
  <c r="W302" i="1"/>
  <c r="W303" i="1"/>
  <c r="W304" i="1"/>
  <c r="W305" i="1"/>
  <c r="W306" i="1"/>
  <c r="W307" i="1"/>
  <c r="W308" i="1"/>
  <c r="W309" i="1"/>
  <c r="W310" i="1"/>
  <c r="W311" i="1"/>
  <c r="W312" i="1"/>
  <c r="W313" i="1"/>
  <c r="W314" i="1"/>
  <c r="W315" i="1"/>
  <c r="W316" i="1"/>
  <c r="W317" i="1"/>
  <c r="W318" i="1"/>
  <c r="W319" i="1"/>
  <c r="W320" i="1"/>
  <c r="W321" i="1"/>
  <c r="W322" i="1"/>
  <c r="W323" i="1"/>
  <c r="W324" i="1"/>
  <c r="W325" i="1"/>
  <c r="W326" i="1"/>
  <c r="W327" i="1"/>
  <c r="W328" i="1"/>
  <c r="W329" i="1"/>
  <c r="W330" i="1"/>
  <c r="W331" i="1"/>
  <c r="W332" i="1"/>
  <c r="W333" i="1"/>
  <c r="W334" i="1"/>
  <c r="W335" i="1"/>
  <c r="W336" i="1"/>
  <c r="W337" i="1"/>
  <c r="W338" i="1"/>
  <c r="W339" i="1"/>
  <c r="W340" i="1"/>
  <c r="W341" i="1"/>
  <c r="W342" i="1"/>
  <c r="W343" i="1"/>
  <c r="W344" i="1"/>
  <c r="W345" i="1"/>
  <c r="W346" i="1"/>
  <c r="AL9" i="1"/>
  <c r="AL10" i="1"/>
  <c r="AM10" i="1" s="1"/>
  <c r="AL11" i="1"/>
  <c r="AL12" i="1"/>
  <c r="AL13" i="1"/>
  <c r="AL14" i="1"/>
  <c r="AM14" i="1" s="1"/>
  <c r="AL15" i="1"/>
  <c r="AM15" i="1" s="1"/>
  <c r="AL16" i="1"/>
  <c r="AM16" i="1" s="1"/>
  <c r="AL17" i="1"/>
  <c r="AM17" i="1" s="1"/>
  <c r="AL18" i="1"/>
  <c r="AM18" i="1" s="1"/>
  <c r="AL19" i="1"/>
  <c r="AM19" i="1" s="1"/>
  <c r="AL20" i="1"/>
  <c r="AM20" i="1" s="1"/>
  <c r="AL21" i="1"/>
  <c r="AM21" i="1" s="1"/>
  <c r="AL22" i="1"/>
  <c r="AL23" i="1"/>
  <c r="AM23" i="1" s="1"/>
  <c r="AL24" i="1"/>
  <c r="AM24" i="1" s="1"/>
  <c r="AL25" i="1"/>
  <c r="AM25" i="1" s="1"/>
  <c r="AL26" i="1"/>
  <c r="AM26" i="1" s="1"/>
  <c r="AL27" i="1"/>
  <c r="AM27" i="1" s="1"/>
  <c r="AL28" i="1"/>
  <c r="AM28" i="1" s="1"/>
  <c r="AL29" i="1"/>
  <c r="AM29" i="1" s="1"/>
  <c r="AL30" i="1"/>
  <c r="AL31" i="1"/>
  <c r="AM31" i="1" s="1"/>
  <c r="AL32" i="1"/>
  <c r="AM32" i="1" s="1"/>
  <c r="AL33" i="1"/>
  <c r="AM33" i="1" s="1"/>
  <c r="AL34" i="1"/>
  <c r="AM34" i="1" s="1"/>
  <c r="AL35" i="1"/>
  <c r="AM35" i="1" s="1"/>
  <c r="AL36" i="1"/>
  <c r="AM36" i="1" s="1"/>
  <c r="AL37" i="1"/>
  <c r="AM37" i="1" s="1"/>
  <c r="AL38" i="1"/>
  <c r="AL39" i="1"/>
  <c r="AM39" i="1" s="1"/>
  <c r="AL40" i="1"/>
  <c r="AM40" i="1" s="1"/>
  <c r="AL41" i="1"/>
  <c r="AM41" i="1" s="1"/>
  <c r="AL42" i="1"/>
  <c r="AM42" i="1" s="1"/>
  <c r="AL43" i="1"/>
  <c r="AM43" i="1" s="1"/>
  <c r="AL44" i="1"/>
  <c r="AM44" i="1" s="1"/>
  <c r="AL45" i="1"/>
  <c r="AM45" i="1" s="1"/>
  <c r="AL46" i="1"/>
  <c r="AL47" i="1"/>
  <c r="AM47" i="1" s="1"/>
  <c r="AL48" i="1"/>
  <c r="AM48" i="1" s="1"/>
  <c r="AL49" i="1"/>
  <c r="AM49" i="1" s="1"/>
  <c r="AL50" i="1"/>
  <c r="AM50" i="1" s="1"/>
  <c r="AL51" i="1"/>
  <c r="AM51" i="1" s="1"/>
  <c r="AL52" i="1"/>
  <c r="AM52" i="1" s="1"/>
  <c r="AL53" i="1"/>
  <c r="AM53" i="1" s="1"/>
  <c r="AL54" i="1"/>
  <c r="AL55" i="1"/>
  <c r="AM55" i="1" s="1"/>
  <c r="AL56" i="1"/>
  <c r="AM56" i="1" s="1"/>
  <c r="AL57" i="1"/>
  <c r="AM57" i="1" s="1"/>
  <c r="AL58" i="1"/>
  <c r="AM58" i="1" s="1"/>
  <c r="AL59" i="1"/>
  <c r="AM59" i="1" s="1"/>
  <c r="AL60" i="1"/>
  <c r="AM60" i="1" s="1"/>
  <c r="AL61" i="1"/>
  <c r="AM61" i="1" s="1"/>
  <c r="AL62" i="1"/>
  <c r="AL63" i="1"/>
  <c r="AM63" i="1" s="1"/>
  <c r="AL64" i="1"/>
  <c r="AM64" i="1" s="1"/>
  <c r="AL65" i="1"/>
  <c r="AM65" i="1" s="1"/>
  <c r="AL66" i="1"/>
  <c r="AM66" i="1" s="1"/>
  <c r="AL67" i="1"/>
  <c r="AM67" i="1" s="1"/>
  <c r="AL68" i="1"/>
  <c r="AM68" i="1" s="1"/>
  <c r="AL69" i="1"/>
  <c r="AM69" i="1" s="1"/>
  <c r="AL70" i="1"/>
  <c r="AL71" i="1"/>
  <c r="AM71" i="1" s="1"/>
  <c r="AL72" i="1"/>
  <c r="AM72" i="1" s="1"/>
  <c r="AL73" i="1"/>
  <c r="AM73" i="1" s="1"/>
  <c r="AL74" i="1"/>
  <c r="AM74" i="1" s="1"/>
  <c r="AL75" i="1"/>
  <c r="AM75" i="1" s="1"/>
  <c r="AL76" i="1"/>
  <c r="AM76" i="1" s="1"/>
  <c r="AL77" i="1"/>
  <c r="AM77" i="1" s="1"/>
  <c r="AL78" i="1"/>
  <c r="AL79" i="1"/>
  <c r="AM79" i="1" s="1"/>
  <c r="AL80" i="1"/>
  <c r="AM80" i="1" s="1"/>
  <c r="AL81" i="1"/>
  <c r="AM81" i="1" s="1"/>
  <c r="AL82" i="1"/>
  <c r="AM82" i="1" s="1"/>
  <c r="AL83" i="1"/>
  <c r="AM83" i="1" s="1"/>
  <c r="AL84" i="1"/>
  <c r="AM84" i="1" s="1"/>
  <c r="AL85" i="1"/>
  <c r="AM85" i="1" s="1"/>
  <c r="AL86" i="1"/>
  <c r="AL87" i="1"/>
  <c r="AM87" i="1" s="1"/>
  <c r="AL88" i="1"/>
  <c r="AM88" i="1" s="1"/>
  <c r="AL89" i="1"/>
  <c r="AM89" i="1" s="1"/>
  <c r="AL90" i="1"/>
  <c r="AM90" i="1" s="1"/>
  <c r="AL91" i="1"/>
  <c r="AM91" i="1" s="1"/>
  <c r="AL92" i="1"/>
  <c r="AM92" i="1" s="1"/>
  <c r="AL93" i="1"/>
  <c r="AM93" i="1" s="1"/>
  <c r="AL94" i="1"/>
  <c r="AL95" i="1"/>
  <c r="AM95" i="1" s="1"/>
  <c r="AL96" i="1"/>
  <c r="AM96" i="1" s="1"/>
  <c r="AL97" i="1"/>
  <c r="AM97" i="1" s="1"/>
  <c r="AL98" i="1"/>
  <c r="AM98" i="1" s="1"/>
  <c r="AL99" i="1"/>
  <c r="AM99" i="1" s="1"/>
  <c r="AL100" i="1"/>
  <c r="AM100" i="1" s="1"/>
  <c r="AL101" i="1"/>
  <c r="AM101" i="1" s="1"/>
  <c r="AL102" i="1"/>
  <c r="AM102" i="1" s="1"/>
  <c r="AL103" i="1"/>
  <c r="AL104" i="1"/>
  <c r="AM104" i="1" s="1"/>
  <c r="AL105" i="1"/>
  <c r="AM105" i="1" s="1"/>
  <c r="AL106" i="1"/>
  <c r="AM106" i="1" s="1"/>
  <c r="AL107" i="1"/>
  <c r="AM107" i="1" s="1"/>
  <c r="AL108" i="1"/>
  <c r="AM108" i="1" s="1"/>
  <c r="AL109" i="1"/>
  <c r="AM109" i="1" s="1"/>
  <c r="AL110" i="1"/>
  <c r="AM110" i="1" s="1"/>
  <c r="AL111" i="1"/>
  <c r="AL112" i="1"/>
  <c r="AM112" i="1" s="1"/>
  <c r="AL113" i="1"/>
  <c r="AM113" i="1" s="1"/>
  <c r="AL114" i="1"/>
  <c r="AM114" i="1" s="1"/>
  <c r="AL115" i="1"/>
  <c r="AM115" i="1" s="1"/>
  <c r="AL116" i="1"/>
  <c r="AM116" i="1" s="1"/>
  <c r="AL117" i="1"/>
  <c r="AM117" i="1" s="1"/>
  <c r="AL118" i="1"/>
  <c r="AM118" i="1" s="1"/>
  <c r="AL119" i="1"/>
  <c r="AL120" i="1"/>
  <c r="AM120" i="1" s="1"/>
  <c r="AL121" i="1"/>
  <c r="AM121" i="1" s="1"/>
  <c r="AL122" i="1"/>
  <c r="AM122" i="1" s="1"/>
  <c r="AL123" i="1"/>
  <c r="AM123" i="1" s="1"/>
  <c r="AL124" i="1"/>
  <c r="AM124" i="1" s="1"/>
  <c r="AL125" i="1"/>
  <c r="AM125" i="1" s="1"/>
  <c r="AL126" i="1"/>
  <c r="AM126" i="1" s="1"/>
  <c r="AL127" i="1"/>
  <c r="AM127" i="1" s="1"/>
  <c r="AL128" i="1"/>
  <c r="AM128" i="1" s="1"/>
  <c r="AL129" i="1"/>
  <c r="AM129" i="1" s="1"/>
  <c r="AL130" i="1"/>
  <c r="AM130" i="1" s="1"/>
  <c r="AL131" i="1"/>
  <c r="AM131" i="1" s="1"/>
  <c r="AL132" i="1"/>
  <c r="AM132" i="1" s="1"/>
  <c r="AL133" i="1"/>
  <c r="AM133" i="1" s="1"/>
  <c r="AL134" i="1"/>
  <c r="AM134" i="1" s="1"/>
  <c r="AL135" i="1"/>
  <c r="AM135" i="1" s="1"/>
  <c r="AL136" i="1"/>
  <c r="AM136" i="1" s="1"/>
  <c r="AL137" i="1"/>
  <c r="AM137" i="1" s="1"/>
  <c r="AL138" i="1"/>
  <c r="AM138" i="1" s="1"/>
  <c r="AL139" i="1"/>
  <c r="AM139" i="1" s="1"/>
  <c r="AL140" i="1"/>
  <c r="AM140" i="1" s="1"/>
  <c r="AL141" i="1"/>
  <c r="AM141" i="1" s="1"/>
  <c r="AL142" i="1"/>
  <c r="AM142" i="1" s="1"/>
  <c r="AL143" i="1"/>
  <c r="AM143" i="1" s="1"/>
  <c r="AL144" i="1"/>
  <c r="AM144" i="1" s="1"/>
  <c r="AL145" i="1"/>
  <c r="AL146" i="1"/>
  <c r="AM146" i="1" s="1"/>
  <c r="AL147" i="1"/>
  <c r="AM147" i="1" s="1"/>
  <c r="AL148" i="1"/>
  <c r="AM148" i="1" s="1"/>
  <c r="AL149" i="1"/>
  <c r="AM149" i="1" s="1"/>
  <c r="AL150" i="1"/>
  <c r="AM150" i="1" s="1"/>
  <c r="AL151" i="1"/>
  <c r="AM151" i="1" s="1"/>
  <c r="AL152" i="1"/>
  <c r="AM152" i="1" s="1"/>
  <c r="AL153" i="1"/>
  <c r="AM153" i="1" s="1"/>
  <c r="AL154" i="1"/>
  <c r="AM154" i="1" s="1"/>
  <c r="AL155" i="1"/>
  <c r="AM155" i="1" s="1"/>
  <c r="AL156" i="1"/>
  <c r="AL157" i="1"/>
  <c r="AM157" i="1" s="1"/>
  <c r="AL158" i="1"/>
  <c r="AM158" i="1" s="1"/>
  <c r="AL159" i="1"/>
  <c r="AM159" i="1" s="1"/>
  <c r="AL160" i="1"/>
  <c r="AM160" i="1" s="1"/>
  <c r="AL161" i="1"/>
  <c r="AM161" i="1" s="1"/>
  <c r="AL162" i="1"/>
  <c r="AM162" i="1" s="1"/>
  <c r="AL163" i="1"/>
  <c r="AM163" i="1" s="1"/>
  <c r="AL164" i="1"/>
  <c r="AM164" i="1" s="1"/>
  <c r="AL165" i="1"/>
  <c r="AL166" i="1"/>
  <c r="AM166" i="1" s="1"/>
  <c r="AL167" i="1"/>
  <c r="AM167" i="1" s="1"/>
  <c r="AL168" i="1"/>
  <c r="AM168" i="1" s="1"/>
  <c r="AL169" i="1"/>
  <c r="AM169" i="1" s="1"/>
  <c r="AL170" i="1"/>
  <c r="AM170" i="1" s="1"/>
  <c r="AL171" i="1"/>
  <c r="AM171" i="1" s="1"/>
  <c r="AL172" i="1"/>
  <c r="AM172" i="1" s="1"/>
  <c r="AL173" i="1"/>
  <c r="AM173" i="1" s="1"/>
  <c r="AL174" i="1"/>
  <c r="AL175" i="1"/>
  <c r="AM175" i="1" s="1"/>
  <c r="AL176" i="1"/>
  <c r="AM176" i="1" s="1"/>
  <c r="AL177" i="1"/>
  <c r="AM177" i="1" s="1"/>
  <c r="AL178" i="1"/>
  <c r="AM178" i="1" s="1"/>
  <c r="AL179" i="1"/>
  <c r="AM179" i="1" s="1"/>
  <c r="AL180" i="1"/>
  <c r="AM180" i="1" s="1"/>
  <c r="AL181" i="1"/>
  <c r="AM181" i="1" s="1"/>
  <c r="AL182" i="1"/>
  <c r="AM182" i="1" s="1"/>
  <c r="AL183" i="1"/>
  <c r="AL184" i="1"/>
  <c r="AM184" i="1" s="1"/>
  <c r="AL185" i="1"/>
  <c r="AM185" i="1" s="1"/>
  <c r="AL186" i="1"/>
  <c r="AM186" i="1" s="1"/>
  <c r="AL187" i="1"/>
  <c r="AM187" i="1" s="1"/>
  <c r="AL188" i="1"/>
  <c r="AM188" i="1" s="1"/>
  <c r="AL189" i="1"/>
  <c r="AM189" i="1" s="1"/>
  <c r="AL190" i="1"/>
  <c r="AM190" i="1" s="1"/>
  <c r="AL191" i="1"/>
  <c r="AM191" i="1" s="1"/>
  <c r="AL192" i="1"/>
  <c r="AM192" i="1" s="1"/>
  <c r="AL193" i="1"/>
  <c r="AM193" i="1" s="1"/>
  <c r="AL194" i="1"/>
  <c r="AM194" i="1" s="1"/>
  <c r="AL195" i="1"/>
  <c r="AM195" i="1" s="1"/>
  <c r="AL196" i="1"/>
  <c r="AM196" i="1" s="1"/>
  <c r="AL197" i="1"/>
  <c r="AM197" i="1" s="1"/>
  <c r="AL198" i="1"/>
  <c r="AM198" i="1" s="1"/>
  <c r="AL199" i="1"/>
  <c r="AM199" i="1" s="1"/>
  <c r="AL200" i="1"/>
  <c r="AM200" i="1" s="1"/>
  <c r="AL201" i="1"/>
  <c r="AL202" i="1"/>
  <c r="AM202" i="1" s="1"/>
  <c r="AL203" i="1"/>
  <c r="AM203" i="1" s="1"/>
  <c r="AL204" i="1"/>
  <c r="AM204" i="1" s="1"/>
  <c r="AL205" i="1"/>
  <c r="AM205" i="1" s="1"/>
  <c r="AL206" i="1"/>
  <c r="AM206" i="1" s="1"/>
  <c r="AL207" i="1"/>
  <c r="AM207" i="1" s="1"/>
  <c r="AL208" i="1"/>
  <c r="AM208" i="1" s="1"/>
  <c r="AL209" i="1"/>
  <c r="AM209" i="1" s="1"/>
  <c r="AL210" i="1"/>
  <c r="AL211" i="1"/>
  <c r="AM211" i="1" s="1"/>
  <c r="AL212" i="1"/>
  <c r="AM212" i="1" s="1"/>
  <c r="AL213" i="1"/>
  <c r="AM213" i="1" s="1"/>
  <c r="AL214" i="1"/>
  <c r="AM214" i="1" s="1"/>
  <c r="AL215" i="1"/>
  <c r="AM215" i="1" s="1"/>
  <c r="AL216" i="1"/>
  <c r="AM216" i="1" s="1"/>
  <c r="AL217" i="1"/>
  <c r="AM217" i="1" s="1"/>
  <c r="AL218" i="1"/>
  <c r="AL219" i="1"/>
  <c r="AM219" i="1" s="1"/>
  <c r="AL220" i="1"/>
  <c r="AM220" i="1" s="1"/>
  <c r="AL221" i="1"/>
  <c r="AM221" i="1" s="1"/>
  <c r="AL222" i="1"/>
  <c r="AM222" i="1" s="1"/>
  <c r="AL223" i="1"/>
  <c r="AM223" i="1" s="1"/>
  <c r="AL224" i="1"/>
  <c r="AM224" i="1" s="1"/>
  <c r="AL225" i="1"/>
  <c r="AM225" i="1" s="1"/>
  <c r="AL226" i="1"/>
  <c r="AM226" i="1" s="1"/>
  <c r="AL227" i="1"/>
  <c r="AL228" i="1"/>
  <c r="AM228" i="1" s="1"/>
  <c r="AL229" i="1"/>
  <c r="AM229" i="1" s="1"/>
  <c r="AL230" i="1"/>
  <c r="AM230" i="1" s="1"/>
  <c r="AL231" i="1"/>
  <c r="AM231" i="1" s="1"/>
  <c r="AL232" i="1"/>
  <c r="AM232" i="1" s="1"/>
  <c r="AL233" i="1"/>
  <c r="AM233" i="1" s="1"/>
  <c r="AL234" i="1"/>
  <c r="AM234" i="1" s="1"/>
  <c r="AL235" i="1"/>
  <c r="AL236" i="1"/>
  <c r="AM236" i="1" s="1"/>
  <c r="AL237" i="1"/>
  <c r="AM237" i="1" s="1"/>
  <c r="AL238" i="1"/>
  <c r="AM238" i="1" s="1"/>
  <c r="AL239" i="1"/>
  <c r="AM239" i="1" s="1"/>
  <c r="AL240" i="1"/>
  <c r="AM240" i="1" s="1"/>
  <c r="AL241" i="1"/>
  <c r="AM241" i="1" s="1"/>
  <c r="AL242" i="1"/>
  <c r="AM242" i="1" s="1"/>
  <c r="AL243" i="1"/>
  <c r="AL244" i="1"/>
  <c r="AM244" i="1" s="1"/>
  <c r="AL245" i="1"/>
  <c r="AM245" i="1" s="1"/>
  <c r="AL246" i="1"/>
  <c r="AM246" i="1" s="1"/>
  <c r="AL247" i="1"/>
  <c r="AM247" i="1" s="1"/>
  <c r="AL248" i="1"/>
  <c r="AM248" i="1" s="1"/>
  <c r="AL249" i="1"/>
  <c r="AM249" i="1" s="1"/>
  <c r="AL250" i="1"/>
  <c r="AM250" i="1" s="1"/>
  <c r="AL251" i="1"/>
  <c r="AM251" i="1" s="1"/>
  <c r="AL252" i="1"/>
  <c r="AM252" i="1" s="1"/>
  <c r="AL253" i="1"/>
  <c r="AL254" i="1"/>
  <c r="AM254" i="1" s="1"/>
  <c r="AL255" i="1"/>
  <c r="AM255" i="1" s="1"/>
  <c r="AL256" i="1"/>
  <c r="AM256" i="1" s="1"/>
  <c r="AL257" i="1"/>
  <c r="AM257" i="1" s="1"/>
  <c r="AL258" i="1"/>
  <c r="AM258" i="1" s="1"/>
  <c r="AL259" i="1"/>
  <c r="AM259" i="1" s="1"/>
  <c r="AL260" i="1"/>
  <c r="AM260" i="1" s="1"/>
  <c r="AL261" i="1"/>
  <c r="AL262" i="1"/>
  <c r="AM262" i="1" s="1"/>
  <c r="AL263" i="1"/>
  <c r="AM263" i="1" s="1"/>
  <c r="AL264" i="1"/>
  <c r="AM264" i="1" s="1"/>
  <c r="AL265" i="1"/>
  <c r="AM265" i="1" s="1"/>
  <c r="AL266" i="1"/>
  <c r="AM266" i="1" s="1"/>
  <c r="AL267" i="1"/>
  <c r="AM267" i="1" s="1"/>
  <c r="AL268" i="1"/>
  <c r="AM268" i="1" s="1"/>
  <c r="AL269" i="1"/>
  <c r="AL270" i="1"/>
  <c r="AM270" i="1" s="1"/>
  <c r="AL271" i="1"/>
  <c r="AM271" i="1" s="1"/>
  <c r="AL272" i="1"/>
  <c r="AM272" i="1" s="1"/>
  <c r="AL273" i="1"/>
  <c r="AM273" i="1" s="1"/>
  <c r="AL274" i="1"/>
  <c r="AM274" i="1" s="1"/>
  <c r="AL275" i="1"/>
  <c r="AM275" i="1" s="1"/>
  <c r="AL276" i="1"/>
  <c r="AM276" i="1" s="1"/>
  <c r="AL277" i="1"/>
  <c r="AM277" i="1" s="1"/>
  <c r="AL278" i="1"/>
  <c r="AM278" i="1" s="1"/>
  <c r="AL279" i="1"/>
  <c r="AL280" i="1"/>
  <c r="AM280" i="1" s="1"/>
  <c r="AL281" i="1"/>
  <c r="AM281" i="1" s="1"/>
  <c r="AL282" i="1"/>
  <c r="AM282" i="1" s="1"/>
  <c r="AL283" i="1"/>
  <c r="AM283" i="1" s="1"/>
  <c r="AL284" i="1"/>
  <c r="AM284" i="1" s="1"/>
  <c r="AL285" i="1"/>
  <c r="AM285" i="1" s="1"/>
  <c r="AL286" i="1"/>
  <c r="AM286" i="1" s="1"/>
  <c r="AL287" i="1"/>
  <c r="AM287" i="1" s="1"/>
  <c r="AL288" i="1"/>
  <c r="AM288" i="1" s="1"/>
  <c r="AL289" i="1"/>
  <c r="AM289" i="1" s="1"/>
  <c r="AL290" i="1"/>
  <c r="AM290" i="1" s="1"/>
  <c r="AL291" i="1"/>
  <c r="AM291" i="1" s="1"/>
  <c r="AL292" i="1"/>
  <c r="AM292" i="1" s="1"/>
  <c r="AL293" i="1"/>
  <c r="AM293" i="1" s="1"/>
  <c r="AL294" i="1"/>
  <c r="AM294" i="1" s="1"/>
  <c r="AL295" i="1"/>
  <c r="AM295" i="1" s="1"/>
  <c r="AL296" i="1"/>
  <c r="AM296" i="1" s="1"/>
  <c r="AL297" i="1"/>
  <c r="AM297" i="1" s="1"/>
  <c r="AL298" i="1"/>
  <c r="AM298" i="1" s="1"/>
  <c r="AL299" i="1"/>
  <c r="AM299" i="1" s="1"/>
  <c r="AL300" i="1"/>
  <c r="AM300" i="1" s="1"/>
  <c r="AL301" i="1"/>
  <c r="AM301" i="1" s="1"/>
  <c r="AL302" i="1"/>
  <c r="AM302" i="1" s="1"/>
  <c r="AL303" i="1"/>
  <c r="AM303" i="1" s="1"/>
  <c r="AL304" i="1"/>
  <c r="AM304" i="1" s="1"/>
  <c r="AL305" i="1"/>
  <c r="AM305" i="1" s="1"/>
  <c r="AL306" i="1"/>
  <c r="AM306" i="1" s="1"/>
  <c r="AL307" i="1"/>
  <c r="AM307" i="1" s="1"/>
  <c r="AL308" i="1"/>
  <c r="AM308" i="1" s="1"/>
  <c r="AL309" i="1"/>
  <c r="AM309" i="1" s="1"/>
  <c r="AL310" i="1"/>
  <c r="AM310" i="1" s="1"/>
  <c r="AL311" i="1"/>
  <c r="AM311" i="1" s="1"/>
  <c r="AL312" i="1"/>
  <c r="AM312" i="1" s="1"/>
  <c r="AL313" i="1"/>
  <c r="AM313" i="1" s="1"/>
  <c r="AL314" i="1"/>
  <c r="AM314" i="1" s="1"/>
  <c r="AL315" i="1"/>
  <c r="AM315" i="1" s="1"/>
  <c r="AL316" i="1"/>
  <c r="AM316" i="1" s="1"/>
  <c r="AL317" i="1"/>
  <c r="AM317" i="1" s="1"/>
  <c r="AL318" i="1"/>
  <c r="AM318" i="1" s="1"/>
  <c r="AL319" i="1"/>
  <c r="AM319" i="1" s="1"/>
  <c r="AL320" i="1"/>
  <c r="AM320" i="1" s="1"/>
  <c r="AL321" i="1"/>
  <c r="AM321" i="1" s="1"/>
  <c r="AL322" i="1"/>
  <c r="AM322" i="1" s="1"/>
  <c r="AL323" i="1"/>
  <c r="AM323" i="1" s="1"/>
  <c r="AL324" i="1"/>
  <c r="AM324" i="1" s="1"/>
  <c r="AL325" i="1"/>
  <c r="AM325" i="1" s="1"/>
  <c r="AL326" i="1"/>
  <c r="AM326" i="1" s="1"/>
  <c r="AL327" i="1"/>
  <c r="AM327" i="1" s="1"/>
  <c r="AL328" i="1"/>
  <c r="AM328" i="1" s="1"/>
  <c r="AL329" i="1"/>
  <c r="AM329" i="1" s="1"/>
  <c r="AL330" i="1"/>
  <c r="AM330" i="1" s="1"/>
  <c r="AL331" i="1"/>
  <c r="AL332" i="1"/>
  <c r="AM332" i="1" s="1"/>
  <c r="AL333" i="1"/>
  <c r="AM333" i="1" s="1"/>
  <c r="AL334" i="1"/>
  <c r="AM334" i="1" s="1"/>
  <c r="AL335" i="1"/>
  <c r="AM335" i="1" s="1"/>
  <c r="AL336" i="1"/>
  <c r="AM336" i="1" s="1"/>
  <c r="AL337" i="1"/>
  <c r="AM337" i="1" s="1"/>
  <c r="AL338" i="1"/>
  <c r="AM338" i="1" s="1"/>
  <c r="AL339" i="1"/>
  <c r="AM339" i="1" s="1"/>
  <c r="AL340" i="1"/>
  <c r="AL341" i="1"/>
  <c r="AM341" i="1" s="1"/>
  <c r="AL342" i="1"/>
  <c r="AM342" i="1" s="1"/>
  <c r="AL343" i="1"/>
  <c r="AM343" i="1" s="1"/>
  <c r="AL344" i="1"/>
  <c r="AM344" i="1" s="1"/>
  <c r="AL345" i="1"/>
  <c r="AM345" i="1" s="1"/>
  <c r="AL346" i="1"/>
  <c r="AM346" i="1" s="1"/>
  <c r="AM11" i="1"/>
  <c r="AM12" i="1"/>
  <c r="AO9" i="1"/>
  <c r="AO10" i="1"/>
  <c r="AO11" i="1"/>
  <c r="AO12" i="1"/>
  <c r="AO14" i="1"/>
  <c r="AO15" i="1"/>
  <c r="AO16" i="1"/>
  <c r="AO17" i="1"/>
  <c r="AO18" i="1"/>
  <c r="AO19" i="1"/>
  <c r="AO20" i="1"/>
  <c r="AO21" i="1"/>
  <c r="AO23" i="1"/>
  <c r="AO24" i="1"/>
  <c r="AO25" i="1"/>
  <c r="AO26" i="1"/>
  <c r="AO27" i="1"/>
  <c r="AO28" i="1"/>
  <c r="AO29" i="1"/>
  <c r="AO31" i="1"/>
  <c r="AO32" i="1"/>
  <c r="AO33" i="1"/>
  <c r="AO34" i="1"/>
  <c r="AO35" i="1"/>
  <c r="AO36" i="1"/>
  <c r="AO37" i="1"/>
  <c r="AO39" i="1"/>
  <c r="AO40" i="1"/>
  <c r="AO41" i="1"/>
  <c r="AO42" i="1"/>
  <c r="AO43" i="1"/>
  <c r="AO45" i="1"/>
  <c r="AO47" i="1"/>
  <c r="AO48" i="1"/>
  <c r="AO49" i="1"/>
  <c r="AO50" i="1"/>
  <c r="AO51" i="1"/>
  <c r="AO52" i="1"/>
  <c r="AO53" i="1"/>
  <c r="AO55" i="1"/>
  <c r="AO56" i="1"/>
  <c r="AO57" i="1"/>
  <c r="AO58" i="1"/>
  <c r="AO59" i="1"/>
  <c r="AO60" i="1"/>
  <c r="AO61" i="1"/>
  <c r="AO63" i="1"/>
  <c r="AO64" i="1"/>
  <c r="AO65" i="1"/>
  <c r="AO66" i="1"/>
  <c r="AO67" i="1"/>
  <c r="AO68" i="1"/>
  <c r="AO69" i="1"/>
  <c r="AO71" i="1"/>
  <c r="AO72" i="1"/>
  <c r="AO73" i="1"/>
  <c r="AO74" i="1"/>
  <c r="AO75" i="1"/>
  <c r="AO76" i="1"/>
  <c r="AO77" i="1"/>
  <c r="AO79" i="1"/>
  <c r="AO80" i="1"/>
  <c r="AO81" i="1"/>
  <c r="AO82" i="1"/>
  <c r="AO83" i="1"/>
  <c r="AO84" i="1"/>
  <c r="AO85" i="1"/>
  <c r="AO87" i="1"/>
  <c r="AO88" i="1"/>
  <c r="AO89" i="1"/>
  <c r="AO90" i="1"/>
  <c r="AO91" i="1"/>
  <c r="AO92" i="1"/>
  <c r="AO93" i="1"/>
  <c r="AO95" i="1"/>
  <c r="AO96" i="1"/>
  <c r="AO97" i="1"/>
  <c r="AO98" i="1"/>
  <c r="AO99" i="1"/>
  <c r="AO100" i="1"/>
  <c r="AO101" i="1"/>
  <c r="AO102" i="1"/>
  <c r="AO104" i="1"/>
  <c r="AO105" i="1"/>
  <c r="AO106" i="1"/>
  <c r="AO107" i="1"/>
  <c r="AO108" i="1"/>
  <c r="AO109" i="1"/>
  <c r="AO110" i="1"/>
  <c r="AO112" i="1"/>
  <c r="AO113" i="1"/>
  <c r="AO114" i="1"/>
  <c r="AO115" i="1"/>
  <c r="AO116" i="1"/>
  <c r="AO117" i="1"/>
  <c r="AO118" i="1"/>
  <c r="AO120" i="1"/>
  <c r="AO121" i="1"/>
  <c r="AO122" i="1"/>
  <c r="AO123" i="1"/>
  <c r="AO124" i="1"/>
  <c r="AO125" i="1"/>
  <c r="AO126" i="1"/>
  <c r="AO127" i="1"/>
  <c r="AO129" i="1"/>
  <c r="AO130" i="1"/>
  <c r="AO131" i="1"/>
  <c r="AO132" i="1"/>
  <c r="AO133" i="1"/>
  <c r="AO134" i="1"/>
  <c r="AO135" i="1"/>
  <c r="AO137" i="1"/>
  <c r="AO138" i="1"/>
  <c r="AO139" i="1"/>
  <c r="AO140" i="1"/>
  <c r="AO141" i="1"/>
  <c r="AO142" i="1"/>
  <c r="AO143" i="1"/>
  <c r="AO144" i="1"/>
  <c r="AO145" i="1"/>
  <c r="AO146" i="1"/>
  <c r="AO147" i="1"/>
  <c r="AO148" i="1"/>
  <c r="AO149" i="1"/>
  <c r="AO150" i="1"/>
  <c r="AO151" i="1"/>
  <c r="AO152" i="1"/>
  <c r="AO153" i="1"/>
  <c r="AO154" i="1"/>
  <c r="AO155" i="1"/>
  <c r="AO157" i="1"/>
  <c r="AO158" i="1"/>
  <c r="AO159" i="1"/>
  <c r="AO160" i="1"/>
  <c r="AO161" i="1"/>
  <c r="AO162" i="1"/>
  <c r="AO163" i="1"/>
  <c r="AO164" i="1"/>
  <c r="AO166" i="1"/>
  <c r="AO167" i="1"/>
  <c r="AO168" i="1"/>
  <c r="AO169" i="1"/>
  <c r="AO170" i="1"/>
  <c r="AO171" i="1"/>
  <c r="AO172" i="1"/>
  <c r="AO173" i="1"/>
  <c r="AO175" i="1"/>
  <c r="AO176" i="1"/>
  <c r="AO177" i="1"/>
  <c r="AO178" i="1"/>
  <c r="AO179" i="1"/>
  <c r="AO180" i="1"/>
  <c r="AO181" i="1"/>
  <c r="AO182" i="1"/>
  <c r="AO184" i="1"/>
  <c r="AO185" i="1"/>
  <c r="AO186" i="1"/>
  <c r="AO187" i="1"/>
  <c r="AO188" i="1"/>
  <c r="AO189" i="1"/>
  <c r="AO190" i="1"/>
  <c r="AO191" i="1"/>
  <c r="AO193" i="1"/>
  <c r="AO194" i="1"/>
  <c r="AO195" i="1"/>
  <c r="AO196" i="1"/>
  <c r="AO197" i="1"/>
  <c r="AO198" i="1"/>
  <c r="AO199" i="1"/>
  <c r="AO200" i="1"/>
  <c r="AO201" i="1"/>
  <c r="AO202" i="1"/>
  <c r="AO203" i="1"/>
  <c r="AO204" i="1"/>
  <c r="AO205" i="1"/>
  <c r="AO206" i="1"/>
  <c r="AO207" i="1"/>
  <c r="AO208" i="1"/>
  <c r="AO209" i="1"/>
  <c r="AO211" i="1"/>
  <c r="AO212" i="1"/>
  <c r="AO213" i="1"/>
  <c r="AO214" i="1"/>
  <c r="AO215" i="1"/>
  <c r="AO216" i="1"/>
  <c r="AO217" i="1"/>
  <c r="AO219" i="1"/>
  <c r="AO220" i="1"/>
  <c r="AO221" i="1"/>
  <c r="AO222" i="1"/>
  <c r="AO223" i="1"/>
  <c r="AO224" i="1"/>
  <c r="AO225" i="1"/>
  <c r="AO226" i="1"/>
  <c r="AO227" i="1"/>
  <c r="AO228" i="1"/>
  <c r="AO229" i="1"/>
  <c r="AO230" i="1"/>
  <c r="AO231" i="1"/>
  <c r="AO232" i="1"/>
  <c r="AO233" i="1"/>
  <c r="AO234" i="1"/>
  <c r="AO235" i="1"/>
  <c r="AO236" i="1"/>
  <c r="AO237" i="1"/>
  <c r="AO238" i="1"/>
  <c r="AO239" i="1"/>
  <c r="AO240" i="1"/>
  <c r="AO241" i="1"/>
  <c r="AO242" i="1"/>
  <c r="AO243" i="1"/>
  <c r="AO244" i="1"/>
  <c r="AO245" i="1"/>
  <c r="AO246" i="1"/>
  <c r="AO247" i="1"/>
  <c r="AO248" i="1"/>
  <c r="AO249" i="1"/>
  <c r="AO250" i="1"/>
  <c r="AO251" i="1"/>
  <c r="AO252" i="1"/>
  <c r="AO254" i="1"/>
  <c r="AO255" i="1"/>
  <c r="AO256" i="1"/>
  <c r="AO257" i="1"/>
  <c r="AO258" i="1"/>
  <c r="AO259" i="1"/>
  <c r="AO260" i="1"/>
  <c r="AO262" i="1"/>
  <c r="AO263" i="1"/>
  <c r="AO264" i="1"/>
  <c r="AO265" i="1"/>
  <c r="AO266" i="1"/>
  <c r="AO267" i="1"/>
  <c r="AO268" i="1"/>
  <c r="AO270" i="1"/>
  <c r="AO271" i="1"/>
  <c r="AO272" i="1"/>
  <c r="AO273" i="1"/>
  <c r="AO274" i="1"/>
  <c r="AO275" i="1"/>
  <c r="AO276" i="1"/>
  <c r="AO277" i="1"/>
  <c r="AO278" i="1"/>
  <c r="AO280" i="1"/>
  <c r="AO281" i="1"/>
  <c r="AO282" i="1"/>
  <c r="AO283" i="1"/>
  <c r="AO284" i="1"/>
  <c r="AO285" i="1"/>
  <c r="AO286" i="1"/>
  <c r="AO287" i="1"/>
  <c r="AO289" i="1"/>
  <c r="AO290" i="1"/>
  <c r="AO291" i="1"/>
  <c r="AO292" i="1"/>
  <c r="AO293" i="1"/>
  <c r="AO294" i="1"/>
  <c r="AO295" i="1"/>
  <c r="AO297" i="1"/>
  <c r="AO298" i="1"/>
  <c r="AO299" i="1"/>
  <c r="AO300" i="1"/>
  <c r="AO301" i="1"/>
  <c r="AO302" i="1"/>
  <c r="AO303" i="1"/>
  <c r="AO305" i="1"/>
  <c r="AO306" i="1"/>
  <c r="AO307" i="1"/>
  <c r="AO308" i="1"/>
  <c r="AO309" i="1"/>
  <c r="AO310" i="1"/>
  <c r="AO311" i="1"/>
  <c r="AO313" i="1"/>
  <c r="AO314" i="1"/>
  <c r="AO315" i="1"/>
  <c r="AO316" i="1"/>
  <c r="AO317" i="1"/>
  <c r="AO318" i="1"/>
  <c r="AO319" i="1"/>
  <c r="AO321" i="1"/>
  <c r="AO322" i="1"/>
  <c r="AO323" i="1"/>
  <c r="AO324" i="1"/>
  <c r="AO325" i="1"/>
  <c r="AO326" i="1"/>
  <c r="AO327" i="1"/>
  <c r="AO328" i="1"/>
  <c r="AO329" i="1"/>
  <c r="AO330" i="1"/>
  <c r="AO331" i="1"/>
  <c r="AO332" i="1"/>
  <c r="AO333" i="1"/>
  <c r="AO334" i="1"/>
  <c r="AO335" i="1"/>
  <c r="AO336" i="1"/>
  <c r="AO337" i="1"/>
  <c r="AO338" i="1"/>
  <c r="AO339" i="1"/>
  <c r="AO341" i="1"/>
  <c r="AO342" i="1"/>
  <c r="AO343" i="1"/>
  <c r="AO344" i="1"/>
  <c r="AO345" i="1"/>
  <c r="AO346" i="1"/>
  <c r="S341" i="1" l="1"/>
  <c r="S37" i="1"/>
  <c r="Q101" i="1"/>
  <c r="Q37" i="1"/>
  <c r="Q165" i="1"/>
  <c r="S165" i="1"/>
  <c r="S101" i="1"/>
  <c r="S197" i="1"/>
  <c r="Q69" i="1"/>
  <c r="S133" i="1"/>
  <c r="S69" i="1"/>
  <c r="Q92" i="1"/>
  <c r="S293" i="1"/>
  <c r="S229" i="1"/>
  <c r="Q133" i="1"/>
  <c r="R46" i="1"/>
  <c r="R172" i="1"/>
  <c r="R116" i="1"/>
  <c r="S172" i="1"/>
  <c r="Q14" i="1"/>
  <c r="Q55" i="1"/>
  <c r="M86" i="1"/>
  <c r="S15" i="1"/>
  <c r="Q49" i="1"/>
  <c r="S158" i="1"/>
  <c r="R102" i="1"/>
  <c r="R78" i="1"/>
  <c r="Q62" i="1"/>
  <c r="M118" i="1"/>
  <c r="Q195" i="1"/>
  <c r="M54" i="1"/>
  <c r="Q46" i="1"/>
  <c r="S59" i="1"/>
  <c r="R171" i="1"/>
  <c r="R15" i="1"/>
  <c r="R127" i="1"/>
  <c r="R11" i="1"/>
  <c r="S333" i="1"/>
  <c r="S143" i="1"/>
  <c r="S35" i="1"/>
  <c r="Q309" i="1"/>
  <c r="M236" i="1"/>
  <c r="S261" i="1"/>
  <c r="S119" i="1"/>
  <c r="R284" i="1"/>
  <c r="R275" i="1"/>
  <c r="R63" i="1"/>
  <c r="Q139" i="1"/>
  <c r="S87" i="1"/>
  <c r="R215" i="1"/>
  <c r="R47" i="1"/>
  <c r="Q185" i="1"/>
  <c r="S57" i="1"/>
  <c r="Q41" i="1"/>
  <c r="S121" i="1"/>
  <c r="S217" i="1"/>
  <c r="S25" i="1"/>
  <c r="Q81" i="1"/>
  <c r="Q25" i="1"/>
  <c r="S84" i="1"/>
  <c r="S28" i="1"/>
  <c r="R52" i="1"/>
  <c r="M220" i="1"/>
  <c r="M76" i="1"/>
  <c r="S286" i="1"/>
  <c r="S220" i="1"/>
  <c r="S108" i="1"/>
  <c r="S81" i="1"/>
  <c r="S52" i="1"/>
  <c r="R252" i="1"/>
  <c r="R164" i="1"/>
  <c r="R92" i="1"/>
  <c r="Q172" i="1"/>
  <c r="Q132" i="1"/>
  <c r="Q43" i="1"/>
  <c r="Q11" i="1"/>
  <c r="M180" i="1"/>
  <c r="M75" i="1"/>
  <c r="S228" i="1"/>
  <c r="S76" i="1"/>
  <c r="S19" i="1"/>
  <c r="Q67" i="1"/>
  <c r="M171" i="1"/>
  <c r="S260" i="1"/>
  <c r="S206" i="1"/>
  <c r="S140" i="1"/>
  <c r="S105" i="1"/>
  <c r="S75" i="1"/>
  <c r="S43" i="1"/>
  <c r="R140" i="1"/>
  <c r="R83" i="1"/>
  <c r="R36" i="1"/>
  <c r="Q262" i="1"/>
  <c r="Q163" i="1"/>
  <c r="Q124" i="1"/>
  <c r="Q65" i="1"/>
  <c r="M148" i="1"/>
  <c r="M51" i="1"/>
  <c r="S107" i="1"/>
  <c r="S51" i="1"/>
  <c r="R220" i="1"/>
  <c r="R147" i="1"/>
  <c r="R91" i="1"/>
  <c r="Q300" i="1"/>
  <c r="Q131" i="1"/>
  <c r="S252" i="1"/>
  <c r="S139" i="1"/>
  <c r="S73" i="1"/>
  <c r="S41" i="1"/>
  <c r="S9" i="1"/>
  <c r="R214" i="1"/>
  <c r="R139" i="1"/>
  <c r="R35" i="1"/>
  <c r="Q252" i="1"/>
  <c r="Q150" i="1"/>
  <c r="Q116" i="1"/>
  <c r="Q33" i="1"/>
  <c r="M332" i="1"/>
  <c r="M132" i="1"/>
  <c r="M44" i="1"/>
  <c r="S243" i="1"/>
  <c r="S188" i="1"/>
  <c r="S100" i="1"/>
  <c r="R332" i="1"/>
  <c r="R204" i="1"/>
  <c r="R132" i="1"/>
  <c r="R75" i="1"/>
  <c r="R20" i="1"/>
  <c r="Q212" i="1"/>
  <c r="Q147" i="1"/>
  <c r="Q115" i="1"/>
  <c r="Q28" i="1"/>
  <c r="M292" i="1"/>
  <c r="M43" i="1"/>
  <c r="S340" i="1"/>
  <c r="S230" i="1"/>
  <c r="S177" i="1"/>
  <c r="S124" i="1"/>
  <c r="S89" i="1"/>
  <c r="S67" i="1"/>
  <c r="S36" i="1"/>
  <c r="R292" i="1"/>
  <c r="R182" i="1"/>
  <c r="R67" i="1"/>
  <c r="R19" i="1"/>
  <c r="Q198" i="1"/>
  <c r="Q140" i="1"/>
  <c r="Q51" i="1"/>
  <c r="Q27" i="1"/>
  <c r="M276" i="1"/>
  <c r="M100" i="1"/>
  <c r="M28" i="1"/>
  <c r="R299" i="1"/>
  <c r="M160" i="1"/>
  <c r="S227" i="1"/>
  <c r="S259" i="1"/>
  <c r="R238" i="1"/>
  <c r="M219" i="1"/>
  <c r="S332" i="1"/>
  <c r="S284" i="1"/>
  <c r="S244" i="1"/>
  <c r="S180" i="1"/>
  <c r="S156" i="1"/>
  <c r="S92" i="1"/>
  <c r="S70" i="1"/>
  <c r="R324" i="1"/>
  <c r="R276" i="1"/>
  <c r="R236" i="1"/>
  <c r="R198" i="1"/>
  <c r="R156" i="1"/>
  <c r="Q340" i="1"/>
  <c r="Q292" i="1"/>
  <c r="Q244" i="1"/>
  <c r="Q196" i="1"/>
  <c r="Q164" i="1"/>
  <c r="Q78" i="1"/>
  <c r="Q60" i="1"/>
  <c r="Q20" i="1"/>
  <c r="M324" i="1"/>
  <c r="M268" i="1"/>
  <c r="M164" i="1"/>
  <c r="M116" i="1"/>
  <c r="S324" i="1"/>
  <c r="S278" i="1"/>
  <c r="S214" i="1"/>
  <c r="S148" i="1"/>
  <c r="S44" i="1"/>
  <c r="S20" i="1"/>
  <c r="R316" i="1"/>
  <c r="R228" i="1"/>
  <c r="R196" i="1"/>
  <c r="R150" i="1"/>
  <c r="R124" i="1"/>
  <c r="R84" i="1"/>
  <c r="R60" i="1"/>
  <c r="R30" i="1"/>
  <c r="Q284" i="1"/>
  <c r="Q238" i="1"/>
  <c r="Q134" i="1"/>
  <c r="Q110" i="1"/>
  <c r="Q76" i="1"/>
  <c r="M316" i="1"/>
  <c r="M262" i="1"/>
  <c r="M212" i="1"/>
  <c r="M108" i="1"/>
  <c r="M68" i="1"/>
  <c r="M36" i="1"/>
  <c r="S316" i="1"/>
  <c r="S276" i="1"/>
  <c r="S236" i="1"/>
  <c r="S212" i="1"/>
  <c r="S174" i="1"/>
  <c r="S68" i="1"/>
  <c r="R308" i="1"/>
  <c r="R268" i="1"/>
  <c r="R222" i="1"/>
  <c r="R188" i="1"/>
  <c r="R148" i="1"/>
  <c r="R118" i="1"/>
  <c r="R54" i="1"/>
  <c r="Q278" i="1"/>
  <c r="Q188" i="1"/>
  <c r="Q156" i="1"/>
  <c r="Q108" i="1"/>
  <c r="Q70" i="1"/>
  <c r="Q52" i="1"/>
  <c r="Q12" i="1"/>
  <c r="M308" i="1"/>
  <c r="M260" i="1"/>
  <c r="M204" i="1"/>
  <c r="M102" i="1"/>
  <c r="M60" i="1"/>
  <c r="M30" i="1"/>
  <c r="S308" i="1"/>
  <c r="S268" i="1"/>
  <c r="R300" i="1"/>
  <c r="R260" i="1"/>
  <c r="M300" i="1"/>
  <c r="M196" i="1"/>
  <c r="Q228" i="1"/>
  <c r="S204" i="1"/>
  <c r="S166" i="1"/>
  <c r="S12" i="1"/>
  <c r="R254" i="1"/>
  <c r="R180" i="1"/>
  <c r="R142" i="1"/>
  <c r="Q310" i="1"/>
  <c r="Q100" i="1"/>
  <c r="Q68" i="1"/>
  <c r="Q30" i="1"/>
  <c r="M294" i="1"/>
  <c r="M244" i="1"/>
  <c r="S334" i="1"/>
  <c r="R340" i="1"/>
  <c r="R286" i="1"/>
  <c r="R44" i="1"/>
  <c r="Q166" i="1"/>
  <c r="Q142" i="1"/>
  <c r="Q118" i="1"/>
  <c r="Q84" i="1"/>
  <c r="M46" i="1"/>
  <c r="S265" i="1"/>
  <c r="S233" i="1"/>
  <c r="S289" i="1"/>
  <c r="S249" i="1"/>
  <c r="Q209" i="1"/>
  <c r="S305" i="1"/>
  <c r="S302" i="1"/>
  <c r="S262" i="1"/>
  <c r="S246" i="1"/>
  <c r="S193" i="1"/>
  <c r="S153" i="1"/>
  <c r="S137" i="1"/>
  <c r="S102" i="1"/>
  <c r="S86" i="1"/>
  <c r="S54" i="1"/>
  <c r="S38" i="1"/>
  <c r="S22" i="1"/>
  <c r="R294" i="1"/>
  <c r="R230" i="1"/>
  <c r="R206" i="1"/>
  <c r="R174" i="1"/>
  <c r="R126" i="1"/>
  <c r="R94" i="1"/>
  <c r="Q342" i="1"/>
  <c r="Q273" i="1"/>
  <c r="Q206" i="1"/>
  <c r="Q182" i="1"/>
  <c r="Q97" i="1"/>
  <c r="M78" i="1"/>
  <c r="S326" i="1"/>
  <c r="S281" i="1"/>
  <c r="S209" i="1"/>
  <c r="S190" i="1"/>
  <c r="S169" i="1"/>
  <c r="S150" i="1"/>
  <c r="S134" i="1"/>
  <c r="R70" i="1"/>
  <c r="R22" i="1"/>
  <c r="Q230" i="1"/>
  <c r="Q145" i="1"/>
  <c r="Q113" i="1"/>
  <c r="Q94" i="1"/>
  <c r="Q73" i="1"/>
  <c r="Q57" i="1"/>
  <c r="M22" i="1"/>
  <c r="S297" i="1"/>
  <c r="Q177" i="1"/>
  <c r="S318" i="1"/>
  <c r="S294" i="1"/>
  <c r="S241" i="1"/>
  <c r="S225" i="1"/>
  <c r="S185" i="1"/>
  <c r="S145" i="1"/>
  <c r="S113" i="1"/>
  <c r="S97" i="1"/>
  <c r="S65" i="1"/>
  <c r="S49" i="1"/>
  <c r="S17" i="1"/>
  <c r="R318" i="1"/>
  <c r="R166" i="1"/>
  <c r="R86" i="1"/>
  <c r="Q331" i="1"/>
  <c r="Q222" i="1"/>
  <c r="Q174" i="1"/>
  <c r="Q158" i="1"/>
  <c r="Q126" i="1"/>
  <c r="Q89" i="1"/>
  <c r="Q38" i="1"/>
  <c r="M14" i="1"/>
  <c r="Q161" i="1"/>
  <c r="Q129" i="1"/>
  <c r="S273" i="1"/>
  <c r="S257" i="1"/>
  <c r="S238" i="1"/>
  <c r="S222" i="1"/>
  <c r="S201" i="1"/>
  <c r="S182" i="1"/>
  <c r="S129" i="1"/>
  <c r="S110" i="1"/>
  <c r="S94" i="1"/>
  <c r="S62" i="1"/>
  <c r="S33" i="1"/>
  <c r="R278" i="1"/>
  <c r="R246" i="1"/>
  <c r="R219" i="1"/>
  <c r="R190" i="1"/>
  <c r="R110" i="1"/>
  <c r="R38" i="1"/>
  <c r="Q326" i="1"/>
  <c r="Q254" i="1"/>
  <c r="Q105" i="1"/>
  <c r="M134" i="1"/>
  <c r="S310" i="1"/>
  <c r="S270" i="1"/>
  <c r="S254" i="1"/>
  <c r="S198" i="1"/>
  <c r="S161" i="1"/>
  <c r="S142" i="1"/>
  <c r="S126" i="1"/>
  <c r="S14" i="1"/>
  <c r="R158" i="1"/>
  <c r="R62" i="1"/>
  <c r="Q217" i="1"/>
  <c r="Q190" i="1"/>
  <c r="Q169" i="1"/>
  <c r="Q153" i="1"/>
  <c r="Q137" i="1"/>
  <c r="Q121" i="1"/>
  <c r="Q17" i="1"/>
  <c r="M326" i="1"/>
  <c r="S271" i="1"/>
  <c r="S187" i="1"/>
  <c r="S171" i="1"/>
  <c r="S131" i="1"/>
  <c r="S91" i="1"/>
  <c r="R107" i="1"/>
  <c r="R31" i="1"/>
  <c r="Q235" i="1"/>
  <c r="Q211" i="1"/>
  <c r="Q99" i="1"/>
  <c r="Q83" i="1"/>
  <c r="M27" i="1"/>
  <c r="S307" i="1"/>
  <c r="S155" i="1"/>
  <c r="S115" i="1"/>
  <c r="R163" i="1"/>
  <c r="R123" i="1"/>
  <c r="Q291" i="1"/>
  <c r="Q259" i="1"/>
  <c r="M203" i="1"/>
  <c r="R211" i="1"/>
  <c r="S111" i="1"/>
  <c r="S99" i="1"/>
  <c r="S27" i="1"/>
  <c r="R283" i="1"/>
  <c r="R179" i="1"/>
  <c r="R99" i="1"/>
  <c r="R79" i="1"/>
  <c r="Q151" i="1"/>
  <c r="Q123" i="1"/>
  <c r="Q107" i="1"/>
  <c r="Q35" i="1"/>
  <c r="Q19" i="1"/>
  <c r="M235" i="1"/>
  <c r="R259" i="1"/>
  <c r="Q187" i="1"/>
  <c r="S135" i="1"/>
  <c r="S123" i="1"/>
  <c r="R307" i="1"/>
  <c r="R155" i="1"/>
  <c r="R115" i="1"/>
  <c r="R95" i="1"/>
  <c r="Q251" i="1"/>
  <c r="Q203" i="1"/>
  <c r="Q91" i="1"/>
  <c r="M187" i="1"/>
  <c r="M59" i="1"/>
  <c r="S219" i="1"/>
  <c r="S175" i="1"/>
  <c r="S163" i="1"/>
  <c r="S147" i="1"/>
  <c r="S95" i="1"/>
  <c r="S83" i="1"/>
  <c r="R251" i="1"/>
  <c r="R131" i="1"/>
  <c r="R111" i="1"/>
  <c r="R59" i="1"/>
  <c r="Q307" i="1"/>
  <c r="S215" i="1"/>
  <c r="S203" i="1"/>
  <c r="R339" i="1"/>
  <c r="R235" i="1"/>
  <c r="R195" i="1"/>
  <c r="Q231" i="1"/>
  <c r="Q215" i="1"/>
  <c r="Q179" i="1"/>
  <c r="Q31" i="1"/>
  <c r="M195" i="1"/>
  <c r="S31" i="1"/>
  <c r="Q95" i="1"/>
  <c r="S331" i="1"/>
  <c r="S211" i="1"/>
  <c r="S55" i="1"/>
  <c r="R323" i="1"/>
  <c r="R227" i="1"/>
  <c r="Q227" i="1"/>
  <c r="Q103" i="1"/>
  <c r="Q79" i="1"/>
  <c r="M155" i="1"/>
  <c r="S103" i="1"/>
  <c r="S79" i="1"/>
  <c r="R291" i="1"/>
  <c r="R263" i="1"/>
  <c r="Q267" i="1"/>
  <c r="Q243" i="1"/>
  <c r="Q143" i="1"/>
  <c r="M179" i="1"/>
  <c r="S283" i="1"/>
  <c r="S251" i="1"/>
  <c r="S207" i="1"/>
  <c r="S151" i="1"/>
  <c r="S127" i="1"/>
  <c r="R243" i="1"/>
  <c r="Q323" i="1"/>
  <c r="Q63" i="1"/>
  <c r="S63" i="1"/>
  <c r="R135" i="1"/>
  <c r="R119" i="1"/>
  <c r="R103" i="1"/>
  <c r="R87" i="1"/>
  <c r="R71" i="1"/>
  <c r="R55" i="1"/>
  <c r="R39" i="1"/>
  <c r="R23" i="1"/>
  <c r="Q343" i="1"/>
  <c r="Q111" i="1"/>
  <c r="Q87" i="1"/>
  <c r="S339" i="1"/>
  <c r="S323" i="1"/>
  <c r="S291" i="1"/>
  <c r="S275" i="1"/>
  <c r="S247" i="1"/>
  <c r="S39" i="1"/>
  <c r="R331" i="1"/>
  <c r="Q283" i="1"/>
  <c r="Q39" i="1"/>
  <c r="Q15" i="1"/>
  <c r="S315" i="1"/>
  <c r="S299" i="1"/>
  <c r="S71" i="1"/>
  <c r="S47" i="1"/>
  <c r="S23" i="1"/>
  <c r="R271" i="1"/>
  <c r="R151" i="1"/>
  <c r="Q317" i="1"/>
  <c r="Q299" i="1"/>
  <c r="Q275" i="1"/>
  <c r="Q71" i="1"/>
  <c r="Q47" i="1"/>
  <c r="Q23" i="1"/>
  <c r="S311" i="1"/>
  <c r="Q119" i="1"/>
  <c r="S327" i="1"/>
  <c r="S267" i="1"/>
  <c r="R315" i="1"/>
  <c r="R267" i="1"/>
  <c r="R247" i="1"/>
  <c r="Q339" i="1"/>
  <c r="Q315" i="1"/>
  <c r="AM9" i="1"/>
  <c r="R311" i="1"/>
  <c r="R287" i="1"/>
  <c r="R231" i="1"/>
  <c r="Q271" i="1"/>
  <c r="Q303" i="1"/>
  <c r="Q279" i="1"/>
  <c r="Q239" i="1"/>
  <c r="Q207" i="1"/>
  <c r="Q175" i="1"/>
  <c r="S335" i="1"/>
  <c r="S279" i="1"/>
  <c r="S239" i="1"/>
  <c r="S159" i="1"/>
  <c r="R167" i="1"/>
  <c r="S319" i="1"/>
  <c r="S183" i="1"/>
  <c r="R183" i="1"/>
  <c r="S303" i="1"/>
  <c r="R199" i="1"/>
  <c r="Q311" i="1"/>
  <c r="Q183" i="1"/>
  <c r="R335" i="1"/>
  <c r="R295" i="1"/>
  <c r="R279" i="1"/>
  <c r="Q301" i="1"/>
  <c r="Q287" i="1"/>
  <c r="Q261" i="1"/>
  <c r="Q247" i="1"/>
  <c r="Q221" i="1"/>
  <c r="Q197" i="1"/>
  <c r="S325" i="1"/>
  <c r="S301" i="1"/>
  <c r="S269" i="1"/>
  <c r="S237" i="1"/>
  <c r="S205" i="1"/>
  <c r="S173" i="1"/>
  <c r="S141" i="1"/>
  <c r="S109" i="1"/>
  <c r="S77" i="1"/>
  <c r="S45" i="1"/>
  <c r="S13" i="1"/>
  <c r="Q341" i="1"/>
  <c r="Q327" i="1"/>
  <c r="Q285" i="1"/>
  <c r="Q245" i="1"/>
  <c r="Q173" i="1"/>
  <c r="Q141" i="1"/>
  <c r="Q109" i="1"/>
  <c r="Q77" i="1"/>
  <c r="Q45" i="1"/>
  <c r="Q13" i="1"/>
  <c r="S309" i="1"/>
  <c r="S287" i="1"/>
  <c r="S277" i="1"/>
  <c r="S255" i="1"/>
  <c r="S245" i="1"/>
  <c r="S223" i="1"/>
  <c r="S213" i="1"/>
  <c r="S191" i="1"/>
  <c r="S181" i="1"/>
  <c r="S149" i="1"/>
  <c r="S117" i="1"/>
  <c r="S85" i="1"/>
  <c r="S53" i="1"/>
  <c r="S21" i="1"/>
  <c r="R327" i="1"/>
  <c r="R255" i="1"/>
  <c r="R239" i="1"/>
  <c r="R223" i="1"/>
  <c r="R207" i="1"/>
  <c r="R191" i="1"/>
  <c r="R175" i="1"/>
  <c r="R159" i="1"/>
  <c r="R143" i="1"/>
  <c r="Q325" i="1"/>
  <c r="Q295" i="1"/>
  <c r="Q269" i="1"/>
  <c r="Q255" i="1"/>
  <c r="Q229" i="1"/>
  <c r="Q205" i="1"/>
  <c r="Q191" i="1"/>
  <c r="Q181" i="1"/>
  <c r="Q159" i="1"/>
  <c r="Q149" i="1"/>
  <c r="Q127" i="1"/>
  <c r="Q117" i="1"/>
  <c r="Q85" i="1"/>
  <c r="Q53" i="1"/>
  <c r="Q21" i="1"/>
  <c r="S295" i="1"/>
  <c r="S285" i="1"/>
  <c r="S263" i="1"/>
  <c r="S253" i="1"/>
  <c r="S231" i="1"/>
  <c r="S221" i="1"/>
  <c r="S199" i="1"/>
  <c r="S189" i="1"/>
  <c r="S167" i="1"/>
  <c r="S157" i="1"/>
  <c r="S125" i="1"/>
  <c r="S93" i="1"/>
  <c r="S61" i="1"/>
  <c r="S29" i="1"/>
  <c r="R343" i="1"/>
  <c r="R303" i="1"/>
  <c r="Q335" i="1"/>
  <c r="Q293" i="1"/>
  <c r="Q253" i="1"/>
  <c r="Q213" i="1"/>
  <c r="Q189" i="1"/>
  <c r="Q167" i="1"/>
  <c r="Q157" i="1"/>
  <c r="Q135" i="1"/>
  <c r="Q125" i="1"/>
  <c r="Q93" i="1"/>
  <c r="Q61" i="1"/>
  <c r="Q29" i="1"/>
  <c r="Q338" i="1"/>
  <c r="S343" i="1"/>
  <c r="S317" i="1"/>
  <c r="R319" i="1"/>
  <c r="Q333" i="1"/>
  <c r="Q319" i="1"/>
  <c r="Q277" i="1"/>
  <c r="Q263" i="1"/>
  <c r="Q237" i="1"/>
  <c r="Q223" i="1"/>
  <c r="Q199" i="1"/>
  <c r="S330" i="1"/>
  <c r="M242" i="1"/>
  <c r="S34" i="1"/>
  <c r="M96" i="1"/>
  <c r="M32" i="1"/>
  <c r="M224" i="1"/>
  <c r="M26" i="1"/>
  <c r="R242" i="1"/>
  <c r="Q306" i="1"/>
  <c r="S290" i="1"/>
  <c r="R306" i="1"/>
  <c r="R178" i="1"/>
  <c r="Q146" i="1"/>
  <c r="S226" i="1"/>
  <c r="R114" i="1"/>
  <c r="Q82" i="1"/>
  <c r="M306" i="1"/>
  <c r="M226" i="1"/>
  <c r="S162" i="1"/>
  <c r="R50" i="1"/>
  <c r="Q274" i="1"/>
  <c r="Q18" i="1"/>
  <c r="S98" i="1"/>
  <c r="S298" i="1"/>
  <c r="S234" i="1"/>
  <c r="S170" i="1"/>
  <c r="S106" i="1"/>
  <c r="S42" i="1"/>
  <c r="R342" i="1"/>
  <c r="R330" i="1"/>
  <c r="R266" i="1"/>
  <c r="R202" i="1"/>
  <c r="R138" i="1"/>
  <c r="R74" i="1"/>
  <c r="R10" i="1"/>
  <c r="Q242" i="1"/>
  <c r="Q202" i="1"/>
  <c r="Q154" i="1"/>
  <c r="Q90" i="1"/>
  <c r="Q26" i="1"/>
  <c r="M346" i="1"/>
  <c r="M302" i="1"/>
  <c r="M282" i="1"/>
  <c r="M210" i="1"/>
  <c r="M194" i="1"/>
  <c r="M178" i="1"/>
  <c r="M162" i="1"/>
  <c r="S338" i="1"/>
  <c r="S178" i="1"/>
  <c r="S114" i="1"/>
  <c r="S50" i="1"/>
  <c r="R302" i="1"/>
  <c r="R290" i="1"/>
  <c r="R226" i="1"/>
  <c r="R162" i="1"/>
  <c r="R98" i="1"/>
  <c r="R34" i="1"/>
  <c r="Q346" i="1"/>
  <c r="Q334" i="1"/>
  <c r="Q314" i="1"/>
  <c r="Q282" i="1"/>
  <c r="Q210" i="1"/>
  <c r="Q98" i="1"/>
  <c r="Q34" i="1"/>
  <c r="M342" i="1"/>
  <c r="M322" i="1"/>
  <c r="M258" i="1"/>
  <c r="M146" i="1"/>
  <c r="M130" i="1"/>
  <c r="M114" i="1"/>
  <c r="S250" i="1"/>
  <c r="S186" i="1"/>
  <c r="S122" i="1"/>
  <c r="S58" i="1"/>
  <c r="R314" i="1"/>
  <c r="R250" i="1"/>
  <c r="R186" i="1"/>
  <c r="R122" i="1"/>
  <c r="R58" i="1"/>
  <c r="Q270" i="1"/>
  <c r="Q250" i="1"/>
  <c r="Q218" i="1"/>
  <c r="Q170" i="1"/>
  <c r="Q106" i="1"/>
  <c r="Q42" i="1"/>
  <c r="M318" i="1"/>
  <c r="M298" i="1"/>
  <c r="M82" i="1"/>
  <c r="M66" i="1"/>
  <c r="M50" i="1"/>
  <c r="S346" i="1"/>
  <c r="S314" i="1"/>
  <c r="S258" i="1"/>
  <c r="S194" i="1"/>
  <c r="S130" i="1"/>
  <c r="S66" i="1"/>
  <c r="R338" i="1"/>
  <c r="R274" i="1"/>
  <c r="R210" i="1"/>
  <c r="R146" i="1"/>
  <c r="R82" i="1"/>
  <c r="R18" i="1"/>
  <c r="Q322" i="1"/>
  <c r="Q290" i="1"/>
  <c r="M274" i="1"/>
  <c r="M234" i="1"/>
  <c r="M18" i="1"/>
  <c r="S266" i="1"/>
  <c r="S202" i="1"/>
  <c r="S138" i="1"/>
  <c r="S74" i="1"/>
  <c r="S10" i="1"/>
  <c r="R310" i="1"/>
  <c r="R298" i="1"/>
  <c r="R234" i="1"/>
  <c r="R170" i="1"/>
  <c r="R106" i="1"/>
  <c r="R42" i="1"/>
  <c r="Q258" i="1"/>
  <c r="Q246" i="1"/>
  <c r="Q186" i="1"/>
  <c r="Q122" i="1"/>
  <c r="Q58" i="1"/>
  <c r="M334" i="1"/>
  <c r="M270" i="1"/>
  <c r="M218" i="1"/>
  <c r="S322" i="1"/>
  <c r="R194" i="1"/>
  <c r="R130" i="1"/>
  <c r="R66" i="1"/>
  <c r="Q330" i="1"/>
  <c r="Q286" i="1"/>
  <c r="Q214" i="1"/>
  <c r="M154" i="1"/>
  <c r="M138" i="1"/>
  <c r="S282" i="1"/>
  <c r="S218" i="1"/>
  <c r="S154" i="1"/>
  <c r="S90" i="1"/>
  <c r="S26" i="1"/>
  <c r="R90" i="1"/>
  <c r="Q266" i="1"/>
  <c r="Q74" i="1"/>
  <c r="Q337" i="1"/>
  <c r="Q345" i="1"/>
  <c r="Q281" i="1"/>
  <c r="S313" i="1"/>
  <c r="Q289" i="1"/>
  <c r="Q225" i="1"/>
  <c r="S321" i="1"/>
  <c r="Q297" i="1"/>
  <c r="Q233" i="1"/>
  <c r="S329" i="1"/>
  <c r="Q305" i="1"/>
  <c r="Q241" i="1"/>
  <c r="S337" i="1"/>
  <c r="Q313" i="1"/>
  <c r="Q249" i="1"/>
  <c r="S345" i="1"/>
  <c r="Q321" i="1"/>
  <c r="Q257" i="1"/>
  <c r="Q193" i="1"/>
  <c r="Q329" i="1"/>
  <c r="Q265" i="1"/>
  <c r="Q201" i="1"/>
  <c r="AO44" i="1"/>
  <c r="AM54" i="1"/>
  <c r="AM165" i="1"/>
  <c r="AM201" i="1"/>
  <c r="AM243" i="1"/>
  <c r="AM261" i="1"/>
  <c r="AM331" i="1"/>
  <c r="AM279" i="1"/>
  <c r="AM183" i="1"/>
  <c r="AM119" i="1"/>
  <c r="AM111" i="1"/>
  <c r="AM103" i="1"/>
  <c r="AM174" i="1"/>
  <c r="AM94" i="1"/>
  <c r="AM86" i="1"/>
  <c r="AM78" i="1"/>
  <c r="AM70" i="1"/>
  <c r="AM62" i="1"/>
  <c r="AM46" i="1"/>
  <c r="AM38" i="1"/>
  <c r="AM30" i="1"/>
  <c r="AM22" i="1"/>
  <c r="AO54" i="1"/>
  <c r="AM269" i="1"/>
  <c r="AM253" i="1"/>
  <c r="AM13" i="1"/>
  <c r="AO261" i="1"/>
  <c r="AO165" i="1"/>
  <c r="AM340" i="1"/>
  <c r="AM156" i="1"/>
  <c r="AM235" i="1"/>
  <c r="AM227" i="1"/>
  <c r="AM218" i="1"/>
  <c r="AM210" i="1"/>
  <c r="AM145" i="1"/>
  <c r="R336" i="1"/>
  <c r="R304" i="1"/>
  <c r="R272" i="1"/>
  <c r="R240" i="1"/>
  <c r="R208" i="1"/>
  <c r="R176" i="1"/>
  <c r="R144" i="1"/>
  <c r="R112" i="1"/>
  <c r="R80" i="1"/>
  <c r="R48" i="1"/>
  <c r="R16" i="1"/>
  <c r="Q344" i="1"/>
  <c r="Q336" i="1"/>
  <c r="Q328" i="1"/>
  <c r="Q320" i="1"/>
  <c r="Q312" i="1"/>
  <c r="Q304" i="1"/>
  <c r="Q296" i="1"/>
  <c r="Q288" i="1"/>
  <c r="Q280" i="1"/>
  <c r="Q272" i="1"/>
  <c r="Q264" i="1"/>
  <c r="Q256" i="1"/>
  <c r="Q248" i="1"/>
  <c r="Q240" i="1"/>
  <c r="Q232" i="1"/>
  <c r="Q224" i="1"/>
  <c r="Q216" i="1"/>
  <c r="Q208" i="1"/>
  <c r="Q200" i="1"/>
  <c r="Q192" i="1"/>
  <c r="Q184" i="1"/>
  <c r="Q176" i="1"/>
  <c r="Q168" i="1"/>
  <c r="Q160" i="1"/>
  <c r="Q152" i="1"/>
  <c r="Q144" i="1"/>
  <c r="Q136" i="1"/>
  <c r="Q128" i="1"/>
  <c r="Q120" i="1"/>
  <c r="Q112" i="1"/>
  <c r="Q104" i="1"/>
  <c r="Q96" i="1"/>
  <c r="Q88" i="1"/>
  <c r="Q80" i="1"/>
  <c r="Q72" i="1"/>
  <c r="Q64" i="1"/>
  <c r="Q56" i="1"/>
  <c r="Q48" i="1"/>
  <c r="Q40" i="1"/>
  <c r="Q32" i="1"/>
  <c r="Q24" i="1"/>
  <c r="Q16" i="1"/>
  <c r="M184" i="1"/>
  <c r="M120" i="1"/>
  <c r="M56" i="1"/>
  <c r="S347" i="1"/>
  <c r="S344" i="1"/>
  <c r="S336" i="1"/>
  <c r="S328" i="1"/>
  <c r="S320" i="1"/>
  <c r="S312" i="1"/>
  <c r="S304" i="1"/>
  <c r="S296" i="1"/>
  <c r="S288" i="1"/>
  <c r="S280" i="1"/>
  <c r="S272" i="1"/>
  <c r="S264" i="1"/>
  <c r="S256" i="1"/>
  <c r="S248" i="1"/>
  <c r="S240" i="1"/>
  <c r="S232" i="1"/>
  <c r="S224" i="1"/>
  <c r="S216" i="1"/>
  <c r="S208" i="1"/>
  <c r="S200" i="1"/>
  <c r="S192" i="1"/>
  <c r="S184" i="1"/>
  <c r="S176" i="1"/>
  <c r="S168" i="1"/>
  <c r="S160" i="1"/>
  <c r="S152" i="1"/>
  <c r="S144" i="1"/>
  <c r="S136" i="1"/>
  <c r="S128" i="1"/>
  <c r="S120" i="1"/>
  <c r="S112" i="1"/>
  <c r="S104" i="1"/>
  <c r="S96" i="1"/>
  <c r="S88" i="1"/>
  <c r="S80" i="1"/>
  <c r="S72" i="1"/>
  <c r="S64" i="1"/>
  <c r="S56" i="1"/>
  <c r="S48" i="1"/>
  <c r="S40" i="1"/>
  <c r="S32" i="1"/>
  <c r="S24" i="1"/>
  <c r="S16" i="1"/>
  <c r="M344" i="1"/>
  <c r="M328" i="1"/>
  <c r="M312" i="1"/>
  <c r="M296" i="1"/>
  <c r="M280" i="1"/>
  <c r="M264" i="1"/>
  <c r="M248" i="1"/>
  <c r="R347" i="1"/>
  <c r="R216" i="1"/>
  <c r="R152" i="1"/>
  <c r="R88" i="1"/>
  <c r="R24" i="1"/>
  <c r="M232" i="1"/>
  <c r="M168" i="1"/>
  <c r="M104" i="1"/>
  <c r="M40" i="1"/>
  <c r="M192" i="1"/>
  <c r="M128" i="1"/>
  <c r="M64" i="1"/>
  <c r="R320" i="1"/>
  <c r="R288" i="1"/>
  <c r="R256" i="1"/>
  <c r="R200" i="1"/>
  <c r="R136" i="1"/>
  <c r="R72" i="1"/>
  <c r="Q347" i="1"/>
  <c r="R341" i="1"/>
  <c r="R333" i="1"/>
  <c r="R325" i="1"/>
  <c r="R317" i="1"/>
  <c r="R309" i="1"/>
  <c r="R301" i="1"/>
  <c r="R293" i="1"/>
  <c r="R285" i="1"/>
  <c r="R277" i="1"/>
  <c r="R269" i="1"/>
  <c r="R261" i="1"/>
  <c r="R253" i="1"/>
  <c r="R245" i="1"/>
  <c r="R237" i="1"/>
  <c r="R229" i="1"/>
  <c r="R221" i="1"/>
  <c r="R213" i="1"/>
  <c r="R205" i="1"/>
  <c r="R197" i="1"/>
  <c r="R189" i="1"/>
  <c r="R181" i="1"/>
  <c r="R173" i="1"/>
  <c r="R165" i="1"/>
  <c r="R157" i="1"/>
  <c r="R149" i="1"/>
  <c r="R141" i="1"/>
  <c r="R133" i="1"/>
  <c r="R125" i="1"/>
  <c r="R117" i="1"/>
  <c r="R109" i="1"/>
  <c r="R101" i="1"/>
  <c r="R93" i="1"/>
  <c r="R85" i="1"/>
  <c r="R77" i="1"/>
  <c r="R69" i="1"/>
  <c r="R61" i="1"/>
  <c r="R53" i="1"/>
  <c r="R45" i="1"/>
  <c r="R37" i="1"/>
  <c r="R29" i="1"/>
  <c r="R21" i="1"/>
  <c r="R13" i="1"/>
  <c r="M9" i="1"/>
  <c r="M345" i="1"/>
  <c r="M337" i="1"/>
  <c r="M329" i="1"/>
  <c r="M321" i="1"/>
  <c r="M313" i="1"/>
  <c r="M305" i="1"/>
  <c r="M297" i="1"/>
  <c r="M289" i="1"/>
  <c r="M281" i="1"/>
  <c r="M273" i="1"/>
  <c r="M265" i="1"/>
  <c r="M257" i="1"/>
  <c r="M249" i="1"/>
  <c r="M241" i="1"/>
  <c r="M233" i="1"/>
  <c r="M225" i="1"/>
  <c r="M217" i="1"/>
  <c r="M209" i="1"/>
  <c r="M201" i="1"/>
  <c r="M193" i="1"/>
  <c r="M185" i="1"/>
  <c r="M177" i="1"/>
  <c r="M169" i="1"/>
  <c r="M161" i="1"/>
  <c r="M153" i="1"/>
  <c r="M145" i="1"/>
  <c r="M137" i="1"/>
  <c r="M129" i="1"/>
  <c r="M121" i="1"/>
  <c r="M113" i="1"/>
  <c r="M105" i="1"/>
  <c r="M97" i="1"/>
  <c r="M89" i="1"/>
  <c r="M81" i="1"/>
  <c r="M73" i="1"/>
  <c r="M65" i="1"/>
  <c r="M57" i="1"/>
  <c r="M49" i="1"/>
  <c r="M41" i="1"/>
  <c r="M33" i="1"/>
  <c r="M25" i="1"/>
  <c r="M17" i="1"/>
  <c r="R9" i="1"/>
  <c r="Q10" i="1"/>
  <c r="AN1268" i="1" l="1"/>
  <c r="AN1266" i="1"/>
  <c r="AN1261" i="1"/>
  <c r="AN1259" i="1"/>
  <c r="AN1253" i="1"/>
  <c r="AN1251" i="1"/>
  <c r="AN1248" i="1"/>
  <c r="AN1245" i="1"/>
  <c r="AN1244" i="1"/>
  <c r="AN1243" i="1"/>
  <c r="AN1238" i="1"/>
  <c r="AN1235" i="1"/>
  <c r="AN1234" i="1"/>
  <c r="AN1231" i="1"/>
  <c r="AN1230" i="1"/>
  <c r="AN1229" i="1"/>
  <c r="AN1228" i="1"/>
  <c r="AN1226" i="1"/>
  <c r="AN1224" i="1"/>
  <c r="AN1223" i="1"/>
  <c r="AN1221" i="1"/>
  <c r="AN1220" i="1"/>
  <c r="AN1219" i="1"/>
  <c r="AN1194" i="1"/>
  <c r="AN1181" i="1"/>
  <c r="AN1177" i="1"/>
  <c r="AN1174" i="1"/>
  <c r="AN1171" i="1"/>
  <c r="AN1161" i="1"/>
  <c r="AN1159" i="1"/>
  <c r="AN1158" i="1"/>
  <c r="AN1157" i="1"/>
  <c r="AN1154" i="1"/>
  <c r="AN1148" i="1"/>
  <c r="AN1146" i="1"/>
  <c r="AN1141" i="1"/>
  <c r="AN1137" i="1"/>
  <c r="AN1136" i="1"/>
  <c r="AN1135" i="1"/>
  <c r="AN1131" i="1"/>
  <c r="AN1129" i="1"/>
  <c r="AN1123" i="1"/>
  <c r="AN1122" i="1"/>
  <c r="AN1121" i="1"/>
  <c r="AN1120" i="1"/>
  <c r="AJ1269" i="1"/>
  <c r="Y1269" i="1"/>
  <c r="Y1268" i="1"/>
  <c r="AO1268" i="1" s="1"/>
  <c r="Y1266" i="1"/>
  <c r="Y1265" i="1"/>
  <c r="Y1264" i="1"/>
  <c r="Y1263" i="1"/>
  <c r="Y1261" i="1"/>
  <c r="Y1260" i="1"/>
  <c r="Y1259" i="1"/>
  <c r="Y1258" i="1"/>
  <c r="Y1256" i="1"/>
  <c r="Y1253" i="1"/>
  <c r="Y1251" i="1"/>
  <c r="Y1250" i="1"/>
  <c r="Y1248" i="1"/>
  <c r="Y1247" i="1"/>
  <c r="Y1246" i="1"/>
  <c r="Y1245" i="1"/>
  <c r="Y1244" i="1"/>
  <c r="AO1244" i="1" s="1"/>
  <c r="Y1243" i="1"/>
  <c r="Y1238" i="1"/>
  <c r="Y1237" i="1"/>
  <c r="AO1237" i="1" s="1"/>
  <c r="Y1234" i="1"/>
  <c r="AO1234" i="1" s="1"/>
  <c r="Y1233" i="1"/>
  <c r="Y1232" i="1"/>
  <c r="Y1231" i="1"/>
  <c r="AO1231" i="1" s="1"/>
  <c r="Y1230" i="1"/>
  <c r="Y1229" i="1"/>
  <c r="Y1228" i="1"/>
  <c r="Y1227" i="1"/>
  <c r="Y1226" i="1"/>
  <c r="Y1225" i="1"/>
  <c r="Y1224" i="1"/>
  <c r="Y1223" i="1"/>
  <c r="Y1222" i="1"/>
  <c r="AJ1221" i="1"/>
  <c r="Y1221" i="1"/>
  <c r="Y1220" i="1"/>
  <c r="Y1219" i="1"/>
  <c r="AO1219" i="1" s="1"/>
  <c r="Y1216" i="1"/>
  <c r="Y1215" i="1"/>
  <c r="Y1212" i="1"/>
  <c r="AO1212" i="1" s="1"/>
  <c r="Y1209" i="1"/>
  <c r="AO1209" i="1" s="1"/>
  <c r="Y1208" i="1"/>
  <c r="Y1207" i="1"/>
  <c r="Y1206" i="1"/>
  <c r="Y1204" i="1"/>
  <c r="Y1203" i="1"/>
  <c r="Y1202" i="1"/>
  <c r="Y1201" i="1"/>
  <c r="AO1201" i="1" s="1"/>
  <c r="Y1200" i="1"/>
  <c r="Y1199" i="1"/>
  <c r="Y1198" i="1"/>
  <c r="Y1197" i="1"/>
  <c r="AO1197" i="1" s="1"/>
  <c r="Y1194" i="1"/>
  <c r="Y1193" i="1"/>
  <c r="Y1190" i="1"/>
  <c r="Y1188" i="1"/>
  <c r="Y1187" i="1"/>
  <c r="Y1184" i="1"/>
  <c r="Y1182" i="1"/>
  <c r="Y1181" i="1"/>
  <c r="Y1180" i="1"/>
  <c r="Y1179" i="1"/>
  <c r="Y1177" i="1"/>
  <c r="Y1175" i="1"/>
  <c r="Y1174" i="1"/>
  <c r="Y1173" i="1"/>
  <c r="Y1172" i="1"/>
  <c r="Y1171" i="1"/>
  <c r="Y1170" i="1"/>
  <c r="AO1170" i="1" s="1"/>
  <c r="Y1169" i="1"/>
  <c r="Y1168" i="1"/>
  <c r="Y1167" i="1"/>
  <c r="AO1167" i="1" s="1"/>
  <c r="Y1166" i="1"/>
  <c r="Y1164" i="1"/>
  <c r="Y1163" i="1"/>
  <c r="Y1162" i="1"/>
  <c r="Y1161" i="1"/>
  <c r="AO1161" i="1" s="1"/>
  <c r="Y1160" i="1"/>
  <c r="Y1159" i="1"/>
  <c r="Y1158" i="1"/>
  <c r="AO1158" i="1" s="1"/>
  <c r="Y1157" i="1"/>
  <c r="Y1155" i="1"/>
  <c r="Y1150" i="1"/>
  <c r="Y1148" i="1"/>
  <c r="Y1146" i="1"/>
  <c r="AO1146" i="1" s="1"/>
  <c r="Y1143" i="1"/>
  <c r="Y1142" i="1"/>
  <c r="Y1141" i="1"/>
  <c r="AF1137" i="1"/>
  <c r="AL1137" i="1" s="1"/>
  <c r="Y1137" i="1"/>
  <c r="Y1136" i="1"/>
  <c r="AF1135" i="1"/>
  <c r="Y1135" i="1"/>
  <c r="Y1133" i="1"/>
  <c r="Y1132" i="1"/>
  <c r="Y1131" i="1"/>
  <c r="AO1131" i="1" s="1"/>
  <c r="Y1130" i="1"/>
  <c r="Y1129" i="1"/>
  <c r="Y1128" i="1"/>
  <c r="Y1127" i="1"/>
  <c r="Y1125" i="1"/>
  <c r="AO1125" i="1" s="1"/>
  <c r="Y1124" i="1"/>
  <c r="AJ1123" i="1"/>
  <c r="Y1123" i="1"/>
  <c r="Y1122" i="1"/>
  <c r="Y1121" i="1"/>
  <c r="Y1120" i="1"/>
  <c r="Y1119" i="1"/>
  <c r="Y1118" i="1"/>
  <c r="Y1117" i="1"/>
  <c r="Y1116" i="1"/>
  <c r="Y1115" i="1"/>
  <c r="Y1114" i="1"/>
  <c r="AO1114" i="1" s="1"/>
  <c r="Y1113" i="1"/>
  <c r="Y1112" i="1"/>
  <c r="Y1110" i="1"/>
  <c r="Y1109" i="1"/>
  <c r="AO1109" i="1" s="1"/>
  <c r="Y1108" i="1"/>
  <c r="Y1107" i="1"/>
  <c r="Y1106" i="1"/>
  <c r="Y1105" i="1"/>
  <c r="AO1105" i="1" s="1"/>
  <c r="Y1104" i="1"/>
  <c r="Y1103" i="1"/>
  <c r="Y1096" i="1"/>
  <c r="Y1095" i="1"/>
  <c r="Y1094" i="1"/>
  <c r="Y1093" i="1"/>
  <c r="Y1092" i="1"/>
  <c r="AO1092" i="1" s="1"/>
  <c r="Y1090" i="1"/>
  <c r="AO1090" i="1" s="1"/>
  <c r="B1090" i="1"/>
  <c r="B1091" i="1"/>
  <c r="B1092" i="1"/>
  <c r="B1093" i="1"/>
  <c r="B1094" i="1"/>
  <c r="B1095" i="1"/>
  <c r="B1096" i="1"/>
  <c r="B1097" i="1"/>
  <c r="B1098" i="1"/>
  <c r="B1099" i="1"/>
  <c r="B1100" i="1"/>
  <c r="B1101" i="1"/>
  <c r="B1102" i="1"/>
  <c r="B1103" i="1"/>
  <c r="B1104" i="1"/>
  <c r="B1105" i="1"/>
  <c r="B1106" i="1"/>
  <c r="B1107" i="1"/>
  <c r="B1108" i="1"/>
  <c r="B1109" i="1"/>
  <c r="B1110" i="1"/>
  <c r="B1111" i="1"/>
  <c r="B1112" i="1"/>
  <c r="B1113" i="1"/>
  <c r="B1114" i="1"/>
  <c r="B1115" i="1"/>
  <c r="B1116" i="1"/>
  <c r="B1117" i="1"/>
  <c r="B1118" i="1"/>
  <c r="B1119" i="1"/>
  <c r="B1120" i="1"/>
  <c r="B1121" i="1"/>
  <c r="B1122" i="1"/>
  <c r="B1123" i="1"/>
  <c r="B1124" i="1"/>
  <c r="B1125" i="1"/>
  <c r="B1126" i="1"/>
  <c r="B1127" i="1"/>
  <c r="B1128" i="1"/>
  <c r="B1129" i="1"/>
  <c r="B1130" i="1"/>
  <c r="B1131" i="1"/>
  <c r="B1132" i="1"/>
  <c r="B1133" i="1"/>
  <c r="B1134" i="1"/>
  <c r="B1135" i="1"/>
  <c r="B1136" i="1"/>
  <c r="B1137" i="1"/>
  <c r="B1138" i="1"/>
  <c r="B1139" i="1"/>
  <c r="B1140" i="1"/>
  <c r="B1141" i="1"/>
  <c r="B1142" i="1"/>
  <c r="B1143" i="1"/>
  <c r="B1144" i="1"/>
  <c r="B1145" i="1"/>
  <c r="B1146" i="1"/>
  <c r="B1147" i="1"/>
  <c r="B1148" i="1"/>
  <c r="B1149" i="1"/>
  <c r="B1150" i="1"/>
  <c r="B1151" i="1"/>
  <c r="B1152" i="1"/>
  <c r="B1153" i="1"/>
  <c r="B1154" i="1"/>
  <c r="B1155" i="1"/>
  <c r="B1156" i="1"/>
  <c r="B1157" i="1"/>
  <c r="B1158" i="1"/>
  <c r="B1159" i="1"/>
  <c r="B1160" i="1"/>
  <c r="B1161" i="1"/>
  <c r="B1162" i="1"/>
  <c r="B1163" i="1"/>
  <c r="B1164" i="1"/>
  <c r="B1165" i="1"/>
  <c r="B1166" i="1"/>
  <c r="B1167" i="1"/>
  <c r="B1168" i="1"/>
  <c r="B1169" i="1"/>
  <c r="B1170" i="1"/>
  <c r="B1171" i="1"/>
  <c r="B1172" i="1"/>
  <c r="B1173" i="1"/>
  <c r="B1174" i="1"/>
  <c r="B1175" i="1"/>
  <c r="B1176" i="1"/>
  <c r="B1177" i="1"/>
  <c r="B1178" i="1"/>
  <c r="B1179" i="1"/>
  <c r="B1180" i="1"/>
  <c r="B1181" i="1"/>
  <c r="B1182" i="1"/>
  <c r="B1183" i="1"/>
  <c r="B1184" i="1"/>
  <c r="B1185" i="1"/>
  <c r="B1186" i="1"/>
  <c r="B1187" i="1"/>
  <c r="B1188" i="1"/>
  <c r="B1189" i="1"/>
  <c r="B1190" i="1"/>
  <c r="B1191" i="1"/>
  <c r="B1192" i="1"/>
  <c r="B1193" i="1"/>
  <c r="B1194" i="1"/>
  <c r="B1195" i="1"/>
  <c r="B1196" i="1"/>
  <c r="B1197" i="1"/>
  <c r="B1198" i="1"/>
  <c r="B1199" i="1"/>
  <c r="B1200" i="1"/>
  <c r="B1201" i="1"/>
  <c r="B1202" i="1"/>
  <c r="B1203" i="1"/>
  <c r="B1204" i="1"/>
  <c r="B1205" i="1"/>
  <c r="B1206" i="1"/>
  <c r="B1207" i="1"/>
  <c r="B1208" i="1"/>
  <c r="B1209" i="1"/>
  <c r="B1210" i="1"/>
  <c r="B1211" i="1"/>
  <c r="B1212" i="1"/>
  <c r="B1213" i="1"/>
  <c r="B1214" i="1"/>
  <c r="B1215" i="1"/>
  <c r="B1216" i="1"/>
  <c r="B1217" i="1"/>
  <c r="B1218" i="1"/>
  <c r="B1219" i="1"/>
  <c r="B1220" i="1"/>
  <c r="B1221" i="1"/>
  <c r="B1222" i="1"/>
  <c r="B1223" i="1"/>
  <c r="B1224" i="1"/>
  <c r="B1225" i="1"/>
  <c r="B1226" i="1"/>
  <c r="B1227" i="1"/>
  <c r="B1228" i="1"/>
  <c r="B1229" i="1"/>
  <c r="B1230" i="1"/>
  <c r="B1231" i="1"/>
  <c r="B1232" i="1"/>
  <c r="B1233" i="1"/>
  <c r="B1234" i="1"/>
  <c r="B1235" i="1"/>
  <c r="B1236" i="1"/>
  <c r="B1237" i="1"/>
  <c r="B1238" i="1"/>
  <c r="B1239" i="1"/>
  <c r="B1240" i="1"/>
  <c r="B1241" i="1"/>
  <c r="B1242" i="1"/>
  <c r="B1243" i="1"/>
  <c r="B1244" i="1"/>
  <c r="B1245" i="1"/>
  <c r="B1246" i="1"/>
  <c r="B1247" i="1"/>
  <c r="B1248" i="1"/>
  <c r="B1249" i="1"/>
  <c r="B1250" i="1"/>
  <c r="B1251" i="1"/>
  <c r="B1252" i="1"/>
  <c r="B1253" i="1"/>
  <c r="B1254" i="1"/>
  <c r="B1255" i="1"/>
  <c r="B1256" i="1"/>
  <c r="B1257" i="1"/>
  <c r="B1258" i="1"/>
  <c r="B1259" i="1"/>
  <c r="B1260" i="1"/>
  <c r="B1261" i="1"/>
  <c r="B1262" i="1"/>
  <c r="B1263" i="1"/>
  <c r="B1264" i="1"/>
  <c r="B1265" i="1"/>
  <c r="B1266" i="1"/>
  <c r="B1267" i="1"/>
  <c r="B1268" i="1"/>
  <c r="B1269" i="1"/>
  <c r="B1270" i="1"/>
  <c r="H1090" i="1"/>
  <c r="H1091" i="1"/>
  <c r="H1092" i="1"/>
  <c r="H1093" i="1"/>
  <c r="H1094" i="1"/>
  <c r="H1095" i="1"/>
  <c r="H1096" i="1"/>
  <c r="H1097" i="1"/>
  <c r="H1098" i="1"/>
  <c r="H1099" i="1"/>
  <c r="H1100" i="1"/>
  <c r="H1101" i="1"/>
  <c r="H1102" i="1"/>
  <c r="H1103" i="1"/>
  <c r="H1104" i="1"/>
  <c r="H1105" i="1"/>
  <c r="H1106" i="1"/>
  <c r="H1107" i="1"/>
  <c r="H1108" i="1"/>
  <c r="H1109" i="1"/>
  <c r="H1110" i="1"/>
  <c r="H1111" i="1"/>
  <c r="H1112" i="1"/>
  <c r="H1113" i="1"/>
  <c r="H1114" i="1"/>
  <c r="H1115" i="1"/>
  <c r="H1116" i="1"/>
  <c r="H1117" i="1"/>
  <c r="H1118" i="1"/>
  <c r="H1119" i="1"/>
  <c r="H1120" i="1"/>
  <c r="H1121" i="1"/>
  <c r="H1122" i="1"/>
  <c r="H1123" i="1"/>
  <c r="H1124" i="1"/>
  <c r="H1125" i="1"/>
  <c r="H1126" i="1"/>
  <c r="H1127" i="1"/>
  <c r="H1128" i="1"/>
  <c r="H1129" i="1"/>
  <c r="H1130" i="1"/>
  <c r="H1131" i="1"/>
  <c r="H1132" i="1"/>
  <c r="H1133" i="1"/>
  <c r="H1134" i="1"/>
  <c r="H1135" i="1"/>
  <c r="H1136" i="1"/>
  <c r="H1137" i="1"/>
  <c r="H1138" i="1"/>
  <c r="H1139" i="1"/>
  <c r="H1140" i="1"/>
  <c r="H1141" i="1"/>
  <c r="H1142" i="1"/>
  <c r="H1143" i="1"/>
  <c r="H1144" i="1"/>
  <c r="H1145" i="1"/>
  <c r="H1146" i="1"/>
  <c r="H1147" i="1"/>
  <c r="H1148" i="1"/>
  <c r="H1149" i="1"/>
  <c r="H1150" i="1"/>
  <c r="H1151" i="1"/>
  <c r="H1152" i="1"/>
  <c r="H1153" i="1"/>
  <c r="H1154" i="1"/>
  <c r="H1155" i="1"/>
  <c r="H1156" i="1"/>
  <c r="H1157" i="1"/>
  <c r="H1158" i="1"/>
  <c r="H1159" i="1"/>
  <c r="H1160" i="1"/>
  <c r="H1161" i="1"/>
  <c r="H1162" i="1"/>
  <c r="H1163" i="1"/>
  <c r="H1164" i="1"/>
  <c r="H1165" i="1"/>
  <c r="H1166" i="1"/>
  <c r="H1167" i="1"/>
  <c r="H1168" i="1"/>
  <c r="H1169" i="1"/>
  <c r="H1170" i="1"/>
  <c r="H1171" i="1"/>
  <c r="H1172" i="1"/>
  <c r="H1173" i="1"/>
  <c r="H1174" i="1"/>
  <c r="H1175" i="1"/>
  <c r="H1176" i="1"/>
  <c r="H1177" i="1"/>
  <c r="H1178" i="1"/>
  <c r="H1179" i="1"/>
  <c r="H1180" i="1"/>
  <c r="H1181" i="1"/>
  <c r="H1182" i="1"/>
  <c r="H1183" i="1"/>
  <c r="H1184" i="1"/>
  <c r="H1185" i="1"/>
  <c r="H1186" i="1"/>
  <c r="H1187" i="1"/>
  <c r="H1188" i="1"/>
  <c r="H1189" i="1"/>
  <c r="H1190" i="1"/>
  <c r="H1191" i="1"/>
  <c r="H1192" i="1"/>
  <c r="H1193" i="1"/>
  <c r="H1194" i="1"/>
  <c r="H1195" i="1"/>
  <c r="H1196" i="1"/>
  <c r="H1197" i="1"/>
  <c r="H1198" i="1"/>
  <c r="H1199" i="1"/>
  <c r="H1200" i="1"/>
  <c r="H1201" i="1"/>
  <c r="H1202" i="1"/>
  <c r="H1203" i="1"/>
  <c r="H1204" i="1"/>
  <c r="H1205" i="1"/>
  <c r="H1206" i="1"/>
  <c r="H1207" i="1"/>
  <c r="H1208" i="1"/>
  <c r="H1209" i="1"/>
  <c r="H1210" i="1"/>
  <c r="H1211" i="1"/>
  <c r="H1212" i="1"/>
  <c r="H1213" i="1"/>
  <c r="H1214" i="1"/>
  <c r="H1215" i="1"/>
  <c r="H1216" i="1"/>
  <c r="H1217" i="1"/>
  <c r="H1218" i="1"/>
  <c r="H1219" i="1"/>
  <c r="H1220" i="1"/>
  <c r="H1221" i="1"/>
  <c r="H1222" i="1"/>
  <c r="H1223" i="1"/>
  <c r="H1224" i="1"/>
  <c r="H1225" i="1"/>
  <c r="H1226" i="1"/>
  <c r="H1227" i="1"/>
  <c r="H1228" i="1"/>
  <c r="H1229" i="1"/>
  <c r="H1230" i="1"/>
  <c r="H1231" i="1"/>
  <c r="H1232" i="1"/>
  <c r="H1233" i="1"/>
  <c r="H1234" i="1"/>
  <c r="H1235" i="1"/>
  <c r="H1236" i="1"/>
  <c r="H1237" i="1"/>
  <c r="H1238" i="1"/>
  <c r="H1239" i="1"/>
  <c r="H1240" i="1"/>
  <c r="H1241" i="1"/>
  <c r="H1242" i="1"/>
  <c r="H1243" i="1"/>
  <c r="H1244" i="1"/>
  <c r="H1245" i="1"/>
  <c r="H1246" i="1"/>
  <c r="H1247" i="1"/>
  <c r="H1248" i="1"/>
  <c r="H1249" i="1"/>
  <c r="H1250" i="1"/>
  <c r="H1251" i="1"/>
  <c r="H1252" i="1"/>
  <c r="H1253" i="1"/>
  <c r="H1254" i="1"/>
  <c r="H1255" i="1"/>
  <c r="H1256" i="1"/>
  <c r="H1257" i="1"/>
  <c r="H1258" i="1"/>
  <c r="H1259" i="1"/>
  <c r="H1260" i="1"/>
  <c r="H1261" i="1"/>
  <c r="H1262" i="1"/>
  <c r="H1263" i="1"/>
  <c r="H1264" i="1"/>
  <c r="H1265" i="1"/>
  <c r="H1266" i="1"/>
  <c r="H1267" i="1"/>
  <c r="H1268" i="1"/>
  <c r="H1269" i="1"/>
  <c r="H1270" i="1"/>
  <c r="K1090" i="1"/>
  <c r="K1091" i="1"/>
  <c r="K1092" i="1"/>
  <c r="K1093" i="1"/>
  <c r="K1094" i="1"/>
  <c r="K1095" i="1"/>
  <c r="K1096" i="1"/>
  <c r="K1097" i="1"/>
  <c r="K1098" i="1"/>
  <c r="K1099" i="1"/>
  <c r="K1100" i="1"/>
  <c r="K1101" i="1"/>
  <c r="K1102" i="1"/>
  <c r="K1103" i="1"/>
  <c r="K1104" i="1"/>
  <c r="K1105" i="1"/>
  <c r="K1106" i="1"/>
  <c r="K1107" i="1"/>
  <c r="K1108" i="1"/>
  <c r="K1109" i="1"/>
  <c r="K1110" i="1"/>
  <c r="K1111" i="1"/>
  <c r="K1112" i="1"/>
  <c r="K1113" i="1"/>
  <c r="K1114" i="1"/>
  <c r="K1115" i="1"/>
  <c r="K1116" i="1"/>
  <c r="K1117" i="1"/>
  <c r="K1118" i="1"/>
  <c r="K1119" i="1"/>
  <c r="K1120" i="1"/>
  <c r="K1121" i="1"/>
  <c r="K1122" i="1"/>
  <c r="K1123" i="1"/>
  <c r="K1124" i="1"/>
  <c r="K1125" i="1"/>
  <c r="K1126" i="1"/>
  <c r="K1127" i="1"/>
  <c r="K1128" i="1"/>
  <c r="K1129" i="1"/>
  <c r="K1130" i="1"/>
  <c r="K1131" i="1"/>
  <c r="K1132" i="1"/>
  <c r="K1133" i="1"/>
  <c r="K1134" i="1"/>
  <c r="K1135" i="1"/>
  <c r="K1136" i="1"/>
  <c r="K1137" i="1"/>
  <c r="K1138" i="1"/>
  <c r="K1139" i="1"/>
  <c r="K1140" i="1"/>
  <c r="K1141" i="1"/>
  <c r="K1142" i="1"/>
  <c r="K1143" i="1"/>
  <c r="K1144" i="1"/>
  <c r="K1145" i="1"/>
  <c r="K1146" i="1"/>
  <c r="K1147" i="1"/>
  <c r="K1148" i="1"/>
  <c r="K1149" i="1"/>
  <c r="K1150" i="1"/>
  <c r="K1151" i="1"/>
  <c r="K1152" i="1"/>
  <c r="K1153" i="1"/>
  <c r="K1154" i="1"/>
  <c r="K1155" i="1"/>
  <c r="K1156" i="1"/>
  <c r="K1157" i="1"/>
  <c r="K1158" i="1"/>
  <c r="K1159" i="1"/>
  <c r="K1160" i="1"/>
  <c r="K1161" i="1"/>
  <c r="K1162" i="1"/>
  <c r="K1163" i="1"/>
  <c r="K1164" i="1"/>
  <c r="K1165" i="1"/>
  <c r="K1166" i="1"/>
  <c r="K1167" i="1"/>
  <c r="K1168" i="1"/>
  <c r="K1169" i="1"/>
  <c r="K1170" i="1"/>
  <c r="K1171" i="1"/>
  <c r="K1172" i="1"/>
  <c r="K1173" i="1"/>
  <c r="K1174" i="1"/>
  <c r="K1175" i="1"/>
  <c r="K1176" i="1"/>
  <c r="K1177" i="1"/>
  <c r="K1178" i="1"/>
  <c r="K1179" i="1"/>
  <c r="K1180" i="1"/>
  <c r="K1181" i="1"/>
  <c r="K1182" i="1"/>
  <c r="K1183" i="1"/>
  <c r="K1184" i="1"/>
  <c r="K1185" i="1"/>
  <c r="K1186" i="1"/>
  <c r="K1187" i="1"/>
  <c r="K1188" i="1"/>
  <c r="K1189" i="1"/>
  <c r="K1190" i="1"/>
  <c r="K1191" i="1"/>
  <c r="K1192" i="1"/>
  <c r="K1193" i="1"/>
  <c r="K1194" i="1"/>
  <c r="K1195" i="1"/>
  <c r="K1196" i="1"/>
  <c r="K1197" i="1"/>
  <c r="K1198" i="1"/>
  <c r="K1199" i="1"/>
  <c r="K1200" i="1"/>
  <c r="K1201" i="1"/>
  <c r="K1202" i="1"/>
  <c r="K1203" i="1"/>
  <c r="K1204" i="1"/>
  <c r="K1205" i="1"/>
  <c r="K1206" i="1"/>
  <c r="K1207" i="1"/>
  <c r="K1208" i="1"/>
  <c r="K1209" i="1"/>
  <c r="K1210" i="1"/>
  <c r="K1211" i="1"/>
  <c r="K1212" i="1"/>
  <c r="K1213" i="1"/>
  <c r="K1214" i="1"/>
  <c r="K1215" i="1"/>
  <c r="K1216" i="1"/>
  <c r="K1217" i="1"/>
  <c r="K1218" i="1"/>
  <c r="K1219" i="1"/>
  <c r="K1220" i="1"/>
  <c r="K1221" i="1"/>
  <c r="K1222" i="1"/>
  <c r="K1223" i="1"/>
  <c r="K1224" i="1"/>
  <c r="K1225" i="1"/>
  <c r="K1226" i="1"/>
  <c r="K1227" i="1"/>
  <c r="K1228" i="1"/>
  <c r="K1229" i="1"/>
  <c r="K1230" i="1"/>
  <c r="K1231" i="1"/>
  <c r="K1232" i="1"/>
  <c r="K1233" i="1"/>
  <c r="K1234" i="1"/>
  <c r="K1235" i="1"/>
  <c r="K1236" i="1"/>
  <c r="K1237" i="1"/>
  <c r="K1238" i="1"/>
  <c r="K1239" i="1"/>
  <c r="K1240" i="1"/>
  <c r="K1241" i="1"/>
  <c r="K1242" i="1"/>
  <c r="K1243" i="1"/>
  <c r="K1244" i="1"/>
  <c r="K1245" i="1"/>
  <c r="K1246" i="1"/>
  <c r="K1247" i="1"/>
  <c r="K1248" i="1"/>
  <c r="K1249" i="1"/>
  <c r="K1250" i="1"/>
  <c r="K1251" i="1"/>
  <c r="K1252" i="1"/>
  <c r="K1253" i="1"/>
  <c r="K1254" i="1"/>
  <c r="K1255" i="1"/>
  <c r="K1256" i="1"/>
  <c r="K1257" i="1"/>
  <c r="K1258" i="1"/>
  <c r="K1259" i="1"/>
  <c r="K1260" i="1"/>
  <c r="K1261" i="1"/>
  <c r="K1262" i="1"/>
  <c r="K1263" i="1"/>
  <c r="K1264" i="1"/>
  <c r="K1265" i="1"/>
  <c r="K1266" i="1"/>
  <c r="K1267" i="1"/>
  <c r="K1268" i="1"/>
  <c r="K1269" i="1"/>
  <c r="K1270" i="1"/>
  <c r="L1090" i="1"/>
  <c r="M1090" i="1" s="1"/>
  <c r="L1091" i="1"/>
  <c r="S1091" i="1" s="1"/>
  <c r="L1092" i="1"/>
  <c r="M1092" i="1" s="1"/>
  <c r="L1093" i="1"/>
  <c r="Q1093" i="1" s="1"/>
  <c r="L1094" i="1"/>
  <c r="Q1094" i="1" s="1"/>
  <c r="L1095" i="1"/>
  <c r="M1095" i="1" s="1"/>
  <c r="L1096" i="1"/>
  <c r="M1096" i="1" s="1"/>
  <c r="L1097" i="1"/>
  <c r="L1098" i="1"/>
  <c r="M1098" i="1" s="1"/>
  <c r="L1099" i="1"/>
  <c r="S1099" i="1" s="1"/>
  <c r="L1100" i="1"/>
  <c r="M1100" i="1" s="1"/>
  <c r="L1101" i="1"/>
  <c r="M1101" i="1" s="1"/>
  <c r="L1102" i="1"/>
  <c r="R1102" i="1" s="1"/>
  <c r="L1103" i="1"/>
  <c r="M1103" i="1" s="1"/>
  <c r="L1104" i="1"/>
  <c r="S1104" i="1" s="1"/>
  <c r="L1105" i="1"/>
  <c r="R1105" i="1" s="1"/>
  <c r="L1106" i="1"/>
  <c r="M1106" i="1" s="1"/>
  <c r="L1107" i="1"/>
  <c r="Q1107" i="1" s="1"/>
  <c r="L1108" i="1"/>
  <c r="S1108" i="1" s="1"/>
  <c r="L1109" i="1"/>
  <c r="M1109" i="1" s="1"/>
  <c r="L1110" i="1"/>
  <c r="M1110" i="1" s="1"/>
  <c r="L1111" i="1"/>
  <c r="M1111" i="1" s="1"/>
  <c r="L1112" i="1"/>
  <c r="R1112" i="1" s="1"/>
  <c r="L1113" i="1"/>
  <c r="L1114" i="1"/>
  <c r="M1114" i="1" s="1"/>
  <c r="L1115" i="1"/>
  <c r="M1115" i="1" s="1"/>
  <c r="L1116" i="1"/>
  <c r="Q1116" i="1" s="1"/>
  <c r="L1117" i="1"/>
  <c r="R1117" i="1" s="1"/>
  <c r="L1118" i="1"/>
  <c r="Q1118" i="1" s="1"/>
  <c r="L1119" i="1"/>
  <c r="M1119" i="1" s="1"/>
  <c r="L1120" i="1"/>
  <c r="S1120" i="1" s="1"/>
  <c r="L1121" i="1"/>
  <c r="S1121" i="1" s="1"/>
  <c r="L1122" i="1"/>
  <c r="R1122" i="1" s="1"/>
  <c r="L1123" i="1"/>
  <c r="R1123" i="1" s="1"/>
  <c r="L1124" i="1"/>
  <c r="Q1124" i="1" s="1"/>
  <c r="L1125" i="1"/>
  <c r="S1125" i="1" s="1"/>
  <c r="L1126" i="1"/>
  <c r="Q1126" i="1" s="1"/>
  <c r="L1127" i="1"/>
  <c r="M1127" i="1" s="1"/>
  <c r="L1128" i="1"/>
  <c r="Q1128" i="1" s="1"/>
  <c r="L1129" i="1"/>
  <c r="L1130" i="1"/>
  <c r="R1130" i="1" s="1"/>
  <c r="L1131" i="1"/>
  <c r="M1131" i="1" s="1"/>
  <c r="L1132" i="1"/>
  <c r="M1132" i="1" s="1"/>
  <c r="L1133" i="1"/>
  <c r="M1133" i="1" s="1"/>
  <c r="L1134" i="1"/>
  <c r="M1134" i="1" s="1"/>
  <c r="L1135" i="1"/>
  <c r="M1135" i="1" s="1"/>
  <c r="L1136" i="1"/>
  <c r="M1136" i="1" s="1"/>
  <c r="L1137" i="1"/>
  <c r="R1137" i="1" s="1"/>
  <c r="L1138" i="1"/>
  <c r="Q1138" i="1" s="1"/>
  <c r="L1139" i="1"/>
  <c r="Q1139" i="1" s="1"/>
  <c r="L1140" i="1"/>
  <c r="Q1140" i="1" s="1"/>
  <c r="L1141" i="1"/>
  <c r="Q1141" i="1" s="1"/>
  <c r="L1142" i="1"/>
  <c r="M1142" i="1" s="1"/>
  <c r="L1143" i="1"/>
  <c r="M1143" i="1" s="1"/>
  <c r="L1144" i="1"/>
  <c r="S1144" i="1" s="1"/>
  <c r="L1145" i="1"/>
  <c r="L1146" i="1"/>
  <c r="M1146" i="1" s="1"/>
  <c r="L1147" i="1"/>
  <c r="M1147" i="1" s="1"/>
  <c r="L1148" i="1"/>
  <c r="Q1148" i="1" s="1"/>
  <c r="L1149" i="1"/>
  <c r="Q1149" i="1" s="1"/>
  <c r="L1150" i="1"/>
  <c r="M1150" i="1" s="1"/>
  <c r="L1151" i="1"/>
  <c r="M1151" i="1" s="1"/>
  <c r="L1152" i="1"/>
  <c r="M1152" i="1" s="1"/>
  <c r="L1153" i="1"/>
  <c r="Q1153" i="1" s="1"/>
  <c r="L1154" i="1"/>
  <c r="M1154" i="1" s="1"/>
  <c r="L1155" i="1"/>
  <c r="M1155" i="1" s="1"/>
  <c r="L1156" i="1"/>
  <c r="M1156" i="1" s="1"/>
  <c r="L1157" i="1"/>
  <c r="R1157" i="1" s="1"/>
  <c r="L1158" i="1"/>
  <c r="Q1158" i="1" s="1"/>
  <c r="L1159" i="1"/>
  <c r="M1159" i="1" s="1"/>
  <c r="L1160" i="1"/>
  <c r="Q1160" i="1" s="1"/>
  <c r="L1161" i="1"/>
  <c r="L1162" i="1"/>
  <c r="M1162" i="1" s="1"/>
  <c r="L1163" i="1"/>
  <c r="S1163" i="1" s="1"/>
  <c r="L1164" i="1"/>
  <c r="M1164" i="1" s="1"/>
  <c r="L1165" i="1"/>
  <c r="S1165" i="1" s="1"/>
  <c r="L1166" i="1"/>
  <c r="M1166" i="1" s="1"/>
  <c r="L1167" i="1"/>
  <c r="M1167" i="1" s="1"/>
  <c r="L1168" i="1"/>
  <c r="M1168" i="1" s="1"/>
  <c r="L1169" i="1"/>
  <c r="R1169" i="1" s="1"/>
  <c r="L1170" i="1"/>
  <c r="M1170" i="1" s="1"/>
  <c r="L1171" i="1"/>
  <c r="Q1171" i="1" s="1"/>
  <c r="L1172" i="1"/>
  <c r="S1172" i="1" s="1"/>
  <c r="L1173" i="1"/>
  <c r="Q1173" i="1" s="1"/>
  <c r="L1174" i="1"/>
  <c r="M1174" i="1" s="1"/>
  <c r="L1175" i="1"/>
  <c r="M1175" i="1" s="1"/>
  <c r="L1176" i="1"/>
  <c r="R1176" i="1" s="1"/>
  <c r="L1177" i="1"/>
  <c r="L1178" i="1"/>
  <c r="M1178" i="1" s="1"/>
  <c r="L1179" i="1"/>
  <c r="M1179" i="1" s="1"/>
  <c r="L1180" i="1"/>
  <c r="Q1180" i="1" s="1"/>
  <c r="L1181" i="1"/>
  <c r="R1181" i="1" s="1"/>
  <c r="L1182" i="1"/>
  <c r="M1182" i="1" s="1"/>
  <c r="L1183" i="1"/>
  <c r="M1183" i="1" s="1"/>
  <c r="L1184" i="1"/>
  <c r="M1184" i="1" s="1"/>
  <c r="L1185" i="1"/>
  <c r="Q1185" i="1" s="1"/>
  <c r="L1186" i="1"/>
  <c r="R1186" i="1" s="1"/>
  <c r="L1187" i="1"/>
  <c r="M1187" i="1" s="1"/>
  <c r="L1188" i="1"/>
  <c r="R1188" i="1" s="1"/>
  <c r="L1189" i="1"/>
  <c r="M1189" i="1" s="1"/>
  <c r="L1190" i="1"/>
  <c r="Q1190" i="1" s="1"/>
  <c r="L1191" i="1"/>
  <c r="M1191" i="1" s="1"/>
  <c r="L1192" i="1"/>
  <c r="Q1192" i="1" s="1"/>
  <c r="L1193" i="1"/>
  <c r="L1194" i="1"/>
  <c r="R1194" i="1" s="1"/>
  <c r="L1195" i="1"/>
  <c r="M1195" i="1" s="1"/>
  <c r="L1196" i="1"/>
  <c r="R1196" i="1" s="1"/>
  <c r="L1197" i="1"/>
  <c r="S1197" i="1" s="1"/>
  <c r="L1198" i="1"/>
  <c r="M1198" i="1" s="1"/>
  <c r="L1199" i="1"/>
  <c r="M1199" i="1" s="1"/>
  <c r="L1200" i="1"/>
  <c r="S1200" i="1" s="1"/>
  <c r="L1201" i="1"/>
  <c r="R1201" i="1" s="1"/>
  <c r="L1202" i="1"/>
  <c r="Q1202" i="1" s="1"/>
  <c r="L1203" i="1"/>
  <c r="M1203" i="1" s="1"/>
  <c r="L1204" i="1"/>
  <c r="S1204" i="1" s="1"/>
  <c r="L1205" i="1"/>
  <c r="S1205" i="1" s="1"/>
  <c r="L1206" i="1"/>
  <c r="R1206" i="1" s="1"/>
  <c r="L1207" i="1"/>
  <c r="M1207" i="1" s="1"/>
  <c r="L1208" i="1"/>
  <c r="S1208" i="1" s="1"/>
  <c r="L1209" i="1"/>
  <c r="L1210" i="1"/>
  <c r="M1210" i="1" s="1"/>
  <c r="L1211" i="1"/>
  <c r="M1211" i="1" s="1"/>
  <c r="L1212" i="1"/>
  <c r="Q1212" i="1" s="1"/>
  <c r="L1213" i="1"/>
  <c r="R1213" i="1" s="1"/>
  <c r="L1214" i="1"/>
  <c r="M1214" i="1" s="1"/>
  <c r="L1215" i="1"/>
  <c r="M1215" i="1" s="1"/>
  <c r="L1216" i="1"/>
  <c r="R1216" i="1" s="1"/>
  <c r="L1217" i="1"/>
  <c r="L1218" i="1"/>
  <c r="M1218" i="1" s="1"/>
  <c r="L1219" i="1"/>
  <c r="M1219" i="1" s="1"/>
  <c r="L1220" i="1"/>
  <c r="M1220" i="1" s="1"/>
  <c r="L1221" i="1"/>
  <c r="R1221" i="1" s="1"/>
  <c r="L1222" i="1"/>
  <c r="M1222" i="1" s="1"/>
  <c r="L1223" i="1"/>
  <c r="M1223" i="1" s="1"/>
  <c r="L1224" i="1"/>
  <c r="Q1224" i="1" s="1"/>
  <c r="L1225" i="1"/>
  <c r="L1226" i="1"/>
  <c r="M1226" i="1" s="1"/>
  <c r="L1227" i="1"/>
  <c r="Q1227" i="1" s="1"/>
  <c r="L1228" i="1"/>
  <c r="R1228" i="1" s="1"/>
  <c r="L1229" i="1"/>
  <c r="Q1229" i="1" s="1"/>
  <c r="L1230" i="1"/>
  <c r="M1230" i="1" s="1"/>
  <c r="L1231" i="1"/>
  <c r="M1231" i="1" s="1"/>
  <c r="L1232" i="1"/>
  <c r="M1232" i="1" s="1"/>
  <c r="L1233" i="1"/>
  <c r="L1234" i="1"/>
  <c r="M1234" i="1" s="1"/>
  <c r="L1235" i="1"/>
  <c r="M1235" i="1" s="1"/>
  <c r="L1236" i="1"/>
  <c r="M1236" i="1" s="1"/>
  <c r="L1237" i="1"/>
  <c r="Q1237" i="1" s="1"/>
  <c r="L1238" i="1"/>
  <c r="R1238" i="1" s="1"/>
  <c r="L1239" i="1"/>
  <c r="M1239" i="1" s="1"/>
  <c r="L1240" i="1"/>
  <c r="M1240" i="1" s="1"/>
  <c r="L1241" i="1"/>
  <c r="L1242" i="1"/>
  <c r="R1242" i="1" s="1"/>
  <c r="L1243" i="1"/>
  <c r="Q1243" i="1" s="1"/>
  <c r="L1244" i="1"/>
  <c r="M1244" i="1" s="1"/>
  <c r="L1245" i="1"/>
  <c r="M1245" i="1" s="1"/>
  <c r="L1246" i="1"/>
  <c r="M1246" i="1" s="1"/>
  <c r="L1247" i="1"/>
  <c r="M1247" i="1" s="1"/>
  <c r="L1248" i="1"/>
  <c r="Q1248" i="1" s="1"/>
  <c r="L1249" i="1"/>
  <c r="S1249" i="1" s="1"/>
  <c r="L1250" i="1"/>
  <c r="R1250" i="1" s="1"/>
  <c r="L1251" i="1"/>
  <c r="Q1251" i="1" s="1"/>
  <c r="L1252" i="1"/>
  <c r="M1252" i="1" s="1"/>
  <c r="L1253" i="1"/>
  <c r="M1253" i="1" s="1"/>
  <c r="L1254" i="1"/>
  <c r="S1254" i="1" s="1"/>
  <c r="L1255" i="1"/>
  <c r="M1255" i="1" s="1"/>
  <c r="L1256" i="1"/>
  <c r="S1256" i="1" s="1"/>
  <c r="L1257" i="1"/>
  <c r="L1258" i="1"/>
  <c r="R1258" i="1" s="1"/>
  <c r="L1259" i="1"/>
  <c r="Q1259" i="1" s="1"/>
  <c r="L1260" i="1"/>
  <c r="M1260" i="1" s="1"/>
  <c r="L1261" i="1"/>
  <c r="S1261" i="1" s="1"/>
  <c r="L1262" i="1"/>
  <c r="R1262" i="1" s="1"/>
  <c r="L1263" i="1"/>
  <c r="M1263" i="1" s="1"/>
  <c r="L1264" i="1"/>
  <c r="M1264" i="1" s="1"/>
  <c r="L1265" i="1"/>
  <c r="S1265" i="1" s="1"/>
  <c r="L1266" i="1"/>
  <c r="Q1266" i="1" s="1"/>
  <c r="L1267" i="1"/>
  <c r="M1267" i="1" s="1"/>
  <c r="L1268" i="1"/>
  <c r="M1268" i="1" s="1"/>
  <c r="L1269" i="1"/>
  <c r="M1269" i="1" s="1"/>
  <c r="L1270" i="1"/>
  <c r="Q1270" i="1" s="1"/>
  <c r="M1091" i="1"/>
  <c r="M1099" i="1"/>
  <c r="P1090" i="1"/>
  <c r="P1091" i="1"/>
  <c r="P1092" i="1"/>
  <c r="P1093" i="1"/>
  <c r="P1094" i="1"/>
  <c r="P1095" i="1"/>
  <c r="P1096" i="1"/>
  <c r="P1097" i="1"/>
  <c r="P1098" i="1"/>
  <c r="P1099" i="1"/>
  <c r="P1100" i="1"/>
  <c r="P1101" i="1"/>
  <c r="P1102" i="1"/>
  <c r="P1103" i="1"/>
  <c r="P1104" i="1"/>
  <c r="P1105" i="1"/>
  <c r="P1106" i="1"/>
  <c r="P1107" i="1"/>
  <c r="P1108" i="1"/>
  <c r="P1109" i="1"/>
  <c r="P1110" i="1"/>
  <c r="P1111" i="1"/>
  <c r="P1112" i="1"/>
  <c r="P1113" i="1"/>
  <c r="P1114" i="1"/>
  <c r="P1115" i="1"/>
  <c r="P1116" i="1"/>
  <c r="P1117" i="1"/>
  <c r="P1118" i="1"/>
  <c r="P1119" i="1"/>
  <c r="P1120" i="1"/>
  <c r="P1121" i="1"/>
  <c r="P1122" i="1"/>
  <c r="P1123" i="1"/>
  <c r="P1124" i="1"/>
  <c r="P1125" i="1"/>
  <c r="P1126" i="1"/>
  <c r="P1127" i="1"/>
  <c r="P1128" i="1"/>
  <c r="P1129" i="1"/>
  <c r="P1130" i="1"/>
  <c r="P1131" i="1"/>
  <c r="P1132" i="1"/>
  <c r="P1133" i="1"/>
  <c r="P1134" i="1"/>
  <c r="P1135" i="1"/>
  <c r="P1136" i="1"/>
  <c r="P1137" i="1"/>
  <c r="P1138" i="1"/>
  <c r="P1139" i="1"/>
  <c r="P1140" i="1"/>
  <c r="P1141" i="1"/>
  <c r="P1142" i="1"/>
  <c r="P1143" i="1"/>
  <c r="P1144" i="1"/>
  <c r="P1145" i="1"/>
  <c r="P1146" i="1"/>
  <c r="P1147" i="1"/>
  <c r="P1148" i="1"/>
  <c r="P1149" i="1"/>
  <c r="P1150" i="1"/>
  <c r="P1151" i="1"/>
  <c r="P1152" i="1"/>
  <c r="P1153" i="1"/>
  <c r="P1154" i="1"/>
  <c r="P1155" i="1"/>
  <c r="P1156" i="1"/>
  <c r="P1157" i="1"/>
  <c r="P1158" i="1"/>
  <c r="P1159" i="1"/>
  <c r="P1160" i="1"/>
  <c r="P1161" i="1"/>
  <c r="P1162" i="1"/>
  <c r="P1163" i="1"/>
  <c r="P1164" i="1"/>
  <c r="P1165" i="1"/>
  <c r="P1166" i="1"/>
  <c r="P1167" i="1"/>
  <c r="P1168" i="1"/>
  <c r="P1169" i="1"/>
  <c r="P1170" i="1"/>
  <c r="P1171" i="1"/>
  <c r="P1172" i="1"/>
  <c r="P1173" i="1"/>
  <c r="P1174" i="1"/>
  <c r="P1175" i="1"/>
  <c r="P1176" i="1"/>
  <c r="P1177" i="1"/>
  <c r="P1178" i="1"/>
  <c r="P1179" i="1"/>
  <c r="P1180" i="1"/>
  <c r="P1181" i="1"/>
  <c r="P1182" i="1"/>
  <c r="P1183" i="1"/>
  <c r="P1184" i="1"/>
  <c r="P1185" i="1"/>
  <c r="P1186" i="1"/>
  <c r="P1187" i="1"/>
  <c r="P1188" i="1"/>
  <c r="P1189" i="1"/>
  <c r="P1190" i="1"/>
  <c r="P1191" i="1"/>
  <c r="P1192" i="1"/>
  <c r="P1193" i="1"/>
  <c r="P1194" i="1"/>
  <c r="P1195" i="1"/>
  <c r="P1196" i="1"/>
  <c r="P1197" i="1"/>
  <c r="P1198" i="1"/>
  <c r="P1199" i="1"/>
  <c r="P1200" i="1"/>
  <c r="P1201" i="1"/>
  <c r="P1202" i="1"/>
  <c r="P1203" i="1"/>
  <c r="P1204" i="1"/>
  <c r="P1205" i="1"/>
  <c r="P1206" i="1"/>
  <c r="P1207" i="1"/>
  <c r="P1208" i="1"/>
  <c r="P1209" i="1"/>
  <c r="P1210" i="1"/>
  <c r="P1211" i="1"/>
  <c r="P1212" i="1"/>
  <c r="P1213" i="1"/>
  <c r="P1214" i="1"/>
  <c r="P1215" i="1"/>
  <c r="P1216" i="1"/>
  <c r="P1217" i="1"/>
  <c r="P1218" i="1"/>
  <c r="P1219" i="1"/>
  <c r="P1220" i="1"/>
  <c r="P1221" i="1"/>
  <c r="P1222" i="1"/>
  <c r="P1223" i="1"/>
  <c r="P1224" i="1"/>
  <c r="P1225" i="1"/>
  <c r="P1226" i="1"/>
  <c r="P1227" i="1"/>
  <c r="P1228" i="1"/>
  <c r="P1229" i="1"/>
  <c r="P1230" i="1"/>
  <c r="P1231" i="1"/>
  <c r="P1232" i="1"/>
  <c r="P1233" i="1"/>
  <c r="P1234" i="1"/>
  <c r="P1235" i="1"/>
  <c r="P1236" i="1"/>
  <c r="P1237" i="1"/>
  <c r="P1238" i="1"/>
  <c r="P1239" i="1"/>
  <c r="P1240" i="1"/>
  <c r="P1241" i="1"/>
  <c r="P1242" i="1"/>
  <c r="P1243" i="1"/>
  <c r="P1244" i="1"/>
  <c r="P1245" i="1"/>
  <c r="P1246" i="1"/>
  <c r="P1247" i="1"/>
  <c r="P1248" i="1"/>
  <c r="P1249" i="1"/>
  <c r="P1250" i="1"/>
  <c r="P1251" i="1"/>
  <c r="P1252" i="1"/>
  <c r="P1253" i="1"/>
  <c r="P1254" i="1"/>
  <c r="P1255" i="1"/>
  <c r="P1256" i="1"/>
  <c r="P1257" i="1"/>
  <c r="P1258" i="1"/>
  <c r="P1259" i="1"/>
  <c r="P1260" i="1"/>
  <c r="P1261" i="1"/>
  <c r="P1262" i="1"/>
  <c r="P1263" i="1"/>
  <c r="P1264" i="1"/>
  <c r="P1265" i="1"/>
  <c r="P1266" i="1"/>
  <c r="P1267" i="1"/>
  <c r="P1268" i="1"/>
  <c r="P1269" i="1"/>
  <c r="P1270" i="1"/>
  <c r="W1090" i="1"/>
  <c r="W1091" i="1"/>
  <c r="W1092" i="1"/>
  <c r="W1093" i="1"/>
  <c r="W1094" i="1"/>
  <c r="W1095" i="1"/>
  <c r="W1096" i="1"/>
  <c r="W1097" i="1"/>
  <c r="W1098" i="1"/>
  <c r="W1099" i="1"/>
  <c r="W1100" i="1"/>
  <c r="W1101" i="1"/>
  <c r="W1102" i="1"/>
  <c r="W1103" i="1"/>
  <c r="W1104" i="1"/>
  <c r="W1105" i="1"/>
  <c r="W1106" i="1"/>
  <c r="W1107" i="1"/>
  <c r="W1108" i="1"/>
  <c r="W1109" i="1"/>
  <c r="W1110" i="1"/>
  <c r="W1111" i="1"/>
  <c r="W1112" i="1"/>
  <c r="W1113" i="1"/>
  <c r="W1114" i="1"/>
  <c r="W1115" i="1"/>
  <c r="W1116" i="1"/>
  <c r="W1117" i="1"/>
  <c r="W1118" i="1"/>
  <c r="W1119" i="1"/>
  <c r="W1120" i="1"/>
  <c r="W1121" i="1"/>
  <c r="W1122" i="1"/>
  <c r="W1123" i="1"/>
  <c r="W1124" i="1"/>
  <c r="W1125" i="1"/>
  <c r="W1126" i="1"/>
  <c r="W1127" i="1"/>
  <c r="W1128" i="1"/>
  <c r="W1129" i="1"/>
  <c r="W1130" i="1"/>
  <c r="W1131" i="1"/>
  <c r="W1132" i="1"/>
  <c r="W1133" i="1"/>
  <c r="W1134" i="1"/>
  <c r="W1135" i="1"/>
  <c r="W1136" i="1"/>
  <c r="W1137" i="1"/>
  <c r="W1138" i="1"/>
  <c r="W1139" i="1"/>
  <c r="W1140" i="1"/>
  <c r="W1141" i="1"/>
  <c r="W1142" i="1"/>
  <c r="W1143" i="1"/>
  <c r="W1144" i="1"/>
  <c r="W1145" i="1"/>
  <c r="W1146" i="1"/>
  <c r="W1147" i="1"/>
  <c r="W1148" i="1"/>
  <c r="W1149" i="1"/>
  <c r="W1150" i="1"/>
  <c r="W1151" i="1"/>
  <c r="W1152" i="1"/>
  <c r="W1153" i="1"/>
  <c r="W1154" i="1"/>
  <c r="W1155" i="1"/>
  <c r="W1156" i="1"/>
  <c r="W1157" i="1"/>
  <c r="W1158" i="1"/>
  <c r="W1159" i="1"/>
  <c r="W1160" i="1"/>
  <c r="W1161" i="1"/>
  <c r="W1162" i="1"/>
  <c r="W1163" i="1"/>
  <c r="W1164" i="1"/>
  <c r="W1165" i="1"/>
  <c r="W1166" i="1"/>
  <c r="W1167" i="1"/>
  <c r="W1168" i="1"/>
  <c r="W1169" i="1"/>
  <c r="W1170" i="1"/>
  <c r="W1171" i="1"/>
  <c r="W1172" i="1"/>
  <c r="W1173" i="1"/>
  <c r="W1174" i="1"/>
  <c r="W1175" i="1"/>
  <c r="W1176" i="1"/>
  <c r="W1177" i="1"/>
  <c r="W1178" i="1"/>
  <c r="W1179" i="1"/>
  <c r="W1180" i="1"/>
  <c r="W1181" i="1"/>
  <c r="W1182" i="1"/>
  <c r="W1183" i="1"/>
  <c r="W1184" i="1"/>
  <c r="W1185" i="1"/>
  <c r="W1186" i="1"/>
  <c r="W1187" i="1"/>
  <c r="W1188" i="1"/>
  <c r="W1189" i="1"/>
  <c r="W1190" i="1"/>
  <c r="W1191" i="1"/>
  <c r="W1192" i="1"/>
  <c r="W1193" i="1"/>
  <c r="W1194" i="1"/>
  <c r="W1195" i="1"/>
  <c r="W1196" i="1"/>
  <c r="W1197" i="1"/>
  <c r="W1198" i="1"/>
  <c r="W1199" i="1"/>
  <c r="W1200" i="1"/>
  <c r="W1201" i="1"/>
  <c r="W1202" i="1"/>
  <c r="W1203" i="1"/>
  <c r="W1204" i="1"/>
  <c r="W1205" i="1"/>
  <c r="W1206" i="1"/>
  <c r="W1207" i="1"/>
  <c r="W1208" i="1"/>
  <c r="W1209" i="1"/>
  <c r="W1210" i="1"/>
  <c r="W1211" i="1"/>
  <c r="W1212" i="1"/>
  <c r="W1213" i="1"/>
  <c r="W1214" i="1"/>
  <c r="W1215" i="1"/>
  <c r="W1216" i="1"/>
  <c r="W1217" i="1"/>
  <c r="W1218" i="1"/>
  <c r="W1219" i="1"/>
  <c r="W1220" i="1"/>
  <c r="W1221" i="1"/>
  <c r="W1222" i="1"/>
  <c r="W1223" i="1"/>
  <c r="W1224" i="1"/>
  <c r="W1225" i="1"/>
  <c r="W1226" i="1"/>
  <c r="W1227" i="1"/>
  <c r="W1228" i="1"/>
  <c r="W1229" i="1"/>
  <c r="W1230" i="1"/>
  <c r="W1231" i="1"/>
  <c r="W1232" i="1"/>
  <c r="W1233" i="1"/>
  <c r="W1234" i="1"/>
  <c r="W1235" i="1"/>
  <c r="W1236" i="1"/>
  <c r="W1237" i="1"/>
  <c r="W1238" i="1"/>
  <c r="W1239" i="1"/>
  <c r="W1240" i="1"/>
  <c r="W1241" i="1"/>
  <c r="W1242" i="1"/>
  <c r="W1243" i="1"/>
  <c r="W1244" i="1"/>
  <c r="W1245" i="1"/>
  <c r="W1246" i="1"/>
  <c r="W1247" i="1"/>
  <c r="W1248" i="1"/>
  <c r="W1249" i="1"/>
  <c r="W1250" i="1"/>
  <c r="W1251" i="1"/>
  <c r="W1252" i="1"/>
  <c r="W1253" i="1"/>
  <c r="W1254" i="1"/>
  <c r="W1255" i="1"/>
  <c r="W1256" i="1"/>
  <c r="W1257" i="1"/>
  <c r="W1258" i="1"/>
  <c r="W1259" i="1"/>
  <c r="W1260" i="1"/>
  <c r="W1261" i="1"/>
  <c r="W1262" i="1"/>
  <c r="W1263" i="1"/>
  <c r="W1264" i="1"/>
  <c r="W1265" i="1"/>
  <c r="W1266" i="1"/>
  <c r="W1267" i="1"/>
  <c r="W1268" i="1"/>
  <c r="W1269" i="1"/>
  <c r="W1270" i="1"/>
  <c r="AL1090" i="1"/>
  <c r="AL1091" i="1"/>
  <c r="AM1091" i="1" s="1"/>
  <c r="AL1092" i="1"/>
  <c r="AL1093" i="1"/>
  <c r="AM1093" i="1" s="1"/>
  <c r="AL1094" i="1"/>
  <c r="AM1094" i="1" s="1"/>
  <c r="AL1095" i="1"/>
  <c r="AM1095" i="1" s="1"/>
  <c r="AL1096" i="1"/>
  <c r="AL1097" i="1"/>
  <c r="AM1097" i="1" s="1"/>
  <c r="AL1098" i="1"/>
  <c r="AM1098" i="1" s="1"/>
  <c r="AL1099" i="1"/>
  <c r="AM1099" i="1" s="1"/>
  <c r="AL1100" i="1"/>
  <c r="AM1100" i="1" s="1"/>
  <c r="AL1101" i="1"/>
  <c r="AM1101" i="1" s="1"/>
  <c r="AL1102" i="1"/>
  <c r="AM1102" i="1" s="1"/>
  <c r="AL1103" i="1"/>
  <c r="AM1103" i="1" s="1"/>
  <c r="AL1104" i="1"/>
  <c r="AM1104" i="1" s="1"/>
  <c r="AL1105" i="1"/>
  <c r="AL1106" i="1"/>
  <c r="AL1107" i="1"/>
  <c r="AM1107" i="1" s="1"/>
  <c r="AL1108" i="1"/>
  <c r="AM1108" i="1" s="1"/>
  <c r="AL1109" i="1"/>
  <c r="AL1110" i="1"/>
  <c r="AM1110" i="1" s="1"/>
  <c r="AL1111" i="1"/>
  <c r="AM1111" i="1" s="1"/>
  <c r="AL1112" i="1"/>
  <c r="AM1112" i="1" s="1"/>
  <c r="AL1113" i="1"/>
  <c r="AM1113" i="1" s="1"/>
  <c r="AL1114" i="1"/>
  <c r="AL1115" i="1"/>
  <c r="AM1115" i="1" s="1"/>
  <c r="AL1116" i="1"/>
  <c r="AM1116" i="1" s="1"/>
  <c r="AL1117" i="1"/>
  <c r="AM1117" i="1" s="1"/>
  <c r="AL1118" i="1"/>
  <c r="AL1119" i="1"/>
  <c r="AM1119" i="1" s="1"/>
  <c r="AL1120" i="1"/>
  <c r="AM1120" i="1" s="1"/>
  <c r="AL1121" i="1"/>
  <c r="AM1121" i="1" s="1"/>
  <c r="AL1122" i="1"/>
  <c r="AL1123" i="1"/>
  <c r="AM1123" i="1" s="1"/>
  <c r="AL1124" i="1"/>
  <c r="AM1124" i="1" s="1"/>
  <c r="AL1125" i="1"/>
  <c r="AL1126" i="1"/>
  <c r="AM1126" i="1" s="1"/>
  <c r="AL1127" i="1"/>
  <c r="AM1127" i="1" s="1"/>
  <c r="AL1128" i="1"/>
  <c r="AM1128" i="1" s="1"/>
  <c r="AL1129" i="1"/>
  <c r="AM1129" i="1" s="1"/>
  <c r="AL1130" i="1"/>
  <c r="AL1131" i="1"/>
  <c r="AM1131" i="1" s="1"/>
  <c r="AL1132" i="1"/>
  <c r="AM1132" i="1" s="1"/>
  <c r="AL1133" i="1"/>
  <c r="AM1133" i="1" s="1"/>
  <c r="AL1134" i="1"/>
  <c r="AL1135" i="1"/>
  <c r="AM1135" i="1" s="1"/>
  <c r="AL1136" i="1"/>
  <c r="AM1136" i="1" s="1"/>
  <c r="AL1138" i="1"/>
  <c r="AM1138" i="1" s="1"/>
  <c r="AL1139" i="1"/>
  <c r="AM1139" i="1" s="1"/>
  <c r="AL1140" i="1"/>
  <c r="AM1140" i="1" s="1"/>
  <c r="AL1141" i="1"/>
  <c r="AL1142" i="1"/>
  <c r="AM1142" i="1" s="1"/>
  <c r="AL1143" i="1"/>
  <c r="AM1143" i="1" s="1"/>
  <c r="AL1144" i="1"/>
  <c r="AM1144" i="1" s="1"/>
  <c r="AL1145" i="1"/>
  <c r="AM1145" i="1" s="1"/>
  <c r="AL1146" i="1"/>
  <c r="AL1147" i="1"/>
  <c r="AM1147" i="1" s="1"/>
  <c r="AL1148" i="1"/>
  <c r="AM1148" i="1" s="1"/>
  <c r="AL1149" i="1"/>
  <c r="AM1149" i="1" s="1"/>
  <c r="AL1150" i="1"/>
  <c r="AM1150" i="1" s="1"/>
  <c r="AL1151" i="1"/>
  <c r="AM1151" i="1" s="1"/>
  <c r="AL1152" i="1"/>
  <c r="AM1152" i="1" s="1"/>
  <c r="AL1153" i="1"/>
  <c r="AM1153" i="1" s="1"/>
  <c r="AL1154" i="1"/>
  <c r="AM1154" i="1" s="1"/>
  <c r="AL1155" i="1"/>
  <c r="AM1155" i="1" s="1"/>
  <c r="AL1156" i="1"/>
  <c r="AM1156" i="1" s="1"/>
  <c r="AL1157" i="1"/>
  <c r="AL1158" i="1"/>
  <c r="AL1159" i="1"/>
  <c r="AM1159" i="1" s="1"/>
  <c r="AL1160" i="1"/>
  <c r="AM1160" i="1" s="1"/>
  <c r="AL1161" i="1"/>
  <c r="AL1162" i="1"/>
  <c r="AL1163" i="1"/>
  <c r="AM1163" i="1" s="1"/>
  <c r="AL1164" i="1"/>
  <c r="AM1164" i="1" s="1"/>
  <c r="AL1165" i="1"/>
  <c r="AM1165" i="1" s="1"/>
  <c r="AL1166" i="1"/>
  <c r="AM1166" i="1" s="1"/>
  <c r="AL1167" i="1"/>
  <c r="AL1168" i="1"/>
  <c r="AM1168" i="1" s="1"/>
  <c r="AL1169" i="1"/>
  <c r="AM1169" i="1" s="1"/>
  <c r="AL1170" i="1"/>
  <c r="AL1171" i="1"/>
  <c r="AM1171" i="1" s="1"/>
  <c r="AL1172" i="1"/>
  <c r="AM1172" i="1" s="1"/>
  <c r="AL1173" i="1"/>
  <c r="AM1173" i="1" s="1"/>
  <c r="AL1174" i="1"/>
  <c r="AM1174" i="1" s="1"/>
  <c r="AL1175" i="1"/>
  <c r="AL1176" i="1"/>
  <c r="AM1176" i="1" s="1"/>
  <c r="AL1177" i="1"/>
  <c r="AM1177" i="1" s="1"/>
  <c r="AL1178" i="1"/>
  <c r="AM1178" i="1" s="1"/>
  <c r="AL1179" i="1"/>
  <c r="AM1179" i="1" s="1"/>
  <c r="AL1180" i="1"/>
  <c r="AL1181" i="1"/>
  <c r="AL1182" i="1"/>
  <c r="AM1182" i="1" s="1"/>
  <c r="AL1183" i="1"/>
  <c r="AM1183" i="1" s="1"/>
  <c r="AL1184" i="1"/>
  <c r="AM1184" i="1" s="1"/>
  <c r="AL1185" i="1"/>
  <c r="AM1185" i="1" s="1"/>
  <c r="AL1186" i="1"/>
  <c r="AM1186" i="1" s="1"/>
  <c r="AL1187" i="1"/>
  <c r="AM1187" i="1" s="1"/>
  <c r="AL1188" i="1"/>
  <c r="AM1188" i="1" s="1"/>
  <c r="AL1189" i="1"/>
  <c r="AM1189" i="1" s="1"/>
  <c r="AL1190" i="1"/>
  <c r="AM1190" i="1" s="1"/>
  <c r="AL1191" i="1"/>
  <c r="AM1191" i="1" s="1"/>
  <c r="AL1192" i="1"/>
  <c r="AM1192" i="1" s="1"/>
  <c r="AL1193" i="1"/>
  <c r="AM1193" i="1" s="1"/>
  <c r="AL1194" i="1"/>
  <c r="AL1195" i="1"/>
  <c r="AM1195" i="1" s="1"/>
  <c r="AL1196" i="1"/>
  <c r="AM1196" i="1" s="1"/>
  <c r="AL1197" i="1"/>
  <c r="AL1198" i="1"/>
  <c r="AM1198" i="1" s="1"/>
  <c r="AL1199" i="1"/>
  <c r="AM1199" i="1" s="1"/>
  <c r="AL1200" i="1"/>
  <c r="AM1200" i="1" s="1"/>
  <c r="AL1201" i="1"/>
  <c r="AL1202" i="1"/>
  <c r="AM1202" i="1" s="1"/>
  <c r="AL1203" i="1"/>
  <c r="AM1203" i="1" s="1"/>
  <c r="AL1204" i="1"/>
  <c r="AL1205" i="1"/>
  <c r="AM1205" i="1" s="1"/>
  <c r="AL1206" i="1"/>
  <c r="AM1206" i="1" s="1"/>
  <c r="AL1207" i="1"/>
  <c r="AM1207" i="1" s="1"/>
  <c r="AL1208" i="1"/>
  <c r="AM1208" i="1" s="1"/>
  <c r="AL1209" i="1"/>
  <c r="AL1210" i="1"/>
  <c r="AM1210" i="1" s="1"/>
  <c r="AL1211" i="1"/>
  <c r="AM1211" i="1" s="1"/>
  <c r="AL1212" i="1"/>
  <c r="AM1212" i="1" s="1"/>
  <c r="AL1213" i="1"/>
  <c r="AM1213" i="1" s="1"/>
  <c r="AL1214" i="1"/>
  <c r="AM1214" i="1" s="1"/>
  <c r="AL1215" i="1"/>
  <c r="AM1215" i="1" s="1"/>
  <c r="AL1216" i="1"/>
  <c r="AM1216" i="1" s="1"/>
  <c r="AL1217" i="1"/>
  <c r="AM1217" i="1" s="1"/>
  <c r="AL1218" i="1"/>
  <c r="AM1218" i="1" s="1"/>
  <c r="AL1219" i="1"/>
  <c r="AL1220" i="1"/>
  <c r="AM1220" i="1" s="1"/>
  <c r="AL1221" i="1"/>
  <c r="AM1221" i="1" s="1"/>
  <c r="AL1222" i="1"/>
  <c r="AM1222" i="1" s="1"/>
  <c r="AL1223" i="1"/>
  <c r="AL1224" i="1"/>
  <c r="AM1224" i="1" s="1"/>
  <c r="AL1225" i="1"/>
  <c r="AM1225" i="1" s="1"/>
  <c r="AL1226" i="1"/>
  <c r="AL1227" i="1"/>
  <c r="AM1227" i="1" s="1"/>
  <c r="AL1228" i="1"/>
  <c r="AM1228" i="1" s="1"/>
  <c r="AL1229" i="1"/>
  <c r="AM1229" i="1" s="1"/>
  <c r="AL1230" i="1"/>
  <c r="AM1230" i="1" s="1"/>
  <c r="AL1231" i="1"/>
  <c r="AL1232" i="1"/>
  <c r="AM1232" i="1" s="1"/>
  <c r="AL1233" i="1"/>
  <c r="AM1233" i="1" s="1"/>
  <c r="AL1234" i="1"/>
  <c r="AL1235" i="1"/>
  <c r="AM1235" i="1" s="1"/>
  <c r="AL1236" i="1"/>
  <c r="AM1236" i="1" s="1"/>
  <c r="AL1237" i="1"/>
  <c r="AL1238" i="1"/>
  <c r="AM1238" i="1" s="1"/>
  <c r="AL1239" i="1"/>
  <c r="AM1239" i="1" s="1"/>
  <c r="AL1240" i="1"/>
  <c r="AM1240" i="1" s="1"/>
  <c r="AL1241" i="1"/>
  <c r="AM1241" i="1" s="1"/>
  <c r="AL1242" i="1"/>
  <c r="AM1242" i="1" s="1"/>
  <c r="AL1243" i="1"/>
  <c r="AM1243" i="1" s="1"/>
  <c r="AL1244" i="1"/>
  <c r="AM1244" i="1" s="1"/>
  <c r="AL1245" i="1"/>
  <c r="AM1245" i="1" s="1"/>
  <c r="AL1246" i="1"/>
  <c r="AM1246" i="1" s="1"/>
  <c r="AL1247" i="1"/>
  <c r="AM1247" i="1" s="1"/>
  <c r="AL1248" i="1"/>
  <c r="AL1249" i="1"/>
  <c r="AM1249" i="1" s="1"/>
  <c r="AL1250" i="1"/>
  <c r="AM1250" i="1" s="1"/>
  <c r="AL1251" i="1"/>
  <c r="AM1251" i="1" s="1"/>
  <c r="AL1252" i="1"/>
  <c r="AM1252" i="1" s="1"/>
  <c r="AL1253" i="1"/>
  <c r="AM1253" i="1" s="1"/>
  <c r="AL1254" i="1"/>
  <c r="AM1254" i="1" s="1"/>
  <c r="AL1255" i="1"/>
  <c r="AM1255" i="1" s="1"/>
  <c r="AL1256" i="1"/>
  <c r="AM1256" i="1" s="1"/>
  <c r="AL1257" i="1"/>
  <c r="AM1257" i="1" s="1"/>
  <c r="AL1258" i="1"/>
  <c r="AM1258" i="1" s="1"/>
  <c r="AL1259" i="1"/>
  <c r="AM1259" i="1" s="1"/>
  <c r="AL1260" i="1"/>
  <c r="AM1260" i="1" s="1"/>
  <c r="AL1261" i="1"/>
  <c r="AL1262" i="1"/>
  <c r="AM1262" i="1" s="1"/>
  <c r="AL1263" i="1"/>
  <c r="AM1263" i="1" s="1"/>
  <c r="AL1264" i="1"/>
  <c r="AM1264" i="1" s="1"/>
  <c r="AL1265" i="1"/>
  <c r="AM1265" i="1" s="1"/>
  <c r="AL1266" i="1"/>
  <c r="AM1266" i="1" s="1"/>
  <c r="AL1267" i="1"/>
  <c r="AM1267" i="1" s="1"/>
  <c r="AL1268" i="1"/>
  <c r="AM1268" i="1" s="1"/>
  <c r="AL1269" i="1"/>
  <c r="AM1269" i="1" s="1"/>
  <c r="AL1270" i="1"/>
  <c r="AM1270" i="1" s="1"/>
  <c r="AM1134" i="1"/>
  <c r="AO1091" i="1"/>
  <c r="AO1093" i="1"/>
  <c r="AO1094" i="1"/>
  <c r="AO1095" i="1"/>
  <c r="AO1096" i="1"/>
  <c r="AO1097" i="1"/>
  <c r="AO1098" i="1"/>
  <c r="AO1099" i="1"/>
  <c r="AO1100" i="1"/>
  <c r="AO1101" i="1"/>
  <c r="AO1102" i="1"/>
  <c r="AO1103" i="1"/>
  <c r="AO1104" i="1"/>
  <c r="AO1106" i="1"/>
  <c r="AO1107" i="1"/>
  <c r="AO1108" i="1"/>
  <c r="AO1110" i="1"/>
  <c r="AO1111" i="1"/>
  <c r="AO1112" i="1"/>
  <c r="AO1113" i="1"/>
  <c r="AO1115" i="1"/>
  <c r="AO1116" i="1"/>
  <c r="AO1117" i="1"/>
  <c r="AO1119" i="1"/>
  <c r="AO1120" i="1"/>
  <c r="AO1121" i="1"/>
  <c r="AO1122" i="1"/>
  <c r="AO1123" i="1"/>
  <c r="AO1124" i="1"/>
  <c r="AO1126" i="1"/>
  <c r="AO1127" i="1"/>
  <c r="AO1128" i="1"/>
  <c r="AO1129" i="1"/>
  <c r="AO1130" i="1"/>
  <c r="AO1132" i="1"/>
  <c r="AO1133" i="1"/>
  <c r="AO1134" i="1"/>
  <c r="AO1135" i="1"/>
  <c r="AO1136" i="1"/>
  <c r="AO1137" i="1"/>
  <c r="AO1138" i="1"/>
  <c r="AO1139" i="1"/>
  <c r="AO1140" i="1"/>
  <c r="AO1141" i="1"/>
  <c r="AO1142" i="1"/>
  <c r="AO1143" i="1"/>
  <c r="AO1144" i="1"/>
  <c r="AO1145" i="1"/>
  <c r="AO1147" i="1"/>
  <c r="AO1149" i="1"/>
  <c r="AO1150" i="1"/>
  <c r="AO1151" i="1"/>
  <c r="AO1152" i="1"/>
  <c r="AO1153" i="1"/>
  <c r="AO1154" i="1"/>
  <c r="AO1155" i="1"/>
  <c r="AO1156" i="1"/>
  <c r="AO1159" i="1"/>
  <c r="AO1160" i="1"/>
  <c r="AO1162" i="1"/>
  <c r="AO1163" i="1"/>
  <c r="AO1164" i="1"/>
  <c r="AO1165" i="1"/>
  <c r="AO1166" i="1"/>
  <c r="AO1168" i="1"/>
  <c r="AO1169" i="1"/>
  <c r="AO1171" i="1"/>
  <c r="AO1172" i="1"/>
  <c r="AO1173" i="1"/>
  <c r="AO1174" i="1"/>
  <c r="AO1175" i="1"/>
  <c r="AO1176" i="1"/>
  <c r="AO1177" i="1"/>
  <c r="AO1178" i="1"/>
  <c r="AO1179" i="1"/>
  <c r="AO1182" i="1"/>
  <c r="AO1183" i="1"/>
  <c r="AO1184" i="1"/>
  <c r="AO1185" i="1"/>
  <c r="AO1186" i="1"/>
  <c r="AO1187" i="1"/>
  <c r="AO1188" i="1"/>
  <c r="AO1189" i="1"/>
  <c r="AO1190" i="1"/>
  <c r="AO1191" i="1"/>
  <c r="AO1192" i="1"/>
  <c r="AO1193" i="1"/>
  <c r="AO1195" i="1"/>
  <c r="AO1196" i="1"/>
  <c r="AO1198" i="1"/>
  <c r="AO1199" i="1"/>
  <c r="AO1200" i="1"/>
  <c r="AO1202" i="1"/>
  <c r="AO1203" i="1"/>
  <c r="AO1205" i="1"/>
  <c r="AO1206" i="1"/>
  <c r="AO1207" i="1"/>
  <c r="AO1208" i="1"/>
  <c r="AO1210" i="1"/>
  <c r="AO1211" i="1"/>
  <c r="AO1213" i="1"/>
  <c r="AO1214" i="1"/>
  <c r="AO1215" i="1"/>
  <c r="AO1216" i="1"/>
  <c r="AO1217" i="1"/>
  <c r="AO1218" i="1"/>
  <c r="AO1221" i="1"/>
  <c r="AO1222" i="1"/>
  <c r="AO1223" i="1"/>
  <c r="AO1224" i="1"/>
  <c r="AO1225" i="1"/>
  <c r="AO1227" i="1"/>
  <c r="AO1228" i="1"/>
  <c r="AO1230" i="1"/>
  <c r="AO1232" i="1"/>
  <c r="AO1233" i="1"/>
  <c r="AO1235" i="1"/>
  <c r="AO1236" i="1"/>
  <c r="AO1238" i="1"/>
  <c r="AO1239" i="1"/>
  <c r="AO1240" i="1"/>
  <c r="AO1241" i="1"/>
  <c r="AO1242" i="1"/>
  <c r="AO1243" i="1"/>
  <c r="AO1246" i="1"/>
  <c r="AO1247" i="1"/>
  <c r="AO1248" i="1"/>
  <c r="AO1249" i="1"/>
  <c r="AO1250" i="1"/>
  <c r="AO1251" i="1"/>
  <c r="AO1252" i="1"/>
  <c r="AO1253" i="1"/>
  <c r="AO1254" i="1"/>
  <c r="AO1255" i="1"/>
  <c r="AO1256" i="1"/>
  <c r="AO1257" i="1"/>
  <c r="AO1258" i="1"/>
  <c r="AO1259" i="1"/>
  <c r="AO1260" i="1"/>
  <c r="AO1262" i="1"/>
  <c r="AO1263" i="1"/>
  <c r="AO1264" i="1"/>
  <c r="AO1265" i="1"/>
  <c r="AO1266" i="1"/>
  <c r="AO1267" i="1"/>
  <c r="AO1269" i="1"/>
  <c r="AO1270" i="1"/>
  <c r="S1139" i="1" l="1"/>
  <c r="R1187" i="1"/>
  <c r="Q1267" i="1"/>
  <c r="Q1115" i="1"/>
  <c r="R1179" i="1"/>
  <c r="S1140" i="1"/>
  <c r="R1091" i="1"/>
  <c r="Q1091" i="1"/>
  <c r="S1203" i="1"/>
  <c r="R1243" i="1"/>
  <c r="R1131" i="1"/>
  <c r="Q1155" i="1"/>
  <c r="M1163" i="1"/>
  <c r="S1235" i="1"/>
  <c r="R1251" i="1"/>
  <c r="R1139" i="1"/>
  <c r="Q1179" i="1"/>
  <c r="M1140" i="1"/>
  <c r="S1243" i="1"/>
  <c r="S1171" i="1"/>
  <c r="S1115" i="1"/>
  <c r="R1211" i="1"/>
  <c r="R1155" i="1"/>
  <c r="R1107" i="1"/>
  <c r="Q1195" i="1"/>
  <c r="Q1123" i="1"/>
  <c r="M1171" i="1"/>
  <c r="M1123" i="1"/>
  <c r="S1267" i="1"/>
  <c r="S1195" i="1"/>
  <c r="S1123" i="1"/>
  <c r="R1219" i="1"/>
  <c r="R1163" i="1"/>
  <c r="R1115" i="1"/>
  <c r="Q1203" i="1"/>
  <c r="Q1147" i="1"/>
  <c r="M1139" i="1"/>
  <c r="Q1092" i="1"/>
  <c r="M1125" i="1"/>
  <c r="M1229" i="1"/>
  <c r="M1124" i="1"/>
  <c r="S1156" i="1"/>
  <c r="S1251" i="1"/>
  <c r="S1211" i="1"/>
  <c r="S1179" i="1"/>
  <c r="S1147" i="1"/>
  <c r="S1124" i="1"/>
  <c r="R1227" i="1"/>
  <c r="R1195" i="1"/>
  <c r="R1171" i="1"/>
  <c r="R1147" i="1"/>
  <c r="R1116" i="1"/>
  <c r="R1092" i="1"/>
  <c r="Q1211" i="1"/>
  <c r="Q1187" i="1"/>
  <c r="Q1163" i="1"/>
  <c r="Q1131" i="1"/>
  <c r="Q1099" i="1"/>
  <c r="M1107" i="1"/>
  <c r="Q1172" i="1"/>
  <c r="S1259" i="1"/>
  <c r="S1219" i="1"/>
  <c r="S1187" i="1"/>
  <c r="S1155" i="1"/>
  <c r="S1131" i="1"/>
  <c r="S1107" i="1"/>
  <c r="R1235" i="1"/>
  <c r="R1203" i="1"/>
  <c r="R1172" i="1"/>
  <c r="R1148" i="1"/>
  <c r="R1099" i="1"/>
  <c r="Q1219" i="1"/>
  <c r="Q1188" i="1"/>
  <c r="S1100" i="1"/>
  <c r="R1180" i="1"/>
  <c r="R1124" i="1"/>
  <c r="R1108" i="1"/>
  <c r="M1204" i="1"/>
  <c r="M1205" i="1"/>
  <c r="S1148" i="1"/>
  <c r="S1132" i="1"/>
  <c r="S1116" i="1"/>
  <c r="S1092" i="1"/>
  <c r="R1156" i="1"/>
  <c r="R1140" i="1"/>
  <c r="Q1196" i="1"/>
  <c r="Q1100" i="1"/>
  <c r="M1172" i="1"/>
  <c r="M1148" i="1"/>
  <c r="Q1269" i="1"/>
  <c r="Q1181" i="1"/>
  <c r="R1109" i="1"/>
  <c r="S1189" i="1"/>
  <c r="S1133" i="1"/>
  <c r="S1157" i="1"/>
  <c r="S1093" i="1"/>
  <c r="R1093" i="1"/>
  <c r="Q1165" i="1"/>
  <c r="S1101" i="1"/>
  <c r="R1237" i="1"/>
  <c r="Q1205" i="1"/>
  <c r="Q1133" i="1"/>
  <c r="Q1101" i="1"/>
  <c r="M1093" i="1"/>
  <c r="S1253" i="1"/>
  <c r="M1165" i="1"/>
  <c r="S1237" i="1"/>
  <c r="S1141" i="1"/>
  <c r="S1117" i="1"/>
  <c r="R1133" i="1"/>
  <c r="Q1245" i="1"/>
  <c r="Q1189" i="1"/>
  <c r="Q1117" i="1"/>
  <c r="M1149" i="1"/>
  <c r="R1261" i="1"/>
  <c r="R1205" i="1"/>
  <c r="Q1221" i="1"/>
  <c r="M1181" i="1"/>
  <c r="S1269" i="1"/>
  <c r="S1221" i="1"/>
  <c r="R1125" i="1"/>
  <c r="Q1109" i="1"/>
  <c r="M1173" i="1"/>
  <c r="S1230" i="1"/>
  <c r="M1237" i="1"/>
  <c r="Q1230" i="1"/>
  <c r="S1134" i="1"/>
  <c r="S1206" i="1"/>
  <c r="S1245" i="1"/>
  <c r="S1213" i="1"/>
  <c r="R1269" i="1"/>
  <c r="R1173" i="1"/>
  <c r="R1149" i="1"/>
  <c r="Q1261" i="1"/>
  <c r="Q1213" i="1"/>
  <c r="M1221" i="1"/>
  <c r="S1181" i="1"/>
  <c r="S1149" i="1"/>
  <c r="S1109" i="1"/>
  <c r="R1267" i="1"/>
  <c r="R1229" i="1"/>
  <c r="R1197" i="1"/>
  <c r="R1101" i="1"/>
  <c r="Q1253" i="1"/>
  <c r="Q1157" i="1"/>
  <c r="Q1125" i="1"/>
  <c r="M1213" i="1"/>
  <c r="M1141" i="1"/>
  <c r="M1117" i="1"/>
  <c r="S1173" i="1"/>
  <c r="R1253" i="1"/>
  <c r="R1189" i="1"/>
  <c r="R1165" i="1"/>
  <c r="R1141" i="1"/>
  <c r="M1261" i="1"/>
  <c r="Q1197" i="1"/>
  <c r="M1197" i="1"/>
  <c r="M1157" i="1"/>
  <c r="S1229" i="1"/>
  <c r="R1245" i="1"/>
  <c r="S1212" i="1"/>
  <c r="S1188" i="1"/>
  <c r="S1158" i="1"/>
  <c r="R1220" i="1"/>
  <c r="M1116" i="1"/>
  <c r="Q1204" i="1"/>
  <c r="Q1156" i="1"/>
  <c r="Q1132" i="1"/>
  <c r="Q1108" i="1"/>
  <c r="S1180" i="1"/>
  <c r="Q1102" i="1"/>
  <c r="M1108" i="1"/>
  <c r="S1220" i="1"/>
  <c r="R1204" i="1"/>
  <c r="S1244" i="1"/>
  <c r="R1259" i="1"/>
  <c r="M1118" i="1"/>
  <c r="Q1214" i="1"/>
  <c r="Q1120" i="1"/>
  <c r="Q1136" i="1"/>
  <c r="Q1164" i="1"/>
  <c r="S1252" i="1"/>
  <c r="M1188" i="1"/>
  <c r="S1247" i="1"/>
  <c r="S1228" i="1"/>
  <c r="M1212" i="1"/>
  <c r="M1180" i="1"/>
  <c r="S1164" i="1"/>
  <c r="S1268" i="1"/>
  <c r="S1119" i="1"/>
  <c r="Q1220" i="1"/>
  <c r="R1244" i="1"/>
  <c r="S1196" i="1"/>
  <c r="Q1244" i="1"/>
  <c r="M1196" i="1"/>
  <c r="M1243" i="1"/>
  <c r="M1200" i="1"/>
  <c r="S1168" i="1"/>
  <c r="S1248" i="1"/>
  <c r="S1128" i="1"/>
  <c r="M1128" i="1"/>
  <c r="M1112" i="1"/>
  <c r="R1264" i="1"/>
  <c r="R1120" i="1"/>
  <c r="M1144" i="1"/>
  <c r="R1208" i="1"/>
  <c r="M1256" i="1"/>
  <c r="M1160" i="1"/>
  <c r="R1104" i="1"/>
  <c r="M1224" i="1"/>
  <c r="Q1104" i="1"/>
  <c r="R1224" i="1"/>
  <c r="S1231" i="1"/>
  <c r="S1215" i="1"/>
  <c r="S1183" i="1"/>
  <c r="S1167" i="1"/>
  <c r="S1151" i="1"/>
  <c r="S1103" i="1"/>
  <c r="S1159" i="1"/>
  <c r="S1095" i="1"/>
  <c r="Q1252" i="1"/>
  <c r="S1223" i="1"/>
  <c r="S1207" i="1"/>
  <c r="S1191" i="1"/>
  <c r="S1175" i="1"/>
  <c r="S1143" i="1"/>
  <c r="S1239" i="1"/>
  <c r="S1127" i="1"/>
  <c r="S1111" i="1"/>
  <c r="S1264" i="1"/>
  <c r="S1232" i="1"/>
  <c r="S1192" i="1"/>
  <c r="S1152" i="1"/>
  <c r="S1112" i="1"/>
  <c r="S1096" i="1"/>
  <c r="R1152" i="1"/>
  <c r="R1136" i="1"/>
  <c r="Q1264" i="1"/>
  <c r="Q1240" i="1"/>
  <c r="Q1168" i="1"/>
  <c r="Q1152" i="1"/>
  <c r="M1176" i="1"/>
  <c r="S1136" i="1"/>
  <c r="R1240" i="1"/>
  <c r="R1184" i="1"/>
  <c r="R1168" i="1"/>
  <c r="Q1216" i="1"/>
  <c r="Q1200" i="1"/>
  <c r="Q1184" i="1"/>
  <c r="M1248" i="1"/>
  <c r="M1216" i="1"/>
  <c r="S1216" i="1"/>
  <c r="S1176" i="1"/>
  <c r="S1160" i="1"/>
  <c r="R1256" i="1"/>
  <c r="R1200" i="1"/>
  <c r="R1096" i="1"/>
  <c r="Q1256" i="1"/>
  <c r="Q1232" i="1"/>
  <c r="Q1112" i="1"/>
  <c r="M1192" i="1"/>
  <c r="M1120" i="1"/>
  <c r="R1128" i="1"/>
  <c r="Q1144" i="1"/>
  <c r="Q1096" i="1"/>
  <c r="M1104" i="1"/>
  <c r="S1240" i="1"/>
  <c r="R1232" i="1"/>
  <c r="R1160" i="1"/>
  <c r="R1144" i="1"/>
  <c r="Q1176" i="1"/>
  <c r="M1208" i="1"/>
  <c r="S1224" i="1"/>
  <c r="S1184" i="1"/>
  <c r="R1248" i="1"/>
  <c r="R1192" i="1"/>
  <c r="Q1208" i="1"/>
  <c r="AM1106" i="1"/>
  <c r="AM1201" i="1"/>
  <c r="AO1181" i="1"/>
  <c r="AM1231" i="1"/>
  <c r="AM1223" i="1"/>
  <c r="AM1175" i="1"/>
  <c r="AM1167" i="1"/>
  <c r="AM1158" i="1"/>
  <c r="AM1141" i="1"/>
  <c r="AM1092" i="1"/>
  <c r="R1252" i="1"/>
  <c r="R1236" i="1"/>
  <c r="S1182" i="1"/>
  <c r="R1268" i="1"/>
  <c r="R1182" i="1"/>
  <c r="Q1268" i="1"/>
  <c r="Q1228" i="1"/>
  <c r="AO1226" i="1"/>
  <c r="AO1261" i="1"/>
  <c r="S1260" i="1"/>
  <c r="R1212" i="1"/>
  <c r="AO1220" i="1"/>
  <c r="R1126" i="1"/>
  <c r="Q1236" i="1"/>
  <c r="AM1137" i="1"/>
  <c r="S1110" i="1"/>
  <c r="R1222" i="1"/>
  <c r="Q1198" i="1"/>
  <c r="Q1142" i="1"/>
  <c r="M1262" i="1"/>
  <c r="M1228" i="1"/>
  <c r="M1190" i="1"/>
  <c r="M1158" i="1"/>
  <c r="M1102" i="1"/>
  <c r="AO1148" i="1"/>
  <c r="R1166" i="1"/>
  <c r="R1094" i="1"/>
  <c r="Q1262" i="1"/>
  <c r="Q1182" i="1"/>
  <c r="M1206" i="1"/>
  <c r="S1262" i="1"/>
  <c r="S1238" i="1"/>
  <c r="S1214" i="1"/>
  <c r="S1166" i="1"/>
  <c r="S1142" i="1"/>
  <c r="S1118" i="1"/>
  <c r="S1094" i="1"/>
  <c r="R1190" i="1"/>
  <c r="R1150" i="1"/>
  <c r="Q1166" i="1"/>
  <c r="Q1110" i="1"/>
  <c r="M1126" i="1"/>
  <c r="R1134" i="1"/>
  <c r="Q1238" i="1"/>
  <c r="Q1206" i="1"/>
  <c r="M1254" i="1"/>
  <c r="M1238" i="1"/>
  <c r="M1094" i="1"/>
  <c r="R1246" i="1"/>
  <c r="S1246" i="1"/>
  <c r="S1222" i="1"/>
  <c r="S1198" i="1"/>
  <c r="R1230" i="1"/>
  <c r="R1118" i="1"/>
  <c r="Q1254" i="1"/>
  <c r="Q1150" i="1"/>
  <c r="M1270" i="1"/>
  <c r="AO1229" i="1"/>
  <c r="S1270" i="1"/>
  <c r="S1174" i="1"/>
  <c r="S1150" i="1"/>
  <c r="S1102" i="1"/>
  <c r="R1214" i="1"/>
  <c r="R1158" i="1"/>
  <c r="Q1174" i="1"/>
  <c r="Q1134" i="1"/>
  <c r="R1254" i="1"/>
  <c r="R1198" i="1"/>
  <c r="M1225" i="1"/>
  <c r="Q1225" i="1"/>
  <c r="R1225" i="1"/>
  <c r="S1225" i="1"/>
  <c r="M1177" i="1"/>
  <c r="S1177" i="1"/>
  <c r="Q1177" i="1"/>
  <c r="R1177" i="1"/>
  <c r="M1097" i="1"/>
  <c r="R1097" i="1"/>
  <c r="S1097" i="1"/>
  <c r="Q1097" i="1"/>
  <c r="Q1265" i="1"/>
  <c r="Q1121" i="1"/>
  <c r="R1241" i="1"/>
  <c r="Q1241" i="1"/>
  <c r="S1241" i="1"/>
  <c r="S1169" i="1"/>
  <c r="Q1169" i="1"/>
  <c r="M1113" i="1"/>
  <c r="S1113" i="1"/>
  <c r="Q1113" i="1"/>
  <c r="R1113" i="1"/>
  <c r="M1169" i="1"/>
  <c r="S1257" i="1"/>
  <c r="R1257" i="1"/>
  <c r="M1257" i="1"/>
  <c r="Q1257" i="1"/>
  <c r="S1193" i="1"/>
  <c r="M1193" i="1"/>
  <c r="R1193" i="1"/>
  <c r="Q1193" i="1"/>
  <c r="S1129" i="1"/>
  <c r="M1129" i="1"/>
  <c r="R1129" i="1"/>
  <c r="Q1129" i="1"/>
  <c r="Q1209" i="1"/>
  <c r="M1209" i="1"/>
  <c r="R1209" i="1"/>
  <c r="S1209" i="1"/>
  <c r="M1145" i="1"/>
  <c r="Q1145" i="1"/>
  <c r="R1145" i="1"/>
  <c r="S1145" i="1"/>
  <c r="M1265" i="1"/>
  <c r="M1201" i="1"/>
  <c r="Q1201" i="1"/>
  <c r="S1201" i="1"/>
  <c r="Q1137" i="1"/>
  <c r="S1137" i="1"/>
  <c r="R1265" i="1"/>
  <c r="M1137" i="1"/>
  <c r="M1217" i="1"/>
  <c r="R1217" i="1"/>
  <c r="S1217" i="1"/>
  <c r="M1153" i="1"/>
  <c r="R1153" i="1"/>
  <c r="S1153" i="1"/>
  <c r="M1249" i="1"/>
  <c r="Q1249" i="1"/>
  <c r="R1249" i="1"/>
  <c r="M1185" i="1"/>
  <c r="R1185" i="1"/>
  <c r="M1121" i="1"/>
  <c r="R1121" i="1"/>
  <c r="S1185" i="1"/>
  <c r="S1233" i="1"/>
  <c r="M1233" i="1"/>
  <c r="Q1233" i="1"/>
  <c r="M1161" i="1"/>
  <c r="R1161" i="1"/>
  <c r="S1161" i="1"/>
  <c r="Q1161" i="1"/>
  <c r="S1105" i="1"/>
  <c r="Q1105" i="1"/>
  <c r="R1233" i="1"/>
  <c r="Q1217" i="1"/>
  <c r="M1241" i="1"/>
  <c r="M1105" i="1"/>
  <c r="S1255" i="1"/>
  <c r="S1263" i="1"/>
  <c r="S1236" i="1"/>
  <c r="S1227" i="1"/>
  <c r="S1199" i="1"/>
  <c r="S1190" i="1"/>
  <c r="S1135" i="1"/>
  <c r="S1126" i="1"/>
  <c r="R1270" i="1"/>
  <c r="R1260" i="1"/>
  <c r="R1174" i="1"/>
  <c r="R1164" i="1"/>
  <c r="R1142" i="1"/>
  <c r="R1132" i="1"/>
  <c r="R1110" i="1"/>
  <c r="R1100" i="1"/>
  <c r="Q1260" i="1"/>
  <c r="Q1246" i="1"/>
  <c r="Q1235" i="1"/>
  <c r="Q1222" i="1"/>
  <c r="AO1245" i="1"/>
  <c r="AM1118" i="1"/>
  <c r="AM1180" i="1"/>
  <c r="AO1194" i="1"/>
  <c r="AM1204" i="1"/>
  <c r="AO1157" i="1"/>
  <c r="AO1118" i="1"/>
  <c r="AM1261" i="1"/>
  <c r="AM1237" i="1"/>
  <c r="AM1197" i="1"/>
  <c r="AM1181" i="1"/>
  <c r="AM1157" i="1"/>
  <c r="AM1125" i="1"/>
  <c r="AM1109" i="1"/>
  <c r="AO1204" i="1"/>
  <c r="AO1180" i="1"/>
  <c r="AM1219" i="1"/>
  <c r="AM1234" i="1"/>
  <c r="AM1162" i="1"/>
  <c r="AM1130" i="1"/>
  <c r="AM1122" i="1"/>
  <c r="AM1114" i="1"/>
  <c r="AM1090" i="1"/>
  <c r="AM1226" i="1"/>
  <c r="AM1194" i="1"/>
  <c r="AM1170" i="1"/>
  <c r="AM1146" i="1"/>
  <c r="AM1209" i="1"/>
  <c r="AM1161" i="1"/>
  <c r="AM1105" i="1"/>
  <c r="AM1248" i="1"/>
  <c r="AM1096" i="1"/>
  <c r="M1242" i="1"/>
  <c r="Q1210" i="1"/>
  <c r="M1251" i="1"/>
  <c r="Q1146" i="1"/>
  <c r="M1186" i="1"/>
  <c r="M1259" i="1"/>
  <c r="M1227" i="1"/>
  <c r="M1122" i="1"/>
  <c r="R1266" i="1"/>
  <c r="R1202" i="1"/>
  <c r="R1138" i="1"/>
  <c r="R1210" i="1"/>
  <c r="R1146" i="1"/>
  <c r="Q1218" i="1"/>
  <c r="Q1154" i="1"/>
  <c r="Q1090" i="1"/>
  <c r="M1250" i="1"/>
  <c r="M1194" i="1"/>
  <c r="M1130" i="1"/>
  <c r="R1218" i="1"/>
  <c r="R1154" i="1"/>
  <c r="R1090" i="1"/>
  <c r="Q1226" i="1"/>
  <c r="Q1162" i="1"/>
  <c r="Q1098" i="1"/>
  <c r="M1258" i="1"/>
  <c r="M1202" i="1"/>
  <c r="M1138" i="1"/>
  <c r="S1266" i="1"/>
  <c r="S1258" i="1"/>
  <c r="S1250" i="1"/>
  <c r="S1242" i="1"/>
  <c r="S1234" i="1"/>
  <c r="S1226" i="1"/>
  <c r="S1218" i="1"/>
  <c r="S1210" i="1"/>
  <c r="S1202" i="1"/>
  <c r="S1194" i="1"/>
  <c r="S1186" i="1"/>
  <c r="S1178" i="1"/>
  <c r="S1170" i="1"/>
  <c r="S1162" i="1"/>
  <c r="S1154" i="1"/>
  <c r="S1146" i="1"/>
  <c r="S1138" i="1"/>
  <c r="S1130" i="1"/>
  <c r="S1122" i="1"/>
  <c r="S1114" i="1"/>
  <c r="S1106" i="1"/>
  <c r="S1098" i="1"/>
  <c r="S1090" i="1"/>
  <c r="R1226" i="1"/>
  <c r="R1162" i="1"/>
  <c r="R1098" i="1"/>
  <c r="Q1234" i="1"/>
  <c r="Q1170" i="1"/>
  <c r="Q1106" i="1"/>
  <c r="M1266" i="1"/>
  <c r="R1234" i="1"/>
  <c r="R1170" i="1"/>
  <c r="R1106" i="1"/>
  <c r="Q1242" i="1"/>
  <c r="Q1178" i="1"/>
  <c r="Q1114" i="1"/>
  <c r="R1178" i="1"/>
  <c r="R1114" i="1"/>
  <c r="Q1250" i="1"/>
  <c r="Q1186" i="1"/>
  <c r="Q1122" i="1"/>
  <c r="Q1258" i="1"/>
  <c r="Q1194" i="1"/>
  <c r="Q1130" i="1"/>
  <c r="R1263" i="1"/>
  <c r="R1255" i="1"/>
  <c r="R1247" i="1"/>
  <c r="R1239" i="1"/>
  <c r="R1231" i="1"/>
  <c r="R1223" i="1"/>
  <c r="R1215" i="1"/>
  <c r="R1207" i="1"/>
  <c r="R1199" i="1"/>
  <c r="R1191" i="1"/>
  <c r="R1183" i="1"/>
  <c r="R1175" i="1"/>
  <c r="R1167" i="1"/>
  <c r="R1159" i="1"/>
  <c r="R1151" i="1"/>
  <c r="R1143" i="1"/>
  <c r="R1135" i="1"/>
  <c r="R1127" i="1"/>
  <c r="R1119" i="1"/>
  <c r="R1111" i="1"/>
  <c r="R1103" i="1"/>
  <c r="R1095" i="1"/>
  <c r="Q1263" i="1"/>
  <c r="Q1255" i="1"/>
  <c r="Q1247" i="1"/>
  <c r="Q1239" i="1"/>
  <c r="Q1231" i="1"/>
  <c r="Q1223" i="1"/>
  <c r="Q1215" i="1"/>
  <c r="Q1207" i="1"/>
  <c r="Q1199" i="1"/>
  <c r="Q1191" i="1"/>
  <c r="Q1183" i="1"/>
  <c r="Q1175" i="1"/>
  <c r="Q1167" i="1"/>
  <c r="Q1159" i="1"/>
  <c r="Q1151" i="1"/>
  <c r="Q1143" i="1"/>
  <c r="Q1135" i="1"/>
  <c r="Q1127" i="1"/>
  <c r="Q1119" i="1"/>
  <c r="Q1111" i="1"/>
  <c r="Q1103" i="1"/>
  <c r="Q1095" i="1"/>
  <c r="AN503" i="1" l="1"/>
  <c r="AN502" i="1"/>
  <c r="AN501" i="1"/>
  <c r="AN500" i="1"/>
  <c r="AN499" i="1"/>
  <c r="AN493" i="1"/>
  <c r="AN491" i="1"/>
  <c r="AN490" i="1"/>
  <c r="AO490" i="1" s="1"/>
  <c r="AN488" i="1"/>
  <c r="AN479" i="1"/>
  <c r="AN476" i="1"/>
  <c r="AN474" i="1"/>
  <c r="AN470" i="1"/>
  <c r="AN469" i="1"/>
  <c r="AN463" i="1"/>
  <c r="AN462" i="1"/>
  <c r="AN461" i="1"/>
  <c r="AN460" i="1"/>
  <c r="AN456" i="1"/>
  <c r="AN452" i="1"/>
  <c r="AN448" i="1"/>
  <c r="AN447" i="1"/>
  <c r="AN446" i="1"/>
  <c r="AN419" i="1"/>
  <c r="AN418" i="1"/>
  <c r="AN411" i="1"/>
  <c r="AN409" i="1"/>
  <c r="AN406" i="1"/>
  <c r="AN403" i="1"/>
  <c r="AN399" i="1"/>
  <c r="AN397" i="1"/>
  <c r="AN395" i="1"/>
  <c r="AN392" i="1"/>
  <c r="AN391" i="1"/>
  <c r="AN388" i="1"/>
  <c r="AN387" i="1"/>
  <c r="AN385" i="1"/>
  <c r="AN384" i="1"/>
  <c r="AN381" i="1"/>
  <c r="AN377" i="1"/>
  <c r="AN373" i="1"/>
  <c r="AN372" i="1"/>
  <c r="AN371" i="1"/>
  <c r="Y503" i="1"/>
  <c r="Y502" i="1"/>
  <c r="Y501" i="1"/>
  <c r="Y500" i="1"/>
  <c r="Y499" i="1"/>
  <c r="AO499" i="1" s="1"/>
  <c r="Y495" i="1"/>
  <c r="Y493" i="1"/>
  <c r="Y491" i="1"/>
  <c r="Y489" i="1"/>
  <c r="Y488" i="1"/>
  <c r="Y485" i="1"/>
  <c r="Y481" i="1"/>
  <c r="Y480" i="1"/>
  <c r="Y479" i="1"/>
  <c r="Y478" i="1"/>
  <c r="Y476" i="1"/>
  <c r="Y475" i="1"/>
  <c r="Y474" i="1"/>
  <c r="Y473" i="1"/>
  <c r="Y471" i="1"/>
  <c r="Y470" i="1"/>
  <c r="AO470" i="1" s="1"/>
  <c r="Y469" i="1"/>
  <c r="Y467" i="1"/>
  <c r="Y465" i="1"/>
  <c r="Y464" i="1"/>
  <c r="Y463" i="1"/>
  <c r="Y462" i="1"/>
  <c r="Y461" i="1"/>
  <c r="Y458" i="1"/>
  <c r="AO458" i="1" s="1"/>
  <c r="Y456" i="1"/>
  <c r="Y455" i="1"/>
  <c r="Y454" i="1"/>
  <c r="AO454" i="1" s="1"/>
  <c r="Y453" i="1"/>
  <c r="Y452" i="1"/>
  <c r="Y450" i="1"/>
  <c r="Y448" i="1"/>
  <c r="Y447" i="1"/>
  <c r="AO447" i="1" s="1"/>
  <c r="Y446" i="1"/>
  <c r="Y445" i="1"/>
  <c r="Y444" i="1"/>
  <c r="Y443" i="1"/>
  <c r="Y439" i="1"/>
  <c r="Y438" i="1"/>
  <c r="Y437" i="1"/>
  <c r="Y436" i="1"/>
  <c r="AO436" i="1" s="1"/>
  <c r="Y435" i="1"/>
  <c r="Y434" i="1"/>
  <c r="Y433" i="1"/>
  <c r="AO433" i="1" s="1"/>
  <c r="Y432" i="1"/>
  <c r="Y431" i="1"/>
  <c r="Y430" i="1"/>
  <c r="Y429" i="1"/>
  <c r="Y428" i="1"/>
  <c r="Y427" i="1"/>
  <c r="Y426" i="1"/>
  <c r="Y425" i="1"/>
  <c r="AO425" i="1" s="1"/>
  <c r="Y424" i="1"/>
  <c r="Y423" i="1"/>
  <c r="Y422" i="1"/>
  <c r="Y421" i="1"/>
  <c r="Y420" i="1"/>
  <c r="AO420" i="1" s="1"/>
  <c r="Y419" i="1"/>
  <c r="Y418" i="1"/>
  <c r="Y414" i="1"/>
  <c r="AO414" i="1" s="1"/>
  <c r="Y413" i="1"/>
  <c r="Y409" i="1"/>
  <c r="Y408" i="1"/>
  <c r="Y407" i="1"/>
  <c r="Y406" i="1"/>
  <c r="AO406" i="1" s="1"/>
  <c r="Y404" i="1"/>
  <c r="Y403" i="1"/>
  <c r="Y401" i="1"/>
  <c r="Y400" i="1"/>
  <c r="Y399" i="1"/>
  <c r="Y398" i="1"/>
  <c r="Y397" i="1"/>
  <c r="Y396" i="1"/>
  <c r="AO396" i="1" s="1"/>
  <c r="Y395" i="1"/>
  <c r="Y394" i="1"/>
  <c r="Y392" i="1"/>
  <c r="Y391" i="1"/>
  <c r="Y390" i="1"/>
  <c r="Y389" i="1"/>
  <c r="Y388" i="1"/>
  <c r="Y387" i="1"/>
  <c r="AO387" i="1" s="1"/>
  <c r="Y385" i="1"/>
  <c r="Y384" i="1"/>
  <c r="Y383" i="1"/>
  <c r="AO383" i="1" s="1"/>
  <c r="Y382" i="1"/>
  <c r="Y381" i="1"/>
  <c r="Y380" i="1"/>
  <c r="Y379" i="1"/>
  <c r="Y378" i="1"/>
  <c r="AO378" i="1" s="1"/>
  <c r="Y377" i="1"/>
  <c r="Y375" i="1"/>
  <c r="Y373" i="1"/>
  <c r="AO373" i="1" s="1"/>
  <c r="Y372" i="1"/>
  <c r="Y371" i="1"/>
  <c r="Y370" i="1"/>
  <c r="Y369" i="1"/>
  <c r="Y367" i="1"/>
  <c r="AO367" i="1" s="1"/>
  <c r="Y363" i="1"/>
  <c r="Y362" i="1"/>
  <c r="Y361" i="1"/>
  <c r="AO361" i="1" s="1"/>
  <c r="Y360" i="1"/>
  <c r="Y358" i="1"/>
  <c r="Y357" i="1"/>
  <c r="Y356" i="1"/>
  <c r="Y355" i="1"/>
  <c r="AO355" i="1" s="1"/>
  <c r="Y354" i="1"/>
  <c r="Y353" i="1"/>
  <c r="Y352" i="1"/>
  <c r="AO352" i="1" s="1"/>
  <c r="Y351" i="1"/>
  <c r="Y350" i="1"/>
  <c r="Y348" i="1"/>
  <c r="B348" i="1"/>
  <c r="B349" i="1"/>
  <c r="B350" i="1"/>
  <c r="B351" i="1"/>
  <c r="B352" i="1"/>
  <c r="B353" i="1"/>
  <c r="B354" i="1"/>
  <c r="B355" i="1"/>
  <c r="B356" i="1"/>
  <c r="B357" i="1"/>
  <c r="B358" i="1"/>
  <c r="B359" i="1"/>
  <c r="B360" i="1"/>
  <c r="B361" i="1"/>
  <c r="B362" i="1"/>
  <c r="B363" i="1"/>
  <c r="B364" i="1"/>
  <c r="B365" i="1"/>
  <c r="B366" i="1"/>
  <c r="B367" i="1"/>
  <c r="B368" i="1"/>
  <c r="B369" i="1"/>
  <c r="B370" i="1"/>
  <c r="B371" i="1"/>
  <c r="B372" i="1"/>
  <c r="B373" i="1"/>
  <c r="B374" i="1"/>
  <c r="B375" i="1"/>
  <c r="B376" i="1"/>
  <c r="B377" i="1"/>
  <c r="B378" i="1"/>
  <c r="B379" i="1"/>
  <c r="B380" i="1"/>
  <c r="B381" i="1"/>
  <c r="B382" i="1"/>
  <c r="B383" i="1"/>
  <c r="B384" i="1"/>
  <c r="B385" i="1"/>
  <c r="B386" i="1"/>
  <c r="B387" i="1"/>
  <c r="B388" i="1"/>
  <c r="B389" i="1"/>
  <c r="B390" i="1"/>
  <c r="B391" i="1"/>
  <c r="B392" i="1"/>
  <c r="B393" i="1"/>
  <c r="B394" i="1"/>
  <c r="B395" i="1"/>
  <c r="B396" i="1"/>
  <c r="B397" i="1"/>
  <c r="B398" i="1"/>
  <c r="B399" i="1"/>
  <c r="B400" i="1"/>
  <c r="B401" i="1"/>
  <c r="B402" i="1"/>
  <c r="B403" i="1"/>
  <c r="B404" i="1"/>
  <c r="B405" i="1"/>
  <c r="B406" i="1"/>
  <c r="B407" i="1"/>
  <c r="B408" i="1"/>
  <c r="B409" i="1"/>
  <c r="B410" i="1"/>
  <c r="B411" i="1"/>
  <c r="B412" i="1"/>
  <c r="B413" i="1"/>
  <c r="B414" i="1"/>
  <c r="B415" i="1"/>
  <c r="B416" i="1"/>
  <c r="B417" i="1"/>
  <c r="B418" i="1"/>
  <c r="B419" i="1"/>
  <c r="B420" i="1"/>
  <c r="B421" i="1"/>
  <c r="B422" i="1"/>
  <c r="B423" i="1"/>
  <c r="B424" i="1"/>
  <c r="B425" i="1"/>
  <c r="B426" i="1"/>
  <c r="B427" i="1"/>
  <c r="B428" i="1"/>
  <c r="B429" i="1"/>
  <c r="B430" i="1"/>
  <c r="B431" i="1"/>
  <c r="B432" i="1"/>
  <c r="B433" i="1"/>
  <c r="B434" i="1"/>
  <c r="B435" i="1"/>
  <c r="B436" i="1"/>
  <c r="B437" i="1"/>
  <c r="B438" i="1"/>
  <c r="B439" i="1"/>
  <c r="B440" i="1"/>
  <c r="B441" i="1"/>
  <c r="B442" i="1"/>
  <c r="B443" i="1"/>
  <c r="B444" i="1"/>
  <c r="B445" i="1"/>
  <c r="B446" i="1"/>
  <c r="B447" i="1"/>
  <c r="B448" i="1"/>
  <c r="B449" i="1"/>
  <c r="B450" i="1"/>
  <c r="B451" i="1"/>
  <c r="B452" i="1"/>
  <c r="B453" i="1"/>
  <c r="B454" i="1"/>
  <c r="B455" i="1"/>
  <c r="B456" i="1"/>
  <c r="B457" i="1"/>
  <c r="B458" i="1"/>
  <c r="B459" i="1"/>
  <c r="B460" i="1"/>
  <c r="B461" i="1"/>
  <c r="B462" i="1"/>
  <c r="B463" i="1"/>
  <c r="B464" i="1"/>
  <c r="B465" i="1"/>
  <c r="B466" i="1"/>
  <c r="B467" i="1"/>
  <c r="B468" i="1"/>
  <c r="B469" i="1"/>
  <c r="B470" i="1"/>
  <c r="B471" i="1"/>
  <c r="B472" i="1"/>
  <c r="B473" i="1"/>
  <c r="B474" i="1"/>
  <c r="B475" i="1"/>
  <c r="B476" i="1"/>
  <c r="B477" i="1"/>
  <c r="B478" i="1"/>
  <c r="B479" i="1"/>
  <c r="B480" i="1"/>
  <c r="B481" i="1"/>
  <c r="B482" i="1"/>
  <c r="B483" i="1"/>
  <c r="B484" i="1"/>
  <c r="B485" i="1"/>
  <c r="B486" i="1"/>
  <c r="B487" i="1"/>
  <c r="B488" i="1"/>
  <c r="B489" i="1"/>
  <c r="B490" i="1"/>
  <c r="B491" i="1"/>
  <c r="B492" i="1"/>
  <c r="B493" i="1"/>
  <c r="B494" i="1"/>
  <c r="B495" i="1"/>
  <c r="B496" i="1"/>
  <c r="B497" i="1"/>
  <c r="B498" i="1"/>
  <c r="B499" i="1"/>
  <c r="B500" i="1"/>
  <c r="B501" i="1"/>
  <c r="B502" i="1"/>
  <c r="B503" i="1"/>
  <c r="H348" i="1"/>
  <c r="H349" i="1"/>
  <c r="H350" i="1"/>
  <c r="H351" i="1"/>
  <c r="H352" i="1"/>
  <c r="H353" i="1"/>
  <c r="H354" i="1"/>
  <c r="H355" i="1"/>
  <c r="H356" i="1"/>
  <c r="H357" i="1"/>
  <c r="H358" i="1"/>
  <c r="H359" i="1"/>
  <c r="H360" i="1"/>
  <c r="H361" i="1"/>
  <c r="H362" i="1"/>
  <c r="H363" i="1"/>
  <c r="H364" i="1"/>
  <c r="H365" i="1"/>
  <c r="H366" i="1"/>
  <c r="H367" i="1"/>
  <c r="H368" i="1"/>
  <c r="H369" i="1"/>
  <c r="H370" i="1"/>
  <c r="H371" i="1"/>
  <c r="H372" i="1"/>
  <c r="H373" i="1"/>
  <c r="H374" i="1"/>
  <c r="H375" i="1"/>
  <c r="H376" i="1"/>
  <c r="H377" i="1"/>
  <c r="H378" i="1"/>
  <c r="H379" i="1"/>
  <c r="H380" i="1"/>
  <c r="H381" i="1"/>
  <c r="H382" i="1"/>
  <c r="H383" i="1"/>
  <c r="H384" i="1"/>
  <c r="H385" i="1"/>
  <c r="H386" i="1"/>
  <c r="H387" i="1"/>
  <c r="H388" i="1"/>
  <c r="H389" i="1"/>
  <c r="H390" i="1"/>
  <c r="H391" i="1"/>
  <c r="H392" i="1"/>
  <c r="H393" i="1"/>
  <c r="H394" i="1"/>
  <c r="H395" i="1"/>
  <c r="H396" i="1"/>
  <c r="H397" i="1"/>
  <c r="H398" i="1"/>
  <c r="H399" i="1"/>
  <c r="H400" i="1"/>
  <c r="H401" i="1"/>
  <c r="H402" i="1"/>
  <c r="H403" i="1"/>
  <c r="H404" i="1"/>
  <c r="H405" i="1"/>
  <c r="H406" i="1"/>
  <c r="H407" i="1"/>
  <c r="H408" i="1"/>
  <c r="H409" i="1"/>
  <c r="H410" i="1"/>
  <c r="H411" i="1"/>
  <c r="H412" i="1"/>
  <c r="H413" i="1"/>
  <c r="H414" i="1"/>
  <c r="H415" i="1"/>
  <c r="H416" i="1"/>
  <c r="H417" i="1"/>
  <c r="H418" i="1"/>
  <c r="H419" i="1"/>
  <c r="H420" i="1"/>
  <c r="H421" i="1"/>
  <c r="H422" i="1"/>
  <c r="H423" i="1"/>
  <c r="H424" i="1"/>
  <c r="H425" i="1"/>
  <c r="H426" i="1"/>
  <c r="H427" i="1"/>
  <c r="H428" i="1"/>
  <c r="H429" i="1"/>
  <c r="H430" i="1"/>
  <c r="H431" i="1"/>
  <c r="H432" i="1"/>
  <c r="H433" i="1"/>
  <c r="H434" i="1"/>
  <c r="H435" i="1"/>
  <c r="H436" i="1"/>
  <c r="H437" i="1"/>
  <c r="H438" i="1"/>
  <c r="H439" i="1"/>
  <c r="H440" i="1"/>
  <c r="H441" i="1"/>
  <c r="H442" i="1"/>
  <c r="H443" i="1"/>
  <c r="H444" i="1"/>
  <c r="H445" i="1"/>
  <c r="H446" i="1"/>
  <c r="H447" i="1"/>
  <c r="H448" i="1"/>
  <c r="H449" i="1"/>
  <c r="H450" i="1"/>
  <c r="H451" i="1"/>
  <c r="H452" i="1"/>
  <c r="H453" i="1"/>
  <c r="H454" i="1"/>
  <c r="H455" i="1"/>
  <c r="H456" i="1"/>
  <c r="H457" i="1"/>
  <c r="H458" i="1"/>
  <c r="H459" i="1"/>
  <c r="H460" i="1"/>
  <c r="H461" i="1"/>
  <c r="H462" i="1"/>
  <c r="H463" i="1"/>
  <c r="H464" i="1"/>
  <c r="H465" i="1"/>
  <c r="H466" i="1"/>
  <c r="H467" i="1"/>
  <c r="H468" i="1"/>
  <c r="H469" i="1"/>
  <c r="H470" i="1"/>
  <c r="H471" i="1"/>
  <c r="H472" i="1"/>
  <c r="H473" i="1"/>
  <c r="H474" i="1"/>
  <c r="H475" i="1"/>
  <c r="H476" i="1"/>
  <c r="H477" i="1"/>
  <c r="H478" i="1"/>
  <c r="H479" i="1"/>
  <c r="H480" i="1"/>
  <c r="H481" i="1"/>
  <c r="H482" i="1"/>
  <c r="H483" i="1"/>
  <c r="H484" i="1"/>
  <c r="H485" i="1"/>
  <c r="H486" i="1"/>
  <c r="H487" i="1"/>
  <c r="H488" i="1"/>
  <c r="H489" i="1"/>
  <c r="H490" i="1"/>
  <c r="H491" i="1"/>
  <c r="H492" i="1"/>
  <c r="H493" i="1"/>
  <c r="H494" i="1"/>
  <c r="H495" i="1"/>
  <c r="H496" i="1"/>
  <c r="H497" i="1"/>
  <c r="H498" i="1"/>
  <c r="H499" i="1"/>
  <c r="H500" i="1"/>
  <c r="H501" i="1"/>
  <c r="H502" i="1"/>
  <c r="H503" i="1"/>
  <c r="K348" i="1"/>
  <c r="K349" i="1"/>
  <c r="K350" i="1"/>
  <c r="K351" i="1"/>
  <c r="K352" i="1"/>
  <c r="K353" i="1"/>
  <c r="K354" i="1"/>
  <c r="K355" i="1"/>
  <c r="K356" i="1"/>
  <c r="K357" i="1"/>
  <c r="K358" i="1"/>
  <c r="K359" i="1"/>
  <c r="K360" i="1"/>
  <c r="K361" i="1"/>
  <c r="K362" i="1"/>
  <c r="K363" i="1"/>
  <c r="K364" i="1"/>
  <c r="K365" i="1"/>
  <c r="K366" i="1"/>
  <c r="K367" i="1"/>
  <c r="K368" i="1"/>
  <c r="K369" i="1"/>
  <c r="K370" i="1"/>
  <c r="K371" i="1"/>
  <c r="K372" i="1"/>
  <c r="K373" i="1"/>
  <c r="K374" i="1"/>
  <c r="K375" i="1"/>
  <c r="K376" i="1"/>
  <c r="K377" i="1"/>
  <c r="K378" i="1"/>
  <c r="K379" i="1"/>
  <c r="K380" i="1"/>
  <c r="K381" i="1"/>
  <c r="K382" i="1"/>
  <c r="K383" i="1"/>
  <c r="K384" i="1"/>
  <c r="K385" i="1"/>
  <c r="K386" i="1"/>
  <c r="K387" i="1"/>
  <c r="K388" i="1"/>
  <c r="K389" i="1"/>
  <c r="K390" i="1"/>
  <c r="K391" i="1"/>
  <c r="K392" i="1"/>
  <c r="K393" i="1"/>
  <c r="K394" i="1"/>
  <c r="K395" i="1"/>
  <c r="K396" i="1"/>
  <c r="K397" i="1"/>
  <c r="K398" i="1"/>
  <c r="K399" i="1"/>
  <c r="K400" i="1"/>
  <c r="K401" i="1"/>
  <c r="K402" i="1"/>
  <c r="K403" i="1"/>
  <c r="K404" i="1"/>
  <c r="K405" i="1"/>
  <c r="K406" i="1"/>
  <c r="K407" i="1"/>
  <c r="K408" i="1"/>
  <c r="K409" i="1"/>
  <c r="K410" i="1"/>
  <c r="K411" i="1"/>
  <c r="K412" i="1"/>
  <c r="K413" i="1"/>
  <c r="K414" i="1"/>
  <c r="K415" i="1"/>
  <c r="K416" i="1"/>
  <c r="K417" i="1"/>
  <c r="K418" i="1"/>
  <c r="K419" i="1"/>
  <c r="K420" i="1"/>
  <c r="K421" i="1"/>
  <c r="K422" i="1"/>
  <c r="K423" i="1"/>
  <c r="K424" i="1"/>
  <c r="K425" i="1"/>
  <c r="K426" i="1"/>
  <c r="K427" i="1"/>
  <c r="K428" i="1"/>
  <c r="K429" i="1"/>
  <c r="K430" i="1"/>
  <c r="K431" i="1"/>
  <c r="K432" i="1"/>
  <c r="K433" i="1"/>
  <c r="K434" i="1"/>
  <c r="K435" i="1"/>
  <c r="K436" i="1"/>
  <c r="K437" i="1"/>
  <c r="K438" i="1"/>
  <c r="K439" i="1"/>
  <c r="K440" i="1"/>
  <c r="K441" i="1"/>
  <c r="K442" i="1"/>
  <c r="K443" i="1"/>
  <c r="K444" i="1"/>
  <c r="K445" i="1"/>
  <c r="K446" i="1"/>
  <c r="K447" i="1"/>
  <c r="K448" i="1"/>
  <c r="K449" i="1"/>
  <c r="K450" i="1"/>
  <c r="K451" i="1"/>
  <c r="K452" i="1"/>
  <c r="K453" i="1"/>
  <c r="K454" i="1"/>
  <c r="K455" i="1"/>
  <c r="K456" i="1"/>
  <c r="K457" i="1"/>
  <c r="K458" i="1"/>
  <c r="K459" i="1"/>
  <c r="K460" i="1"/>
  <c r="K461" i="1"/>
  <c r="K462" i="1"/>
  <c r="K463" i="1"/>
  <c r="K464" i="1"/>
  <c r="K465" i="1"/>
  <c r="K466" i="1"/>
  <c r="K467" i="1"/>
  <c r="K468" i="1"/>
  <c r="K469" i="1"/>
  <c r="K470" i="1"/>
  <c r="K471" i="1"/>
  <c r="K472" i="1"/>
  <c r="K473" i="1"/>
  <c r="K474" i="1"/>
  <c r="K475" i="1"/>
  <c r="K476" i="1"/>
  <c r="K477" i="1"/>
  <c r="K478" i="1"/>
  <c r="K479" i="1"/>
  <c r="K480" i="1"/>
  <c r="K481" i="1"/>
  <c r="K482" i="1"/>
  <c r="K483" i="1"/>
  <c r="K484" i="1"/>
  <c r="K485" i="1"/>
  <c r="K486" i="1"/>
  <c r="K487" i="1"/>
  <c r="K488" i="1"/>
  <c r="K489" i="1"/>
  <c r="K490" i="1"/>
  <c r="K491" i="1"/>
  <c r="K492" i="1"/>
  <c r="K493" i="1"/>
  <c r="K494" i="1"/>
  <c r="K495" i="1"/>
  <c r="K496" i="1"/>
  <c r="K497" i="1"/>
  <c r="K498" i="1"/>
  <c r="K499" i="1"/>
  <c r="K500" i="1"/>
  <c r="K501" i="1"/>
  <c r="K502" i="1"/>
  <c r="K503" i="1"/>
  <c r="L348" i="1"/>
  <c r="R348" i="1" s="1"/>
  <c r="L349" i="1"/>
  <c r="M349" i="1" s="1"/>
  <c r="L350" i="1"/>
  <c r="Q350" i="1" s="1"/>
  <c r="L351" i="1"/>
  <c r="M351" i="1" s="1"/>
  <c r="L352" i="1"/>
  <c r="Q352" i="1" s="1"/>
  <c r="L353" i="1"/>
  <c r="M353" i="1" s="1"/>
  <c r="L354" i="1"/>
  <c r="Q354" i="1" s="1"/>
  <c r="L355" i="1"/>
  <c r="Q355" i="1" s="1"/>
  <c r="L356" i="1"/>
  <c r="M356" i="1" s="1"/>
  <c r="L357" i="1"/>
  <c r="Q357" i="1" s="1"/>
  <c r="L358" i="1"/>
  <c r="M358" i="1" s="1"/>
  <c r="L359" i="1"/>
  <c r="M359" i="1" s="1"/>
  <c r="L360" i="1"/>
  <c r="M360" i="1" s="1"/>
  <c r="L361" i="1"/>
  <c r="M361" i="1" s="1"/>
  <c r="L362" i="1"/>
  <c r="M362" i="1" s="1"/>
  <c r="L363" i="1"/>
  <c r="R363" i="1" s="1"/>
  <c r="L364" i="1"/>
  <c r="S364" i="1" s="1"/>
  <c r="L365" i="1"/>
  <c r="R365" i="1" s="1"/>
  <c r="L366" i="1"/>
  <c r="Q366" i="1" s="1"/>
  <c r="L367" i="1"/>
  <c r="M367" i="1" s="1"/>
  <c r="L368" i="1"/>
  <c r="M368" i="1" s="1"/>
  <c r="L369" i="1"/>
  <c r="M369" i="1" s="1"/>
  <c r="L370" i="1"/>
  <c r="R370" i="1" s="1"/>
  <c r="L371" i="1"/>
  <c r="R371" i="1" s="1"/>
  <c r="L372" i="1"/>
  <c r="M372" i="1" s="1"/>
  <c r="L373" i="1"/>
  <c r="M373" i="1" s="1"/>
  <c r="L374" i="1"/>
  <c r="Q374" i="1" s="1"/>
  <c r="L375" i="1"/>
  <c r="M375" i="1" s="1"/>
  <c r="L376" i="1"/>
  <c r="M376" i="1" s="1"/>
  <c r="L377" i="1"/>
  <c r="M377" i="1" s="1"/>
  <c r="L378" i="1"/>
  <c r="M378" i="1" s="1"/>
  <c r="L379" i="1"/>
  <c r="M379" i="1" s="1"/>
  <c r="L380" i="1"/>
  <c r="M380" i="1" s="1"/>
  <c r="L381" i="1"/>
  <c r="R381" i="1" s="1"/>
  <c r="L382" i="1"/>
  <c r="Q382" i="1" s="1"/>
  <c r="L383" i="1"/>
  <c r="M383" i="1" s="1"/>
  <c r="L384" i="1"/>
  <c r="M384" i="1" s="1"/>
  <c r="L385" i="1"/>
  <c r="M385" i="1" s="1"/>
  <c r="L386" i="1"/>
  <c r="R386" i="1" s="1"/>
  <c r="L387" i="1"/>
  <c r="M387" i="1" s="1"/>
  <c r="L388" i="1"/>
  <c r="Q388" i="1" s="1"/>
  <c r="L389" i="1"/>
  <c r="R389" i="1" s="1"/>
  <c r="L390" i="1"/>
  <c r="M390" i="1" s="1"/>
  <c r="L391" i="1"/>
  <c r="M391" i="1" s="1"/>
  <c r="L392" i="1"/>
  <c r="M392" i="1" s="1"/>
  <c r="L393" i="1"/>
  <c r="M393" i="1" s="1"/>
  <c r="L394" i="1"/>
  <c r="R394" i="1" s="1"/>
  <c r="L395" i="1"/>
  <c r="Q395" i="1" s="1"/>
  <c r="L396" i="1"/>
  <c r="M396" i="1" s="1"/>
  <c r="L397" i="1"/>
  <c r="R397" i="1" s="1"/>
  <c r="L398" i="1"/>
  <c r="Q398" i="1" s="1"/>
  <c r="L399" i="1"/>
  <c r="M399" i="1" s="1"/>
  <c r="L400" i="1"/>
  <c r="M400" i="1" s="1"/>
  <c r="L401" i="1"/>
  <c r="M401" i="1" s="1"/>
  <c r="L402" i="1"/>
  <c r="R402" i="1" s="1"/>
  <c r="L403" i="1"/>
  <c r="M403" i="1" s="1"/>
  <c r="L404" i="1"/>
  <c r="M404" i="1" s="1"/>
  <c r="L405" i="1"/>
  <c r="R405" i="1" s="1"/>
  <c r="L406" i="1"/>
  <c r="Q406" i="1" s="1"/>
  <c r="L407" i="1"/>
  <c r="M407" i="1" s="1"/>
  <c r="L408" i="1"/>
  <c r="S408" i="1" s="1"/>
  <c r="L409" i="1"/>
  <c r="M409" i="1" s="1"/>
  <c r="L410" i="1"/>
  <c r="M410" i="1" s="1"/>
  <c r="L411" i="1"/>
  <c r="M411" i="1" s="1"/>
  <c r="L412" i="1"/>
  <c r="Q412" i="1" s="1"/>
  <c r="L413" i="1"/>
  <c r="R413" i="1" s="1"/>
  <c r="L414" i="1"/>
  <c r="Q414" i="1" s="1"/>
  <c r="L415" i="1"/>
  <c r="M415" i="1" s="1"/>
  <c r="L416" i="1"/>
  <c r="Q416" i="1" s="1"/>
  <c r="L417" i="1"/>
  <c r="M417" i="1" s="1"/>
  <c r="L418" i="1"/>
  <c r="M418" i="1" s="1"/>
  <c r="L419" i="1"/>
  <c r="R419" i="1" s="1"/>
  <c r="L420" i="1"/>
  <c r="Q420" i="1" s="1"/>
  <c r="L421" i="1"/>
  <c r="Q421" i="1" s="1"/>
  <c r="L422" i="1"/>
  <c r="S422" i="1" s="1"/>
  <c r="L423" i="1"/>
  <c r="M423" i="1" s="1"/>
  <c r="L424" i="1"/>
  <c r="M424" i="1" s="1"/>
  <c r="L425" i="1"/>
  <c r="M425" i="1" s="1"/>
  <c r="L426" i="1"/>
  <c r="R426" i="1" s="1"/>
  <c r="L427" i="1"/>
  <c r="M427" i="1" s="1"/>
  <c r="L428" i="1"/>
  <c r="M428" i="1" s="1"/>
  <c r="L429" i="1"/>
  <c r="R429" i="1" s="1"/>
  <c r="L430" i="1"/>
  <c r="M430" i="1" s="1"/>
  <c r="L431" i="1"/>
  <c r="M431" i="1" s="1"/>
  <c r="L432" i="1"/>
  <c r="R432" i="1" s="1"/>
  <c r="L433" i="1"/>
  <c r="M433" i="1" s="1"/>
  <c r="L434" i="1"/>
  <c r="M434" i="1" s="1"/>
  <c r="L435" i="1"/>
  <c r="M435" i="1" s="1"/>
  <c r="L436" i="1"/>
  <c r="M436" i="1" s="1"/>
  <c r="L437" i="1"/>
  <c r="R437" i="1" s="1"/>
  <c r="L438" i="1"/>
  <c r="M438" i="1" s="1"/>
  <c r="L439" i="1"/>
  <c r="M439" i="1" s="1"/>
  <c r="L440" i="1"/>
  <c r="R440" i="1" s="1"/>
  <c r="L441" i="1"/>
  <c r="M441" i="1" s="1"/>
  <c r="L442" i="1"/>
  <c r="M442" i="1" s="1"/>
  <c r="L443" i="1"/>
  <c r="M443" i="1" s="1"/>
  <c r="L444" i="1"/>
  <c r="Q444" i="1" s="1"/>
  <c r="L445" i="1"/>
  <c r="R445" i="1" s="1"/>
  <c r="L446" i="1"/>
  <c r="Q446" i="1" s="1"/>
  <c r="L447" i="1"/>
  <c r="M447" i="1" s="1"/>
  <c r="L448" i="1"/>
  <c r="M448" i="1" s="1"/>
  <c r="L449" i="1"/>
  <c r="M449" i="1" s="1"/>
  <c r="L450" i="1"/>
  <c r="M450" i="1" s="1"/>
  <c r="L451" i="1"/>
  <c r="M451" i="1" s="1"/>
  <c r="L452" i="1"/>
  <c r="M452" i="1" s="1"/>
  <c r="L453" i="1"/>
  <c r="R453" i="1" s="1"/>
  <c r="L454" i="1"/>
  <c r="S454" i="1" s="1"/>
  <c r="L455" i="1"/>
  <c r="M455" i="1" s="1"/>
  <c r="L456" i="1"/>
  <c r="M456" i="1" s="1"/>
  <c r="L457" i="1"/>
  <c r="M457" i="1" s="1"/>
  <c r="L458" i="1"/>
  <c r="M458" i="1" s="1"/>
  <c r="L459" i="1"/>
  <c r="M459" i="1" s="1"/>
  <c r="L460" i="1"/>
  <c r="M460" i="1" s="1"/>
  <c r="L461" i="1"/>
  <c r="R461" i="1" s="1"/>
  <c r="L462" i="1"/>
  <c r="M462" i="1" s="1"/>
  <c r="L463" i="1"/>
  <c r="M463" i="1" s="1"/>
  <c r="L464" i="1"/>
  <c r="M464" i="1" s="1"/>
  <c r="L465" i="1"/>
  <c r="M465" i="1" s="1"/>
  <c r="L466" i="1"/>
  <c r="M466" i="1" s="1"/>
  <c r="L467" i="1"/>
  <c r="M467" i="1" s="1"/>
  <c r="L468" i="1"/>
  <c r="R468" i="1" s="1"/>
  <c r="L469" i="1"/>
  <c r="Q469" i="1" s="1"/>
  <c r="L470" i="1"/>
  <c r="Q470" i="1" s="1"/>
  <c r="L471" i="1"/>
  <c r="M471" i="1" s="1"/>
  <c r="L472" i="1"/>
  <c r="M472" i="1" s="1"/>
  <c r="L473" i="1"/>
  <c r="M473" i="1" s="1"/>
  <c r="L474" i="1"/>
  <c r="M474" i="1" s="1"/>
  <c r="L475" i="1"/>
  <c r="Q475" i="1" s="1"/>
  <c r="L476" i="1"/>
  <c r="M476" i="1" s="1"/>
  <c r="L477" i="1"/>
  <c r="M477" i="1" s="1"/>
  <c r="L478" i="1"/>
  <c r="Q478" i="1" s="1"/>
  <c r="L479" i="1"/>
  <c r="M479" i="1" s="1"/>
  <c r="L480" i="1"/>
  <c r="Q480" i="1" s="1"/>
  <c r="L481" i="1"/>
  <c r="M481" i="1" s="1"/>
  <c r="L482" i="1"/>
  <c r="M482" i="1" s="1"/>
  <c r="L483" i="1"/>
  <c r="M483" i="1" s="1"/>
  <c r="L484" i="1"/>
  <c r="M484" i="1" s="1"/>
  <c r="L485" i="1"/>
  <c r="R485" i="1" s="1"/>
  <c r="L486" i="1"/>
  <c r="M486" i="1" s="1"/>
  <c r="L487" i="1"/>
  <c r="M487" i="1" s="1"/>
  <c r="L488" i="1"/>
  <c r="M488" i="1" s="1"/>
  <c r="L489" i="1"/>
  <c r="M489" i="1" s="1"/>
  <c r="L490" i="1"/>
  <c r="M490" i="1" s="1"/>
  <c r="L491" i="1"/>
  <c r="M491" i="1" s="1"/>
  <c r="L492" i="1"/>
  <c r="M492" i="1" s="1"/>
  <c r="L493" i="1"/>
  <c r="R493" i="1" s="1"/>
  <c r="L494" i="1"/>
  <c r="M494" i="1" s="1"/>
  <c r="L495" i="1"/>
  <c r="M495" i="1" s="1"/>
  <c r="L496" i="1"/>
  <c r="M496" i="1" s="1"/>
  <c r="L497" i="1"/>
  <c r="M497" i="1" s="1"/>
  <c r="L498" i="1"/>
  <c r="M498" i="1" s="1"/>
  <c r="L499" i="1"/>
  <c r="M499" i="1" s="1"/>
  <c r="L500" i="1"/>
  <c r="Q500" i="1" s="1"/>
  <c r="L501" i="1"/>
  <c r="Q501" i="1" s="1"/>
  <c r="L502" i="1"/>
  <c r="M502" i="1" s="1"/>
  <c r="L503" i="1"/>
  <c r="M503" i="1" s="1"/>
  <c r="M348" i="1"/>
  <c r="P348" i="1"/>
  <c r="P349" i="1"/>
  <c r="P350" i="1"/>
  <c r="P351" i="1"/>
  <c r="P352" i="1"/>
  <c r="P353" i="1"/>
  <c r="P354" i="1"/>
  <c r="P355" i="1"/>
  <c r="P356" i="1"/>
  <c r="P357" i="1"/>
  <c r="P358" i="1"/>
  <c r="P359" i="1"/>
  <c r="P360" i="1"/>
  <c r="P361" i="1"/>
  <c r="P362" i="1"/>
  <c r="P363" i="1"/>
  <c r="P364" i="1"/>
  <c r="P365" i="1"/>
  <c r="P366" i="1"/>
  <c r="P367" i="1"/>
  <c r="P368" i="1"/>
  <c r="P369" i="1"/>
  <c r="P370" i="1"/>
  <c r="P371" i="1"/>
  <c r="P372" i="1"/>
  <c r="P373" i="1"/>
  <c r="P374" i="1"/>
  <c r="P375" i="1"/>
  <c r="P376" i="1"/>
  <c r="P377" i="1"/>
  <c r="P378" i="1"/>
  <c r="P379" i="1"/>
  <c r="P380" i="1"/>
  <c r="P381" i="1"/>
  <c r="P382" i="1"/>
  <c r="P383" i="1"/>
  <c r="P384" i="1"/>
  <c r="P385" i="1"/>
  <c r="P386" i="1"/>
  <c r="P387" i="1"/>
  <c r="P388" i="1"/>
  <c r="P389" i="1"/>
  <c r="P390" i="1"/>
  <c r="P391" i="1"/>
  <c r="P392" i="1"/>
  <c r="P393" i="1"/>
  <c r="P394" i="1"/>
  <c r="P395" i="1"/>
  <c r="P396" i="1"/>
  <c r="P397" i="1"/>
  <c r="P398" i="1"/>
  <c r="P399" i="1"/>
  <c r="P400" i="1"/>
  <c r="P401" i="1"/>
  <c r="P402" i="1"/>
  <c r="P403" i="1"/>
  <c r="P404" i="1"/>
  <c r="P405" i="1"/>
  <c r="P406" i="1"/>
  <c r="P407" i="1"/>
  <c r="P408" i="1"/>
  <c r="P409" i="1"/>
  <c r="P410" i="1"/>
  <c r="P411" i="1"/>
  <c r="P412" i="1"/>
  <c r="P413" i="1"/>
  <c r="P414" i="1"/>
  <c r="P415" i="1"/>
  <c r="P416" i="1"/>
  <c r="P417" i="1"/>
  <c r="P418" i="1"/>
  <c r="P419" i="1"/>
  <c r="P420" i="1"/>
  <c r="P421" i="1"/>
  <c r="P422" i="1"/>
  <c r="P423" i="1"/>
  <c r="P424" i="1"/>
  <c r="P425" i="1"/>
  <c r="P426" i="1"/>
  <c r="P427" i="1"/>
  <c r="P428" i="1"/>
  <c r="P429" i="1"/>
  <c r="P430" i="1"/>
  <c r="P431" i="1"/>
  <c r="P432" i="1"/>
  <c r="P433" i="1"/>
  <c r="P434" i="1"/>
  <c r="P435" i="1"/>
  <c r="P436" i="1"/>
  <c r="P437" i="1"/>
  <c r="P438" i="1"/>
  <c r="P439" i="1"/>
  <c r="P440" i="1"/>
  <c r="P441" i="1"/>
  <c r="P442" i="1"/>
  <c r="P443" i="1"/>
  <c r="P444" i="1"/>
  <c r="P445" i="1"/>
  <c r="P446" i="1"/>
  <c r="P447" i="1"/>
  <c r="P448" i="1"/>
  <c r="P449" i="1"/>
  <c r="P450" i="1"/>
  <c r="P451" i="1"/>
  <c r="P452" i="1"/>
  <c r="P453" i="1"/>
  <c r="P454" i="1"/>
  <c r="P455" i="1"/>
  <c r="P456" i="1"/>
  <c r="P457" i="1"/>
  <c r="P458" i="1"/>
  <c r="P459" i="1"/>
  <c r="P460" i="1"/>
  <c r="P461" i="1"/>
  <c r="P462" i="1"/>
  <c r="P463" i="1"/>
  <c r="P464" i="1"/>
  <c r="P465" i="1"/>
  <c r="P466" i="1"/>
  <c r="P467" i="1"/>
  <c r="P468" i="1"/>
  <c r="P469" i="1"/>
  <c r="P470" i="1"/>
  <c r="P471" i="1"/>
  <c r="P472" i="1"/>
  <c r="P473" i="1"/>
  <c r="P474" i="1"/>
  <c r="P475" i="1"/>
  <c r="P476" i="1"/>
  <c r="P477" i="1"/>
  <c r="P478" i="1"/>
  <c r="P479" i="1"/>
  <c r="P480" i="1"/>
  <c r="P481" i="1"/>
  <c r="P482" i="1"/>
  <c r="P483" i="1"/>
  <c r="P484" i="1"/>
  <c r="P485" i="1"/>
  <c r="P486" i="1"/>
  <c r="P487" i="1"/>
  <c r="P488" i="1"/>
  <c r="P489" i="1"/>
  <c r="P490" i="1"/>
  <c r="P491" i="1"/>
  <c r="P492" i="1"/>
  <c r="P493" i="1"/>
  <c r="P494" i="1"/>
  <c r="P495" i="1"/>
  <c r="P496" i="1"/>
  <c r="P497" i="1"/>
  <c r="P498" i="1"/>
  <c r="P499" i="1"/>
  <c r="P500" i="1"/>
  <c r="P501" i="1"/>
  <c r="P502" i="1"/>
  <c r="P503" i="1"/>
  <c r="W348" i="1"/>
  <c r="W349" i="1"/>
  <c r="W350" i="1"/>
  <c r="W351" i="1"/>
  <c r="W352" i="1"/>
  <c r="W353" i="1"/>
  <c r="W354" i="1"/>
  <c r="W355" i="1"/>
  <c r="W356" i="1"/>
  <c r="W357" i="1"/>
  <c r="W358" i="1"/>
  <c r="W359" i="1"/>
  <c r="W360" i="1"/>
  <c r="W361" i="1"/>
  <c r="W362" i="1"/>
  <c r="W363" i="1"/>
  <c r="W364" i="1"/>
  <c r="W365" i="1"/>
  <c r="W366" i="1"/>
  <c r="W367" i="1"/>
  <c r="W368" i="1"/>
  <c r="W369" i="1"/>
  <c r="W370" i="1"/>
  <c r="W371" i="1"/>
  <c r="W372" i="1"/>
  <c r="W373" i="1"/>
  <c r="W374" i="1"/>
  <c r="W375" i="1"/>
  <c r="W376" i="1"/>
  <c r="W377" i="1"/>
  <c r="W378" i="1"/>
  <c r="W379" i="1"/>
  <c r="W380" i="1"/>
  <c r="W381" i="1"/>
  <c r="W382" i="1"/>
  <c r="W383" i="1"/>
  <c r="W384" i="1"/>
  <c r="W385" i="1"/>
  <c r="W386" i="1"/>
  <c r="W387" i="1"/>
  <c r="W388" i="1"/>
  <c r="W389" i="1"/>
  <c r="W390" i="1"/>
  <c r="W391" i="1"/>
  <c r="W392" i="1"/>
  <c r="W393" i="1"/>
  <c r="W394" i="1"/>
  <c r="W395" i="1"/>
  <c r="W396" i="1"/>
  <c r="W397" i="1"/>
  <c r="W398" i="1"/>
  <c r="W399" i="1"/>
  <c r="W400" i="1"/>
  <c r="W401" i="1"/>
  <c r="W402" i="1"/>
  <c r="W403" i="1"/>
  <c r="W404" i="1"/>
  <c r="W405" i="1"/>
  <c r="W406" i="1"/>
  <c r="W407" i="1"/>
  <c r="W408" i="1"/>
  <c r="W409" i="1"/>
  <c r="W410" i="1"/>
  <c r="W411" i="1"/>
  <c r="W412" i="1"/>
  <c r="W413" i="1"/>
  <c r="W414" i="1"/>
  <c r="W415" i="1"/>
  <c r="W416" i="1"/>
  <c r="W417" i="1"/>
  <c r="W418" i="1"/>
  <c r="W419" i="1"/>
  <c r="W420" i="1"/>
  <c r="W421" i="1"/>
  <c r="W422" i="1"/>
  <c r="W423" i="1"/>
  <c r="W424" i="1"/>
  <c r="W425" i="1"/>
  <c r="W426" i="1"/>
  <c r="W427" i="1"/>
  <c r="W428" i="1"/>
  <c r="W429" i="1"/>
  <c r="W430" i="1"/>
  <c r="W431" i="1"/>
  <c r="W432" i="1"/>
  <c r="W433" i="1"/>
  <c r="W434" i="1"/>
  <c r="W435" i="1"/>
  <c r="W436" i="1"/>
  <c r="W437" i="1"/>
  <c r="W438" i="1"/>
  <c r="W439" i="1"/>
  <c r="W440" i="1"/>
  <c r="W441" i="1"/>
  <c r="W442" i="1"/>
  <c r="W443" i="1"/>
  <c r="W444" i="1"/>
  <c r="W445" i="1"/>
  <c r="W446" i="1"/>
  <c r="W447" i="1"/>
  <c r="W448" i="1"/>
  <c r="W449" i="1"/>
  <c r="W450" i="1"/>
  <c r="W451" i="1"/>
  <c r="W452" i="1"/>
  <c r="W453" i="1"/>
  <c r="W454" i="1"/>
  <c r="W455" i="1"/>
  <c r="W456" i="1"/>
  <c r="W457" i="1"/>
  <c r="W458" i="1"/>
  <c r="W459" i="1"/>
  <c r="W460" i="1"/>
  <c r="W461" i="1"/>
  <c r="W462" i="1"/>
  <c r="W463" i="1"/>
  <c r="W464" i="1"/>
  <c r="W465" i="1"/>
  <c r="W466" i="1"/>
  <c r="W467" i="1"/>
  <c r="W468" i="1"/>
  <c r="W469" i="1"/>
  <c r="W470" i="1"/>
  <c r="W471" i="1"/>
  <c r="W472" i="1"/>
  <c r="W473" i="1"/>
  <c r="W474" i="1"/>
  <c r="W475" i="1"/>
  <c r="W476" i="1"/>
  <c r="W477" i="1"/>
  <c r="W478" i="1"/>
  <c r="W479" i="1"/>
  <c r="W480" i="1"/>
  <c r="W481" i="1"/>
  <c r="W482" i="1"/>
  <c r="W483" i="1"/>
  <c r="W484" i="1"/>
  <c r="W485" i="1"/>
  <c r="W486" i="1"/>
  <c r="W487" i="1"/>
  <c r="W488" i="1"/>
  <c r="W489" i="1"/>
  <c r="W490" i="1"/>
  <c r="W491" i="1"/>
  <c r="W492" i="1"/>
  <c r="W493" i="1"/>
  <c r="W494" i="1"/>
  <c r="W495" i="1"/>
  <c r="W496" i="1"/>
  <c r="W497" i="1"/>
  <c r="W498" i="1"/>
  <c r="W499" i="1"/>
  <c r="W500" i="1"/>
  <c r="W501" i="1"/>
  <c r="W502" i="1"/>
  <c r="W503" i="1"/>
  <c r="AL348" i="1"/>
  <c r="AL349" i="1"/>
  <c r="AM349" i="1" s="1"/>
  <c r="AL350" i="1"/>
  <c r="AM350" i="1" s="1"/>
  <c r="AL351" i="1"/>
  <c r="AM351" i="1" s="1"/>
  <c r="AL352" i="1"/>
  <c r="AL353" i="1"/>
  <c r="AM353" i="1" s="1"/>
  <c r="AL354" i="1"/>
  <c r="AM354" i="1" s="1"/>
  <c r="AL355" i="1"/>
  <c r="AL356" i="1"/>
  <c r="AM356" i="1" s="1"/>
  <c r="AL357" i="1"/>
  <c r="AM357" i="1" s="1"/>
  <c r="AL358" i="1"/>
  <c r="AM358" i="1" s="1"/>
  <c r="AL359" i="1"/>
  <c r="AM359" i="1" s="1"/>
  <c r="AL360" i="1"/>
  <c r="AM360" i="1" s="1"/>
  <c r="AL361" i="1"/>
  <c r="AL362" i="1"/>
  <c r="AM362" i="1" s="1"/>
  <c r="AL363" i="1"/>
  <c r="AM363" i="1" s="1"/>
  <c r="AL364" i="1"/>
  <c r="AM364" i="1" s="1"/>
  <c r="AL365" i="1"/>
  <c r="AM365" i="1" s="1"/>
  <c r="AL366" i="1"/>
  <c r="AM366" i="1" s="1"/>
  <c r="AL367" i="1"/>
  <c r="AL368" i="1"/>
  <c r="AM368" i="1" s="1"/>
  <c r="AL369" i="1"/>
  <c r="AM369" i="1" s="1"/>
  <c r="AL370" i="1"/>
  <c r="AM370" i="1" s="1"/>
  <c r="AL371" i="1"/>
  <c r="AM371" i="1" s="1"/>
  <c r="AL372" i="1"/>
  <c r="AM372" i="1" s="1"/>
  <c r="AL373" i="1"/>
  <c r="AL374" i="1"/>
  <c r="AM374" i="1" s="1"/>
  <c r="AL375" i="1"/>
  <c r="AM375" i="1" s="1"/>
  <c r="AL376" i="1"/>
  <c r="AM376" i="1" s="1"/>
  <c r="AL377" i="1"/>
  <c r="AM377" i="1" s="1"/>
  <c r="AL378" i="1"/>
  <c r="AL379" i="1"/>
  <c r="AM379" i="1" s="1"/>
  <c r="AL380" i="1"/>
  <c r="AM380" i="1" s="1"/>
  <c r="AL381" i="1"/>
  <c r="AM381" i="1" s="1"/>
  <c r="AL382" i="1"/>
  <c r="AM382" i="1" s="1"/>
  <c r="AL383" i="1"/>
  <c r="AL384" i="1"/>
  <c r="AM384" i="1" s="1"/>
  <c r="AL385" i="1"/>
  <c r="AM385" i="1" s="1"/>
  <c r="AL386" i="1"/>
  <c r="AM386" i="1" s="1"/>
  <c r="AL387" i="1"/>
  <c r="AL388" i="1"/>
  <c r="AM388" i="1" s="1"/>
  <c r="AL389" i="1"/>
  <c r="AM389" i="1" s="1"/>
  <c r="AL390" i="1"/>
  <c r="AM390" i="1" s="1"/>
  <c r="AL391" i="1"/>
  <c r="AM391" i="1" s="1"/>
  <c r="AL392" i="1"/>
  <c r="AL393" i="1"/>
  <c r="AM393" i="1" s="1"/>
  <c r="AL394" i="1"/>
  <c r="AM394" i="1" s="1"/>
  <c r="AL395" i="1"/>
  <c r="AM395" i="1" s="1"/>
  <c r="AL396" i="1"/>
  <c r="AL397" i="1"/>
  <c r="AM397" i="1" s="1"/>
  <c r="AL398" i="1"/>
  <c r="AM398" i="1" s="1"/>
  <c r="AL399" i="1"/>
  <c r="AM399" i="1" s="1"/>
  <c r="AL400" i="1"/>
  <c r="AM400" i="1" s="1"/>
  <c r="AL401" i="1"/>
  <c r="AL402" i="1"/>
  <c r="AM402" i="1" s="1"/>
  <c r="AL403" i="1"/>
  <c r="AM403" i="1" s="1"/>
  <c r="AL404" i="1"/>
  <c r="AM404" i="1" s="1"/>
  <c r="AL405" i="1"/>
  <c r="AM405" i="1" s="1"/>
  <c r="AL406" i="1"/>
  <c r="AL407" i="1"/>
  <c r="AM407" i="1" s="1"/>
  <c r="AL408" i="1"/>
  <c r="AM408" i="1" s="1"/>
  <c r="AL409" i="1"/>
  <c r="AM409" i="1" s="1"/>
  <c r="AL410" i="1"/>
  <c r="AM410" i="1" s="1"/>
  <c r="AL411" i="1"/>
  <c r="AM411" i="1" s="1"/>
  <c r="AL412" i="1"/>
  <c r="AM412" i="1" s="1"/>
  <c r="AL413" i="1"/>
  <c r="AM413" i="1" s="1"/>
  <c r="AL414" i="1"/>
  <c r="AL415" i="1"/>
  <c r="AM415" i="1" s="1"/>
  <c r="AL416" i="1"/>
  <c r="AM416" i="1" s="1"/>
  <c r="AL417" i="1"/>
  <c r="AM417" i="1" s="1"/>
  <c r="AL418" i="1"/>
  <c r="AM418" i="1" s="1"/>
  <c r="AL419" i="1"/>
  <c r="AM419" i="1" s="1"/>
  <c r="AL420" i="1"/>
  <c r="AL421" i="1"/>
  <c r="AM421" i="1" s="1"/>
  <c r="AL422" i="1"/>
  <c r="AM422" i="1" s="1"/>
  <c r="AL423" i="1"/>
  <c r="AM423" i="1" s="1"/>
  <c r="AL424" i="1"/>
  <c r="AM424" i="1" s="1"/>
  <c r="AL425" i="1"/>
  <c r="AL426" i="1"/>
  <c r="AM426" i="1" s="1"/>
  <c r="AL427" i="1"/>
  <c r="AM427" i="1" s="1"/>
  <c r="AL428" i="1"/>
  <c r="AL429" i="1"/>
  <c r="AM429" i="1" s="1"/>
  <c r="AL430" i="1"/>
  <c r="AM430" i="1" s="1"/>
  <c r="AL431" i="1"/>
  <c r="AM431" i="1" s="1"/>
  <c r="AL432" i="1"/>
  <c r="AM432" i="1" s="1"/>
  <c r="AL433" i="1"/>
  <c r="AL434" i="1"/>
  <c r="AM434" i="1" s="1"/>
  <c r="AL435" i="1"/>
  <c r="AM435" i="1" s="1"/>
  <c r="AL436" i="1"/>
  <c r="AL437" i="1"/>
  <c r="AM437" i="1" s="1"/>
  <c r="AL438" i="1"/>
  <c r="AM438" i="1" s="1"/>
  <c r="AL439" i="1"/>
  <c r="AM439" i="1" s="1"/>
  <c r="AL440" i="1"/>
  <c r="AM440" i="1" s="1"/>
  <c r="AL441" i="1"/>
  <c r="AM441" i="1" s="1"/>
  <c r="AL442" i="1"/>
  <c r="AM442" i="1" s="1"/>
  <c r="AL443" i="1"/>
  <c r="AM443" i="1" s="1"/>
  <c r="AL444" i="1"/>
  <c r="AL445" i="1"/>
  <c r="AM445" i="1" s="1"/>
  <c r="AL446" i="1"/>
  <c r="AM446" i="1" s="1"/>
  <c r="AL447" i="1"/>
  <c r="AL448" i="1"/>
  <c r="AM448" i="1" s="1"/>
  <c r="AL449" i="1"/>
  <c r="AM449" i="1" s="1"/>
  <c r="AL450" i="1"/>
  <c r="AM450" i="1" s="1"/>
  <c r="AL451" i="1"/>
  <c r="AM451" i="1" s="1"/>
  <c r="AL452" i="1"/>
  <c r="AM452" i="1" s="1"/>
  <c r="AL453" i="1"/>
  <c r="AM453" i="1" s="1"/>
  <c r="AL454" i="1"/>
  <c r="AL455" i="1"/>
  <c r="AM455" i="1" s="1"/>
  <c r="AL456" i="1"/>
  <c r="AM456" i="1" s="1"/>
  <c r="AL457" i="1"/>
  <c r="AM457" i="1" s="1"/>
  <c r="AL458" i="1"/>
  <c r="AL459" i="1"/>
  <c r="AM459" i="1" s="1"/>
  <c r="AL460" i="1"/>
  <c r="AM460" i="1" s="1"/>
  <c r="AL461" i="1"/>
  <c r="AM461" i="1" s="1"/>
  <c r="AL462" i="1"/>
  <c r="AM462" i="1" s="1"/>
  <c r="AL463" i="1"/>
  <c r="AM463" i="1" s="1"/>
  <c r="AL464" i="1"/>
  <c r="AM464" i="1" s="1"/>
  <c r="AL465" i="1"/>
  <c r="AL466" i="1"/>
  <c r="AM466" i="1" s="1"/>
  <c r="AL467" i="1"/>
  <c r="AM467" i="1" s="1"/>
  <c r="AL468" i="1"/>
  <c r="AM468" i="1" s="1"/>
  <c r="AL469" i="1"/>
  <c r="AM469" i="1" s="1"/>
  <c r="AL470" i="1"/>
  <c r="AL471" i="1"/>
  <c r="AM471" i="1" s="1"/>
  <c r="AL472" i="1"/>
  <c r="AM472" i="1" s="1"/>
  <c r="AL473" i="1"/>
  <c r="AM473" i="1" s="1"/>
  <c r="AL474" i="1"/>
  <c r="AM474" i="1" s="1"/>
  <c r="AL475" i="1"/>
  <c r="AM475" i="1" s="1"/>
  <c r="AL476" i="1"/>
  <c r="AL477" i="1"/>
  <c r="AM477" i="1" s="1"/>
  <c r="AL478" i="1"/>
  <c r="AM478" i="1" s="1"/>
  <c r="AL479" i="1"/>
  <c r="AM479" i="1" s="1"/>
  <c r="AL480" i="1"/>
  <c r="AL481" i="1"/>
  <c r="AM481" i="1" s="1"/>
  <c r="AL482" i="1"/>
  <c r="AM482" i="1" s="1"/>
  <c r="AL483" i="1"/>
  <c r="AM483" i="1" s="1"/>
  <c r="AL484" i="1"/>
  <c r="AM484" i="1" s="1"/>
  <c r="AL485" i="1"/>
  <c r="AM485" i="1" s="1"/>
  <c r="AL486" i="1"/>
  <c r="AM486" i="1" s="1"/>
  <c r="AL487" i="1"/>
  <c r="AM487" i="1" s="1"/>
  <c r="AL488" i="1"/>
  <c r="AM488" i="1" s="1"/>
  <c r="AL489" i="1"/>
  <c r="AM489" i="1" s="1"/>
  <c r="AL490" i="1"/>
  <c r="AM490" i="1" s="1"/>
  <c r="AL491" i="1"/>
  <c r="AL492" i="1"/>
  <c r="AM492" i="1" s="1"/>
  <c r="AL493" i="1"/>
  <c r="AM493" i="1" s="1"/>
  <c r="AL494" i="1"/>
  <c r="AM494" i="1" s="1"/>
  <c r="AL495" i="1"/>
  <c r="AM495" i="1" s="1"/>
  <c r="AL496" i="1"/>
  <c r="AM496" i="1" s="1"/>
  <c r="AL497" i="1"/>
  <c r="AM497" i="1" s="1"/>
  <c r="AL498" i="1"/>
  <c r="AM498" i="1" s="1"/>
  <c r="AL499" i="1"/>
  <c r="AL500" i="1"/>
  <c r="AM500" i="1" s="1"/>
  <c r="AL501" i="1"/>
  <c r="AM501" i="1" s="1"/>
  <c r="AL502" i="1"/>
  <c r="AM502" i="1" s="1"/>
  <c r="AL503" i="1"/>
  <c r="AM503" i="1" s="1"/>
  <c r="AO348" i="1"/>
  <c r="AO349" i="1"/>
  <c r="AO350" i="1"/>
  <c r="AO351" i="1"/>
  <c r="AO353" i="1"/>
  <c r="AO354" i="1"/>
  <c r="AO356" i="1"/>
  <c r="AO357" i="1"/>
  <c r="AO358" i="1"/>
  <c r="AO359" i="1"/>
  <c r="AO360" i="1"/>
  <c r="AO362" i="1"/>
  <c r="AO363" i="1"/>
  <c r="AO364" i="1"/>
  <c r="AO365" i="1"/>
  <c r="AO366" i="1"/>
  <c r="AO368" i="1"/>
  <c r="AO369" i="1"/>
  <c r="AO370" i="1"/>
  <c r="AO371" i="1"/>
  <c r="AO372" i="1"/>
  <c r="AO374" i="1"/>
  <c r="AO375" i="1"/>
  <c r="AO376" i="1"/>
  <c r="AO379" i="1"/>
  <c r="AO380" i="1"/>
  <c r="AO381" i="1"/>
  <c r="AO382" i="1"/>
  <c r="AO384" i="1"/>
  <c r="AO385" i="1"/>
  <c r="AO386" i="1"/>
  <c r="AO388" i="1"/>
  <c r="AO389" i="1"/>
  <c r="AO390" i="1"/>
  <c r="AO391" i="1"/>
  <c r="AO393" i="1"/>
  <c r="AO394" i="1"/>
  <c r="AO397" i="1"/>
  <c r="AO398" i="1"/>
  <c r="AO399" i="1"/>
  <c r="AO400" i="1"/>
  <c r="AO402" i="1"/>
  <c r="AO403" i="1"/>
  <c r="AO404" i="1"/>
  <c r="AO405" i="1"/>
  <c r="AO407" i="1"/>
  <c r="AO408" i="1"/>
  <c r="AO409" i="1"/>
  <c r="AO410" i="1"/>
  <c r="AO411" i="1"/>
  <c r="AO412" i="1"/>
  <c r="AO413" i="1"/>
  <c r="AO415" i="1"/>
  <c r="AO416" i="1"/>
  <c r="AO417" i="1"/>
  <c r="AO418" i="1"/>
  <c r="AO421" i="1"/>
  <c r="AO422" i="1"/>
  <c r="AO423" i="1"/>
  <c r="AO424" i="1"/>
  <c r="AO426" i="1"/>
  <c r="AO427" i="1"/>
  <c r="AO429" i="1"/>
  <c r="AO430" i="1"/>
  <c r="AO431" i="1"/>
  <c r="AO432" i="1"/>
  <c r="AO434" i="1"/>
  <c r="AO435" i="1"/>
  <c r="AO437" i="1"/>
  <c r="AO438" i="1"/>
  <c r="AO439" i="1"/>
  <c r="AO440" i="1"/>
  <c r="AO441" i="1"/>
  <c r="AO442" i="1"/>
  <c r="AO443" i="1"/>
  <c r="AO444" i="1"/>
  <c r="AO445" i="1"/>
  <c r="AO446" i="1"/>
  <c r="AO448" i="1"/>
  <c r="AO449" i="1"/>
  <c r="AO450" i="1"/>
  <c r="AO451" i="1"/>
  <c r="AO452" i="1"/>
  <c r="AO453" i="1"/>
  <c r="AO455" i="1"/>
  <c r="AO456" i="1"/>
  <c r="AO457" i="1"/>
  <c r="AO459" i="1"/>
  <c r="AO460" i="1"/>
  <c r="AO461" i="1"/>
  <c r="AO463" i="1"/>
  <c r="AO464" i="1"/>
  <c r="AO466" i="1"/>
  <c r="AO467" i="1"/>
  <c r="AO468" i="1"/>
  <c r="AO469" i="1"/>
  <c r="AO471" i="1"/>
  <c r="AO472" i="1"/>
  <c r="AO473" i="1"/>
  <c r="AO474" i="1"/>
  <c r="AO475" i="1"/>
  <c r="AO476" i="1"/>
  <c r="AO477" i="1"/>
  <c r="AO478" i="1"/>
  <c r="AO479" i="1"/>
  <c r="AO481" i="1"/>
  <c r="AO482" i="1"/>
  <c r="AO483" i="1"/>
  <c r="AO484" i="1"/>
  <c r="AO485" i="1"/>
  <c r="AO486" i="1"/>
  <c r="AO487" i="1"/>
  <c r="AO488" i="1"/>
  <c r="AO489" i="1"/>
  <c r="AO492" i="1"/>
  <c r="AO493" i="1"/>
  <c r="AO494" i="1"/>
  <c r="AO495" i="1"/>
  <c r="AO496" i="1"/>
  <c r="AO497" i="1"/>
  <c r="AO498" i="1"/>
  <c r="AO500" i="1"/>
  <c r="AO501" i="1"/>
  <c r="AO502" i="1"/>
  <c r="AO503" i="1"/>
  <c r="AO377" i="1" l="1"/>
  <c r="AO395" i="1"/>
  <c r="Q363" i="1"/>
  <c r="S371" i="1"/>
  <c r="M468" i="1"/>
  <c r="R396" i="1"/>
  <c r="M363" i="1"/>
  <c r="R428" i="1"/>
  <c r="M395" i="1"/>
  <c r="S396" i="1"/>
  <c r="Q428" i="1"/>
  <c r="M420" i="1"/>
  <c r="Q396" i="1"/>
  <c r="S460" i="1"/>
  <c r="S348" i="1"/>
  <c r="R364" i="1"/>
  <c r="Q364" i="1"/>
  <c r="S428" i="1"/>
  <c r="R452" i="1"/>
  <c r="Q460" i="1"/>
  <c r="M364" i="1"/>
  <c r="S452" i="1"/>
  <c r="S388" i="1"/>
  <c r="R500" i="1"/>
  <c r="R420" i="1"/>
  <c r="Q452" i="1"/>
  <c r="M444" i="1"/>
  <c r="M412" i="1"/>
  <c r="M388" i="1"/>
  <c r="S468" i="1"/>
  <c r="S436" i="1"/>
  <c r="S404" i="1"/>
  <c r="S372" i="1"/>
  <c r="S356" i="1"/>
  <c r="R460" i="1"/>
  <c r="R435" i="1"/>
  <c r="R404" i="1"/>
  <c r="R372" i="1"/>
  <c r="Q476" i="1"/>
  <c r="Q436" i="1"/>
  <c r="Q404" i="1"/>
  <c r="Q372" i="1"/>
  <c r="Q348" i="1"/>
  <c r="M355" i="1"/>
  <c r="S420" i="1"/>
  <c r="R444" i="1"/>
  <c r="R388" i="1"/>
  <c r="R356" i="1"/>
  <c r="S484" i="1"/>
  <c r="S444" i="1"/>
  <c r="S412" i="1"/>
  <c r="S380" i="1"/>
  <c r="S363" i="1"/>
  <c r="R484" i="1"/>
  <c r="R436" i="1"/>
  <c r="R412" i="1"/>
  <c r="R380" i="1"/>
  <c r="Q380" i="1"/>
  <c r="Q356" i="1"/>
  <c r="Q492" i="1"/>
  <c r="M371" i="1"/>
  <c r="R403" i="1"/>
  <c r="Q371" i="1"/>
  <c r="S411" i="1"/>
  <c r="R443" i="1"/>
  <c r="S427" i="1"/>
  <c r="Q403" i="1"/>
  <c r="S419" i="1"/>
  <c r="R411" i="1"/>
  <c r="Q435" i="1"/>
  <c r="S451" i="1"/>
  <c r="S500" i="1"/>
  <c r="S492" i="1"/>
  <c r="S476" i="1"/>
  <c r="R492" i="1"/>
  <c r="Q484" i="1"/>
  <c r="R476" i="1"/>
  <c r="Q468" i="1"/>
  <c r="Q419" i="1"/>
  <c r="R483" i="1"/>
  <c r="S450" i="1"/>
  <c r="S491" i="1"/>
  <c r="S402" i="1"/>
  <c r="R459" i="1"/>
  <c r="Q458" i="1"/>
  <c r="M354" i="1"/>
  <c r="S448" i="1"/>
  <c r="M352" i="1"/>
  <c r="R368" i="1"/>
  <c r="S426" i="1"/>
  <c r="M402" i="1"/>
  <c r="R474" i="1"/>
  <c r="Q490" i="1"/>
  <c r="S474" i="1"/>
  <c r="S498" i="1"/>
  <c r="S394" i="1"/>
  <c r="R466" i="1"/>
  <c r="R442" i="1"/>
  <c r="R362" i="1"/>
  <c r="Q482" i="1"/>
  <c r="Q450" i="1"/>
  <c r="Q370" i="1"/>
  <c r="M370" i="1"/>
  <c r="Q402" i="1"/>
  <c r="S466" i="1"/>
  <c r="S386" i="1"/>
  <c r="S362" i="1"/>
  <c r="R410" i="1"/>
  <c r="R354" i="1"/>
  <c r="Q474" i="1"/>
  <c r="Q442" i="1"/>
  <c r="Q418" i="1"/>
  <c r="S442" i="1"/>
  <c r="S418" i="1"/>
  <c r="R490" i="1"/>
  <c r="M394" i="1"/>
  <c r="S490" i="1"/>
  <c r="S458" i="1"/>
  <c r="S434" i="1"/>
  <c r="R458" i="1"/>
  <c r="R434" i="1"/>
  <c r="R378" i="1"/>
  <c r="Q386" i="1"/>
  <c r="Q362" i="1"/>
  <c r="M386" i="1"/>
  <c r="S370" i="1"/>
  <c r="R418" i="1"/>
  <c r="Q394" i="1"/>
  <c r="S410" i="1"/>
  <c r="S378" i="1"/>
  <c r="S354" i="1"/>
  <c r="R482" i="1"/>
  <c r="Q498" i="1"/>
  <c r="Q466" i="1"/>
  <c r="Q410" i="1"/>
  <c r="R498" i="1"/>
  <c r="Q426" i="1"/>
  <c r="M426" i="1"/>
  <c r="S482" i="1"/>
  <c r="R450" i="1"/>
  <c r="Q434" i="1"/>
  <c r="Q378" i="1"/>
  <c r="S373" i="1"/>
  <c r="Q389" i="1"/>
  <c r="S349" i="1"/>
  <c r="Q453" i="1"/>
  <c r="S462" i="1"/>
  <c r="M500" i="1"/>
  <c r="S368" i="1"/>
  <c r="Q360" i="1"/>
  <c r="S483" i="1"/>
  <c r="S384" i="1"/>
  <c r="R499" i="1"/>
  <c r="R475" i="1"/>
  <c r="R451" i="1"/>
  <c r="Q451" i="1"/>
  <c r="S499" i="1"/>
  <c r="R408" i="1"/>
  <c r="Q400" i="1"/>
  <c r="S488" i="1"/>
  <c r="R448" i="1"/>
  <c r="R424" i="1"/>
  <c r="S376" i="1"/>
  <c r="R480" i="1"/>
  <c r="R383" i="1"/>
  <c r="Q432" i="1"/>
  <c r="M416" i="1"/>
  <c r="R384" i="1"/>
  <c r="Q472" i="1"/>
  <c r="S416" i="1"/>
  <c r="S360" i="1"/>
  <c r="R456" i="1"/>
  <c r="R416" i="1"/>
  <c r="R360" i="1"/>
  <c r="Q448" i="1"/>
  <c r="Q392" i="1"/>
  <c r="S400" i="1"/>
  <c r="Q496" i="1"/>
  <c r="S496" i="1"/>
  <c r="S432" i="1"/>
  <c r="S392" i="1"/>
  <c r="R415" i="1"/>
  <c r="R400" i="1"/>
  <c r="Q488" i="1"/>
  <c r="Q408" i="1"/>
  <c r="Q376" i="1"/>
  <c r="R376" i="1"/>
  <c r="Q424" i="1"/>
  <c r="M440" i="1"/>
  <c r="S472" i="1"/>
  <c r="S352" i="1"/>
  <c r="R488" i="1"/>
  <c r="R352" i="1"/>
  <c r="Q456" i="1"/>
  <c r="Q440" i="1"/>
  <c r="AM348" i="1"/>
  <c r="S467" i="1"/>
  <c r="S395" i="1"/>
  <c r="S379" i="1"/>
  <c r="S366" i="1"/>
  <c r="R491" i="1"/>
  <c r="R478" i="1"/>
  <c r="R427" i="1"/>
  <c r="R414" i="1"/>
  <c r="R355" i="1"/>
  <c r="Q467" i="1"/>
  <c r="Q387" i="1"/>
  <c r="M419" i="1"/>
  <c r="S443" i="1"/>
  <c r="R502" i="1"/>
  <c r="R487" i="1"/>
  <c r="R439" i="1"/>
  <c r="R395" i="1"/>
  <c r="R379" i="1"/>
  <c r="R351" i="1"/>
  <c r="Q443" i="1"/>
  <c r="Q427" i="1"/>
  <c r="Q411" i="1"/>
  <c r="Q379" i="1"/>
  <c r="S475" i="1"/>
  <c r="S459" i="1"/>
  <c r="S403" i="1"/>
  <c r="S387" i="1"/>
  <c r="R471" i="1"/>
  <c r="M432" i="1"/>
  <c r="R407" i="1"/>
  <c r="S435" i="1"/>
  <c r="S355" i="1"/>
  <c r="R467" i="1"/>
  <c r="R387" i="1"/>
  <c r="R375" i="1"/>
  <c r="R446" i="1"/>
  <c r="R406" i="1"/>
  <c r="M366" i="1"/>
  <c r="R390" i="1"/>
  <c r="R366" i="1"/>
  <c r="M470" i="1"/>
  <c r="R470" i="1"/>
  <c r="R374" i="1"/>
  <c r="R350" i="1"/>
  <c r="M398" i="1"/>
  <c r="S398" i="1"/>
  <c r="R438" i="1"/>
  <c r="R398" i="1"/>
  <c r="S430" i="1"/>
  <c r="R358" i="1"/>
  <c r="AM428" i="1"/>
  <c r="AM480" i="1"/>
  <c r="R479" i="1"/>
  <c r="R447" i="1"/>
  <c r="S456" i="1"/>
  <c r="S440" i="1"/>
  <c r="R496" i="1"/>
  <c r="R486" i="1"/>
  <c r="R455" i="1"/>
  <c r="R423" i="1"/>
  <c r="R392" i="1"/>
  <c r="R382" i="1"/>
  <c r="M408" i="1"/>
  <c r="AO428" i="1"/>
  <c r="S424" i="1"/>
  <c r="R495" i="1"/>
  <c r="R464" i="1"/>
  <c r="R454" i="1"/>
  <c r="R422" i="1"/>
  <c r="R391" i="1"/>
  <c r="R359" i="1"/>
  <c r="Q483" i="1"/>
  <c r="Q464" i="1"/>
  <c r="R494" i="1"/>
  <c r="R473" i="1"/>
  <c r="R463" i="1"/>
  <c r="R431" i="1"/>
  <c r="AO480" i="1"/>
  <c r="AM499" i="1"/>
  <c r="AM387" i="1"/>
  <c r="S494" i="1"/>
  <c r="S480" i="1"/>
  <c r="S464" i="1"/>
  <c r="R503" i="1"/>
  <c r="R472" i="1"/>
  <c r="R462" i="1"/>
  <c r="R430" i="1"/>
  <c r="R409" i="1"/>
  <c r="R399" i="1"/>
  <c r="R367" i="1"/>
  <c r="Q459" i="1"/>
  <c r="Q384" i="1"/>
  <c r="Q368" i="1"/>
  <c r="R481" i="1"/>
  <c r="R417" i="1"/>
  <c r="R353" i="1"/>
  <c r="AM447" i="1"/>
  <c r="AM367" i="1"/>
  <c r="R489" i="1"/>
  <c r="R425" i="1"/>
  <c r="R361" i="1"/>
  <c r="AM470" i="1"/>
  <c r="AM406" i="1"/>
  <c r="R497" i="1"/>
  <c r="R433" i="1"/>
  <c r="R369" i="1"/>
  <c r="R441" i="1"/>
  <c r="R377" i="1"/>
  <c r="AM436" i="1"/>
  <c r="AM420" i="1"/>
  <c r="AM396" i="1"/>
  <c r="R449" i="1"/>
  <c r="R385" i="1"/>
  <c r="R457" i="1"/>
  <c r="R393" i="1"/>
  <c r="AM355" i="1"/>
  <c r="AM458" i="1"/>
  <c r="AM378" i="1"/>
  <c r="R465" i="1"/>
  <c r="R401" i="1"/>
  <c r="Q499" i="1"/>
  <c r="AO491" i="1"/>
  <c r="AO419" i="1"/>
  <c r="Q445" i="1"/>
  <c r="Q381" i="1"/>
  <c r="M453" i="1"/>
  <c r="M437" i="1"/>
  <c r="M397" i="1"/>
  <c r="S437" i="1"/>
  <c r="S413" i="1"/>
  <c r="S389" i="1"/>
  <c r="S365" i="1"/>
  <c r="Q485" i="1"/>
  <c r="Q405" i="1"/>
  <c r="M485" i="1"/>
  <c r="M469" i="1"/>
  <c r="M421" i="1"/>
  <c r="S485" i="1"/>
  <c r="S461" i="1"/>
  <c r="Q429" i="1"/>
  <c r="Q365" i="1"/>
  <c r="M501" i="1"/>
  <c r="M405" i="1"/>
  <c r="M381" i="1"/>
  <c r="M357" i="1"/>
  <c r="S469" i="1"/>
  <c r="S445" i="1"/>
  <c r="S421" i="1"/>
  <c r="S397" i="1"/>
  <c r="Q413" i="1"/>
  <c r="Q349" i="1"/>
  <c r="M480" i="1"/>
  <c r="M461" i="1"/>
  <c r="M445" i="1"/>
  <c r="M429" i="1"/>
  <c r="S493" i="1"/>
  <c r="Q493" i="1"/>
  <c r="Q477" i="1"/>
  <c r="Q437" i="1"/>
  <c r="Q373" i="1"/>
  <c r="M413" i="1"/>
  <c r="M389" i="1"/>
  <c r="M365" i="1"/>
  <c r="S405" i="1"/>
  <c r="S381" i="1"/>
  <c r="S357" i="1"/>
  <c r="Q461" i="1"/>
  <c r="Q397" i="1"/>
  <c r="M493" i="1"/>
  <c r="M475" i="1"/>
  <c r="S501" i="1"/>
  <c r="S477" i="1"/>
  <c r="S453" i="1"/>
  <c r="S429" i="1"/>
  <c r="R501" i="1"/>
  <c r="R477" i="1"/>
  <c r="R469" i="1"/>
  <c r="R421" i="1"/>
  <c r="R373" i="1"/>
  <c r="R357" i="1"/>
  <c r="R349" i="1"/>
  <c r="AO462" i="1"/>
  <c r="AM392" i="1"/>
  <c r="AM401" i="1"/>
  <c r="AM444" i="1"/>
  <c r="AM465" i="1"/>
  <c r="AM433" i="1"/>
  <c r="AM425" i="1"/>
  <c r="AM361" i="1"/>
  <c r="AM352" i="1"/>
  <c r="AO465" i="1"/>
  <c r="AO401" i="1"/>
  <c r="AM383" i="1"/>
  <c r="AO392" i="1"/>
  <c r="AM454" i="1"/>
  <c r="AM414" i="1"/>
  <c r="AM373" i="1"/>
  <c r="AM476" i="1"/>
  <c r="AM491" i="1"/>
  <c r="Q486" i="1"/>
  <c r="Q454" i="1"/>
  <c r="Q422" i="1"/>
  <c r="Q390" i="1"/>
  <c r="Q358" i="1"/>
  <c r="M446" i="1"/>
  <c r="M422" i="1"/>
  <c r="Q494" i="1"/>
  <c r="Q462" i="1"/>
  <c r="Q430" i="1"/>
  <c r="S470" i="1"/>
  <c r="S406" i="1"/>
  <c r="S374" i="1"/>
  <c r="M454" i="1"/>
  <c r="M406" i="1"/>
  <c r="M374" i="1"/>
  <c r="Q502" i="1"/>
  <c r="Q438" i="1"/>
  <c r="M478" i="1"/>
  <c r="S502" i="1"/>
  <c r="S438" i="1"/>
  <c r="S478" i="1"/>
  <c r="S446" i="1"/>
  <c r="S414" i="1"/>
  <c r="S382" i="1"/>
  <c r="S350" i="1"/>
  <c r="Q491" i="1"/>
  <c r="M414" i="1"/>
  <c r="M382" i="1"/>
  <c r="M350" i="1"/>
  <c r="S486" i="1"/>
  <c r="S390" i="1"/>
  <c r="S358" i="1"/>
  <c r="S497" i="1"/>
  <c r="S489" i="1"/>
  <c r="S481" i="1"/>
  <c r="S473" i="1"/>
  <c r="S465" i="1"/>
  <c r="S457" i="1"/>
  <c r="S449" i="1"/>
  <c r="S441" i="1"/>
  <c r="S433" i="1"/>
  <c r="S425" i="1"/>
  <c r="S417" i="1"/>
  <c r="S409" i="1"/>
  <c r="S401" i="1"/>
  <c r="S393" i="1"/>
  <c r="S385" i="1"/>
  <c r="S377" i="1"/>
  <c r="S369" i="1"/>
  <c r="S361" i="1"/>
  <c r="S353" i="1"/>
  <c r="Q497" i="1"/>
  <c r="Q489" i="1"/>
  <c r="Q481" i="1"/>
  <c r="Q473" i="1"/>
  <c r="Q465" i="1"/>
  <c r="Q457" i="1"/>
  <c r="Q449" i="1"/>
  <c r="Q441" i="1"/>
  <c r="Q433" i="1"/>
  <c r="Q425" i="1"/>
  <c r="Q417" i="1"/>
  <c r="Q409" i="1"/>
  <c r="Q401" i="1"/>
  <c r="Q393" i="1"/>
  <c r="Q385" i="1"/>
  <c r="Q377" i="1"/>
  <c r="Q369" i="1"/>
  <c r="Q361" i="1"/>
  <c r="Q353" i="1"/>
  <c r="S503" i="1"/>
  <c r="S495" i="1"/>
  <c r="S487" i="1"/>
  <c r="S479" i="1"/>
  <c r="S471" i="1"/>
  <c r="S463" i="1"/>
  <c r="S455" i="1"/>
  <c r="S447" i="1"/>
  <c r="S439" i="1"/>
  <c r="S431" i="1"/>
  <c r="S423" i="1"/>
  <c r="S415" i="1"/>
  <c r="S407" i="1"/>
  <c r="S399" i="1"/>
  <c r="S391" i="1"/>
  <c r="S383" i="1"/>
  <c r="S375" i="1"/>
  <c r="S367" i="1"/>
  <c r="S359" i="1"/>
  <c r="S351" i="1"/>
  <c r="Q503" i="1"/>
  <c r="Q495" i="1"/>
  <c r="Q487" i="1"/>
  <c r="Q479" i="1"/>
  <c r="Q471" i="1"/>
  <c r="Q463" i="1"/>
  <c r="Q455" i="1"/>
  <c r="Q447" i="1"/>
  <c r="Q439" i="1"/>
  <c r="Q431" i="1"/>
  <c r="Q423" i="1"/>
  <c r="Q415" i="1"/>
  <c r="Q407" i="1"/>
  <c r="Q399" i="1"/>
  <c r="Q391" i="1"/>
  <c r="Q383" i="1"/>
  <c r="Q375" i="1"/>
  <c r="Q367" i="1"/>
  <c r="Q359" i="1"/>
  <c r="Q351" i="1"/>
  <c r="AN695" i="1" l="1"/>
  <c r="AN693" i="1"/>
  <c r="AN691" i="1"/>
  <c r="AN688" i="1"/>
  <c r="AN687" i="1"/>
  <c r="AN684" i="1"/>
  <c r="AN683" i="1"/>
  <c r="AN681" i="1"/>
  <c r="AN678" i="1"/>
  <c r="AN677" i="1"/>
  <c r="AN676" i="1"/>
  <c r="AN675" i="1"/>
  <c r="AN674" i="1"/>
  <c r="AN673" i="1"/>
  <c r="AN671" i="1"/>
  <c r="AN670" i="1"/>
  <c r="AN666" i="1"/>
  <c r="AN664" i="1"/>
  <c r="AN662" i="1"/>
  <c r="AN661" i="1"/>
  <c r="AN659" i="1"/>
  <c r="AN655" i="1"/>
  <c r="AN654" i="1"/>
  <c r="AN653" i="1"/>
  <c r="AN651" i="1"/>
  <c r="AN650" i="1"/>
  <c r="AN649" i="1"/>
  <c r="AN648" i="1"/>
  <c r="AN647" i="1"/>
  <c r="AN646" i="1"/>
  <c r="AN616" i="1"/>
  <c r="AN613" i="1"/>
  <c r="AN609" i="1"/>
  <c r="AN603" i="1"/>
  <c r="AN599" i="1"/>
  <c r="AN598" i="1"/>
  <c r="AN595" i="1"/>
  <c r="AN593" i="1"/>
  <c r="AN592" i="1"/>
  <c r="AN590" i="1"/>
  <c r="AN581" i="1"/>
  <c r="AN580" i="1"/>
  <c r="AN576" i="1"/>
  <c r="AN575" i="1"/>
  <c r="AN573" i="1"/>
  <c r="AN570" i="1"/>
  <c r="AN568" i="1"/>
  <c r="AN564" i="1"/>
  <c r="AN562" i="1"/>
  <c r="AN560" i="1"/>
  <c r="AN557" i="1"/>
  <c r="AN556" i="1"/>
  <c r="AN553" i="1"/>
  <c r="AN552" i="1"/>
  <c r="AN551" i="1"/>
  <c r="AN549" i="1"/>
  <c r="AN547" i="1"/>
  <c r="AN545" i="1"/>
  <c r="AN543" i="1"/>
  <c r="AN542" i="1"/>
  <c r="AN541" i="1"/>
  <c r="AN540" i="1"/>
  <c r="AN538" i="1"/>
  <c r="AN536" i="1"/>
  <c r="AN535" i="1"/>
  <c r="AN534" i="1"/>
  <c r="AN533" i="1"/>
  <c r="AN521" i="1"/>
  <c r="Y699" i="1"/>
  <c r="Y698" i="1"/>
  <c r="Y697" i="1"/>
  <c r="Y696" i="1"/>
  <c r="AO696" i="1" s="1"/>
  <c r="Y695" i="1"/>
  <c r="Y694" i="1"/>
  <c r="Y693" i="1"/>
  <c r="Y692" i="1"/>
  <c r="Y691" i="1"/>
  <c r="Y690" i="1"/>
  <c r="Y689" i="1"/>
  <c r="Y688" i="1"/>
  <c r="Y687" i="1"/>
  <c r="Y686" i="1"/>
  <c r="Y685" i="1"/>
  <c r="Y684" i="1"/>
  <c r="Y683" i="1"/>
  <c r="Y682" i="1"/>
  <c r="Y681" i="1"/>
  <c r="Y680" i="1"/>
  <c r="AO680" i="1" s="1"/>
  <c r="Y679" i="1"/>
  <c r="Y676" i="1"/>
  <c r="Y675" i="1"/>
  <c r="Y674" i="1"/>
  <c r="AO674" i="1" s="1"/>
  <c r="Y673" i="1"/>
  <c r="Y672" i="1"/>
  <c r="Y671" i="1"/>
  <c r="Y670" i="1"/>
  <c r="Y669" i="1"/>
  <c r="Y668" i="1"/>
  <c r="Y667" i="1"/>
  <c r="Y666" i="1"/>
  <c r="Y665" i="1"/>
  <c r="Y664" i="1"/>
  <c r="Y663" i="1"/>
  <c r="Y662" i="1"/>
  <c r="Y661" i="1"/>
  <c r="Y660" i="1"/>
  <c r="Y659" i="1"/>
  <c r="Y658" i="1"/>
  <c r="AO658" i="1" s="1"/>
  <c r="Y657" i="1"/>
  <c r="Y656" i="1"/>
  <c r="Y655" i="1"/>
  <c r="Y654" i="1"/>
  <c r="Y653" i="1"/>
  <c r="Y652" i="1"/>
  <c r="Y651" i="1"/>
  <c r="Y650" i="1"/>
  <c r="AO650" i="1" s="1"/>
  <c r="Y649" i="1"/>
  <c r="Y648" i="1"/>
  <c r="Y647" i="1"/>
  <c r="Y646" i="1"/>
  <c r="AO646" i="1" s="1"/>
  <c r="Y645" i="1"/>
  <c r="Y644" i="1"/>
  <c r="Y643" i="1"/>
  <c r="Y642" i="1"/>
  <c r="AO642" i="1" s="1"/>
  <c r="Y641" i="1"/>
  <c r="Y635" i="1"/>
  <c r="Y633" i="1"/>
  <c r="Y632" i="1"/>
  <c r="AO632" i="1" s="1"/>
  <c r="Y631" i="1"/>
  <c r="Y630" i="1"/>
  <c r="Y629" i="1"/>
  <c r="Y628" i="1"/>
  <c r="AO628" i="1" s="1"/>
  <c r="Y627" i="1"/>
  <c r="Y626" i="1"/>
  <c r="Y625" i="1"/>
  <c r="Y624" i="1"/>
  <c r="AO624" i="1" s="1"/>
  <c r="Y623" i="1"/>
  <c r="Y622" i="1"/>
  <c r="Y621" i="1"/>
  <c r="Y620" i="1"/>
  <c r="Y619" i="1"/>
  <c r="Y617" i="1"/>
  <c r="Y616" i="1"/>
  <c r="Y615" i="1"/>
  <c r="AO615" i="1" s="1"/>
  <c r="Y614" i="1"/>
  <c r="Y613" i="1"/>
  <c r="Y612" i="1"/>
  <c r="Y611" i="1"/>
  <c r="AO611" i="1" s="1"/>
  <c r="Y610" i="1"/>
  <c r="Y609" i="1"/>
  <c r="Y608" i="1"/>
  <c r="Y607" i="1"/>
  <c r="AO607" i="1" s="1"/>
  <c r="Y605" i="1"/>
  <c r="Y604" i="1"/>
  <c r="Y603" i="1"/>
  <c r="Y602" i="1"/>
  <c r="AO602" i="1" s="1"/>
  <c r="Y601" i="1"/>
  <c r="Y600" i="1"/>
  <c r="Y597" i="1"/>
  <c r="Y596" i="1"/>
  <c r="AO596" i="1" s="1"/>
  <c r="Y594" i="1"/>
  <c r="Y593" i="1"/>
  <c r="Y592" i="1"/>
  <c r="Y591" i="1"/>
  <c r="AO591" i="1" s="1"/>
  <c r="Y590" i="1"/>
  <c r="Y589" i="1"/>
  <c r="Y582" i="1"/>
  <c r="Y581" i="1"/>
  <c r="AO581" i="1" s="1"/>
  <c r="Y580" i="1"/>
  <c r="Y579" i="1"/>
  <c r="Y578" i="1"/>
  <c r="Y577" i="1"/>
  <c r="AO577" i="1" s="1"/>
  <c r="Y576" i="1"/>
  <c r="Y575" i="1"/>
  <c r="Y574" i="1"/>
  <c r="Y573" i="1"/>
  <c r="AO573" i="1" s="1"/>
  <c r="Y572" i="1"/>
  <c r="Y571" i="1"/>
  <c r="Y570" i="1"/>
  <c r="Y569" i="1"/>
  <c r="AO569" i="1" s="1"/>
  <c r="Y568" i="1"/>
  <c r="Y567" i="1"/>
  <c r="Y566" i="1"/>
  <c r="Y564" i="1"/>
  <c r="Y563" i="1"/>
  <c r="Y562" i="1"/>
  <c r="Y561" i="1"/>
  <c r="Y560" i="1"/>
  <c r="AO560" i="1" s="1"/>
  <c r="Y559" i="1"/>
  <c r="Y558" i="1"/>
  <c r="Y557" i="1"/>
  <c r="Y556" i="1"/>
  <c r="Y555" i="1"/>
  <c r="Y554" i="1"/>
  <c r="Y553" i="1"/>
  <c r="Y552" i="1"/>
  <c r="AO552" i="1" s="1"/>
  <c r="Y551" i="1"/>
  <c r="Y550" i="1"/>
  <c r="Y549" i="1"/>
  <c r="Y547" i="1"/>
  <c r="AO547" i="1" s="1"/>
  <c r="Y545" i="1"/>
  <c r="Y544" i="1"/>
  <c r="Y543" i="1"/>
  <c r="Y542" i="1"/>
  <c r="Y541" i="1"/>
  <c r="Y540" i="1"/>
  <c r="Y539" i="1"/>
  <c r="Y538" i="1"/>
  <c r="AO538" i="1" s="1"/>
  <c r="Y537" i="1"/>
  <c r="Y536" i="1"/>
  <c r="Y535" i="1"/>
  <c r="Y534" i="1"/>
  <c r="Y533" i="1"/>
  <c r="Y532" i="1"/>
  <c r="Y531" i="1"/>
  <c r="Y530" i="1"/>
  <c r="AO530" i="1" s="1"/>
  <c r="Y529" i="1"/>
  <c r="Y528" i="1"/>
  <c r="Y527" i="1"/>
  <c r="Y526" i="1"/>
  <c r="Y524" i="1"/>
  <c r="Y523" i="1"/>
  <c r="Y522" i="1"/>
  <c r="Y521" i="1"/>
  <c r="AO521" i="1" s="1"/>
  <c r="Y520" i="1"/>
  <c r="Y519" i="1"/>
  <c r="Y518" i="1"/>
  <c r="Y517" i="1"/>
  <c r="AO517" i="1" s="1"/>
  <c r="Y516" i="1"/>
  <c r="Y515" i="1"/>
  <c r="Y514" i="1"/>
  <c r="Y513" i="1"/>
  <c r="AO513" i="1" s="1"/>
  <c r="Y512" i="1"/>
  <c r="Y511" i="1"/>
  <c r="Y510" i="1"/>
  <c r="Y509" i="1"/>
  <c r="Y508" i="1"/>
  <c r="Y507" i="1"/>
  <c r="Y506" i="1"/>
  <c r="B504" i="1"/>
  <c r="B505" i="1"/>
  <c r="B506" i="1"/>
  <c r="B507" i="1"/>
  <c r="B508" i="1"/>
  <c r="B509" i="1"/>
  <c r="B510" i="1"/>
  <c r="B511" i="1"/>
  <c r="B512" i="1"/>
  <c r="B513" i="1"/>
  <c r="B514" i="1"/>
  <c r="B515" i="1"/>
  <c r="B516" i="1"/>
  <c r="B517" i="1"/>
  <c r="B518" i="1"/>
  <c r="B519" i="1"/>
  <c r="B520" i="1"/>
  <c r="B521" i="1"/>
  <c r="B522" i="1"/>
  <c r="B523" i="1"/>
  <c r="B524" i="1"/>
  <c r="B525" i="1"/>
  <c r="B526" i="1"/>
  <c r="B527" i="1"/>
  <c r="B528" i="1"/>
  <c r="B529" i="1"/>
  <c r="B530" i="1"/>
  <c r="B531" i="1"/>
  <c r="B532" i="1"/>
  <c r="B533" i="1"/>
  <c r="B534" i="1"/>
  <c r="B535" i="1"/>
  <c r="B536" i="1"/>
  <c r="B537" i="1"/>
  <c r="B538" i="1"/>
  <c r="B539" i="1"/>
  <c r="B540" i="1"/>
  <c r="B541" i="1"/>
  <c r="B542" i="1"/>
  <c r="B543" i="1"/>
  <c r="B544" i="1"/>
  <c r="B545" i="1"/>
  <c r="B546" i="1"/>
  <c r="B547" i="1"/>
  <c r="B548" i="1"/>
  <c r="B549" i="1"/>
  <c r="B550" i="1"/>
  <c r="B551" i="1"/>
  <c r="B552" i="1"/>
  <c r="B553" i="1"/>
  <c r="B554" i="1"/>
  <c r="B555" i="1"/>
  <c r="B556" i="1"/>
  <c r="B557" i="1"/>
  <c r="B558" i="1"/>
  <c r="B559" i="1"/>
  <c r="B560" i="1"/>
  <c r="B561" i="1"/>
  <c r="B562" i="1"/>
  <c r="B563" i="1"/>
  <c r="B564" i="1"/>
  <c r="B565" i="1"/>
  <c r="B566" i="1"/>
  <c r="B567" i="1"/>
  <c r="B568" i="1"/>
  <c r="B569" i="1"/>
  <c r="B570" i="1"/>
  <c r="B571" i="1"/>
  <c r="B572" i="1"/>
  <c r="B573" i="1"/>
  <c r="B574" i="1"/>
  <c r="B575" i="1"/>
  <c r="B576" i="1"/>
  <c r="B577" i="1"/>
  <c r="B578" i="1"/>
  <c r="B579" i="1"/>
  <c r="B580" i="1"/>
  <c r="B581" i="1"/>
  <c r="B582" i="1"/>
  <c r="B583" i="1"/>
  <c r="B584" i="1"/>
  <c r="B585" i="1"/>
  <c r="B586" i="1"/>
  <c r="B587" i="1"/>
  <c r="B588" i="1"/>
  <c r="B589" i="1"/>
  <c r="B590" i="1"/>
  <c r="B591" i="1"/>
  <c r="B592" i="1"/>
  <c r="B593" i="1"/>
  <c r="B594" i="1"/>
  <c r="B595" i="1"/>
  <c r="B596" i="1"/>
  <c r="B597" i="1"/>
  <c r="B598" i="1"/>
  <c r="B599" i="1"/>
  <c r="B600" i="1"/>
  <c r="B601" i="1"/>
  <c r="B602" i="1"/>
  <c r="B603" i="1"/>
  <c r="B604" i="1"/>
  <c r="B605" i="1"/>
  <c r="B606" i="1"/>
  <c r="B607" i="1"/>
  <c r="B608" i="1"/>
  <c r="B609" i="1"/>
  <c r="B610" i="1"/>
  <c r="B611" i="1"/>
  <c r="B612" i="1"/>
  <c r="B613" i="1"/>
  <c r="B614" i="1"/>
  <c r="B615" i="1"/>
  <c r="B616" i="1"/>
  <c r="B617" i="1"/>
  <c r="B618" i="1"/>
  <c r="B619" i="1"/>
  <c r="B620" i="1"/>
  <c r="B621" i="1"/>
  <c r="B622" i="1"/>
  <c r="B623" i="1"/>
  <c r="B624" i="1"/>
  <c r="B625" i="1"/>
  <c r="B626" i="1"/>
  <c r="B627" i="1"/>
  <c r="B628" i="1"/>
  <c r="B629" i="1"/>
  <c r="B630" i="1"/>
  <c r="B631" i="1"/>
  <c r="B632" i="1"/>
  <c r="B633" i="1"/>
  <c r="B634" i="1"/>
  <c r="B635" i="1"/>
  <c r="B636" i="1"/>
  <c r="B637" i="1"/>
  <c r="B638" i="1"/>
  <c r="B639" i="1"/>
  <c r="B640" i="1"/>
  <c r="B641" i="1"/>
  <c r="B642" i="1"/>
  <c r="B643" i="1"/>
  <c r="B644" i="1"/>
  <c r="B645" i="1"/>
  <c r="B646" i="1"/>
  <c r="B647" i="1"/>
  <c r="B648" i="1"/>
  <c r="B649" i="1"/>
  <c r="B650" i="1"/>
  <c r="B651" i="1"/>
  <c r="B652" i="1"/>
  <c r="B653" i="1"/>
  <c r="B654" i="1"/>
  <c r="B655" i="1"/>
  <c r="B656" i="1"/>
  <c r="B657" i="1"/>
  <c r="B658" i="1"/>
  <c r="B659" i="1"/>
  <c r="B660" i="1"/>
  <c r="B661" i="1"/>
  <c r="B662" i="1"/>
  <c r="B663" i="1"/>
  <c r="B664" i="1"/>
  <c r="B665" i="1"/>
  <c r="B666" i="1"/>
  <c r="B667" i="1"/>
  <c r="B668" i="1"/>
  <c r="B669" i="1"/>
  <c r="B670" i="1"/>
  <c r="B671" i="1"/>
  <c r="B672" i="1"/>
  <c r="B673" i="1"/>
  <c r="B674" i="1"/>
  <c r="B675" i="1"/>
  <c r="B676" i="1"/>
  <c r="B677" i="1"/>
  <c r="B678" i="1"/>
  <c r="B679" i="1"/>
  <c r="B680" i="1"/>
  <c r="B681" i="1"/>
  <c r="B682" i="1"/>
  <c r="B683" i="1"/>
  <c r="B684" i="1"/>
  <c r="B685" i="1"/>
  <c r="B686" i="1"/>
  <c r="B687" i="1"/>
  <c r="B688" i="1"/>
  <c r="B689" i="1"/>
  <c r="B690" i="1"/>
  <c r="B691" i="1"/>
  <c r="B692" i="1"/>
  <c r="B693" i="1"/>
  <c r="B694" i="1"/>
  <c r="B695" i="1"/>
  <c r="B696" i="1"/>
  <c r="B697" i="1"/>
  <c r="B698" i="1"/>
  <c r="B699" i="1"/>
  <c r="H504" i="1"/>
  <c r="H505" i="1"/>
  <c r="H506" i="1"/>
  <c r="H507" i="1"/>
  <c r="H508" i="1"/>
  <c r="H509" i="1"/>
  <c r="H510" i="1"/>
  <c r="H511" i="1"/>
  <c r="H512" i="1"/>
  <c r="H513" i="1"/>
  <c r="H514" i="1"/>
  <c r="H515" i="1"/>
  <c r="H516" i="1"/>
  <c r="H517" i="1"/>
  <c r="H518" i="1"/>
  <c r="H519" i="1"/>
  <c r="H520" i="1"/>
  <c r="H521" i="1"/>
  <c r="H522" i="1"/>
  <c r="H523" i="1"/>
  <c r="H524" i="1"/>
  <c r="H525" i="1"/>
  <c r="H526" i="1"/>
  <c r="H527" i="1"/>
  <c r="H528" i="1"/>
  <c r="H529" i="1"/>
  <c r="H530" i="1"/>
  <c r="H531" i="1"/>
  <c r="H532" i="1"/>
  <c r="H533" i="1"/>
  <c r="H534" i="1"/>
  <c r="H535" i="1"/>
  <c r="H536" i="1"/>
  <c r="H537" i="1"/>
  <c r="H538" i="1"/>
  <c r="H539" i="1"/>
  <c r="H540" i="1"/>
  <c r="H541" i="1"/>
  <c r="H542" i="1"/>
  <c r="H543" i="1"/>
  <c r="H544" i="1"/>
  <c r="H545" i="1"/>
  <c r="H546" i="1"/>
  <c r="H547" i="1"/>
  <c r="H548" i="1"/>
  <c r="H549" i="1"/>
  <c r="H550" i="1"/>
  <c r="H551" i="1"/>
  <c r="H552" i="1"/>
  <c r="H553" i="1"/>
  <c r="H554" i="1"/>
  <c r="H555" i="1"/>
  <c r="H556" i="1"/>
  <c r="H557" i="1"/>
  <c r="H558" i="1"/>
  <c r="H559" i="1"/>
  <c r="H560" i="1"/>
  <c r="H561" i="1"/>
  <c r="H562" i="1"/>
  <c r="H563" i="1"/>
  <c r="H564" i="1"/>
  <c r="H565" i="1"/>
  <c r="H566" i="1"/>
  <c r="H567" i="1"/>
  <c r="H568" i="1"/>
  <c r="H569" i="1"/>
  <c r="H570" i="1"/>
  <c r="H571" i="1"/>
  <c r="H572" i="1"/>
  <c r="H573" i="1"/>
  <c r="H574" i="1"/>
  <c r="H575" i="1"/>
  <c r="H576" i="1"/>
  <c r="H577" i="1"/>
  <c r="H578" i="1"/>
  <c r="H579" i="1"/>
  <c r="H580" i="1"/>
  <c r="H581" i="1"/>
  <c r="H582" i="1"/>
  <c r="H583" i="1"/>
  <c r="H584" i="1"/>
  <c r="H585" i="1"/>
  <c r="H586" i="1"/>
  <c r="H587" i="1"/>
  <c r="H588" i="1"/>
  <c r="H589" i="1"/>
  <c r="H590" i="1"/>
  <c r="H591" i="1"/>
  <c r="H592" i="1"/>
  <c r="H593" i="1"/>
  <c r="H594" i="1"/>
  <c r="H595" i="1"/>
  <c r="H596" i="1"/>
  <c r="H597" i="1"/>
  <c r="H598" i="1"/>
  <c r="H599" i="1"/>
  <c r="H600" i="1"/>
  <c r="H601" i="1"/>
  <c r="H602" i="1"/>
  <c r="H603" i="1"/>
  <c r="H604" i="1"/>
  <c r="H605" i="1"/>
  <c r="H606" i="1"/>
  <c r="H607" i="1"/>
  <c r="H608" i="1"/>
  <c r="H609" i="1"/>
  <c r="H610" i="1"/>
  <c r="H611" i="1"/>
  <c r="H612" i="1"/>
  <c r="H613" i="1"/>
  <c r="H614" i="1"/>
  <c r="H615" i="1"/>
  <c r="H616" i="1"/>
  <c r="H617" i="1"/>
  <c r="H618" i="1"/>
  <c r="H619" i="1"/>
  <c r="H620" i="1"/>
  <c r="H621" i="1"/>
  <c r="H622" i="1"/>
  <c r="H623" i="1"/>
  <c r="H624" i="1"/>
  <c r="H625" i="1"/>
  <c r="H626" i="1"/>
  <c r="H627" i="1"/>
  <c r="H628" i="1"/>
  <c r="H629" i="1"/>
  <c r="H630" i="1"/>
  <c r="H631" i="1"/>
  <c r="H632" i="1"/>
  <c r="H633" i="1"/>
  <c r="H634" i="1"/>
  <c r="H635" i="1"/>
  <c r="H636" i="1"/>
  <c r="H637" i="1"/>
  <c r="H638" i="1"/>
  <c r="H639" i="1"/>
  <c r="H640" i="1"/>
  <c r="H641" i="1"/>
  <c r="H642" i="1"/>
  <c r="H643" i="1"/>
  <c r="H644" i="1"/>
  <c r="H645" i="1"/>
  <c r="H646" i="1"/>
  <c r="H647" i="1"/>
  <c r="H648" i="1"/>
  <c r="H649" i="1"/>
  <c r="H650" i="1"/>
  <c r="H651" i="1"/>
  <c r="H652" i="1"/>
  <c r="H653" i="1"/>
  <c r="H654" i="1"/>
  <c r="H655" i="1"/>
  <c r="H656" i="1"/>
  <c r="H657" i="1"/>
  <c r="H658" i="1"/>
  <c r="H659" i="1"/>
  <c r="H660" i="1"/>
  <c r="H661" i="1"/>
  <c r="H662" i="1"/>
  <c r="H663" i="1"/>
  <c r="H664" i="1"/>
  <c r="H665" i="1"/>
  <c r="H666" i="1"/>
  <c r="H667" i="1"/>
  <c r="H668" i="1"/>
  <c r="H669" i="1"/>
  <c r="H670" i="1"/>
  <c r="H671" i="1"/>
  <c r="H672" i="1"/>
  <c r="H673" i="1"/>
  <c r="H674" i="1"/>
  <c r="H675" i="1"/>
  <c r="H676" i="1"/>
  <c r="H677" i="1"/>
  <c r="H678" i="1"/>
  <c r="H679" i="1"/>
  <c r="H680" i="1"/>
  <c r="H681" i="1"/>
  <c r="H682" i="1"/>
  <c r="H683" i="1"/>
  <c r="H684" i="1"/>
  <c r="H685" i="1"/>
  <c r="H686" i="1"/>
  <c r="H687" i="1"/>
  <c r="H688" i="1"/>
  <c r="H689" i="1"/>
  <c r="H690" i="1"/>
  <c r="H691" i="1"/>
  <c r="H692" i="1"/>
  <c r="H693" i="1"/>
  <c r="H694" i="1"/>
  <c r="H695" i="1"/>
  <c r="H696" i="1"/>
  <c r="H697" i="1"/>
  <c r="H698" i="1"/>
  <c r="H699" i="1"/>
  <c r="K504" i="1"/>
  <c r="K505" i="1"/>
  <c r="K506" i="1"/>
  <c r="K507" i="1"/>
  <c r="K508" i="1"/>
  <c r="K509" i="1"/>
  <c r="K510" i="1"/>
  <c r="K511" i="1"/>
  <c r="K512" i="1"/>
  <c r="K513" i="1"/>
  <c r="K514" i="1"/>
  <c r="K515" i="1"/>
  <c r="K516" i="1"/>
  <c r="K517" i="1"/>
  <c r="K518" i="1"/>
  <c r="K519" i="1"/>
  <c r="K520" i="1"/>
  <c r="K521" i="1"/>
  <c r="K522" i="1"/>
  <c r="K523" i="1"/>
  <c r="K524" i="1"/>
  <c r="K525" i="1"/>
  <c r="K526" i="1"/>
  <c r="K527" i="1"/>
  <c r="K528" i="1"/>
  <c r="K529" i="1"/>
  <c r="K530" i="1"/>
  <c r="K531" i="1"/>
  <c r="K532" i="1"/>
  <c r="K533" i="1"/>
  <c r="K534" i="1"/>
  <c r="K535" i="1"/>
  <c r="K536" i="1"/>
  <c r="K537" i="1"/>
  <c r="K538" i="1"/>
  <c r="K539" i="1"/>
  <c r="K540" i="1"/>
  <c r="K541" i="1"/>
  <c r="K542" i="1"/>
  <c r="K543" i="1"/>
  <c r="K544" i="1"/>
  <c r="K545" i="1"/>
  <c r="K546" i="1"/>
  <c r="K547" i="1"/>
  <c r="K548" i="1"/>
  <c r="K549" i="1"/>
  <c r="K550" i="1"/>
  <c r="K551" i="1"/>
  <c r="K552" i="1"/>
  <c r="K553" i="1"/>
  <c r="K554" i="1"/>
  <c r="K555" i="1"/>
  <c r="K556" i="1"/>
  <c r="K557" i="1"/>
  <c r="K558" i="1"/>
  <c r="K559" i="1"/>
  <c r="K560" i="1"/>
  <c r="K561" i="1"/>
  <c r="K562" i="1"/>
  <c r="K563" i="1"/>
  <c r="K564" i="1"/>
  <c r="K565" i="1"/>
  <c r="K566" i="1"/>
  <c r="K567" i="1"/>
  <c r="K568" i="1"/>
  <c r="K569" i="1"/>
  <c r="K570" i="1"/>
  <c r="K571" i="1"/>
  <c r="K572" i="1"/>
  <c r="K573" i="1"/>
  <c r="K574" i="1"/>
  <c r="K575" i="1"/>
  <c r="K576" i="1"/>
  <c r="K577" i="1"/>
  <c r="K578" i="1"/>
  <c r="K579" i="1"/>
  <c r="K580" i="1"/>
  <c r="K581" i="1"/>
  <c r="K582" i="1"/>
  <c r="K583" i="1"/>
  <c r="K584" i="1"/>
  <c r="K585" i="1"/>
  <c r="K586" i="1"/>
  <c r="K587" i="1"/>
  <c r="K588" i="1"/>
  <c r="K589" i="1"/>
  <c r="K590" i="1"/>
  <c r="K591" i="1"/>
  <c r="K592" i="1"/>
  <c r="K593" i="1"/>
  <c r="K594" i="1"/>
  <c r="K595" i="1"/>
  <c r="K596" i="1"/>
  <c r="K597" i="1"/>
  <c r="K598" i="1"/>
  <c r="K599" i="1"/>
  <c r="K600" i="1"/>
  <c r="K601" i="1"/>
  <c r="K602" i="1"/>
  <c r="K603" i="1"/>
  <c r="K604" i="1"/>
  <c r="K605" i="1"/>
  <c r="K606" i="1"/>
  <c r="K607" i="1"/>
  <c r="K608" i="1"/>
  <c r="K609" i="1"/>
  <c r="K610" i="1"/>
  <c r="K611" i="1"/>
  <c r="K612" i="1"/>
  <c r="K613" i="1"/>
  <c r="K614" i="1"/>
  <c r="K615" i="1"/>
  <c r="K616" i="1"/>
  <c r="K617" i="1"/>
  <c r="K618" i="1"/>
  <c r="K619" i="1"/>
  <c r="K620" i="1"/>
  <c r="K621" i="1"/>
  <c r="K622" i="1"/>
  <c r="K623" i="1"/>
  <c r="K624" i="1"/>
  <c r="K625" i="1"/>
  <c r="K626" i="1"/>
  <c r="K627" i="1"/>
  <c r="K628" i="1"/>
  <c r="K629" i="1"/>
  <c r="K630" i="1"/>
  <c r="K631" i="1"/>
  <c r="K632" i="1"/>
  <c r="K633" i="1"/>
  <c r="K634" i="1"/>
  <c r="K635" i="1"/>
  <c r="K636" i="1"/>
  <c r="K637" i="1"/>
  <c r="K638" i="1"/>
  <c r="K639" i="1"/>
  <c r="K640" i="1"/>
  <c r="K641" i="1"/>
  <c r="K642" i="1"/>
  <c r="K643" i="1"/>
  <c r="K644" i="1"/>
  <c r="K645" i="1"/>
  <c r="K646" i="1"/>
  <c r="K647" i="1"/>
  <c r="K648" i="1"/>
  <c r="K649" i="1"/>
  <c r="K650" i="1"/>
  <c r="K651" i="1"/>
  <c r="K652" i="1"/>
  <c r="K653" i="1"/>
  <c r="K654" i="1"/>
  <c r="K655" i="1"/>
  <c r="K656" i="1"/>
  <c r="K657" i="1"/>
  <c r="K658" i="1"/>
  <c r="K659" i="1"/>
  <c r="K660" i="1"/>
  <c r="K661" i="1"/>
  <c r="K662" i="1"/>
  <c r="K663" i="1"/>
  <c r="K664" i="1"/>
  <c r="K665" i="1"/>
  <c r="K666" i="1"/>
  <c r="K667" i="1"/>
  <c r="K668" i="1"/>
  <c r="K669" i="1"/>
  <c r="K670" i="1"/>
  <c r="K671" i="1"/>
  <c r="K672" i="1"/>
  <c r="K673" i="1"/>
  <c r="K674" i="1"/>
  <c r="K675" i="1"/>
  <c r="K676" i="1"/>
  <c r="K677" i="1"/>
  <c r="K678" i="1"/>
  <c r="K679" i="1"/>
  <c r="K680" i="1"/>
  <c r="K681" i="1"/>
  <c r="K682" i="1"/>
  <c r="K683" i="1"/>
  <c r="K684" i="1"/>
  <c r="K685" i="1"/>
  <c r="K686" i="1"/>
  <c r="K687" i="1"/>
  <c r="K688" i="1"/>
  <c r="K689" i="1"/>
  <c r="K690" i="1"/>
  <c r="K691" i="1"/>
  <c r="K692" i="1"/>
  <c r="K693" i="1"/>
  <c r="K694" i="1"/>
  <c r="K695" i="1"/>
  <c r="K696" i="1"/>
  <c r="K697" i="1"/>
  <c r="K698" i="1"/>
  <c r="K699" i="1"/>
  <c r="L504" i="1"/>
  <c r="M504" i="1" s="1"/>
  <c r="L505" i="1"/>
  <c r="R505" i="1" s="1"/>
  <c r="L506" i="1"/>
  <c r="M506" i="1" s="1"/>
  <c r="L507" i="1"/>
  <c r="S507" i="1" s="1"/>
  <c r="L508" i="1"/>
  <c r="M508" i="1" s="1"/>
  <c r="L509" i="1"/>
  <c r="M509" i="1" s="1"/>
  <c r="L510" i="1"/>
  <c r="Q510" i="1" s="1"/>
  <c r="L511" i="1"/>
  <c r="M511" i="1" s="1"/>
  <c r="L512" i="1"/>
  <c r="S512" i="1" s="1"/>
  <c r="L513" i="1"/>
  <c r="M513" i="1" s="1"/>
  <c r="L514" i="1"/>
  <c r="M514" i="1" s="1"/>
  <c r="L515" i="1"/>
  <c r="Q515" i="1" s="1"/>
  <c r="L516" i="1"/>
  <c r="S516" i="1" s="1"/>
  <c r="L517" i="1"/>
  <c r="M517" i="1" s="1"/>
  <c r="L518" i="1"/>
  <c r="M518" i="1" s="1"/>
  <c r="L519" i="1"/>
  <c r="S519" i="1" s="1"/>
  <c r="L520" i="1"/>
  <c r="Q520" i="1" s="1"/>
  <c r="L521" i="1"/>
  <c r="S521" i="1" s="1"/>
  <c r="L522" i="1"/>
  <c r="M522" i="1" s="1"/>
  <c r="L523" i="1"/>
  <c r="R523" i="1" s="1"/>
  <c r="L524" i="1"/>
  <c r="M524" i="1" s="1"/>
  <c r="L525" i="1"/>
  <c r="M525" i="1" s="1"/>
  <c r="L526" i="1"/>
  <c r="M526" i="1" s="1"/>
  <c r="L527" i="1"/>
  <c r="Q527" i="1" s="1"/>
  <c r="L528" i="1"/>
  <c r="M528" i="1" s="1"/>
  <c r="L529" i="1"/>
  <c r="Q529" i="1" s="1"/>
  <c r="L530" i="1"/>
  <c r="M530" i="1" s="1"/>
  <c r="L531" i="1"/>
  <c r="S531" i="1" s="1"/>
  <c r="L532" i="1"/>
  <c r="M532" i="1" s="1"/>
  <c r="L533" i="1"/>
  <c r="M533" i="1" s="1"/>
  <c r="L534" i="1"/>
  <c r="M534" i="1" s="1"/>
  <c r="L535" i="1"/>
  <c r="Q535" i="1" s="1"/>
  <c r="L536" i="1"/>
  <c r="M536" i="1" s="1"/>
  <c r="L537" i="1"/>
  <c r="R537" i="1" s="1"/>
  <c r="L538" i="1"/>
  <c r="L539" i="1"/>
  <c r="S539" i="1" s="1"/>
  <c r="L540" i="1"/>
  <c r="Q540" i="1" s="1"/>
  <c r="L541" i="1"/>
  <c r="M541" i="1" s="1"/>
  <c r="L542" i="1"/>
  <c r="M542" i="1" s="1"/>
  <c r="L543" i="1"/>
  <c r="M543" i="1" s="1"/>
  <c r="L544" i="1"/>
  <c r="Q544" i="1" s="1"/>
  <c r="L545" i="1"/>
  <c r="Q545" i="1" s="1"/>
  <c r="L546" i="1"/>
  <c r="L547" i="1"/>
  <c r="Q547" i="1" s="1"/>
  <c r="L548" i="1"/>
  <c r="Q548" i="1" s="1"/>
  <c r="L549" i="1"/>
  <c r="M549" i="1" s="1"/>
  <c r="L550" i="1"/>
  <c r="S550" i="1" s="1"/>
  <c r="L551" i="1"/>
  <c r="Q551" i="1" s="1"/>
  <c r="L552" i="1"/>
  <c r="M552" i="1" s="1"/>
  <c r="L553" i="1"/>
  <c r="R553" i="1" s="1"/>
  <c r="L554" i="1"/>
  <c r="L555" i="1"/>
  <c r="M555" i="1" s="1"/>
  <c r="L556" i="1"/>
  <c r="M556" i="1" s="1"/>
  <c r="L557" i="1"/>
  <c r="M557" i="1" s="1"/>
  <c r="L558" i="1"/>
  <c r="M558" i="1" s="1"/>
  <c r="L559" i="1"/>
  <c r="M559" i="1" s="1"/>
  <c r="L560" i="1"/>
  <c r="Q560" i="1" s="1"/>
  <c r="L561" i="1"/>
  <c r="S561" i="1" s="1"/>
  <c r="L562" i="1"/>
  <c r="M562" i="1" s="1"/>
  <c r="L563" i="1"/>
  <c r="S563" i="1" s="1"/>
  <c r="L564" i="1"/>
  <c r="Q564" i="1" s="1"/>
  <c r="L565" i="1"/>
  <c r="M565" i="1" s="1"/>
  <c r="L566" i="1"/>
  <c r="M566" i="1" s="1"/>
  <c r="L567" i="1"/>
  <c r="M567" i="1" s="1"/>
  <c r="L568" i="1"/>
  <c r="Q568" i="1" s="1"/>
  <c r="L569" i="1"/>
  <c r="R569" i="1" s="1"/>
  <c r="L570" i="1"/>
  <c r="M570" i="1" s="1"/>
  <c r="L571" i="1"/>
  <c r="S571" i="1" s="1"/>
  <c r="L572" i="1"/>
  <c r="Q572" i="1" s="1"/>
  <c r="L573" i="1"/>
  <c r="M573" i="1" s="1"/>
  <c r="L574" i="1"/>
  <c r="M574" i="1" s="1"/>
  <c r="L575" i="1"/>
  <c r="S575" i="1" s="1"/>
  <c r="L576" i="1"/>
  <c r="M576" i="1" s="1"/>
  <c r="L577" i="1"/>
  <c r="Q577" i="1" s="1"/>
  <c r="L578" i="1"/>
  <c r="M578" i="1" s="1"/>
  <c r="L579" i="1"/>
  <c r="R579" i="1" s="1"/>
  <c r="L580" i="1"/>
  <c r="M580" i="1" s="1"/>
  <c r="L581" i="1"/>
  <c r="M581" i="1" s="1"/>
  <c r="L582" i="1"/>
  <c r="M582" i="1" s="1"/>
  <c r="L583" i="1"/>
  <c r="Q583" i="1" s="1"/>
  <c r="L584" i="1"/>
  <c r="Q584" i="1" s="1"/>
  <c r="L585" i="1"/>
  <c r="Q585" i="1" s="1"/>
  <c r="L586" i="1"/>
  <c r="M586" i="1" s="1"/>
  <c r="L587" i="1"/>
  <c r="R587" i="1" s="1"/>
  <c r="L588" i="1"/>
  <c r="R588" i="1" s="1"/>
  <c r="L589" i="1"/>
  <c r="M589" i="1" s="1"/>
  <c r="L590" i="1"/>
  <c r="M590" i="1" s="1"/>
  <c r="L591" i="1"/>
  <c r="M591" i="1" s="1"/>
  <c r="L592" i="1"/>
  <c r="R592" i="1" s="1"/>
  <c r="L593" i="1"/>
  <c r="M593" i="1" s="1"/>
  <c r="L594" i="1"/>
  <c r="L595" i="1"/>
  <c r="R595" i="1" s="1"/>
  <c r="L596" i="1"/>
  <c r="R596" i="1" s="1"/>
  <c r="L597" i="1"/>
  <c r="M597" i="1" s="1"/>
  <c r="L598" i="1"/>
  <c r="M598" i="1" s="1"/>
  <c r="L599" i="1"/>
  <c r="R599" i="1" s="1"/>
  <c r="L600" i="1"/>
  <c r="M600" i="1" s="1"/>
  <c r="L601" i="1"/>
  <c r="S601" i="1" s="1"/>
  <c r="L602" i="1"/>
  <c r="M602" i="1" s="1"/>
  <c r="L603" i="1"/>
  <c r="R603" i="1" s="1"/>
  <c r="L604" i="1"/>
  <c r="S604" i="1" s="1"/>
  <c r="L605" i="1"/>
  <c r="L606" i="1"/>
  <c r="M606" i="1" s="1"/>
  <c r="L607" i="1"/>
  <c r="M607" i="1" s="1"/>
  <c r="L608" i="1"/>
  <c r="Q608" i="1" s="1"/>
  <c r="L609" i="1"/>
  <c r="M609" i="1" s="1"/>
  <c r="L610" i="1"/>
  <c r="M610" i="1" s="1"/>
  <c r="L611" i="1"/>
  <c r="R611" i="1" s="1"/>
  <c r="L612" i="1"/>
  <c r="M612" i="1" s="1"/>
  <c r="L613" i="1"/>
  <c r="L614" i="1"/>
  <c r="M614" i="1" s="1"/>
  <c r="L615" i="1"/>
  <c r="M615" i="1" s="1"/>
  <c r="L616" i="1"/>
  <c r="S616" i="1" s="1"/>
  <c r="L617" i="1"/>
  <c r="Q617" i="1" s="1"/>
  <c r="L618" i="1"/>
  <c r="M618" i="1" s="1"/>
  <c r="L619" i="1"/>
  <c r="R619" i="1" s="1"/>
  <c r="L620" i="1"/>
  <c r="R620" i="1" s="1"/>
  <c r="L621" i="1"/>
  <c r="L622" i="1"/>
  <c r="M622" i="1" s="1"/>
  <c r="L623" i="1"/>
  <c r="M623" i="1" s="1"/>
  <c r="L624" i="1"/>
  <c r="M624" i="1" s="1"/>
  <c r="L625" i="1"/>
  <c r="M625" i="1" s="1"/>
  <c r="L626" i="1"/>
  <c r="L627" i="1"/>
  <c r="R627" i="1" s="1"/>
  <c r="L628" i="1"/>
  <c r="M628" i="1" s="1"/>
  <c r="L629" i="1"/>
  <c r="L630" i="1"/>
  <c r="M630" i="1" s="1"/>
  <c r="L631" i="1"/>
  <c r="M631" i="1" s="1"/>
  <c r="L632" i="1"/>
  <c r="M632" i="1" s="1"/>
  <c r="L633" i="1"/>
  <c r="S633" i="1" s="1"/>
  <c r="L634" i="1"/>
  <c r="M634" i="1" s="1"/>
  <c r="L635" i="1"/>
  <c r="R635" i="1" s="1"/>
  <c r="L636" i="1"/>
  <c r="Q636" i="1" s="1"/>
  <c r="L637" i="1"/>
  <c r="L638" i="1"/>
  <c r="Q638" i="1" s="1"/>
  <c r="L639" i="1"/>
  <c r="M639" i="1" s="1"/>
  <c r="L640" i="1"/>
  <c r="S640" i="1" s="1"/>
  <c r="L641" i="1"/>
  <c r="M641" i="1" s="1"/>
  <c r="L642" i="1"/>
  <c r="M642" i="1" s="1"/>
  <c r="L643" i="1"/>
  <c r="R643" i="1" s="1"/>
  <c r="L644" i="1"/>
  <c r="S644" i="1" s="1"/>
  <c r="L645" i="1"/>
  <c r="L646" i="1"/>
  <c r="M646" i="1" s="1"/>
  <c r="L647" i="1"/>
  <c r="R647" i="1" s="1"/>
  <c r="L648" i="1"/>
  <c r="Q648" i="1" s="1"/>
  <c r="L649" i="1"/>
  <c r="M649" i="1" s="1"/>
  <c r="L650" i="1"/>
  <c r="M650" i="1" s="1"/>
  <c r="L651" i="1"/>
  <c r="R651" i="1" s="1"/>
  <c r="L652" i="1"/>
  <c r="M652" i="1" s="1"/>
  <c r="L653" i="1"/>
  <c r="L654" i="1"/>
  <c r="Q654" i="1" s="1"/>
  <c r="L655" i="1"/>
  <c r="M655" i="1" s="1"/>
  <c r="L656" i="1"/>
  <c r="M656" i="1" s="1"/>
  <c r="L657" i="1"/>
  <c r="M657" i="1" s="1"/>
  <c r="L658" i="1"/>
  <c r="L659" i="1"/>
  <c r="R659" i="1" s="1"/>
  <c r="L660" i="1"/>
  <c r="M660" i="1" s="1"/>
  <c r="L661" i="1"/>
  <c r="L662" i="1"/>
  <c r="M662" i="1" s="1"/>
  <c r="L663" i="1"/>
  <c r="M663" i="1" s="1"/>
  <c r="L664" i="1"/>
  <c r="S664" i="1" s="1"/>
  <c r="L665" i="1"/>
  <c r="Q665" i="1" s="1"/>
  <c r="L666" i="1"/>
  <c r="M666" i="1" s="1"/>
  <c r="L667" i="1"/>
  <c r="R667" i="1" s="1"/>
  <c r="L668" i="1"/>
  <c r="S668" i="1" s="1"/>
  <c r="L669" i="1"/>
  <c r="L670" i="1"/>
  <c r="M670" i="1" s="1"/>
  <c r="L671" i="1"/>
  <c r="Q671" i="1" s="1"/>
  <c r="L672" i="1"/>
  <c r="M672" i="1" s="1"/>
  <c r="L673" i="1"/>
  <c r="M673" i="1" s="1"/>
  <c r="L674" i="1"/>
  <c r="M674" i="1" s="1"/>
  <c r="L675" i="1"/>
  <c r="R675" i="1" s="1"/>
  <c r="L676" i="1"/>
  <c r="M676" i="1" s="1"/>
  <c r="L677" i="1"/>
  <c r="L678" i="1"/>
  <c r="M678" i="1" s="1"/>
  <c r="L679" i="1"/>
  <c r="Q679" i="1" s="1"/>
  <c r="L680" i="1"/>
  <c r="S680" i="1" s="1"/>
  <c r="L681" i="1"/>
  <c r="M681" i="1" s="1"/>
  <c r="L682" i="1"/>
  <c r="L683" i="1"/>
  <c r="R683" i="1" s="1"/>
  <c r="L684" i="1"/>
  <c r="R684" i="1" s="1"/>
  <c r="L685" i="1"/>
  <c r="L686" i="1"/>
  <c r="M686" i="1" s="1"/>
  <c r="L687" i="1"/>
  <c r="M687" i="1" s="1"/>
  <c r="L688" i="1"/>
  <c r="Q688" i="1" s="1"/>
  <c r="L689" i="1"/>
  <c r="M689" i="1" s="1"/>
  <c r="L690" i="1"/>
  <c r="M690" i="1" s="1"/>
  <c r="L691" i="1"/>
  <c r="R691" i="1" s="1"/>
  <c r="L692" i="1"/>
  <c r="Q692" i="1" s="1"/>
  <c r="L693" i="1"/>
  <c r="L694" i="1"/>
  <c r="M694" i="1" s="1"/>
  <c r="L695" i="1"/>
  <c r="R695" i="1" s="1"/>
  <c r="L696" i="1"/>
  <c r="Q696" i="1" s="1"/>
  <c r="L697" i="1"/>
  <c r="M697" i="1" s="1"/>
  <c r="L698" i="1"/>
  <c r="M698" i="1" s="1"/>
  <c r="L699" i="1"/>
  <c r="R699" i="1" s="1"/>
  <c r="P504" i="1"/>
  <c r="P505" i="1"/>
  <c r="P506" i="1"/>
  <c r="P507" i="1"/>
  <c r="P508" i="1"/>
  <c r="P509" i="1"/>
  <c r="P510" i="1"/>
  <c r="P511" i="1"/>
  <c r="P512" i="1"/>
  <c r="P513" i="1"/>
  <c r="P514" i="1"/>
  <c r="P515" i="1"/>
  <c r="P516" i="1"/>
  <c r="P517" i="1"/>
  <c r="P518" i="1"/>
  <c r="P519" i="1"/>
  <c r="P520" i="1"/>
  <c r="P521" i="1"/>
  <c r="P522" i="1"/>
  <c r="P523" i="1"/>
  <c r="P524" i="1"/>
  <c r="P525" i="1"/>
  <c r="P526" i="1"/>
  <c r="P527" i="1"/>
  <c r="P528" i="1"/>
  <c r="P529" i="1"/>
  <c r="P530" i="1"/>
  <c r="P531" i="1"/>
  <c r="P532" i="1"/>
  <c r="P533" i="1"/>
  <c r="P534" i="1"/>
  <c r="P535" i="1"/>
  <c r="P536" i="1"/>
  <c r="P537" i="1"/>
  <c r="P538" i="1"/>
  <c r="P539" i="1"/>
  <c r="P540" i="1"/>
  <c r="P541" i="1"/>
  <c r="P542" i="1"/>
  <c r="P543" i="1"/>
  <c r="P544" i="1"/>
  <c r="P545" i="1"/>
  <c r="P546" i="1"/>
  <c r="P547" i="1"/>
  <c r="P548" i="1"/>
  <c r="P549" i="1"/>
  <c r="P550" i="1"/>
  <c r="P551" i="1"/>
  <c r="P552" i="1"/>
  <c r="P553" i="1"/>
  <c r="P554" i="1"/>
  <c r="P555" i="1"/>
  <c r="P556" i="1"/>
  <c r="P557" i="1"/>
  <c r="P558" i="1"/>
  <c r="P559" i="1"/>
  <c r="P560" i="1"/>
  <c r="P561" i="1"/>
  <c r="P562" i="1"/>
  <c r="P563" i="1"/>
  <c r="P564" i="1"/>
  <c r="P565" i="1"/>
  <c r="P566" i="1"/>
  <c r="P567" i="1"/>
  <c r="P568" i="1"/>
  <c r="P569" i="1"/>
  <c r="P570" i="1"/>
  <c r="P571" i="1"/>
  <c r="P572" i="1"/>
  <c r="P573" i="1"/>
  <c r="P574" i="1"/>
  <c r="P575" i="1"/>
  <c r="P576" i="1"/>
  <c r="P577" i="1"/>
  <c r="P578" i="1"/>
  <c r="P579" i="1"/>
  <c r="P580" i="1"/>
  <c r="P581" i="1"/>
  <c r="P582" i="1"/>
  <c r="P583" i="1"/>
  <c r="P584" i="1"/>
  <c r="P585" i="1"/>
  <c r="P586" i="1"/>
  <c r="P587" i="1"/>
  <c r="P588" i="1"/>
  <c r="P589" i="1"/>
  <c r="P590" i="1"/>
  <c r="P591" i="1"/>
  <c r="P592" i="1"/>
  <c r="P593" i="1"/>
  <c r="P594" i="1"/>
  <c r="P595" i="1"/>
  <c r="P596" i="1"/>
  <c r="P597" i="1"/>
  <c r="P598" i="1"/>
  <c r="P599" i="1"/>
  <c r="P600" i="1"/>
  <c r="P601" i="1"/>
  <c r="P602" i="1"/>
  <c r="P603" i="1"/>
  <c r="P604" i="1"/>
  <c r="P605" i="1"/>
  <c r="P606" i="1"/>
  <c r="P607" i="1"/>
  <c r="P608" i="1"/>
  <c r="P609" i="1"/>
  <c r="P610" i="1"/>
  <c r="P611" i="1"/>
  <c r="P612" i="1"/>
  <c r="P613" i="1"/>
  <c r="P614" i="1"/>
  <c r="P615" i="1"/>
  <c r="P616" i="1"/>
  <c r="P617" i="1"/>
  <c r="P618" i="1"/>
  <c r="P619" i="1"/>
  <c r="P620" i="1"/>
  <c r="P621" i="1"/>
  <c r="P622" i="1"/>
  <c r="P623" i="1"/>
  <c r="P624" i="1"/>
  <c r="P625" i="1"/>
  <c r="P626" i="1"/>
  <c r="P627" i="1"/>
  <c r="P628" i="1"/>
  <c r="P629" i="1"/>
  <c r="P630" i="1"/>
  <c r="P631" i="1"/>
  <c r="P632" i="1"/>
  <c r="P633" i="1"/>
  <c r="P634" i="1"/>
  <c r="P635" i="1"/>
  <c r="P636" i="1"/>
  <c r="P637" i="1"/>
  <c r="P638" i="1"/>
  <c r="P639" i="1"/>
  <c r="P640" i="1"/>
  <c r="P641" i="1"/>
  <c r="P642" i="1"/>
  <c r="P643" i="1"/>
  <c r="P644" i="1"/>
  <c r="P645" i="1"/>
  <c r="P646" i="1"/>
  <c r="P647" i="1"/>
  <c r="P648" i="1"/>
  <c r="P649" i="1"/>
  <c r="P650" i="1"/>
  <c r="P651" i="1"/>
  <c r="P652" i="1"/>
  <c r="P653" i="1"/>
  <c r="P654" i="1"/>
  <c r="P655" i="1"/>
  <c r="P656" i="1"/>
  <c r="P657" i="1"/>
  <c r="P658" i="1"/>
  <c r="P659" i="1"/>
  <c r="P660" i="1"/>
  <c r="P661" i="1"/>
  <c r="P662" i="1"/>
  <c r="P663" i="1"/>
  <c r="P664" i="1"/>
  <c r="P665" i="1"/>
  <c r="P666" i="1"/>
  <c r="P667" i="1"/>
  <c r="P668" i="1"/>
  <c r="P669" i="1"/>
  <c r="P670" i="1"/>
  <c r="P671" i="1"/>
  <c r="P672" i="1"/>
  <c r="P673" i="1"/>
  <c r="P674" i="1"/>
  <c r="P675" i="1"/>
  <c r="P676" i="1"/>
  <c r="P677" i="1"/>
  <c r="P678" i="1"/>
  <c r="P679" i="1"/>
  <c r="P680" i="1"/>
  <c r="P681" i="1"/>
  <c r="P682" i="1"/>
  <c r="P683" i="1"/>
  <c r="P684" i="1"/>
  <c r="P685" i="1"/>
  <c r="P686" i="1"/>
  <c r="P687" i="1"/>
  <c r="P688" i="1"/>
  <c r="P689" i="1"/>
  <c r="P690" i="1"/>
  <c r="P691" i="1"/>
  <c r="P692" i="1"/>
  <c r="P693" i="1"/>
  <c r="P694" i="1"/>
  <c r="P695" i="1"/>
  <c r="P696" i="1"/>
  <c r="P697" i="1"/>
  <c r="P698" i="1"/>
  <c r="P699" i="1"/>
  <c r="W504" i="1"/>
  <c r="W505" i="1"/>
  <c r="W506" i="1"/>
  <c r="W507" i="1"/>
  <c r="W508" i="1"/>
  <c r="W509" i="1"/>
  <c r="W510" i="1"/>
  <c r="W511" i="1"/>
  <c r="W512" i="1"/>
  <c r="W513" i="1"/>
  <c r="W514" i="1"/>
  <c r="W515" i="1"/>
  <c r="W516" i="1"/>
  <c r="W517" i="1"/>
  <c r="W518" i="1"/>
  <c r="W519" i="1"/>
  <c r="W520" i="1"/>
  <c r="W521" i="1"/>
  <c r="W522" i="1"/>
  <c r="W523" i="1"/>
  <c r="W524" i="1"/>
  <c r="W525" i="1"/>
  <c r="W526" i="1"/>
  <c r="W527" i="1"/>
  <c r="W528" i="1"/>
  <c r="W529" i="1"/>
  <c r="W530" i="1"/>
  <c r="W531" i="1"/>
  <c r="W532" i="1"/>
  <c r="W533" i="1"/>
  <c r="W534" i="1"/>
  <c r="W535" i="1"/>
  <c r="W536" i="1"/>
  <c r="W537" i="1"/>
  <c r="W538" i="1"/>
  <c r="W539" i="1"/>
  <c r="W540" i="1"/>
  <c r="W541" i="1"/>
  <c r="W542" i="1"/>
  <c r="W543" i="1"/>
  <c r="W544" i="1"/>
  <c r="W545" i="1"/>
  <c r="W546" i="1"/>
  <c r="W547" i="1"/>
  <c r="W548" i="1"/>
  <c r="W549" i="1"/>
  <c r="W550" i="1"/>
  <c r="W551" i="1"/>
  <c r="W552" i="1"/>
  <c r="W553" i="1"/>
  <c r="W554" i="1"/>
  <c r="W555" i="1"/>
  <c r="W556" i="1"/>
  <c r="W557" i="1"/>
  <c r="W558" i="1"/>
  <c r="W559" i="1"/>
  <c r="W560" i="1"/>
  <c r="W561" i="1"/>
  <c r="W562" i="1"/>
  <c r="W563" i="1"/>
  <c r="W564" i="1"/>
  <c r="W565" i="1"/>
  <c r="W566" i="1"/>
  <c r="W567" i="1"/>
  <c r="W568" i="1"/>
  <c r="W569" i="1"/>
  <c r="W570" i="1"/>
  <c r="W571" i="1"/>
  <c r="W572" i="1"/>
  <c r="W573" i="1"/>
  <c r="W574" i="1"/>
  <c r="W575" i="1"/>
  <c r="W576" i="1"/>
  <c r="W577" i="1"/>
  <c r="W578" i="1"/>
  <c r="W579" i="1"/>
  <c r="W580" i="1"/>
  <c r="W581" i="1"/>
  <c r="W582" i="1"/>
  <c r="W583" i="1"/>
  <c r="W584" i="1"/>
  <c r="W585" i="1"/>
  <c r="W586" i="1"/>
  <c r="W587" i="1"/>
  <c r="W588" i="1"/>
  <c r="W589" i="1"/>
  <c r="W590" i="1"/>
  <c r="W591" i="1"/>
  <c r="W592" i="1"/>
  <c r="W593" i="1"/>
  <c r="W594" i="1"/>
  <c r="W595" i="1"/>
  <c r="W596" i="1"/>
  <c r="W597" i="1"/>
  <c r="W598" i="1"/>
  <c r="W599" i="1"/>
  <c r="W600" i="1"/>
  <c r="W601" i="1"/>
  <c r="W602" i="1"/>
  <c r="W603" i="1"/>
  <c r="W604" i="1"/>
  <c r="W605" i="1"/>
  <c r="W606" i="1"/>
  <c r="W607" i="1"/>
  <c r="W608" i="1"/>
  <c r="W609" i="1"/>
  <c r="W610" i="1"/>
  <c r="W611" i="1"/>
  <c r="W612" i="1"/>
  <c r="W613" i="1"/>
  <c r="W614" i="1"/>
  <c r="W615" i="1"/>
  <c r="W616" i="1"/>
  <c r="W617" i="1"/>
  <c r="W618" i="1"/>
  <c r="W619" i="1"/>
  <c r="W620" i="1"/>
  <c r="W621" i="1"/>
  <c r="W622" i="1"/>
  <c r="W623" i="1"/>
  <c r="W624" i="1"/>
  <c r="W625" i="1"/>
  <c r="W626" i="1"/>
  <c r="W627" i="1"/>
  <c r="W628" i="1"/>
  <c r="W629" i="1"/>
  <c r="W630" i="1"/>
  <c r="W631" i="1"/>
  <c r="W632" i="1"/>
  <c r="W633" i="1"/>
  <c r="W634" i="1"/>
  <c r="W635" i="1"/>
  <c r="W636" i="1"/>
  <c r="W637" i="1"/>
  <c r="W638" i="1"/>
  <c r="W639" i="1"/>
  <c r="W640" i="1"/>
  <c r="W641" i="1"/>
  <c r="W642" i="1"/>
  <c r="W643" i="1"/>
  <c r="W644" i="1"/>
  <c r="W645" i="1"/>
  <c r="W646" i="1"/>
  <c r="W647" i="1"/>
  <c r="W648" i="1"/>
  <c r="W649" i="1"/>
  <c r="W650" i="1"/>
  <c r="W651" i="1"/>
  <c r="W652" i="1"/>
  <c r="W653" i="1"/>
  <c r="W654" i="1"/>
  <c r="W655" i="1"/>
  <c r="W656" i="1"/>
  <c r="W657" i="1"/>
  <c r="W658" i="1"/>
  <c r="W659" i="1"/>
  <c r="W660" i="1"/>
  <c r="W661" i="1"/>
  <c r="W662" i="1"/>
  <c r="W663" i="1"/>
  <c r="W664" i="1"/>
  <c r="W665" i="1"/>
  <c r="W666" i="1"/>
  <c r="W667" i="1"/>
  <c r="W668" i="1"/>
  <c r="W669" i="1"/>
  <c r="W670" i="1"/>
  <c r="W671" i="1"/>
  <c r="W672" i="1"/>
  <c r="W673" i="1"/>
  <c r="W674" i="1"/>
  <c r="W675" i="1"/>
  <c r="W676" i="1"/>
  <c r="W677" i="1"/>
  <c r="W678" i="1"/>
  <c r="W679" i="1"/>
  <c r="W680" i="1"/>
  <c r="W681" i="1"/>
  <c r="W682" i="1"/>
  <c r="W683" i="1"/>
  <c r="W684" i="1"/>
  <c r="W685" i="1"/>
  <c r="W686" i="1"/>
  <c r="W687" i="1"/>
  <c r="W688" i="1"/>
  <c r="W689" i="1"/>
  <c r="W690" i="1"/>
  <c r="W691" i="1"/>
  <c r="W692" i="1"/>
  <c r="W693" i="1"/>
  <c r="W694" i="1"/>
  <c r="W695" i="1"/>
  <c r="W696" i="1"/>
  <c r="W697" i="1"/>
  <c r="W698" i="1"/>
  <c r="W699" i="1"/>
  <c r="AL504" i="1"/>
  <c r="AL505" i="1"/>
  <c r="AM505" i="1" s="1"/>
  <c r="AL506" i="1"/>
  <c r="AM506" i="1" s="1"/>
  <c r="AL507" i="1"/>
  <c r="AM507" i="1" s="1"/>
  <c r="AL508" i="1"/>
  <c r="AL509" i="1"/>
  <c r="AL510" i="1"/>
  <c r="AM510" i="1" s="1"/>
  <c r="AL511" i="1"/>
  <c r="AM511" i="1" s="1"/>
  <c r="AL512" i="1"/>
  <c r="AM512" i="1" s="1"/>
  <c r="AL513" i="1"/>
  <c r="AL514" i="1"/>
  <c r="AM514" i="1" s="1"/>
  <c r="AL515" i="1"/>
  <c r="AM515" i="1" s="1"/>
  <c r="AL516" i="1"/>
  <c r="AM516" i="1" s="1"/>
  <c r="AL517" i="1"/>
  <c r="AL518" i="1"/>
  <c r="AM518" i="1" s="1"/>
  <c r="AL519" i="1"/>
  <c r="AM519" i="1" s="1"/>
  <c r="AL520" i="1"/>
  <c r="AM520" i="1" s="1"/>
  <c r="AL521" i="1"/>
  <c r="AL522" i="1"/>
  <c r="AM522" i="1" s="1"/>
  <c r="AL523" i="1"/>
  <c r="AM523" i="1" s="1"/>
  <c r="AL524" i="1"/>
  <c r="AM524" i="1" s="1"/>
  <c r="AL525" i="1"/>
  <c r="AM525" i="1" s="1"/>
  <c r="AL526" i="1"/>
  <c r="AL527" i="1"/>
  <c r="AM527" i="1" s="1"/>
  <c r="AL528" i="1"/>
  <c r="AM528" i="1" s="1"/>
  <c r="AL529" i="1"/>
  <c r="AM529" i="1" s="1"/>
  <c r="AL530" i="1"/>
  <c r="AL531" i="1"/>
  <c r="AM531" i="1" s="1"/>
  <c r="AL532" i="1"/>
  <c r="AM532" i="1" s="1"/>
  <c r="AL533" i="1"/>
  <c r="AM533" i="1" s="1"/>
  <c r="AL534" i="1"/>
  <c r="AL535" i="1"/>
  <c r="AM535" i="1" s="1"/>
  <c r="AL536" i="1"/>
  <c r="AM536" i="1" s="1"/>
  <c r="AL537" i="1"/>
  <c r="AM537" i="1" s="1"/>
  <c r="AL538" i="1"/>
  <c r="AL539" i="1"/>
  <c r="AM539" i="1" s="1"/>
  <c r="AL540" i="1"/>
  <c r="AM540" i="1" s="1"/>
  <c r="AL541" i="1"/>
  <c r="AM541" i="1" s="1"/>
  <c r="AL542" i="1"/>
  <c r="AL543" i="1"/>
  <c r="AM543" i="1" s="1"/>
  <c r="AL544" i="1"/>
  <c r="AM544" i="1" s="1"/>
  <c r="AL545" i="1"/>
  <c r="AM545" i="1" s="1"/>
  <c r="AL546" i="1"/>
  <c r="AM546" i="1" s="1"/>
  <c r="AL547" i="1"/>
  <c r="AL548" i="1"/>
  <c r="AM548" i="1" s="1"/>
  <c r="AL549" i="1"/>
  <c r="AM549" i="1" s="1"/>
  <c r="AL550" i="1"/>
  <c r="AM550" i="1" s="1"/>
  <c r="AL551" i="1"/>
  <c r="AM551" i="1" s="1"/>
  <c r="AL552" i="1"/>
  <c r="AL553" i="1"/>
  <c r="AM553" i="1" s="1"/>
  <c r="AL554" i="1"/>
  <c r="AM554" i="1" s="1"/>
  <c r="AL555" i="1"/>
  <c r="AM555" i="1" s="1"/>
  <c r="AL556" i="1"/>
  <c r="AL557" i="1"/>
  <c r="AM557" i="1" s="1"/>
  <c r="AL558" i="1"/>
  <c r="AM558" i="1" s="1"/>
  <c r="AL559" i="1"/>
  <c r="AM559" i="1" s="1"/>
  <c r="AL560" i="1"/>
  <c r="AL561" i="1"/>
  <c r="AM561" i="1" s="1"/>
  <c r="AL562" i="1"/>
  <c r="AM562" i="1" s="1"/>
  <c r="AL563" i="1"/>
  <c r="AM563" i="1" s="1"/>
  <c r="AL564" i="1"/>
  <c r="AL565" i="1"/>
  <c r="AM565" i="1" s="1"/>
  <c r="AL566" i="1"/>
  <c r="AM566" i="1" s="1"/>
  <c r="AL567" i="1"/>
  <c r="AM567" i="1" s="1"/>
  <c r="AL568" i="1"/>
  <c r="AM568" i="1" s="1"/>
  <c r="AL569" i="1"/>
  <c r="AL570" i="1"/>
  <c r="AM570" i="1" s="1"/>
  <c r="AL571" i="1"/>
  <c r="AM571" i="1" s="1"/>
  <c r="AL572" i="1"/>
  <c r="AM572" i="1" s="1"/>
  <c r="AL573" i="1"/>
  <c r="AL574" i="1"/>
  <c r="AM574" i="1" s="1"/>
  <c r="AL575" i="1"/>
  <c r="AM575" i="1" s="1"/>
  <c r="AL576" i="1"/>
  <c r="AM576" i="1" s="1"/>
  <c r="AL577" i="1"/>
  <c r="AL578" i="1"/>
  <c r="AM578" i="1" s="1"/>
  <c r="AL579" i="1"/>
  <c r="AM579" i="1" s="1"/>
  <c r="AL580" i="1"/>
  <c r="AM580" i="1" s="1"/>
  <c r="AL581" i="1"/>
  <c r="AL582" i="1"/>
  <c r="AM582" i="1" s="1"/>
  <c r="AL583" i="1"/>
  <c r="AM583" i="1" s="1"/>
  <c r="AL584" i="1"/>
  <c r="AM584" i="1" s="1"/>
  <c r="AL585" i="1"/>
  <c r="AM585" i="1" s="1"/>
  <c r="AL586" i="1"/>
  <c r="AM586" i="1" s="1"/>
  <c r="AL587" i="1"/>
  <c r="AM587" i="1" s="1"/>
  <c r="AL588" i="1"/>
  <c r="AM588" i="1" s="1"/>
  <c r="AL589" i="1"/>
  <c r="AM589" i="1" s="1"/>
  <c r="AL590" i="1"/>
  <c r="AM590" i="1" s="1"/>
  <c r="AL591" i="1"/>
  <c r="AL592" i="1"/>
  <c r="AM592" i="1" s="1"/>
  <c r="AL593" i="1"/>
  <c r="AM593" i="1" s="1"/>
  <c r="AL594" i="1"/>
  <c r="AM594" i="1" s="1"/>
  <c r="AL595" i="1"/>
  <c r="AM595" i="1" s="1"/>
  <c r="AL596" i="1"/>
  <c r="AL597" i="1"/>
  <c r="AM597" i="1" s="1"/>
  <c r="AL598" i="1"/>
  <c r="AM598" i="1" s="1"/>
  <c r="AL599" i="1"/>
  <c r="AM599" i="1" s="1"/>
  <c r="AL600" i="1"/>
  <c r="AM600" i="1" s="1"/>
  <c r="AL601" i="1"/>
  <c r="AM601" i="1" s="1"/>
  <c r="AL602" i="1"/>
  <c r="AM602" i="1" s="1"/>
  <c r="AL603" i="1"/>
  <c r="AM603" i="1" s="1"/>
  <c r="AL604" i="1"/>
  <c r="AM604" i="1" s="1"/>
  <c r="AL605" i="1"/>
  <c r="AM605" i="1" s="1"/>
  <c r="AL606" i="1"/>
  <c r="AM606" i="1" s="1"/>
  <c r="AL607" i="1"/>
  <c r="AL608" i="1"/>
  <c r="AM608" i="1" s="1"/>
  <c r="AL609" i="1"/>
  <c r="AM609" i="1" s="1"/>
  <c r="AL610" i="1"/>
  <c r="AM610" i="1" s="1"/>
  <c r="AL611" i="1"/>
  <c r="AL612" i="1"/>
  <c r="AM612" i="1" s="1"/>
  <c r="AL613" i="1"/>
  <c r="AM613" i="1" s="1"/>
  <c r="AL614" i="1"/>
  <c r="AM614" i="1" s="1"/>
  <c r="AL615" i="1"/>
  <c r="AL616" i="1"/>
  <c r="AM616" i="1" s="1"/>
  <c r="AL617" i="1"/>
  <c r="AM617" i="1" s="1"/>
  <c r="AL618" i="1"/>
  <c r="AM618" i="1" s="1"/>
  <c r="AL619" i="1"/>
  <c r="AM619" i="1" s="1"/>
  <c r="AL620" i="1"/>
  <c r="AL621" i="1"/>
  <c r="AM621" i="1" s="1"/>
  <c r="AL622" i="1"/>
  <c r="AM622" i="1" s="1"/>
  <c r="AL623" i="1"/>
  <c r="AM623" i="1" s="1"/>
  <c r="AL624" i="1"/>
  <c r="AL625" i="1"/>
  <c r="AM625" i="1" s="1"/>
  <c r="AL626" i="1"/>
  <c r="AM626" i="1" s="1"/>
  <c r="AL627" i="1"/>
  <c r="AM627" i="1" s="1"/>
  <c r="AL628" i="1"/>
  <c r="AL629" i="1"/>
  <c r="AM629" i="1" s="1"/>
  <c r="AL630" i="1"/>
  <c r="AM630" i="1" s="1"/>
  <c r="AL631" i="1"/>
  <c r="AM631" i="1" s="1"/>
  <c r="AL632" i="1"/>
  <c r="AL633" i="1"/>
  <c r="AM633" i="1" s="1"/>
  <c r="AL634" i="1"/>
  <c r="AM634" i="1" s="1"/>
  <c r="AL635" i="1"/>
  <c r="AM635" i="1" s="1"/>
  <c r="AL636" i="1"/>
  <c r="AM636" i="1" s="1"/>
  <c r="AL637" i="1"/>
  <c r="AM637" i="1" s="1"/>
  <c r="AL638" i="1"/>
  <c r="AM638" i="1" s="1"/>
  <c r="AL639" i="1"/>
  <c r="AM639" i="1" s="1"/>
  <c r="AL640" i="1"/>
  <c r="AM640" i="1" s="1"/>
  <c r="AL641" i="1"/>
  <c r="AM641" i="1" s="1"/>
  <c r="AL642" i="1"/>
  <c r="AM642" i="1" s="1"/>
  <c r="AL643" i="1"/>
  <c r="AM643" i="1" s="1"/>
  <c r="AL644" i="1"/>
  <c r="AM644" i="1" s="1"/>
  <c r="AL645" i="1"/>
  <c r="AM645" i="1" s="1"/>
  <c r="AL646" i="1"/>
  <c r="AL647" i="1"/>
  <c r="AM647" i="1" s="1"/>
  <c r="AL648" i="1"/>
  <c r="AM648" i="1" s="1"/>
  <c r="AL649" i="1"/>
  <c r="AM649" i="1" s="1"/>
  <c r="AL650" i="1"/>
  <c r="AM650" i="1" s="1"/>
  <c r="AL651" i="1"/>
  <c r="AM651" i="1" s="1"/>
  <c r="AL652" i="1"/>
  <c r="AM652" i="1" s="1"/>
  <c r="AL653" i="1"/>
  <c r="AM653" i="1" s="1"/>
  <c r="AL654" i="1"/>
  <c r="AL655" i="1"/>
  <c r="AM655" i="1" s="1"/>
  <c r="AL656" i="1"/>
  <c r="AM656" i="1" s="1"/>
  <c r="AL657" i="1"/>
  <c r="AM657" i="1" s="1"/>
  <c r="AL658" i="1"/>
  <c r="AM658" i="1" s="1"/>
  <c r="AL659" i="1"/>
  <c r="AM659" i="1" s="1"/>
  <c r="AL660" i="1"/>
  <c r="AM660" i="1" s="1"/>
  <c r="AL661" i="1"/>
  <c r="AM661" i="1" s="1"/>
  <c r="AL662" i="1"/>
  <c r="AL663" i="1"/>
  <c r="AM663" i="1" s="1"/>
  <c r="AL664" i="1"/>
  <c r="AM664" i="1" s="1"/>
  <c r="AL665" i="1"/>
  <c r="AM665" i="1" s="1"/>
  <c r="AL666" i="1"/>
  <c r="AM666" i="1" s="1"/>
  <c r="AL667" i="1"/>
  <c r="AM667" i="1" s="1"/>
  <c r="AL668" i="1"/>
  <c r="AM668" i="1" s="1"/>
  <c r="AL669" i="1"/>
  <c r="AM669" i="1" s="1"/>
  <c r="AL670" i="1"/>
  <c r="AL671" i="1"/>
  <c r="AM671" i="1" s="1"/>
  <c r="AL672" i="1"/>
  <c r="AM672" i="1" s="1"/>
  <c r="AL673" i="1"/>
  <c r="AM673" i="1" s="1"/>
  <c r="AL674" i="1"/>
  <c r="AM674" i="1" s="1"/>
  <c r="AL675" i="1"/>
  <c r="AM675" i="1" s="1"/>
  <c r="AL676" i="1"/>
  <c r="AM676" i="1" s="1"/>
  <c r="AL677" i="1"/>
  <c r="AM677" i="1" s="1"/>
  <c r="AL678" i="1"/>
  <c r="AM678" i="1" s="1"/>
  <c r="AL679" i="1"/>
  <c r="AM679" i="1" s="1"/>
  <c r="AL680" i="1"/>
  <c r="AL681" i="1"/>
  <c r="AM681" i="1" s="1"/>
  <c r="AL682" i="1"/>
  <c r="AM682" i="1" s="1"/>
  <c r="AL683" i="1"/>
  <c r="AM683" i="1" s="1"/>
  <c r="AL684" i="1"/>
  <c r="AL685" i="1"/>
  <c r="AM685" i="1" s="1"/>
  <c r="AL686" i="1"/>
  <c r="AM686" i="1" s="1"/>
  <c r="AL687" i="1"/>
  <c r="AM687" i="1" s="1"/>
  <c r="AL688" i="1"/>
  <c r="AL689" i="1"/>
  <c r="AM689" i="1" s="1"/>
  <c r="AL690" i="1"/>
  <c r="AM690" i="1" s="1"/>
  <c r="AL691" i="1"/>
  <c r="AM691" i="1" s="1"/>
  <c r="AL692" i="1"/>
  <c r="AL693" i="1"/>
  <c r="AM693" i="1" s="1"/>
  <c r="AL694" i="1"/>
  <c r="AM694" i="1" s="1"/>
  <c r="AL695" i="1"/>
  <c r="AM695" i="1" s="1"/>
  <c r="AL696" i="1"/>
  <c r="AL697" i="1"/>
  <c r="AM697" i="1" s="1"/>
  <c r="AL698" i="1"/>
  <c r="AM698" i="1" s="1"/>
  <c r="AL699" i="1"/>
  <c r="AM699" i="1" s="1"/>
  <c r="AM508" i="1"/>
  <c r="AO504" i="1"/>
  <c r="AO505" i="1"/>
  <c r="AO506" i="1"/>
  <c r="AO507" i="1"/>
  <c r="AO508" i="1"/>
  <c r="AO510" i="1"/>
  <c r="AO511" i="1"/>
  <c r="AO512" i="1"/>
  <c r="AO514" i="1"/>
  <c r="AO515" i="1"/>
  <c r="AO516" i="1"/>
  <c r="AO518" i="1"/>
  <c r="AO519" i="1"/>
  <c r="AO520" i="1"/>
  <c r="AO522" i="1"/>
  <c r="AO523" i="1"/>
  <c r="AO524" i="1"/>
  <c r="AO525" i="1"/>
  <c r="AO526" i="1"/>
  <c r="AO527" i="1"/>
  <c r="AO528" i="1"/>
  <c r="AO529" i="1"/>
  <c r="AO531" i="1"/>
  <c r="AO532" i="1"/>
  <c r="AO533" i="1"/>
  <c r="AO534" i="1"/>
  <c r="AO535" i="1"/>
  <c r="AO537" i="1"/>
  <c r="AO539" i="1"/>
  <c r="AO540" i="1"/>
  <c r="AO541" i="1"/>
  <c r="AO542" i="1"/>
  <c r="AO543" i="1"/>
  <c r="AO544" i="1"/>
  <c r="AO545" i="1"/>
  <c r="AO546" i="1"/>
  <c r="AO548" i="1"/>
  <c r="AO550" i="1"/>
  <c r="AO551" i="1"/>
  <c r="AO553" i="1"/>
  <c r="AO554" i="1"/>
  <c r="AO555" i="1"/>
  <c r="AO556" i="1"/>
  <c r="AO557" i="1"/>
  <c r="AO558" i="1"/>
  <c r="AO559" i="1"/>
  <c r="AO561" i="1"/>
  <c r="AO562" i="1"/>
  <c r="AO563" i="1"/>
  <c r="AO565" i="1"/>
  <c r="AO566" i="1"/>
  <c r="AO567" i="1"/>
  <c r="AO568" i="1"/>
  <c r="AO570" i="1"/>
  <c r="AO571" i="1"/>
  <c r="AO572" i="1"/>
  <c r="AO574" i="1"/>
  <c r="AO575" i="1"/>
  <c r="AO576" i="1"/>
  <c r="AO578" i="1"/>
  <c r="AO579" i="1"/>
  <c r="AO580" i="1"/>
  <c r="AO582" i="1"/>
  <c r="AO583" i="1"/>
  <c r="AO584" i="1"/>
  <c r="AO585" i="1"/>
  <c r="AO586" i="1"/>
  <c r="AO587" i="1"/>
  <c r="AO588" i="1"/>
  <c r="AO589" i="1"/>
  <c r="AO592" i="1"/>
  <c r="AO593" i="1"/>
  <c r="AO594" i="1"/>
  <c r="AO595" i="1"/>
  <c r="AO597" i="1"/>
  <c r="AO598" i="1"/>
  <c r="AO599" i="1"/>
  <c r="AO600" i="1"/>
  <c r="AO601" i="1"/>
  <c r="AO603" i="1"/>
  <c r="AO604" i="1"/>
  <c r="AO605" i="1"/>
  <c r="AO606" i="1"/>
  <c r="AO608" i="1"/>
  <c r="AO609" i="1"/>
  <c r="AO610" i="1"/>
  <c r="AO612" i="1"/>
  <c r="AO614" i="1"/>
  <c r="AO616" i="1"/>
  <c r="AO617" i="1"/>
  <c r="AO618" i="1"/>
  <c r="AO619" i="1"/>
  <c r="AO621" i="1"/>
  <c r="AO622" i="1"/>
  <c r="AO623" i="1"/>
  <c r="AO625" i="1"/>
  <c r="AO626" i="1"/>
  <c r="AO627" i="1"/>
  <c r="AO629" i="1"/>
  <c r="AO630" i="1"/>
  <c r="AO631" i="1"/>
  <c r="AO633" i="1"/>
  <c r="AO634" i="1"/>
  <c r="AO635" i="1"/>
  <c r="AO636" i="1"/>
  <c r="AO637" i="1"/>
  <c r="AO638" i="1"/>
  <c r="AO639" i="1"/>
  <c r="AO640" i="1"/>
  <c r="AO641" i="1"/>
  <c r="AO643" i="1"/>
  <c r="AO644" i="1"/>
  <c r="AO645" i="1"/>
  <c r="AO647" i="1"/>
  <c r="AO648" i="1"/>
  <c r="AO649" i="1"/>
  <c r="AO651" i="1"/>
  <c r="AO652" i="1"/>
  <c r="AO655" i="1"/>
  <c r="AO656" i="1"/>
  <c r="AO657" i="1"/>
  <c r="AO659" i="1"/>
  <c r="AO660" i="1"/>
  <c r="AO661" i="1"/>
  <c r="AO662" i="1"/>
  <c r="AO663" i="1"/>
  <c r="AO664" i="1"/>
  <c r="AO665" i="1"/>
  <c r="AO667" i="1"/>
  <c r="AO668" i="1"/>
  <c r="AO669" i="1"/>
  <c r="AO671" i="1"/>
  <c r="AO672" i="1"/>
  <c r="AO673" i="1"/>
  <c r="AO675" i="1"/>
  <c r="AO676" i="1"/>
  <c r="AO677" i="1"/>
  <c r="AO678" i="1"/>
  <c r="AO679" i="1"/>
  <c r="AO682" i="1"/>
  <c r="AO683" i="1"/>
  <c r="AO685" i="1"/>
  <c r="AO686" i="1"/>
  <c r="AO687" i="1"/>
  <c r="AO688" i="1"/>
  <c r="AO689" i="1"/>
  <c r="AO690" i="1"/>
  <c r="AO691" i="1"/>
  <c r="AO693" i="1"/>
  <c r="AO694" i="1"/>
  <c r="AO695" i="1"/>
  <c r="AO697" i="1"/>
  <c r="AO698" i="1"/>
  <c r="AO699" i="1"/>
  <c r="R526" i="1" l="1"/>
  <c r="R534" i="1"/>
  <c r="S542" i="1"/>
  <c r="M510" i="1"/>
  <c r="Q566" i="1"/>
  <c r="S534" i="1"/>
  <c r="Q542" i="1"/>
  <c r="R566" i="1"/>
  <c r="S558" i="1"/>
  <c r="Q550" i="1"/>
  <c r="S504" i="1"/>
  <c r="Q591" i="1"/>
  <c r="S590" i="1"/>
  <c r="Q600" i="1"/>
  <c r="R670" i="1"/>
  <c r="S567" i="1"/>
  <c r="S686" i="1"/>
  <c r="S527" i="1"/>
  <c r="R527" i="1"/>
  <c r="Q519" i="1"/>
  <c r="S615" i="1"/>
  <c r="Q511" i="1"/>
  <c r="R519" i="1"/>
  <c r="S583" i="1"/>
  <c r="R607" i="1"/>
  <c r="R559" i="1"/>
  <c r="R535" i="1"/>
  <c r="M551" i="1"/>
  <c r="R590" i="1"/>
  <c r="Q622" i="1"/>
  <c r="Q598" i="1"/>
  <c r="R639" i="1"/>
  <c r="M550" i="1"/>
  <c r="S662" i="1"/>
  <c r="S582" i="1"/>
  <c r="R630" i="1"/>
  <c r="R558" i="1"/>
  <c r="R518" i="1"/>
  <c r="Q534" i="1"/>
  <c r="S678" i="1"/>
  <c r="S638" i="1"/>
  <c r="S574" i="1"/>
  <c r="S526" i="1"/>
  <c r="R614" i="1"/>
  <c r="R550" i="1"/>
  <c r="R510" i="1"/>
  <c r="Q590" i="1"/>
  <c r="Q526" i="1"/>
  <c r="S630" i="1"/>
  <c r="S518" i="1"/>
  <c r="R542" i="1"/>
  <c r="Q694" i="1"/>
  <c r="Q582" i="1"/>
  <c r="S622" i="1"/>
  <c r="S566" i="1"/>
  <c r="S510" i="1"/>
  <c r="R606" i="1"/>
  <c r="Q662" i="1"/>
  <c r="Q574" i="1"/>
  <c r="Q518" i="1"/>
  <c r="S606" i="1"/>
  <c r="R678" i="1"/>
  <c r="R582" i="1"/>
  <c r="Q606" i="1"/>
  <c r="Q558" i="1"/>
  <c r="Q559" i="1"/>
  <c r="M569" i="1"/>
  <c r="Q647" i="1"/>
  <c r="M599" i="1"/>
  <c r="R655" i="1"/>
  <c r="R567" i="1"/>
  <c r="S687" i="1"/>
  <c r="S543" i="1"/>
  <c r="R679" i="1"/>
  <c r="M519" i="1"/>
  <c r="R520" i="1"/>
  <c r="S632" i="1"/>
  <c r="S536" i="1"/>
  <c r="S568" i="1"/>
  <c r="R584" i="1"/>
  <c r="Q536" i="1"/>
  <c r="S670" i="1"/>
  <c r="S614" i="1"/>
  <c r="R598" i="1"/>
  <c r="Q614" i="1"/>
  <c r="M638" i="1"/>
  <c r="S646" i="1"/>
  <c r="S598" i="1"/>
  <c r="R638" i="1"/>
  <c r="M592" i="1"/>
  <c r="R622" i="1"/>
  <c r="R574" i="1"/>
  <c r="Q670" i="1"/>
  <c r="Q639" i="1"/>
  <c r="Q607" i="1"/>
  <c r="M679" i="1"/>
  <c r="M575" i="1"/>
  <c r="S696" i="1"/>
  <c r="S663" i="1"/>
  <c r="S631" i="1"/>
  <c r="S599" i="1"/>
  <c r="S511" i="1"/>
  <c r="R662" i="1"/>
  <c r="R623" i="1"/>
  <c r="R591" i="1"/>
  <c r="Q695" i="1"/>
  <c r="Q646" i="1"/>
  <c r="Q575" i="1"/>
  <c r="Q543" i="1"/>
  <c r="M535" i="1"/>
  <c r="S695" i="1"/>
  <c r="S654" i="1"/>
  <c r="S623" i="1"/>
  <c r="S591" i="1"/>
  <c r="S535" i="1"/>
  <c r="R654" i="1"/>
  <c r="R615" i="1"/>
  <c r="Q686" i="1"/>
  <c r="Q631" i="1"/>
  <c r="Q599" i="1"/>
  <c r="Q567" i="1"/>
  <c r="M647" i="1"/>
  <c r="M527" i="1"/>
  <c r="S694" i="1"/>
  <c r="S647" i="1"/>
  <c r="S559" i="1"/>
  <c r="R694" i="1"/>
  <c r="R646" i="1"/>
  <c r="R583" i="1"/>
  <c r="R551" i="1"/>
  <c r="Q678" i="1"/>
  <c r="Q630" i="1"/>
  <c r="S639" i="1"/>
  <c r="S551" i="1"/>
  <c r="R575" i="1"/>
  <c r="R543" i="1"/>
  <c r="Q663" i="1"/>
  <c r="Q615" i="1"/>
  <c r="M583" i="1"/>
  <c r="S607" i="1"/>
  <c r="R671" i="1"/>
  <c r="R631" i="1"/>
  <c r="R511" i="1"/>
  <c r="AM504" i="1"/>
  <c r="Q561" i="1"/>
  <c r="S681" i="1"/>
  <c r="R687" i="1"/>
  <c r="R521" i="1"/>
  <c r="M577" i="1"/>
  <c r="M505" i="1"/>
  <c r="AO654" i="1"/>
  <c r="R593" i="1"/>
  <c r="Q689" i="1"/>
  <c r="Q625" i="1"/>
  <c r="S655" i="1"/>
  <c r="S513" i="1"/>
  <c r="Q687" i="1"/>
  <c r="Q655" i="1"/>
  <c r="Q623" i="1"/>
  <c r="Q513" i="1"/>
  <c r="M695" i="1"/>
  <c r="M521" i="1"/>
  <c r="S679" i="1"/>
  <c r="R561" i="1"/>
  <c r="R513" i="1"/>
  <c r="M671" i="1"/>
  <c r="S617" i="1"/>
  <c r="R529" i="1"/>
  <c r="Q505" i="1"/>
  <c r="R665" i="1"/>
  <c r="S671" i="1"/>
  <c r="R663" i="1"/>
  <c r="R601" i="1"/>
  <c r="Q633" i="1"/>
  <c r="M601" i="1"/>
  <c r="R577" i="1"/>
  <c r="Q521" i="1"/>
  <c r="M561" i="1"/>
  <c r="M665" i="1"/>
  <c r="AM670" i="1"/>
  <c r="AM662" i="1"/>
  <c r="S548" i="1"/>
  <c r="M644" i="1"/>
  <c r="AM654" i="1"/>
  <c r="AM581" i="1"/>
  <c r="AM573" i="1"/>
  <c r="S652" i="1"/>
  <c r="Q664" i="1"/>
  <c r="AM646" i="1"/>
  <c r="AM564" i="1"/>
  <c r="R648" i="1"/>
  <c r="M664" i="1"/>
  <c r="S564" i="1"/>
  <c r="M540" i="1"/>
  <c r="AM538" i="1"/>
  <c r="AM530" i="1"/>
  <c r="M680" i="1"/>
  <c r="AO536" i="1"/>
  <c r="AO653" i="1"/>
  <c r="AM596" i="1"/>
  <c r="AM556" i="1"/>
  <c r="S649" i="1"/>
  <c r="S577" i="1"/>
  <c r="S545" i="1"/>
  <c r="S529" i="1"/>
  <c r="R692" i="1"/>
  <c r="R649" i="1"/>
  <c r="R636" i="1"/>
  <c r="R617" i="1"/>
  <c r="R545" i="1"/>
  <c r="Q652" i="1"/>
  <c r="Q596" i="1"/>
  <c r="Q580" i="1"/>
  <c r="M692" i="1"/>
  <c r="M604" i="1"/>
  <c r="M537" i="1"/>
  <c r="AM547" i="1"/>
  <c r="S697" i="1"/>
  <c r="S684" i="1"/>
  <c r="S665" i="1"/>
  <c r="S593" i="1"/>
  <c r="R689" i="1"/>
  <c r="R668" i="1"/>
  <c r="R633" i="1"/>
  <c r="R580" i="1"/>
  <c r="R564" i="1"/>
  <c r="Q649" i="1"/>
  <c r="Q609" i="1"/>
  <c r="Q593" i="1"/>
  <c r="Q537" i="1"/>
  <c r="Q524" i="1"/>
  <c r="Q508" i="1"/>
  <c r="M620" i="1"/>
  <c r="M588" i="1"/>
  <c r="M553" i="1"/>
  <c r="S508" i="1"/>
  <c r="Q684" i="1"/>
  <c r="AM521" i="1"/>
  <c r="AM513" i="1"/>
  <c r="S641" i="1"/>
  <c r="S625" i="1"/>
  <c r="S609" i="1"/>
  <c r="S569" i="1"/>
  <c r="S556" i="1"/>
  <c r="S540" i="1"/>
  <c r="S524" i="1"/>
  <c r="S505" i="1"/>
  <c r="R681" i="1"/>
  <c r="R609" i="1"/>
  <c r="R540" i="1"/>
  <c r="Q681" i="1"/>
  <c r="Q553" i="1"/>
  <c r="M617" i="1"/>
  <c r="M585" i="1"/>
  <c r="AO666" i="1"/>
  <c r="AM696" i="1"/>
  <c r="AM680" i="1"/>
  <c r="AM624" i="1"/>
  <c r="S657" i="1"/>
  <c r="S588" i="1"/>
  <c r="S553" i="1"/>
  <c r="S537" i="1"/>
  <c r="R644" i="1"/>
  <c r="R628" i="1"/>
  <c r="Q697" i="1"/>
  <c r="Q644" i="1"/>
  <c r="Q601" i="1"/>
  <c r="Q588" i="1"/>
  <c r="Q569" i="1"/>
  <c r="M633" i="1"/>
  <c r="M545" i="1"/>
  <c r="M529" i="1"/>
  <c r="S628" i="1"/>
  <c r="S612" i="1"/>
  <c r="R508" i="1"/>
  <c r="Q556" i="1"/>
  <c r="M516" i="1"/>
  <c r="AM688" i="1"/>
  <c r="AM632" i="1"/>
  <c r="AM615" i="1"/>
  <c r="AM607" i="1"/>
  <c r="S692" i="1"/>
  <c r="S676" i="1"/>
  <c r="S585" i="1"/>
  <c r="R697" i="1"/>
  <c r="R657" i="1"/>
  <c r="R641" i="1"/>
  <c r="R625" i="1"/>
  <c r="R585" i="1"/>
  <c r="R572" i="1"/>
  <c r="Q660" i="1"/>
  <c r="Q641" i="1"/>
  <c r="Q620" i="1"/>
  <c r="Q532" i="1"/>
  <c r="Q516" i="1"/>
  <c r="M668" i="1"/>
  <c r="M564" i="1"/>
  <c r="S689" i="1"/>
  <c r="S673" i="1"/>
  <c r="S620" i="1"/>
  <c r="R673" i="1"/>
  <c r="R604" i="1"/>
  <c r="R516" i="1"/>
  <c r="Q673" i="1"/>
  <c r="Q657" i="1"/>
  <c r="S600" i="1"/>
  <c r="R616" i="1"/>
  <c r="S560" i="1"/>
  <c r="R512" i="1"/>
  <c r="Q528" i="1"/>
  <c r="R552" i="1"/>
  <c r="S688" i="1"/>
  <c r="S624" i="1"/>
  <c r="R640" i="1"/>
  <c r="R576" i="1"/>
  <c r="Q656" i="1"/>
  <c r="M688" i="1"/>
  <c r="M608" i="1"/>
  <c r="S648" i="1"/>
  <c r="S636" i="1"/>
  <c r="S584" i="1"/>
  <c r="S572" i="1"/>
  <c r="S520" i="1"/>
  <c r="R664" i="1"/>
  <c r="R652" i="1"/>
  <c r="R600" i="1"/>
  <c r="R536" i="1"/>
  <c r="R524" i="1"/>
  <c r="Q680" i="1"/>
  <c r="Q668" i="1"/>
  <c r="Q616" i="1"/>
  <c r="Q604" i="1"/>
  <c r="Q552" i="1"/>
  <c r="M654" i="1"/>
  <c r="M640" i="1"/>
  <c r="M596" i="1"/>
  <c r="M584" i="1"/>
  <c r="R680" i="1"/>
  <c r="Q592" i="1"/>
  <c r="S672" i="1"/>
  <c r="S660" i="1"/>
  <c r="S608" i="1"/>
  <c r="S596" i="1"/>
  <c r="S544" i="1"/>
  <c r="S532" i="1"/>
  <c r="R688" i="1"/>
  <c r="R676" i="1"/>
  <c r="R624" i="1"/>
  <c r="R612" i="1"/>
  <c r="R560" i="1"/>
  <c r="R548" i="1"/>
  <c r="Q640" i="1"/>
  <c r="Q628" i="1"/>
  <c r="Q576" i="1"/>
  <c r="Q512" i="1"/>
  <c r="M684" i="1"/>
  <c r="M616" i="1"/>
  <c r="M572" i="1"/>
  <c r="M560" i="1"/>
  <c r="M548" i="1"/>
  <c r="M512" i="1"/>
  <c r="AO684" i="1"/>
  <c r="S656" i="1"/>
  <c r="S592" i="1"/>
  <c r="S580" i="1"/>
  <c r="S528" i="1"/>
  <c r="R686" i="1"/>
  <c r="R672" i="1"/>
  <c r="R660" i="1"/>
  <c r="R608" i="1"/>
  <c r="R544" i="1"/>
  <c r="R532" i="1"/>
  <c r="Q676" i="1"/>
  <c r="Q624" i="1"/>
  <c r="Q612" i="1"/>
  <c r="M648" i="1"/>
  <c r="M636" i="1"/>
  <c r="M568" i="1"/>
  <c r="M544" i="1"/>
  <c r="M520" i="1"/>
  <c r="S552" i="1"/>
  <c r="R696" i="1"/>
  <c r="R632" i="1"/>
  <c r="R568" i="1"/>
  <c r="R556" i="1"/>
  <c r="R504" i="1"/>
  <c r="M696" i="1"/>
  <c r="S576" i="1"/>
  <c r="R656" i="1"/>
  <c r="R528" i="1"/>
  <c r="Q672" i="1"/>
  <c r="Q632" i="1"/>
  <c r="Q504" i="1"/>
  <c r="AO549" i="1"/>
  <c r="AO564" i="1"/>
  <c r="AO590" i="1"/>
  <c r="AO613" i="1"/>
  <c r="AO670" i="1"/>
  <c r="AO681" i="1"/>
  <c r="AM509" i="1"/>
  <c r="AM620" i="1"/>
  <c r="AM692" i="1"/>
  <c r="AO509" i="1"/>
  <c r="AM577" i="1"/>
  <c r="AM569" i="1"/>
  <c r="AO692" i="1"/>
  <c r="AO620" i="1"/>
  <c r="AM560" i="1"/>
  <c r="AM552" i="1"/>
  <c r="AM591" i="1"/>
  <c r="AM542" i="1"/>
  <c r="AM534" i="1"/>
  <c r="AM526" i="1"/>
  <c r="AM517" i="1"/>
  <c r="AM684" i="1"/>
  <c r="AM628" i="1"/>
  <c r="AM611" i="1"/>
  <c r="R531" i="1"/>
  <c r="M523" i="1"/>
  <c r="R563" i="1"/>
  <c r="M563" i="1"/>
  <c r="S675" i="1"/>
  <c r="S643" i="1"/>
  <c r="S611" i="1"/>
  <c r="S579" i="1"/>
  <c r="S547" i="1"/>
  <c r="S515" i="1"/>
  <c r="Q555" i="1"/>
  <c r="Q523" i="1"/>
  <c r="M531" i="1"/>
  <c r="R571" i="1"/>
  <c r="R539" i="1"/>
  <c r="R507" i="1"/>
  <c r="M571" i="1"/>
  <c r="S683" i="1"/>
  <c r="S651" i="1"/>
  <c r="S619" i="1"/>
  <c r="S587" i="1"/>
  <c r="S555" i="1"/>
  <c r="S523" i="1"/>
  <c r="Q563" i="1"/>
  <c r="Q531" i="1"/>
  <c r="M539" i="1"/>
  <c r="R547" i="1"/>
  <c r="R515" i="1"/>
  <c r="S691" i="1"/>
  <c r="S659" i="1"/>
  <c r="S627" i="1"/>
  <c r="S595" i="1"/>
  <c r="Q571" i="1"/>
  <c r="Q539" i="1"/>
  <c r="Q507" i="1"/>
  <c r="M547" i="1"/>
  <c r="M507" i="1"/>
  <c r="R555" i="1"/>
  <c r="M515" i="1"/>
  <c r="S699" i="1"/>
  <c r="S667" i="1"/>
  <c r="S635" i="1"/>
  <c r="S603" i="1"/>
  <c r="M693" i="1"/>
  <c r="R693" i="1"/>
  <c r="S693" i="1"/>
  <c r="Q693" i="1"/>
  <c r="M685" i="1"/>
  <c r="R685" i="1"/>
  <c r="S685" i="1"/>
  <c r="Q685" i="1"/>
  <c r="M677" i="1"/>
  <c r="R677" i="1"/>
  <c r="S677" i="1"/>
  <c r="Q677" i="1"/>
  <c r="M669" i="1"/>
  <c r="R669" i="1"/>
  <c r="S669" i="1"/>
  <c r="Q669" i="1"/>
  <c r="M661" i="1"/>
  <c r="R661" i="1"/>
  <c r="S661" i="1"/>
  <c r="Q661" i="1"/>
  <c r="M653" i="1"/>
  <c r="R653" i="1"/>
  <c r="S653" i="1"/>
  <c r="Q653" i="1"/>
  <c r="M645" i="1"/>
  <c r="R645" i="1"/>
  <c r="S645" i="1"/>
  <c r="Q645" i="1"/>
  <c r="M637" i="1"/>
  <c r="R637" i="1"/>
  <c r="S637" i="1"/>
  <c r="Q637" i="1"/>
  <c r="M629" i="1"/>
  <c r="R629" i="1"/>
  <c r="S629" i="1"/>
  <c r="Q629" i="1"/>
  <c r="M621" i="1"/>
  <c r="R621" i="1"/>
  <c r="S621" i="1"/>
  <c r="Q621" i="1"/>
  <c r="M613" i="1"/>
  <c r="R613" i="1"/>
  <c r="S613" i="1"/>
  <c r="Q613" i="1"/>
  <c r="M605" i="1"/>
  <c r="R605" i="1"/>
  <c r="S605" i="1"/>
  <c r="Q605" i="1"/>
  <c r="S682" i="1"/>
  <c r="Q682" i="1"/>
  <c r="R682" i="1"/>
  <c r="S658" i="1"/>
  <c r="Q658" i="1"/>
  <c r="R658" i="1"/>
  <c r="S634" i="1"/>
  <c r="Q634" i="1"/>
  <c r="R634" i="1"/>
  <c r="S610" i="1"/>
  <c r="Q610" i="1"/>
  <c r="R610" i="1"/>
  <c r="S586" i="1"/>
  <c r="Q586" i="1"/>
  <c r="R586" i="1"/>
  <c r="S562" i="1"/>
  <c r="Q562" i="1"/>
  <c r="R562" i="1"/>
  <c r="S538" i="1"/>
  <c r="Q538" i="1"/>
  <c r="R538" i="1"/>
  <c r="S514" i="1"/>
  <c r="Q514" i="1"/>
  <c r="R514" i="1"/>
  <c r="S690" i="1"/>
  <c r="Q690" i="1"/>
  <c r="R690" i="1"/>
  <c r="S666" i="1"/>
  <c r="Q666" i="1"/>
  <c r="R666" i="1"/>
  <c r="S642" i="1"/>
  <c r="Q642" i="1"/>
  <c r="R642" i="1"/>
  <c r="S618" i="1"/>
  <c r="Q618" i="1"/>
  <c r="R618" i="1"/>
  <c r="S594" i="1"/>
  <c r="Q594" i="1"/>
  <c r="R594" i="1"/>
  <c r="S570" i="1"/>
  <c r="Q570" i="1"/>
  <c r="R570" i="1"/>
  <c r="S546" i="1"/>
  <c r="Q546" i="1"/>
  <c r="R546" i="1"/>
  <c r="S522" i="1"/>
  <c r="Q522" i="1"/>
  <c r="R522" i="1"/>
  <c r="M538" i="1"/>
  <c r="S698" i="1"/>
  <c r="Q698" i="1"/>
  <c r="R698" i="1"/>
  <c r="S674" i="1"/>
  <c r="Q674" i="1"/>
  <c r="R674" i="1"/>
  <c r="S650" i="1"/>
  <c r="Q650" i="1"/>
  <c r="R650" i="1"/>
  <c r="S626" i="1"/>
  <c r="Q626" i="1"/>
  <c r="R626" i="1"/>
  <c r="S602" i="1"/>
  <c r="Q602" i="1"/>
  <c r="R602" i="1"/>
  <c r="S578" i="1"/>
  <c r="Q578" i="1"/>
  <c r="R578" i="1"/>
  <c r="S554" i="1"/>
  <c r="Q554" i="1"/>
  <c r="R554" i="1"/>
  <c r="S530" i="1"/>
  <c r="Q530" i="1"/>
  <c r="R530" i="1"/>
  <c r="S506" i="1"/>
  <c r="Q506" i="1"/>
  <c r="R506" i="1"/>
  <c r="M682" i="1"/>
  <c r="M658" i="1"/>
  <c r="M626" i="1"/>
  <c r="M594" i="1"/>
  <c r="M546" i="1"/>
  <c r="M554" i="1"/>
  <c r="Q597" i="1"/>
  <c r="Q589" i="1"/>
  <c r="Q581" i="1"/>
  <c r="Q573" i="1"/>
  <c r="Q565" i="1"/>
  <c r="Q557" i="1"/>
  <c r="Q549" i="1"/>
  <c r="Q541" i="1"/>
  <c r="Q533" i="1"/>
  <c r="Q525" i="1"/>
  <c r="Q517" i="1"/>
  <c r="Q509" i="1"/>
  <c r="M699" i="1"/>
  <c r="M691" i="1"/>
  <c r="M683" i="1"/>
  <c r="M675" i="1"/>
  <c r="M667" i="1"/>
  <c r="M659" i="1"/>
  <c r="M651" i="1"/>
  <c r="M643" i="1"/>
  <c r="M635" i="1"/>
  <c r="M627" i="1"/>
  <c r="M619" i="1"/>
  <c r="M611" i="1"/>
  <c r="M603" i="1"/>
  <c r="M595" i="1"/>
  <c r="M587" i="1"/>
  <c r="M579" i="1"/>
  <c r="S597" i="1"/>
  <c r="S589" i="1"/>
  <c r="S581" i="1"/>
  <c r="S573" i="1"/>
  <c r="S565" i="1"/>
  <c r="S557" i="1"/>
  <c r="S549" i="1"/>
  <c r="S541" i="1"/>
  <c r="S533" i="1"/>
  <c r="S525" i="1"/>
  <c r="S517" i="1"/>
  <c r="S509" i="1"/>
  <c r="Q699" i="1"/>
  <c r="Q691" i="1"/>
  <c r="Q683" i="1"/>
  <c r="Q675" i="1"/>
  <c r="Q667" i="1"/>
  <c r="Q659" i="1"/>
  <c r="Q651" i="1"/>
  <c r="Q643" i="1"/>
  <c r="Q635" i="1"/>
  <c r="Q627" i="1"/>
  <c r="Q619" i="1"/>
  <c r="Q611" i="1"/>
  <c r="Q603" i="1"/>
  <c r="Q595" i="1"/>
  <c r="Q587" i="1"/>
  <c r="Q579" i="1"/>
  <c r="R597" i="1"/>
  <c r="R589" i="1"/>
  <c r="R581" i="1"/>
  <c r="R573" i="1"/>
  <c r="R565" i="1"/>
  <c r="R557" i="1"/>
  <c r="R549" i="1"/>
  <c r="R541" i="1"/>
  <c r="R533" i="1"/>
  <c r="R525" i="1"/>
  <c r="R517" i="1"/>
  <c r="R509" i="1"/>
  <c r="AN1088" i="1" l="1"/>
  <c r="AN1087" i="1"/>
  <c r="AN1072" i="1"/>
  <c r="AN1071" i="1"/>
  <c r="AN1068" i="1"/>
  <c r="AN1066" i="1"/>
  <c r="AN1060" i="1"/>
  <c r="AN1059" i="1"/>
  <c r="AN1058" i="1"/>
  <c r="AN1057" i="1"/>
  <c r="AN1056" i="1"/>
  <c r="AN1055" i="1"/>
  <c r="AN1052" i="1"/>
  <c r="AN1051" i="1"/>
  <c r="AN1050" i="1"/>
  <c r="AN1025" i="1"/>
  <c r="AN1024" i="1"/>
  <c r="AN1023" i="1"/>
  <c r="AN1022" i="1"/>
  <c r="AN1021" i="1"/>
  <c r="AN1020" i="1"/>
  <c r="AN1019" i="1"/>
  <c r="AN1017" i="1"/>
  <c r="AN1016" i="1"/>
  <c r="AN1014" i="1"/>
  <c r="AN1006" i="1"/>
  <c r="AN1005" i="1"/>
  <c r="AN1004" i="1"/>
  <c r="AN999" i="1"/>
  <c r="AN985" i="1"/>
  <c r="AN981" i="1"/>
  <c r="AN980" i="1"/>
  <c r="AN977" i="1"/>
  <c r="AN975" i="1"/>
  <c r="AN969" i="1"/>
  <c r="AN968" i="1"/>
  <c r="AN966" i="1"/>
  <c r="AN965" i="1"/>
  <c r="AN963" i="1"/>
  <c r="AN962" i="1"/>
  <c r="AN960" i="1"/>
  <c r="AN959" i="1"/>
  <c r="AN958" i="1"/>
  <c r="AN956" i="1"/>
  <c r="AN954" i="1"/>
  <c r="AN952" i="1"/>
  <c r="AN951" i="1"/>
  <c r="AN950" i="1"/>
  <c r="AN949" i="1"/>
  <c r="AN948" i="1"/>
  <c r="AN947" i="1"/>
  <c r="AN943" i="1"/>
  <c r="AN942" i="1"/>
  <c r="AN941" i="1"/>
  <c r="AN940" i="1"/>
  <c r="Y1089" i="1"/>
  <c r="AO1089" i="1" s="1"/>
  <c r="X1089" i="1"/>
  <c r="AK1088" i="1"/>
  <c r="AJ1088" i="1"/>
  <c r="AI1088" i="1"/>
  <c r="AH1088" i="1"/>
  <c r="AG1088" i="1"/>
  <c r="AF1088" i="1"/>
  <c r="AE1088" i="1"/>
  <c r="AD1088" i="1"/>
  <c r="AC1088" i="1"/>
  <c r="AB1088" i="1"/>
  <c r="AA1088" i="1"/>
  <c r="Z1088" i="1"/>
  <c r="Y1088" i="1"/>
  <c r="AO1088" i="1" s="1"/>
  <c r="AJ1087" i="1"/>
  <c r="AC1087" i="1"/>
  <c r="Y1087" i="1"/>
  <c r="AI1086" i="1"/>
  <c r="Y1086" i="1"/>
  <c r="Y1085" i="1"/>
  <c r="AJ1084" i="1"/>
  <c r="AL1084" i="1" s="1"/>
  <c r="Y1084" i="1"/>
  <c r="AO1084" i="1" s="1"/>
  <c r="AJ1083" i="1"/>
  <c r="AL1083" i="1" s="1"/>
  <c r="Y1083" i="1"/>
  <c r="AO1083" i="1" s="1"/>
  <c r="Y1082" i="1"/>
  <c r="Y1081" i="1"/>
  <c r="Y1080" i="1"/>
  <c r="Y1079" i="1"/>
  <c r="Y1078" i="1"/>
  <c r="AO1078" i="1" s="1"/>
  <c r="Y1077" i="1"/>
  <c r="AO1077" i="1" s="1"/>
  <c r="Y1076" i="1"/>
  <c r="Y1075" i="1"/>
  <c r="AO1075" i="1" s="1"/>
  <c r="Y1074" i="1"/>
  <c r="Y1073" i="1"/>
  <c r="AH1072" i="1"/>
  <c r="AE1072" i="1"/>
  <c r="Y1072" i="1"/>
  <c r="AK1071" i="1"/>
  <c r="AJ1071" i="1"/>
  <c r="AI1071" i="1"/>
  <c r="Y1071" i="1"/>
  <c r="Y1070" i="1"/>
  <c r="Y1069" i="1"/>
  <c r="AK1068" i="1"/>
  <c r="Y1068" i="1"/>
  <c r="AO1068" i="1" s="1"/>
  <c r="AK1067" i="1"/>
  <c r="AL1067" i="1" s="1"/>
  <c r="Y1067" i="1"/>
  <c r="AO1067" i="1" s="1"/>
  <c r="AK1066" i="1"/>
  <c r="Y1066" i="1"/>
  <c r="Y1065" i="1"/>
  <c r="AJ1064" i="1"/>
  <c r="Y1064" i="1"/>
  <c r="Y1063" i="1"/>
  <c r="Y1062" i="1"/>
  <c r="AO1062" i="1" s="1"/>
  <c r="Y1061" i="1"/>
  <c r="AJ1060" i="1"/>
  <c r="AL1060" i="1" s="1"/>
  <c r="AF1060" i="1"/>
  <c r="AC1060" i="1"/>
  <c r="Y1060" i="1"/>
  <c r="AJ1059" i="1"/>
  <c r="AH1059" i="1"/>
  <c r="AG1059" i="1"/>
  <c r="AF1059" i="1"/>
  <c r="AC1059" i="1"/>
  <c r="Y1059" i="1"/>
  <c r="AI1058" i="1"/>
  <c r="Y1058" i="1"/>
  <c r="AK1057" i="1"/>
  <c r="AJ1057" i="1"/>
  <c r="AI1057" i="1"/>
  <c r="AH1057" i="1"/>
  <c r="AG1057" i="1"/>
  <c r="AF1057" i="1"/>
  <c r="AE1057" i="1"/>
  <c r="AD1057" i="1"/>
  <c r="AC1057" i="1"/>
  <c r="AB1057" i="1"/>
  <c r="AA1057" i="1"/>
  <c r="Y1057" i="1"/>
  <c r="AO1057" i="1" s="1"/>
  <c r="Y1055" i="1"/>
  <c r="AK1054" i="1"/>
  <c r="Y1054" i="1"/>
  <c r="AF1053" i="1"/>
  <c r="Y1053" i="1"/>
  <c r="Y1052" i="1"/>
  <c r="AO1052" i="1" s="1"/>
  <c r="AK1051" i="1"/>
  <c r="AJ1051" i="1"/>
  <c r="AI1051" i="1"/>
  <c r="AH1051" i="1"/>
  <c r="AG1051" i="1"/>
  <c r="Y1051" i="1"/>
  <c r="AK1050" i="1"/>
  <c r="AJ1050" i="1"/>
  <c r="AI1050" i="1"/>
  <c r="AH1050" i="1"/>
  <c r="AG1050" i="1"/>
  <c r="AF1050" i="1"/>
  <c r="Y1050" i="1"/>
  <c r="AK1049" i="1"/>
  <c r="AJ1049" i="1"/>
  <c r="AI1049" i="1"/>
  <c r="AH1049" i="1"/>
  <c r="AG1049" i="1"/>
  <c r="AF1049" i="1"/>
  <c r="AE1049" i="1"/>
  <c r="AD1049" i="1"/>
  <c r="AC1049" i="1"/>
  <c r="Y1049" i="1"/>
  <c r="AK1048" i="1"/>
  <c r="AJ1048" i="1"/>
  <c r="AI1048" i="1"/>
  <c r="AH1048" i="1"/>
  <c r="AG1048" i="1"/>
  <c r="AF1048" i="1"/>
  <c r="AE1048" i="1"/>
  <c r="AD1048" i="1"/>
  <c r="AC1048" i="1"/>
  <c r="Y1048" i="1"/>
  <c r="AO1048" i="1" s="1"/>
  <c r="AJ1047" i="1"/>
  <c r="AL1047" i="1" s="1"/>
  <c r="Y1047" i="1"/>
  <c r="AO1047" i="1" s="1"/>
  <c r="AG1046" i="1"/>
  <c r="Y1046" i="1"/>
  <c r="AK1045" i="1"/>
  <c r="Y1045" i="1"/>
  <c r="AG1043" i="1"/>
  <c r="AL1043" i="1" s="1"/>
  <c r="Y1043" i="1"/>
  <c r="AO1043" i="1" s="1"/>
  <c r="AK1042" i="1"/>
  <c r="AJ1042" i="1"/>
  <c r="AI1042" i="1"/>
  <c r="AH1042" i="1"/>
  <c r="AG1042" i="1"/>
  <c r="AF1042" i="1"/>
  <c r="AE1042" i="1"/>
  <c r="AD1042" i="1"/>
  <c r="AC1042" i="1"/>
  <c r="Y1042" i="1"/>
  <c r="AO1042" i="1" s="1"/>
  <c r="AK1041" i="1"/>
  <c r="Y1041" i="1"/>
  <c r="AK1040" i="1"/>
  <c r="AJ1040" i="1"/>
  <c r="AI1040" i="1"/>
  <c r="AH1040" i="1"/>
  <c r="AG1040" i="1"/>
  <c r="AF1040" i="1"/>
  <c r="Y1040" i="1"/>
  <c r="AG1039" i="1"/>
  <c r="Y1039" i="1"/>
  <c r="AK1038" i="1"/>
  <c r="Y1038" i="1"/>
  <c r="AK1037" i="1"/>
  <c r="AJ1037" i="1"/>
  <c r="AI1037" i="1"/>
  <c r="AH1037" i="1"/>
  <c r="AG1037" i="1"/>
  <c r="AF1037" i="1"/>
  <c r="AE1037" i="1"/>
  <c r="AD1037" i="1"/>
  <c r="AC1037" i="1"/>
  <c r="Y1037" i="1"/>
  <c r="AO1037" i="1" s="1"/>
  <c r="AK1036" i="1"/>
  <c r="AJ1036" i="1"/>
  <c r="AI1036" i="1"/>
  <c r="AH1036" i="1"/>
  <c r="AG1036" i="1"/>
  <c r="AF1036" i="1"/>
  <c r="AE1036" i="1"/>
  <c r="AD1036" i="1"/>
  <c r="AC1036" i="1"/>
  <c r="Y1036" i="1"/>
  <c r="AK1035" i="1"/>
  <c r="Y1035" i="1"/>
  <c r="AK1034" i="1"/>
  <c r="AJ1034" i="1"/>
  <c r="AI1034" i="1"/>
  <c r="AH1034" i="1"/>
  <c r="AG1034" i="1"/>
  <c r="AF1034" i="1"/>
  <c r="AE1034" i="1"/>
  <c r="AD1034" i="1"/>
  <c r="AC1034" i="1"/>
  <c r="Y1034" i="1"/>
  <c r="AO1034" i="1" s="1"/>
  <c r="AK1033" i="1"/>
  <c r="AL1033" i="1" s="1"/>
  <c r="Y1033" i="1"/>
  <c r="AO1033" i="1" s="1"/>
  <c r="AK1032" i="1"/>
  <c r="AL1032" i="1" s="1"/>
  <c r="AM1032" i="1" s="1"/>
  <c r="Y1032" i="1"/>
  <c r="AK1031" i="1"/>
  <c r="Y1031" i="1"/>
  <c r="AK1030" i="1"/>
  <c r="Y1030" i="1"/>
  <c r="AO1030" i="1" s="1"/>
  <c r="AG1029" i="1"/>
  <c r="Y1029" i="1"/>
  <c r="AK1028" i="1"/>
  <c r="Y1028" i="1"/>
  <c r="AK1027" i="1"/>
  <c r="Y1027" i="1"/>
  <c r="AJ1025" i="1"/>
  <c r="Y1025" i="1"/>
  <c r="AJ1024" i="1"/>
  <c r="AL1024" i="1" s="1"/>
  <c r="Y1024" i="1"/>
  <c r="AO1024" i="1" s="1"/>
  <c r="AF1023" i="1"/>
  <c r="AL1023" i="1" s="1"/>
  <c r="AM1023" i="1" s="1"/>
  <c r="Y1023" i="1"/>
  <c r="AF1022" i="1"/>
  <c r="Y1022" i="1"/>
  <c r="AF1021" i="1"/>
  <c r="Y1021" i="1"/>
  <c r="AO1021" i="1" s="1"/>
  <c r="AF1020" i="1"/>
  <c r="AL1020" i="1" s="1"/>
  <c r="Y1020" i="1"/>
  <c r="AK1019" i="1"/>
  <c r="AL1019" i="1" s="1"/>
  <c r="AM1019" i="1" s="1"/>
  <c r="Y1019" i="1"/>
  <c r="AG1018" i="1"/>
  <c r="Y1018" i="1"/>
  <c r="AF1017" i="1"/>
  <c r="Y1017" i="1"/>
  <c r="AF1016" i="1"/>
  <c r="AL1016" i="1" s="1"/>
  <c r="Y1016" i="1"/>
  <c r="AJ1014" i="1"/>
  <c r="AI1014" i="1"/>
  <c r="AH1014" i="1"/>
  <c r="AG1014" i="1"/>
  <c r="Y1014" i="1"/>
  <c r="X1014" i="1"/>
  <c r="AF1012" i="1"/>
  <c r="AL1012" i="1" s="1"/>
  <c r="Y1012" i="1"/>
  <c r="AO1012" i="1" s="1"/>
  <c r="Z1011" i="1"/>
  <c r="AL1011" i="1" s="1"/>
  <c r="AM1011" i="1" s="1"/>
  <c r="Y1011" i="1"/>
  <c r="Z1010" i="1"/>
  <c r="Y1010" i="1"/>
  <c r="Z1009" i="1"/>
  <c r="Y1009" i="1"/>
  <c r="AO1009" i="1" s="1"/>
  <c r="Z1008" i="1"/>
  <c r="AL1008" i="1" s="1"/>
  <c r="Y1008" i="1"/>
  <c r="AO1008" i="1" s="1"/>
  <c r="AJ1007" i="1"/>
  <c r="AI1007" i="1"/>
  <c r="Y1007" i="1"/>
  <c r="AK1006" i="1"/>
  <c r="Y1006" i="1"/>
  <c r="AK1005" i="1"/>
  <c r="AJ1005" i="1"/>
  <c r="AI1005" i="1"/>
  <c r="AH1005" i="1"/>
  <c r="AG1005" i="1"/>
  <c r="AF1005" i="1"/>
  <c r="AE1005" i="1"/>
  <c r="AD1005" i="1"/>
  <c r="AC1005" i="1"/>
  <c r="AB1005" i="1"/>
  <c r="AA1005" i="1"/>
  <c r="Z1005" i="1"/>
  <c r="Y1005" i="1"/>
  <c r="AI1004" i="1"/>
  <c r="Y1004" i="1"/>
  <c r="AI1003" i="1"/>
  <c r="Y1003" i="1"/>
  <c r="AO1003" i="1" s="1"/>
  <c r="AA1002" i="1"/>
  <c r="AL1002" i="1" s="1"/>
  <c r="Y1002" i="1"/>
  <c r="AK1001" i="1"/>
  <c r="AL1001" i="1" s="1"/>
  <c r="AM1001" i="1" s="1"/>
  <c r="Y1001" i="1"/>
  <c r="AK1000" i="1"/>
  <c r="Y1000" i="1"/>
  <c r="AB999" i="1"/>
  <c r="Y999" i="1"/>
  <c r="AJ998" i="1"/>
  <c r="AL998" i="1" s="1"/>
  <c r="Y998" i="1"/>
  <c r="AO998" i="1" s="1"/>
  <c r="AJ997" i="1"/>
  <c r="AL997" i="1" s="1"/>
  <c r="AM997" i="1" s="1"/>
  <c r="Y997" i="1"/>
  <c r="AJ996" i="1"/>
  <c r="Y996" i="1"/>
  <c r="AE995" i="1"/>
  <c r="Y995" i="1"/>
  <c r="AO995" i="1" s="1"/>
  <c r="AJ994" i="1"/>
  <c r="AL994" i="1" s="1"/>
  <c r="Y994" i="1"/>
  <c r="AE993" i="1"/>
  <c r="AL993" i="1" s="1"/>
  <c r="AM993" i="1" s="1"/>
  <c r="Y993" i="1"/>
  <c r="AJ992" i="1"/>
  <c r="Y992" i="1"/>
  <c r="AJ991" i="1"/>
  <c r="Y991" i="1"/>
  <c r="AO991" i="1" s="1"/>
  <c r="AI990" i="1"/>
  <c r="AL990" i="1" s="1"/>
  <c r="Y990" i="1"/>
  <c r="AO990" i="1" s="1"/>
  <c r="AE989" i="1"/>
  <c r="AL989" i="1" s="1"/>
  <c r="AM989" i="1" s="1"/>
  <c r="Y989" i="1"/>
  <c r="Y988" i="1"/>
  <c r="AC987" i="1"/>
  <c r="Y987" i="1"/>
  <c r="AC986" i="1"/>
  <c r="Y986" i="1"/>
  <c r="AO986" i="1" s="1"/>
  <c r="AC985" i="1"/>
  <c r="AL985" i="1" s="1"/>
  <c r="Y985" i="1"/>
  <c r="AC984" i="1"/>
  <c r="Y984" i="1"/>
  <c r="AE983" i="1"/>
  <c r="Y983" i="1"/>
  <c r="AJ981" i="1"/>
  <c r="AL981" i="1" s="1"/>
  <c r="Y981" i="1"/>
  <c r="AO981" i="1" s="1"/>
  <c r="AB980" i="1"/>
  <c r="AL980" i="1" s="1"/>
  <c r="Y980" i="1"/>
  <c r="AO980" i="1" s="1"/>
  <c r="AE979" i="1"/>
  <c r="Y979" i="1"/>
  <c r="AF978" i="1"/>
  <c r="Y978" i="1"/>
  <c r="AC977" i="1"/>
  <c r="AL977" i="1" s="1"/>
  <c r="Y977" i="1"/>
  <c r="AO977" i="1" s="1"/>
  <c r="AC976" i="1"/>
  <c r="AL976" i="1" s="1"/>
  <c r="Y976" i="1"/>
  <c r="AO976" i="1" s="1"/>
  <c r="AE975" i="1"/>
  <c r="Y975" i="1"/>
  <c r="Y973" i="1"/>
  <c r="Y972" i="1"/>
  <c r="AJ971" i="1"/>
  <c r="AL971" i="1" s="1"/>
  <c r="Y971" i="1"/>
  <c r="AO971" i="1" s="1"/>
  <c r="AA970" i="1"/>
  <c r="AL970" i="1" s="1"/>
  <c r="Y970" i="1"/>
  <c r="AO970" i="1" s="1"/>
  <c r="AK969" i="1"/>
  <c r="AE969" i="1"/>
  <c r="AB969" i="1"/>
  <c r="Y969" i="1"/>
  <c r="AJ968" i="1"/>
  <c r="AB968" i="1"/>
  <c r="AL968" i="1" s="1"/>
  <c r="Y968" i="1"/>
  <c r="AJ967" i="1"/>
  <c r="AL967" i="1" s="1"/>
  <c r="AM967" i="1" s="1"/>
  <c r="Y967" i="1"/>
  <c r="AK966" i="1"/>
  <c r="Y966" i="1"/>
  <c r="AE965" i="1"/>
  <c r="Y965" i="1"/>
  <c r="AE964" i="1"/>
  <c r="AL964" i="1" s="1"/>
  <c r="Y964" i="1"/>
  <c r="AO964" i="1" s="1"/>
  <c r="AK963" i="1"/>
  <c r="AL963" i="1" s="1"/>
  <c r="AG963" i="1"/>
  <c r="AD963" i="1"/>
  <c r="Y963" i="1"/>
  <c r="AJ962" i="1"/>
  <c r="AD962" i="1"/>
  <c r="AL962" i="1" s="1"/>
  <c r="Y962" i="1"/>
  <c r="AJ961" i="1"/>
  <c r="AL961" i="1" s="1"/>
  <c r="Y961" i="1"/>
  <c r="AO961" i="1" s="1"/>
  <c r="AK960" i="1"/>
  <c r="Y960" i="1"/>
  <c r="AK959" i="1"/>
  <c r="Y959" i="1"/>
  <c r="AK958" i="1"/>
  <c r="AL958" i="1" s="1"/>
  <c r="Y958" i="1"/>
  <c r="AO958" i="1" s="1"/>
  <c r="AD956" i="1"/>
  <c r="AL956" i="1" s="1"/>
  <c r="Y956" i="1"/>
  <c r="AO956" i="1" s="1"/>
  <c r="Y955" i="1"/>
  <c r="AK954" i="1"/>
  <c r="AJ954" i="1"/>
  <c r="AI954" i="1"/>
  <c r="AH954" i="1"/>
  <c r="AG954" i="1"/>
  <c r="AF954" i="1"/>
  <c r="AE954" i="1"/>
  <c r="AD954" i="1"/>
  <c r="Y954" i="1"/>
  <c r="Y953" i="1"/>
  <c r="AK952" i="1"/>
  <c r="AJ952" i="1"/>
  <c r="AI952" i="1"/>
  <c r="AH952" i="1"/>
  <c r="AG952" i="1"/>
  <c r="AF952" i="1"/>
  <c r="AE952" i="1"/>
  <c r="AD952" i="1"/>
  <c r="AC952" i="1"/>
  <c r="Y952" i="1"/>
  <c r="AK951" i="1"/>
  <c r="AJ951" i="1"/>
  <c r="Y951" i="1"/>
  <c r="AO951" i="1" s="1"/>
  <c r="AK950" i="1"/>
  <c r="Y950" i="1"/>
  <c r="Y949" i="1"/>
  <c r="Y948" i="1"/>
  <c r="AK947" i="1"/>
  <c r="AJ947" i="1"/>
  <c r="AI947" i="1"/>
  <c r="AH947" i="1"/>
  <c r="AG947" i="1"/>
  <c r="AF947" i="1"/>
  <c r="AE947" i="1"/>
  <c r="AD947" i="1"/>
  <c r="AC947" i="1"/>
  <c r="Y947" i="1"/>
  <c r="AO947" i="1" s="1"/>
  <c r="AK946" i="1"/>
  <c r="AL946" i="1" s="1"/>
  <c r="Y946" i="1"/>
  <c r="AO946" i="1" s="1"/>
  <c r="AJ945" i="1"/>
  <c r="Y945" i="1"/>
  <c r="AI944" i="1"/>
  <c r="Y944" i="1"/>
  <c r="AK943" i="1"/>
  <c r="AL943" i="1" s="1"/>
  <c r="Y943" i="1"/>
  <c r="AO943" i="1" s="1"/>
  <c r="AK942" i="1"/>
  <c r="AJ942" i="1"/>
  <c r="AI942" i="1"/>
  <c r="AH942" i="1"/>
  <c r="AG942" i="1"/>
  <c r="AF942" i="1"/>
  <c r="AE942" i="1"/>
  <c r="AD942" i="1"/>
  <c r="AC942" i="1"/>
  <c r="AB942" i="1"/>
  <c r="AA942" i="1"/>
  <c r="Z942" i="1"/>
  <c r="Y942" i="1"/>
  <c r="AK941" i="1"/>
  <c r="AJ941" i="1"/>
  <c r="AI941" i="1"/>
  <c r="AH941" i="1"/>
  <c r="AG941" i="1"/>
  <c r="AF941" i="1"/>
  <c r="Y941" i="1"/>
  <c r="AK940" i="1"/>
  <c r="AJ940" i="1"/>
  <c r="AI940" i="1"/>
  <c r="AH940" i="1"/>
  <c r="AG940" i="1"/>
  <c r="AF940" i="1"/>
  <c r="Y940" i="1"/>
  <c r="AK939" i="1"/>
  <c r="AJ939" i="1"/>
  <c r="AI939" i="1"/>
  <c r="AH939" i="1"/>
  <c r="AG939" i="1"/>
  <c r="AF939" i="1"/>
  <c r="AE939" i="1"/>
  <c r="AD939" i="1"/>
  <c r="AC939" i="1"/>
  <c r="Y939" i="1"/>
  <c r="AK938" i="1"/>
  <c r="AJ938" i="1"/>
  <c r="AI938" i="1"/>
  <c r="AH938" i="1"/>
  <c r="AG938" i="1"/>
  <c r="AF938" i="1"/>
  <c r="AE938" i="1"/>
  <c r="AD938" i="1"/>
  <c r="AC938" i="1"/>
  <c r="Y938" i="1"/>
  <c r="AK937" i="1"/>
  <c r="AA937" i="1"/>
  <c r="Y937" i="1"/>
  <c r="AO937" i="1" s="1"/>
  <c r="AG936" i="1"/>
  <c r="Y936" i="1"/>
  <c r="AK935" i="1"/>
  <c r="Y935" i="1"/>
  <c r="AK933" i="1"/>
  <c r="AL933" i="1" s="1"/>
  <c r="Y933" i="1"/>
  <c r="AO933" i="1" s="1"/>
  <c r="AK932" i="1"/>
  <c r="AJ932" i="1"/>
  <c r="AI932" i="1"/>
  <c r="AH932" i="1"/>
  <c r="AG932" i="1"/>
  <c r="AF932" i="1"/>
  <c r="AE932" i="1"/>
  <c r="AD932" i="1"/>
  <c r="AC932" i="1"/>
  <c r="Y932" i="1"/>
  <c r="AO932" i="1" s="1"/>
  <c r="AK931" i="1"/>
  <c r="AJ931" i="1"/>
  <c r="AI931" i="1"/>
  <c r="AH931" i="1"/>
  <c r="AG931" i="1"/>
  <c r="AF931" i="1"/>
  <c r="AE931" i="1"/>
  <c r="AD931" i="1"/>
  <c r="AC931" i="1"/>
  <c r="Y931" i="1"/>
  <c r="AD930" i="1"/>
  <c r="Y930" i="1"/>
  <c r="AK929" i="1"/>
  <c r="AJ929" i="1"/>
  <c r="AE929" i="1"/>
  <c r="AD929" i="1"/>
  <c r="AC929" i="1"/>
  <c r="Y929" i="1"/>
  <c r="AG928" i="1"/>
  <c r="Y928" i="1"/>
  <c r="AK927" i="1"/>
  <c r="AL927" i="1" s="1"/>
  <c r="Y927" i="1"/>
  <c r="AO927" i="1" s="1"/>
  <c r="AK926" i="1"/>
  <c r="AJ926" i="1"/>
  <c r="AI926" i="1"/>
  <c r="AH926" i="1"/>
  <c r="AG926" i="1"/>
  <c r="Y926" i="1"/>
  <c r="AK925" i="1"/>
  <c r="AL925" i="1" s="1"/>
  <c r="Y925" i="1"/>
  <c r="AO925" i="1" s="1"/>
  <c r="AK924" i="1"/>
  <c r="AJ924" i="1"/>
  <c r="AI924" i="1"/>
  <c r="AH924" i="1"/>
  <c r="AG924" i="1"/>
  <c r="AF924" i="1"/>
  <c r="AE924" i="1"/>
  <c r="AD924" i="1"/>
  <c r="AC924" i="1"/>
  <c r="Y924" i="1"/>
  <c r="AO924" i="1" s="1"/>
  <c r="AK923" i="1"/>
  <c r="Y923" i="1"/>
  <c r="AK921" i="1"/>
  <c r="AA921" i="1"/>
  <c r="Y921" i="1"/>
  <c r="AO921" i="1" s="1"/>
  <c r="AK920" i="1"/>
  <c r="AJ920" i="1"/>
  <c r="AI920" i="1"/>
  <c r="AH920" i="1"/>
  <c r="AG920" i="1"/>
  <c r="AF920" i="1"/>
  <c r="AE920" i="1"/>
  <c r="AD920" i="1"/>
  <c r="AC920" i="1"/>
  <c r="Y920" i="1"/>
  <c r="AO920" i="1" s="1"/>
  <c r="AB919" i="1"/>
  <c r="AL919" i="1" s="1"/>
  <c r="AM919" i="1" s="1"/>
  <c r="Y919" i="1"/>
  <c r="AG918" i="1"/>
  <c r="Y918" i="1"/>
  <c r="AG917" i="1"/>
  <c r="Y917" i="1"/>
  <c r="AO917" i="1" s="1"/>
  <c r="AG916" i="1"/>
  <c r="AL916" i="1" s="1"/>
  <c r="Y916" i="1"/>
  <c r="AO916" i="1" s="1"/>
  <c r="AG915" i="1"/>
  <c r="AL915" i="1" s="1"/>
  <c r="AM915" i="1" s="1"/>
  <c r="Y915" i="1"/>
  <c r="AK914" i="1"/>
  <c r="Y914" i="1"/>
  <c r="AK913" i="1"/>
  <c r="Y913" i="1"/>
  <c r="AK912" i="1"/>
  <c r="AL912" i="1" s="1"/>
  <c r="Y912" i="1"/>
  <c r="B1086" i="1"/>
  <c r="B1087" i="1"/>
  <c r="H1086" i="1"/>
  <c r="H1087" i="1"/>
  <c r="K1086" i="1"/>
  <c r="K1087" i="1"/>
  <c r="L1086" i="1"/>
  <c r="Q1086" i="1" s="1"/>
  <c r="L1087" i="1"/>
  <c r="M1087" i="1" s="1"/>
  <c r="P1086" i="1"/>
  <c r="P1087" i="1"/>
  <c r="W1086" i="1"/>
  <c r="W1087" i="1"/>
  <c r="AL1086" i="1"/>
  <c r="AO1086" i="1"/>
  <c r="AO1087" i="1"/>
  <c r="B912" i="1"/>
  <c r="B913" i="1"/>
  <c r="B914" i="1"/>
  <c r="B915" i="1"/>
  <c r="B916" i="1"/>
  <c r="B917" i="1"/>
  <c r="B918" i="1"/>
  <c r="B919" i="1"/>
  <c r="B920" i="1"/>
  <c r="B921" i="1"/>
  <c r="B922" i="1"/>
  <c r="B923" i="1"/>
  <c r="B924" i="1"/>
  <c r="B925" i="1"/>
  <c r="B926" i="1"/>
  <c r="B927" i="1"/>
  <c r="B928" i="1"/>
  <c r="B929" i="1"/>
  <c r="B930" i="1"/>
  <c r="B931" i="1"/>
  <c r="B932" i="1"/>
  <c r="B933" i="1"/>
  <c r="B934" i="1"/>
  <c r="B935" i="1"/>
  <c r="B936" i="1"/>
  <c r="B937" i="1"/>
  <c r="B938" i="1"/>
  <c r="B939" i="1"/>
  <c r="B940" i="1"/>
  <c r="B941" i="1"/>
  <c r="B942" i="1"/>
  <c r="B943" i="1"/>
  <c r="B944" i="1"/>
  <c r="B945" i="1"/>
  <c r="B946" i="1"/>
  <c r="B947" i="1"/>
  <c r="B948" i="1"/>
  <c r="B949" i="1"/>
  <c r="B950" i="1"/>
  <c r="B951" i="1"/>
  <c r="B952" i="1"/>
  <c r="B953" i="1"/>
  <c r="B954" i="1"/>
  <c r="B955" i="1"/>
  <c r="B956" i="1"/>
  <c r="B957" i="1"/>
  <c r="B958" i="1"/>
  <c r="B959" i="1"/>
  <c r="B960" i="1"/>
  <c r="B961" i="1"/>
  <c r="B962" i="1"/>
  <c r="B963" i="1"/>
  <c r="B964" i="1"/>
  <c r="B965" i="1"/>
  <c r="B966" i="1"/>
  <c r="B967" i="1"/>
  <c r="B968" i="1"/>
  <c r="B969" i="1"/>
  <c r="B970" i="1"/>
  <c r="B971" i="1"/>
  <c r="B972" i="1"/>
  <c r="B973" i="1"/>
  <c r="B974" i="1"/>
  <c r="B975" i="1"/>
  <c r="B976" i="1"/>
  <c r="B977" i="1"/>
  <c r="B978" i="1"/>
  <c r="B979" i="1"/>
  <c r="B980" i="1"/>
  <c r="B981" i="1"/>
  <c r="B982" i="1"/>
  <c r="B983" i="1"/>
  <c r="B984" i="1"/>
  <c r="B985" i="1"/>
  <c r="B986" i="1"/>
  <c r="B987" i="1"/>
  <c r="B988" i="1"/>
  <c r="B989" i="1"/>
  <c r="B990" i="1"/>
  <c r="B991" i="1"/>
  <c r="B992" i="1"/>
  <c r="B993" i="1"/>
  <c r="B994" i="1"/>
  <c r="B995" i="1"/>
  <c r="B996" i="1"/>
  <c r="B997" i="1"/>
  <c r="B998" i="1"/>
  <c r="B999" i="1"/>
  <c r="B1000" i="1"/>
  <c r="B1001" i="1"/>
  <c r="B1002" i="1"/>
  <c r="B1003" i="1"/>
  <c r="B1004" i="1"/>
  <c r="B1005" i="1"/>
  <c r="B1006" i="1"/>
  <c r="B1007" i="1"/>
  <c r="B1008" i="1"/>
  <c r="B1009" i="1"/>
  <c r="B1010" i="1"/>
  <c r="B1011" i="1"/>
  <c r="B1012" i="1"/>
  <c r="B1013" i="1"/>
  <c r="B1014" i="1"/>
  <c r="B1015" i="1"/>
  <c r="B1016" i="1"/>
  <c r="B1017" i="1"/>
  <c r="B1018" i="1"/>
  <c r="B1019" i="1"/>
  <c r="B1020" i="1"/>
  <c r="B1021" i="1"/>
  <c r="B1022" i="1"/>
  <c r="B1023" i="1"/>
  <c r="B1024" i="1"/>
  <c r="B1025" i="1"/>
  <c r="B1026" i="1"/>
  <c r="B1027" i="1"/>
  <c r="B1028" i="1"/>
  <c r="B1029" i="1"/>
  <c r="B1030" i="1"/>
  <c r="B1031" i="1"/>
  <c r="B1032" i="1"/>
  <c r="B1033" i="1"/>
  <c r="B1034" i="1"/>
  <c r="B1035" i="1"/>
  <c r="B1036" i="1"/>
  <c r="B1037" i="1"/>
  <c r="B1038" i="1"/>
  <c r="B1039" i="1"/>
  <c r="B1040" i="1"/>
  <c r="B1041" i="1"/>
  <c r="B1042" i="1"/>
  <c r="B1043" i="1"/>
  <c r="B1044" i="1"/>
  <c r="B1045" i="1"/>
  <c r="B1046" i="1"/>
  <c r="B1047" i="1"/>
  <c r="B1048" i="1"/>
  <c r="B1049" i="1"/>
  <c r="B1050" i="1"/>
  <c r="B1051" i="1"/>
  <c r="B1052" i="1"/>
  <c r="B1053" i="1"/>
  <c r="B1054" i="1"/>
  <c r="B1055" i="1"/>
  <c r="B1056" i="1"/>
  <c r="B1057" i="1"/>
  <c r="B1058" i="1"/>
  <c r="B1059" i="1"/>
  <c r="B1060" i="1"/>
  <c r="B1061" i="1"/>
  <c r="B1062" i="1"/>
  <c r="B1063" i="1"/>
  <c r="B1064" i="1"/>
  <c r="B1065" i="1"/>
  <c r="B1066" i="1"/>
  <c r="B1067" i="1"/>
  <c r="B1068" i="1"/>
  <c r="B1069" i="1"/>
  <c r="B1070" i="1"/>
  <c r="B1071" i="1"/>
  <c r="B1072" i="1"/>
  <c r="B1073" i="1"/>
  <c r="B1074" i="1"/>
  <c r="B1075" i="1"/>
  <c r="B1076" i="1"/>
  <c r="B1077" i="1"/>
  <c r="B1078" i="1"/>
  <c r="B1079" i="1"/>
  <c r="B1080" i="1"/>
  <c r="B1081" i="1"/>
  <c r="B1082" i="1"/>
  <c r="B1083" i="1"/>
  <c r="B1084" i="1"/>
  <c r="B1085" i="1"/>
  <c r="B1088" i="1"/>
  <c r="B1089" i="1"/>
  <c r="H912" i="1"/>
  <c r="H913" i="1"/>
  <c r="H914" i="1"/>
  <c r="H915" i="1"/>
  <c r="H916" i="1"/>
  <c r="H917" i="1"/>
  <c r="H918" i="1"/>
  <c r="H919" i="1"/>
  <c r="H920" i="1"/>
  <c r="H921" i="1"/>
  <c r="H922" i="1"/>
  <c r="H923" i="1"/>
  <c r="H924" i="1"/>
  <c r="H925" i="1"/>
  <c r="H926" i="1"/>
  <c r="H927" i="1"/>
  <c r="H928" i="1"/>
  <c r="H929" i="1"/>
  <c r="H930" i="1"/>
  <c r="H931" i="1"/>
  <c r="H932" i="1"/>
  <c r="H933" i="1"/>
  <c r="H934" i="1"/>
  <c r="H935" i="1"/>
  <c r="H936" i="1"/>
  <c r="H937" i="1"/>
  <c r="H938" i="1"/>
  <c r="H939" i="1"/>
  <c r="H940" i="1"/>
  <c r="H941" i="1"/>
  <c r="H942" i="1"/>
  <c r="H943" i="1"/>
  <c r="H944" i="1"/>
  <c r="H945" i="1"/>
  <c r="H946" i="1"/>
  <c r="H947" i="1"/>
  <c r="H948" i="1"/>
  <c r="H949" i="1"/>
  <c r="H950" i="1"/>
  <c r="H951" i="1"/>
  <c r="H952" i="1"/>
  <c r="H953" i="1"/>
  <c r="H954" i="1"/>
  <c r="H955" i="1"/>
  <c r="H956" i="1"/>
  <c r="H957" i="1"/>
  <c r="H958" i="1"/>
  <c r="H959" i="1"/>
  <c r="H960" i="1"/>
  <c r="H961" i="1"/>
  <c r="H962" i="1"/>
  <c r="H963" i="1"/>
  <c r="H964" i="1"/>
  <c r="H965" i="1"/>
  <c r="H966" i="1"/>
  <c r="H967" i="1"/>
  <c r="H968" i="1"/>
  <c r="H969" i="1"/>
  <c r="H970" i="1"/>
  <c r="H971" i="1"/>
  <c r="H972" i="1"/>
  <c r="H973" i="1"/>
  <c r="H974" i="1"/>
  <c r="H975" i="1"/>
  <c r="H976" i="1"/>
  <c r="H977" i="1"/>
  <c r="H978" i="1"/>
  <c r="H979" i="1"/>
  <c r="H980" i="1"/>
  <c r="H981" i="1"/>
  <c r="H982" i="1"/>
  <c r="H983" i="1"/>
  <c r="H984" i="1"/>
  <c r="H985" i="1"/>
  <c r="H986" i="1"/>
  <c r="H987" i="1"/>
  <c r="H988" i="1"/>
  <c r="H989" i="1"/>
  <c r="H990" i="1"/>
  <c r="H991" i="1"/>
  <c r="H992" i="1"/>
  <c r="H993" i="1"/>
  <c r="H994" i="1"/>
  <c r="H995" i="1"/>
  <c r="H996" i="1"/>
  <c r="H997" i="1"/>
  <c r="H998" i="1"/>
  <c r="H999" i="1"/>
  <c r="H1000" i="1"/>
  <c r="H1001" i="1"/>
  <c r="H1002" i="1"/>
  <c r="H1003" i="1"/>
  <c r="H1004" i="1"/>
  <c r="H1005" i="1"/>
  <c r="H1006" i="1"/>
  <c r="H1007" i="1"/>
  <c r="H1008" i="1"/>
  <c r="H1009" i="1"/>
  <c r="H1010" i="1"/>
  <c r="H1011" i="1"/>
  <c r="H1012" i="1"/>
  <c r="H1013" i="1"/>
  <c r="H1014" i="1"/>
  <c r="H1015" i="1"/>
  <c r="H1016" i="1"/>
  <c r="H1017" i="1"/>
  <c r="H1018" i="1"/>
  <c r="H1019" i="1"/>
  <c r="H1020" i="1"/>
  <c r="H1021" i="1"/>
  <c r="H1022" i="1"/>
  <c r="H1023" i="1"/>
  <c r="H1024" i="1"/>
  <c r="H1025" i="1"/>
  <c r="H1026" i="1"/>
  <c r="H1027" i="1"/>
  <c r="H1028" i="1"/>
  <c r="H1029" i="1"/>
  <c r="H1030" i="1"/>
  <c r="H1031" i="1"/>
  <c r="H1032" i="1"/>
  <c r="H1033" i="1"/>
  <c r="H1034" i="1"/>
  <c r="H1035" i="1"/>
  <c r="H1036" i="1"/>
  <c r="H1037" i="1"/>
  <c r="H1038" i="1"/>
  <c r="H1039" i="1"/>
  <c r="H1040" i="1"/>
  <c r="H1041" i="1"/>
  <c r="H1042" i="1"/>
  <c r="H1043" i="1"/>
  <c r="H1044" i="1"/>
  <c r="H1045" i="1"/>
  <c r="H1046" i="1"/>
  <c r="H1047" i="1"/>
  <c r="H1048" i="1"/>
  <c r="H1049" i="1"/>
  <c r="H1050" i="1"/>
  <c r="H1051" i="1"/>
  <c r="H1052" i="1"/>
  <c r="H1053" i="1"/>
  <c r="H1054" i="1"/>
  <c r="H1055" i="1"/>
  <c r="H1056" i="1"/>
  <c r="H1057" i="1"/>
  <c r="H1058" i="1"/>
  <c r="H1059" i="1"/>
  <c r="H1060" i="1"/>
  <c r="H1061" i="1"/>
  <c r="H1062" i="1"/>
  <c r="H1063" i="1"/>
  <c r="H1064" i="1"/>
  <c r="H1065" i="1"/>
  <c r="H1066" i="1"/>
  <c r="H1067" i="1"/>
  <c r="H1068" i="1"/>
  <c r="H1069" i="1"/>
  <c r="H1070" i="1"/>
  <c r="H1071" i="1"/>
  <c r="H1072" i="1"/>
  <c r="H1073" i="1"/>
  <c r="H1074" i="1"/>
  <c r="H1075" i="1"/>
  <c r="H1076" i="1"/>
  <c r="H1077" i="1"/>
  <c r="H1078" i="1"/>
  <c r="H1079" i="1"/>
  <c r="H1080" i="1"/>
  <c r="H1081" i="1"/>
  <c r="H1082" i="1"/>
  <c r="H1083" i="1"/>
  <c r="H1084" i="1"/>
  <c r="H1085" i="1"/>
  <c r="H1088" i="1"/>
  <c r="H1089" i="1"/>
  <c r="K912" i="1"/>
  <c r="K913" i="1"/>
  <c r="K914" i="1"/>
  <c r="K915" i="1"/>
  <c r="K916" i="1"/>
  <c r="K917" i="1"/>
  <c r="K918" i="1"/>
  <c r="K919" i="1"/>
  <c r="K920" i="1"/>
  <c r="K921" i="1"/>
  <c r="K922" i="1"/>
  <c r="K923" i="1"/>
  <c r="K924" i="1"/>
  <c r="K925" i="1"/>
  <c r="K926" i="1"/>
  <c r="K927" i="1"/>
  <c r="K928" i="1"/>
  <c r="K929" i="1"/>
  <c r="K930" i="1"/>
  <c r="K931" i="1"/>
  <c r="K932" i="1"/>
  <c r="K933" i="1"/>
  <c r="K934" i="1"/>
  <c r="K935" i="1"/>
  <c r="K936" i="1"/>
  <c r="K937" i="1"/>
  <c r="K938" i="1"/>
  <c r="K939" i="1"/>
  <c r="K940" i="1"/>
  <c r="K941" i="1"/>
  <c r="K942" i="1"/>
  <c r="K943" i="1"/>
  <c r="K944" i="1"/>
  <c r="K945" i="1"/>
  <c r="K946" i="1"/>
  <c r="K947" i="1"/>
  <c r="K948" i="1"/>
  <c r="K949" i="1"/>
  <c r="K950" i="1"/>
  <c r="K951" i="1"/>
  <c r="K952" i="1"/>
  <c r="K953" i="1"/>
  <c r="K954" i="1"/>
  <c r="K955" i="1"/>
  <c r="K956" i="1"/>
  <c r="K957" i="1"/>
  <c r="K958" i="1"/>
  <c r="K959" i="1"/>
  <c r="K960" i="1"/>
  <c r="K961" i="1"/>
  <c r="K962" i="1"/>
  <c r="K963" i="1"/>
  <c r="K964" i="1"/>
  <c r="K965" i="1"/>
  <c r="K966" i="1"/>
  <c r="K967" i="1"/>
  <c r="K968" i="1"/>
  <c r="K969" i="1"/>
  <c r="K970" i="1"/>
  <c r="K971" i="1"/>
  <c r="K972" i="1"/>
  <c r="K973" i="1"/>
  <c r="K974" i="1"/>
  <c r="K975" i="1"/>
  <c r="K976" i="1"/>
  <c r="K977" i="1"/>
  <c r="K978" i="1"/>
  <c r="K979" i="1"/>
  <c r="K980" i="1"/>
  <c r="K981" i="1"/>
  <c r="K982" i="1"/>
  <c r="K983" i="1"/>
  <c r="K984" i="1"/>
  <c r="K985" i="1"/>
  <c r="K986" i="1"/>
  <c r="K987" i="1"/>
  <c r="K988" i="1"/>
  <c r="K989" i="1"/>
  <c r="K990" i="1"/>
  <c r="K991" i="1"/>
  <c r="K992" i="1"/>
  <c r="K993" i="1"/>
  <c r="K994" i="1"/>
  <c r="K995" i="1"/>
  <c r="K996" i="1"/>
  <c r="K997" i="1"/>
  <c r="K998" i="1"/>
  <c r="K999" i="1"/>
  <c r="K1000" i="1"/>
  <c r="K1001" i="1"/>
  <c r="K1002" i="1"/>
  <c r="K1003" i="1"/>
  <c r="K1004" i="1"/>
  <c r="K1005" i="1"/>
  <c r="K1006" i="1"/>
  <c r="K1007" i="1"/>
  <c r="K1008" i="1"/>
  <c r="K1009" i="1"/>
  <c r="K1010" i="1"/>
  <c r="K1011" i="1"/>
  <c r="K1012" i="1"/>
  <c r="K1013" i="1"/>
  <c r="K1014" i="1"/>
  <c r="K1015" i="1"/>
  <c r="K1016" i="1"/>
  <c r="K1017" i="1"/>
  <c r="K1018" i="1"/>
  <c r="K1019" i="1"/>
  <c r="K1020" i="1"/>
  <c r="K1021" i="1"/>
  <c r="K1022" i="1"/>
  <c r="K1023" i="1"/>
  <c r="K1024" i="1"/>
  <c r="K1025" i="1"/>
  <c r="K1026" i="1"/>
  <c r="K1027" i="1"/>
  <c r="K1028" i="1"/>
  <c r="K1029" i="1"/>
  <c r="K1030" i="1"/>
  <c r="K1031" i="1"/>
  <c r="K1032" i="1"/>
  <c r="K1033" i="1"/>
  <c r="K1034" i="1"/>
  <c r="K1035" i="1"/>
  <c r="K1036" i="1"/>
  <c r="K1037" i="1"/>
  <c r="K1038" i="1"/>
  <c r="K1039" i="1"/>
  <c r="K1040" i="1"/>
  <c r="K1041" i="1"/>
  <c r="K1042" i="1"/>
  <c r="K1043" i="1"/>
  <c r="K1044" i="1"/>
  <c r="K1045" i="1"/>
  <c r="K1046" i="1"/>
  <c r="K1047" i="1"/>
  <c r="K1048" i="1"/>
  <c r="K1049" i="1"/>
  <c r="K1050" i="1"/>
  <c r="K1051" i="1"/>
  <c r="K1052" i="1"/>
  <c r="K1053" i="1"/>
  <c r="K1054" i="1"/>
  <c r="K1055" i="1"/>
  <c r="K1056" i="1"/>
  <c r="K1057" i="1"/>
  <c r="K1058" i="1"/>
  <c r="K1059" i="1"/>
  <c r="K1060" i="1"/>
  <c r="K1061" i="1"/>
  <c r="K1062" i="1"/>
  <c r="K1063" i="1"/>
  <c r="K1064" i="1"/>
  <c r="K1065" i="1"/>
  <c r="K1066" i="1"/>
  <c r="K1067" i="1"/>
  <c r="K1068" i="1"/>
  <c r="K1069" i="1"/>
  <c r="K1070" i="1"/>
  <c r="K1071" i="1"/>
  <c r="K1072" i="1"/>
  <c r="K1073" i="1"/>
  <c r="K1074" i="1"/>
  <c r="K1075" i="1"/>
  <c r="K1076" i="1"/>
  <c r="K1077" i="1"/>
  <c r="K1078" i="1"/>
  <c r="K1079" i="1"/>
  <c r="K1080" i="1"/>
  <c r="K1081" i="1"/>
  <c r="K1082" i="1"/>
  <c r="K1083" i="1"/>
  <c r="K1084" i="1"/>
  <c r="K1085" i="1"/>
  <c r="K1088" i="1"/>
  <c r="K1089" i="1"/>
  <c r="L912" i="1"/>
  <c r="Q912" i="1" s="1"/>
  <c r="L913" i="1"/>
  <c r="R913" i="1" s="1"/>
  <c r="L914" i="1"/>
  <c r="Q914" i="1" s="1"/>
  <c r="L915" i="1"/>
  <c r="M915" i="1" s="1"/>
  <c r="L916" i="1"/>
  <c r="M916" i="1" s="1"/>
  <c r="L917" i="1"/>
  <c r="M917" i="1" s="1"/>
  <c r="L918" i="1"/>
  <c r="Q918" i="1" s="1"/>
  <c r="L919" i="1"/>
  <c r="Q919" i="1" s="1"/>
  <c r="L920" i="1"/>
  <c r="R920" i="1" s="1"/>
  <c r="L921" i="1"/>
  <c r="Q921" i="1" s="1"/>
  <c r="L922" i="1"/>
  <c r="Q922" i="1" s="1"/>
  <c r="L923" i="1"/>
  <c r="S923" i="1" s="1"/>
  <c r="L924" i="1"/>
  <c r="Q924" i="1" s="1"/>
  <c r="L925" i="1"/>
  <c r="S925" i="1" s="1"/>
  <c r="L926" i="1"/>
  <c r="Q926" i="1" s="1"/>
  <c r="L927" i="1"/>
  <c r="M927" i="1" s="1"/>
  <c r="L928" i="1"/>
  <c r="R928" i="1" s="1"/>
  <c r="L929" i="1"/>
  <c r="S929" i="1" s="1"/>
  <c r="L930" i="1"/>
  <c r="Q930" i="1" s="1"/>
  <c r="L931" i="1"/>
  <c r="M931" i="1" s="1"/>
  <c r="L932" i="1"/>
  <c r="M932" i="1" s="1"/>
  <c r="L933" i="1"/>
  <c r="R933" i="1" s="1"/>
  <c r="L934" i="1"/>
  <c r="Q934" i="1" s="1"/>
  <c r="L935" i="1"/>
  <c r="M935" i="1" s="1"/>
  <c r="L936" i="1"/>
  <c r="Q936" i="1" s="1"/>
  <c r="L937" i="1"/>
  <c r="M937" i="1" s="1"/>
  <c r="L938" i="1"/>
  <c r="Q938" i="1" s="1"/>
  <c r="L939" i="1"/>
  <c r="M939" i="1" s="1"/>
  <c r="L940" i="1"/>
  <c r="M940" i="1" s="1"/>
  <c r="L941" i="1"/>
  <c r="Q941" i="1" s="1"/>
  <c r="L942" i="1"/>
  <c r="Q942" i="1" s="1"/>
  <c r="L943" i="1"/>
  <c r="R943" i="1" s="1"/>
  <c r="L944" i="1"/>
  <c r="Q944" i="1" s="1"/>
  <c r="L945" i="1"/>
  <c r="R945" i="1" s="1"/>
  <c r="L946" i="1"/>
  <c r="Q946" i="1" s="1"/>
  <c r="L947" i="1"/>
  <c r="Q947" i="1" s="1"/>
  <c r="L948" i="1"/>
  <c r="M948" i="1" s="1"/>
  <c r="L949" i="1"/>
  <c r="M949" i="1" s="1"/>
  <c r="L950" i="1"/>
  <c r="Q950" i="1" s="1"/>
  <c r="L951" i="1"/>
  <c r="M951" i="1" s="1"/>
  <c r="L952" i="1"/>
  <c r="M952" i="1" s="1"/>
  <c r="L953" i="1"/>
  <c r="Q953" i="1" s="1"/>
  <c r="L954" i="1"/>
  <c r="Q954" i="1" s="1"/>
  <c r="L955" i="1"/>
  <c r="R955" i="1" s="1"/>
  <c r="L956" i="1"/>
  <c r="Q956" i="1" s="1"/>
  <c r="L957" i="1"/>
  <c r="Q957" i="1" s="1"/>
  <c r="L958" i="1"/>
  <c r="Q958" i="1" s="1"/>
  <c r="L959" i="1"/>
  <c r="R959" i="1" s="1"/>
  <c r="L960" i="1"/>
  <c r="R960" i="1" s="1"/>
  <c r="L961" i="1"/>
  <c r="M961" i="1" s="1"/>
  <c r="L962" i="1"/>
  <c r="Q962" i="1" s="1"/>
  <c r="L963" i="1"/>
  <c r="M963" i="1" s="1"/>
  <c r="L964" i="1"/>
  <c r="M964" i="1" s="1"/>
  <c r="L965" i="1"/>
  <c r="Q965" i="1" s="1"/>
  <c r="L966" i="1"/>
  <c r="Q966" i="1" s="1"/>
  <c r="L967" i="1"/>
  <c r="M967" i="1" s="1"/>
  <c r="L968" i="1"/>
  <c r="Q968" i="1" s="1"/>
  <c r="L969" i="1"/>
  <c r="R969" i="1" s="1"/>
  <c r="L970" i="1"/>
  <c r="Q970" i="1" s="1"/>
  <c r="L971" i="1"/>
  <c r="M971" i="1" s="1"/>
  <c r="L972" i="1"/>
  <c r="M972" i="1" s="1"/>
  <c r="L973" i="1"/>
  <c r="R973" i="1" s="1"/>
  <c r="L974" i="1"/>
  <c r="Q974" i="1" s="1"/>
  <c r="L975" i="1"/>
  <c r="R975" i="1" s="1"/>
  <c r="L976" i="1"/>
  <c r="Q976" i="1" s="1"/>
  <c r="L977" i="1"/>
  <c r="Q977" i="1" s="1"/>
  <c r="L978" i="1"/>
  <c r="Q978" i="1" s="1"/>
  <c r="L979" i="1"/>
  <c r="M979" i="1" s="1"/>
  <c r="L980" i="1"/>
  <c r="Q980" i="1" s="1"/>
  <c r="L981" i="1"/>
  <c r="M981" i="1" s="1"/>
  <c r="L982" i="1"/>
  <c r="Q982" i="1" s="1"/>
  <c r="L983" i="1"/>
  <c r="M983" i="1" s="1"/>
  <c r="L984" i="1"/>
  <c r="M984" i="1" s="1"/>
  <c r="L985" i="1"/>
  <c r="Q985" i="1" s="1"/>
  <c r="L986" i="1"/>
  <c r="Q986" i="1" s="1"/>
  <c r="L987" i="1"/>
  <c r="R987" i="1" s="1"/>
  <c r="L988" i="1"/>
  <c r="M988" i="1" s="1"/>
  <c r="L989" i="1"/>
  <c r="S989" i="1" s="1"/>
  <c r="L990" i="1"/>
  <c r="Q990" i="1" s="1"/>
  <c r="L991" i="1"/>
  <c r="S991" i="1" s="1"/>
  <c r="L992" i="1"/>
  <c r="R992" i="1" s="1"/>
  <c r="L993" i="1"/>
  <c r="M993" i="1" s="1"/>
  <c r="L994" i="1"/>
  <c r="Q994" i="1" s="1"/>
  <c r="L995" i="1"/>
  <c r="Q995" i="1" s="1"/>
  <c r="L996" i="1"/>
  <c r="M996" i="1" s="1"/>
  <c r="L997" i="1"/>
  <c r="R997" i="1" s="1"/>
  <c r="L998" i="1"/>
  <c r="Q998" i="1" s="1"/>
  <c r="L999" i="1"/>
  <c r="M999" i="1" s="1"/>
  <c r="L1000" i="1"/>
  <c r="Q1000" i="1" s="1"/>
  <c r="L1001" i="1"/>
  <c r="R1001" i="1" s="1"/>
  <c r="L1002" i="1"/>
  <c r="Q1002" i="1" s="1"/>
  <c r="L1003" i="1"/>
  <c r="R1003" i="1" s="1"/>
  <c r="L1004" i="1"/>
  <c r="M1004" i="1" s="1"/>
  <c r="L1005" i="1"/>
  <c r="R1005" i="1" s="1"/>
  <c r="L1006" i="1"/>
  <c r="Q1006" i="1" s="1"/>
  <c r="L1007" i="1"/>
  <c r="M1007" i="1" s="1"/>
  <c r="L1008" i="1"/>
  <c r="Q1008" i="1" s="1"/>
  <c r="L1009" i="1"/>
  <c r="Q1009" i="1" s="1"/>
  <c r="L1010" i="1"/>
  <c r="Q1010" i="1" s="1"/>
  <c r="L1011" i="1"/>
  <c r="M1011" i="1" s="1"/>
  <c r="L1012" i="1"/>
  <c r="Q1012" i="1" s="1"/>
  <c r="L1013" i="1"/>
  <c r="M1013" i="1" s="1"/>
  <c r="L1014" i="1"/>
  <c r="Q1014" i="1" s="1"/>
  <c r="L1015" i="1"/>
  <c r="Q1015" i="1" s="1"/>
  <c r="L1016" i="1"/>
  <c r="M1016" i="1" s="1"/>
  <c r="L1017" i="1"/>
  <c r="Q1017" i="1" s="1"/>
  <c r="L1018" i="1"/>
  <c r="Q1018" i="1" s="1"/>
  <c r="L1019" i="1"/>
  <c r="M1019" i="1" s="1"/>
  <c r="L1020" i="1"/>
  <c r="R1020" i="1" s="1"/>
  <c r="L1021" i="1"/>
  <c r="R1021" i="1" s="1"/>
  <c r="L1022" i="1"/>
  <c r="Q1022" i="1" s="1"/>
  <c r="L1023" i="1"/>
  <c r="M1023" i="1" s="1"/>
  <c r="L1024" i="1"/>
  <c r="R1024" i="1" s="1"/>
  <c r="L1025" i="1"/>
  <c r="M1025" i="1" s="1"/>
  <c r="L1026" i="1"/>
  <c r="Q1026" i="1" s="1"/>
  <c r="L1027" i="1"/>
  <c r="R1027" i="1" s="1"/>
  <c r="L1028" i="1"/>
  <c r="Q1028" i="1" s="1"/>
  <c r="L1029" i="1"/>
  <c r="Q1029" i="1" s="1"/>
  <c r="L1030" i="1"/>
  <c r="Q1030" i="1" s="1"/>
  <c r="L1031" i="1"/>
  <c r="Q1031" i="1" s="1"/>
  <c r="L1032" i="1"/>
  <c r="Q1032" i="1" s="1"/>
  <c r="L1033" i="1"/>
  <c r="R1033" i="1" s="1"/>
  <c r="L1034" i="1"/>
  <c r="Q1034" i="1" s="1"/>
  <c r="L1035" i="1"/>
  <c r="R1035" i="1" s="1"/>
  <c r="L1036" i="1"/>
  <c r="M1036" i="1" s="1"/>
  <c r="L1037" i="1"/>
  <c r="R1037" i="1" s="1"/>
  <c r="L1038" i="1"/>
  <c r="Q1038" i="1" s="1"/>
  <c r="L1039" i="1"/>
  <c r="S1039" i="1" s="1"/>
  <c r="L1040" i="1"/>
  <c r="Q1040" i="1" s="1"/>
  <c r="L1041" i="1"/>
  <c r="R1041" i="1" s="1"/>
  <c r="L1042" i="1"/>
  <c r="Q1042" i="1" s="1"/>
  <c r="L1043" i="1"/>
  <c r="Q1043" i="1" s="1"/>
  <c r="L1044" i="1"/>
  <c r="M1044" i="1" s="1"/>
  <c r="L1045" i="1"/>
  <c r="S1045" i="1" s="1"/>
  <c r="L1046" i="1"/>
  <c r="Q1046" i="1" s="1"/>
  <c r="L1047" i="1"/>
  <c r="M1047" i="1" s="1"/>
  <c r="L1048" i="1"/>
  <c r="M1048" i="1" s="1"/>
  <c r="L1049" i="1"/>
  <c r="Q1049" i="1" s="1"/>
  <c r="L1050" i="1"/>
  <c r="Q1050" i="1" s="1"/>
  <c r="L1051" i="1"/>
  <c r="S1051" i="1" s="1"/>
  <c r="L1052" i="1"/>
  <c r="M1052" i="1" s="1"/>
  <c r="L1053" i="1"/>
  <c r="Q1053" i="1" s="1"/>
  <c r="L1054" i="1"/>
  <c r="Q1054" i="1" s="1"/>
  <c r="L1055" i="1"/>
  <c r="M1055" i="1" s="1"/>
  <c r="L1056" i="1"/>
  <c r="R1056" i="1" s="1"/>
  <c r="L1057" i="1"/>
  <c r="R1057" i="1" s="1"/>
  <c r="L1058" i="1"/>
  <c r="Q1058" i="1" s="1"/>
  <c r="L1059" i="1"/>
  <c r="M1059" i="1" s="1"/>
  <c r="L1060" i="1"/>
  <c r="M1060" i="1" s="1"/>
  <c r="L1061" i="1"/>
  <c r="M1061" i="1" s="1"/>
  <c r="L1062" i="1"/>
  <c r="Q1062" i="1" s="1"/>
  <c r="L1063" i="1"/>
  <c r="M1063" i="1" s="1"/>
  <c r="L1064" i="1"/>
  <c r="M1064" i="1" s="1"/>
  <c r="L1065" i="1"/>
  <c r="R1065" i="1" s="1"/>
  <c r="L1066" i="1"/>
  <c r="Q1066" i="1" s="1"/>
  <c r="L1067" i="1"/>
  <c r="Q1067" i="1" s="1"/>
  <c r="L1068" i="1"/>
  <c r="M1068" i="1" s="1"/>
  <c r="L1069" i="1"/>
  <c r="Q1069" i="1" s="1"/>
  <c r="L1070" i="1"/>
  <c r="Q1070" i="1" s="1"/>
  <c r="L1071" i="1"/>
  <c r="M1071" i="1" s="1"/>
  <c r="L1072" i="1"/>
  <c r="Q1072" i="1" s="1"/>
  <c r="L1073" i="1"/>
  <c r="M1073" i="1" s="1"/>
  <c r="L1074" i="1"/>
  <c r="Q1074" i="1" s="1"/>
  <c r="L1075" i="1"/>
  <c r="S1075" i="1" s="1"/>
  <c r="L1076" i="1"/>
  <c r="M1076" i="1" s="1"/>
  <c r="L1077" i="1"/>
  <c r="S1077" i="1" s="1"/>
  <c r="L1078" i="1"/>
  <c r="Q1078" i="1" s="1"/>
  <c r="L1079" i="1"/>
  <c r="M1079" i="1" s="1"/>
  <c r="L1080" i="1"/>
  <c r="R1080" i="1" s="1"/>
  <c r="L1081" i="1"/>
  <c r="Q1081" i="1" s="1"/>
  <c r="L1082" i="1"/>
  <c r="Q1082" i="1" s="1"/>
  <c r="L1083" i="1"/>
  <c r="R1083" i="1" s="1"/>
  <c r="L1084" i="1"/>
  <c r="M1084" i="1" s="1"/>
  <c r="L1085" i="1"/>
  <c r="M1085" i="1" s="1"/>
  <c r="L1088" i="1"/>
  <c r="Q1088" i="1" s="1"/>
  <c r="L1089" i="1"/>
  <c r="M1089" i="1" s="1"/>
  <c r="M912" i="1"/>
  <c r="P912" i="1"/>
  <c r="P913" i="1"/>
  <c r="P914" i="1"/>
  <c r="P915" i="1"/>
  <c r="P916" i="1"/>
  <c r="P917" i="1"/>
  <c r="P918" i="1"/>
  <c r="P919" i="1"/>
  <c r="P920" i="1"/>
  <c r="P921" i="1"/>
  <c r="P922" i="1"/>
  <c r="P923" i="1"/>
  <c r="P924" i="1"/>
  <c r="P925" i="1"/>
  <c r="P926" i="1"/>
  <c r="P927" i="1"/>
  <c r="P928" i="1"/>
  <c r="P929" i="1"/>
  <c r="P930" i="1"/>
  <c r="P931" i="1"/>
  <c r="P932" i="1"/>
  <c r="P933" i="1"/>
  <c r="P934" i="1"/>
  <c r="P935" i="1"/>
  <c r="P936" i="1"/>
  <c r="P937" i="1"/>
  <c r="P938" i="1"/>
  <c r="P939" i="1"/>
  <c r="P940" i="1"/>
  <c r="P941" i="1"/>
  <c r="P942" i="1"/>
  <c r="P943" i="1"/>
  <c r="P944" i="1"/>
  <c r="P945" i="1"/>
  <c r="P946" i="1"/>
  <c r="P947" i="1"/>
  <c r="P948" i="1"/>
  <c r="P949" i="1"/>
  <c r="P950" i="1"/>
  <c r="P951" i="1"/>
  <c r="P952" i="1"/>
  <c r="P953" i="1"/>
  <c r="P954" i="1"/>
  <c r="P955" i="1"/>
  <c r="P956" i="1"/>
  <c r="P957" i="1"/>
  <c r="P958" i="1"/>
  <c r="P959" i="1"/>
  <c r="P960" i="1"/>
  <c r="P961" i="1"/>
  <c r="P962" i="1"/>
  <c r="P963" i="1"/>
  <c r="P964" i="1"/>
  <c r="P965" i="1"/>
  <c r="P966" i="1"/>
  <c r="P967" i="1"/>
  <c r="P968" i="1"/>
  <c r="P969" i="1"/>
  <c r="P970" i="1"/>
  <c r="P971" i="1"/>
  <c r="P972" i="1"/>
  <c r="P973" i="1"/>
  <c r="P974" i="1"/>
  <c r="P975" i="1"/>
  <c r="P976" i="1"/>
  <c r="P977" i="1"/>
  <c r="P978" i="1"/>
  <c r="P979" i="1"/>
  <c r="P980" i="1"/>
  <c r="P981" i="1"/>
  <c r="P982" i="1"/>
  <c r="P983" i="1"/>
  <c r="P984" i="1"/>
  <c r="P985" i="1"/>
  <c r="P986" i="1"/>
  <c r="P987" i="1"/>
  <c r="P988" i="1"/>
  <c r="P989" i="1"/>
  <c r="P990" i="1"/>
  <c r="P991" i="1"/>
  <c r="P992" i="1"/>
  <c r="P993" i="1"/>
  <c r="P994" i="1"/>
  <c r="P995" i="1"/>
  <c r="P996" i="1"/>
  <c r="P997" i="1"/>
  <c r="P998" i="1"/>
  <c r="P999" i="1"/>
  <c r="P1000" i="1"/>
  <c r="P1001" i="1"/>
  <c r="P1002" i="1"/>
  <c r="P1003" i="1"/>
  <c r="P1004" i="1"/>
  <c r="P1005" i="1"/>
  <c r="P1006" i="1"/>
  <c r="P1007" i="1"/>
  <c r="P1008" i="1"/>
  <c r="P1009" i="1"/>
  <c r="P1010" i="1"/>
  <c r="P1011" i="1"/>
  <c r="P1012" i="1"/>
  <c r="P1013" i="1"/>
  <c r="P1014" i="1"/>
  <c r="P1015" i="1"/>
  <c r="P1016" i="1"/>
  <c r="P1017" i="1"/>
  <c r="P1018" i="1"/>
  <c r="P1019" i="1"/>
  <c r="P1020" i="1"/>
  <c r="P1021" i="1"/>
  <c r="P1022" i="1"/>
  <c r="P1023" i="1"/>
  <c r="P1024" i="1"/>
  <c r="P1025" i="1"/>
  <c r="P1026" i="1"/>
  <c r="P1027" i="1"/>
  <c r="P1028" i="1"/>
  <c r="P1029" i="1"/>
  <c r="P1030" i="1"/>
  <c r="P1031" i="1"/>
  <c r="P1032" i="1"/>
  <c r="P1033" i="1"/>
  <c r="P1034" i="1"/>
  <c r="P1035" i="1"/>
  <c r="P1036" i="1"/>
  <c r="P1037" i="1"/>
  <c r="P1038" i="1"/>
  <c r="P1039" i="1"/>
  <c r="P1040" i="1"/>
  <c r="P1041" i="1"/>
  <c r="P1042" i="1"/>
  <c r="P1043" i="1"/>
  <c r="P1044" i="1"/>
  <c r="P1045" i="1"/>
  <c r="P1046" i="1"/>
  <c r="P1047" i="1"/>
  <c r="P1048" i="1"/>
  <c r="P1049" i="1"/>
  <c r="P1050" i="1"/>
  <c r="P1051" i="1"/>
  <c r="P1052" i="1"/>
  <c r="P1053" i="1"/>
  <c r="P1054" i="1"/>
  <c r="P1055" i="1"/>
  <c r="P1056" i="1"/>
  <c r="P1057" i="1"/>
  <c r="P1058" i="1"/>
  <c r="P1059" i="1"/>
  <c r="P1060" i="1"/>
  <c r="P1061" i="1"/>
  <c r="P1062" i="1"/>
  <c r="P1063" i="1"/>
  <c r="P1064" i="1"/>
  <c r="P1065" i="1"/>
  <c r="P1066" i="1"/>
  <c r="P1067" i="1"/>
  <c r="P1068" i="1"/>
  <c r="P1069" i="1"/>
  <c r="P1070" i="1"/>
  <c r="P1071" i="1"/>
  <c r="P1072" i="1"/>
  <c r="P1073" i="1"/>
  <c r="P1074" i="1"/>
  <c r="P1075" i="1"/>
  <c r="P1076" i="1"/>
  <c r="P1077" i="1"/>
  <c r="P1078" i="1"/>
  <c r="P1079" i="1"/>
  <c r="P1080" i="1"/>
  <c r="P1081" i="1"/>
  <c r="P1082" i="1"/>
  <c r="P1083" i="1"/>
  <c r="P1084" i="1"/>
  <c r="P1085" i="1"/>
  <c r="P1088" i="1"/>
  <c r="P1089" i="1"/>
  <c r="W912" i="1"/>
  <c r="W913" i="1"/>
  <c r="W914" i="1"/>
  <c r="W915" i="1"/>
  <c r="W916" i="1"/>
  <c r="W917" i="1"/>
  <c r="W918" i="1"/>
  <c r="W919" i="1"/>
  <c r="W920" i="1"/>
  <c r="W921" i="1"/>
  <c r="W922" i="1"/>
  <c r="W923" i="1"/>
  <c r="W924" i="1"/>
  <c r="W925" i="1"/>
  <c r="W926" i="1"/>
  <c r="W927" i="1"/>
  <c r="W928" i="1"/>
  <c r="W929" i="1"/>
  <c r="W930" i="1"/>
  <c r="W931" i="1"/>
  <c r="W932" i="1"/>
  <c r="W933" i="1"/>
  <c r="W934" i="1"/>
  <c r="W935" i="1"/>
  <c r="W936" i="1"/>
  <c r="W937" i="1"/>
  <c r="W938" i="1"/>
  <c r="W939" i="1"/>
  <c r="W940" i="1"/>
  <c r="W941" i="1"/>
  <c r="W942" i="1"/>
  <c r="W943" i="1"/>
  <c r="W944" i="1"/>
  <c r="W945" i="1"/>
  <c r="W946" i="1"/>
  <c r="W947" i="1"/>
  <c r="W948" i="1"/>
  <c r="W949" i="1"/>
  <c r="W950" i="1"/>
  <c r="W951" i="1"/>
  <c r="W952" i="1"/>
  <c r="W953" i="1"/>
  <c r="W954" i="1"/>
  <c r="W955" i="1"/>
  <c r="W956" i="1"/>
  <c r="W957" i="1"/>
  <c r="W958" i="1"/>
  <c r="W959" i="1"/>
  <c r="W960" i="1"/>
  <c r="W961" i="1"/>
  <c r="W962" i="1"/>
  <c r="W963" i="1"/>
  <c r="W964" i="1"/>
  <c r="W965" i="1"/>
  <c r="W966" i="1"/>
  <c r="W967" i="1"/>
  <c r="W968" i="1"/>
  <c r="W969" i="1"/>
  <c r="W970" i="1"/>
  <c r="W971" i="1"/>
  <c r="W972" i="1"/>
  <c r="W973" i="1"/>
  <c r="W974" i="1"/>
  <c r="W975" i="1"/>
  <c r="W976" i="1"/>
  <c r="W977" i="1"/>
  <c r="W978" i="1"/>
  <c r="W979" i="1"/>
  <c r="W980" i="1"/>
  <c r="W981" i="1"/>
  <c r="W982" i="1"/>
  <c r="W983" i="1"/>
  <c r="W984" i="1"/>
  <c r="W985" i="1"/>
  <c r="W986" i="1"/>
  <c r="W987" i="1"/>
  <c r="W988" i="1"/>
  <c r="W989" i="1"/>
  <c r="W990" i="1"/>
  <c r="W991" i="1"/>
  <c r="W992" i="1"/>
  <c r="W993" i="1"/>
  <c r="W994" i="1"/>
  <c r="W995" i="1"/>
  <c r="W996" i="1"/>
  <c r="W997" i="1"/>
  <c r="W998" i="1"/>
  <c r="W999" i="1"/>
  <c r="W1000" i="1"/>
  <c r="W1001" i="1"/>
  <c r="W1002" i="1"/>
  <c r="W1003" i="1"/>
  <c r="W1004" i="1"/>
  <c r="W1005" i="1"/>
  <c r="W1006" i="1"/>
  <c r="W1007" i="1"/>
  <c r="W1008" i="1"/>
  <c r="W1009" i="1"/>
  <c r="W1010" i="1"/>
  <c r="W1011" i="1"/>
  <c r="W1012" i="1"/>
  <c r="W1013" i="1"/>
  <c r="W1014" i="1"/>
  <c r="W1015" i="1"/>
  <c r="W1016" i="1"/>
  <c r="W1017" i="1"/>
  <c r="W1018" i="1"/>
  <c r="W1019" i="1"/>
  <c r="W1020" i="1"/>
  <c r="W1021" i="1"/>
  <c r="W1022" i="1"/>
  <c r="W1023" i="1"/>
  <c r="W1024" i="1"/>
  <c r="W1025" i="1"/>
  <c r="W1026" i="1"/>
  <c r="W1027" i="1"/>
  <c r="W1028" i="1"/>
  <c r="W1029" i="1"/>
  <c r="W1030" i="1"/>
  <c r="W1031" i="1"/>
  <c r="W1032" i="1"/>
  <c r="W1033" i="1"/>
  <c r="W1034" i="1"/>
  <c r="W1035" i="1"/>
  <c r="W1036" i="1"/>
  <c r="W1037" i="1"/>
  <c r="W1038" i="1"/>
  <c r="W1039" i="1"/>
  <c r="W1040" i="1"/>
  <c r="W1041" i="1"/>
  <c r="W1042" i="1"/>
  <c r="W1043" i="1"/>
  <c r="W1044" i="1"/>
  <c r="W1045" i="1"/>
  <c r="W1046" i="1"/>
  <c r="W1047" i="1"/>
  <c r="W1048" i="1"/>
  <c r="W1049" i="1"/>
  <c r="W1050" i="1"/>
  <c r="W1051" i="1"/>
  <c r="W1052" i="1"/>
  <c r="W1053" i="1"/>
  <c r="W1054" i="1"/>
  <c r="W1055" i="1"/>
  <c r="W1056" i="1"/>
  <c r="W1057" i="1"/>
  <c r="W1058" i="1"/>
  <c r="W1059" i="1"/>
  <c r="W1060" i="1"/>
  <c r="W1061" i="1"/>
  <c r="W1062" i="1"/>
  <c r="W1063" i="1"/>
  <c r="W1064" i="1"/>
  <c r="W1065" i="1"/>
  <c r="W1066" i="1"/>
  <c r="W1067" i="1"/>
  <c r="W1068" i="1"/>
  <c r="W1069" i="1"/>
  <c r="W1070" i="1"/>
  <c r="W1071" i="1"/>
  <c r="W1072" i="1"/>
  <c r="W1073" i="1"/>
  <c r="W1074" i="1"/>
  <c r="W1075" i="1"/>
  <c r="W1076" i="1"/>
  <c r="W1077" i="1"/>
  <c r="W1078" i="1"/>
  <c r="W1079" i="1"/>
  <c r="W1080" i="1"/>
  <c r="W1081" i="1"/>
  <c r="W1082" i="1"/>
  <c r="W1083" i="1"/>
  <c r="W1084" i="1"/>
  <c r="W1085" i="1"/>
  <c r="W1088" i="1"/>
  <c r="W1089" i="1"/>
  <c r="AL913" i="1"/>
  <c r="AL914" i="1"/>
  <c r="AM914" i="1" s="1"/>
  <c r="AL917" i="1"/>
  <c r="AL918" i="1"/>
  <c r="AM918" i="1" s="1"/>
  <c r="AL921" i="1"/>
  <c r="AL922" i="1"/>
  <c r="AM922" i="1" s="1"/>
  <c r="AL923" i="1"/>
  <c r="AM923" i="1" s="1"/>
  <c r="AL926" i="1"/>
  <c r="AM926" i="1" s="1"/>
  <c r="AL928" i="1"/>
  <c r="AM928" i="1" s="1"/>
  <c r="AL930" i="1"/>
  <c r="AM930" i="1" s="1"/>
  <c r="AL934" i="1"/>
  <c r="AM934" i="1" s="1"/>
  <c r="AL935" i="1"/>
  <c r="AM935" i="1" s="1"/>
  <c r="AL936" i="1"/>
  <c r="AM936" i="1" s="1"/>
  <c r="AL944" i="1"/>
  <c r="AM944" i="1" s="1"/>
  <c r="AL945" i="1"/>
  <c r="AM945" i="1" s="1"/>
  <c r="AL948" i="1"/>
  <c r="AM948" i="1" s="1"/>
  <c r="AL949" i="1"/>
  <c r="AM949" i="1" s="1"/>
  <c r="AL950" i="1"/>
  <c r="AM950" i="1" s="1"/>
  <c r="AL953" i="1"/>
  <c r="AM953" i="1" s="1"/>
  <c r="AL955" i="1"/>
  <c r="AM955" i="1" s="1"/>
  <c r="AL957" i="1"/>
  <c r="AM957" i="1" s="1"/>
  <c r="AL959" i="1"/>
  <c r="AM959" i="1" s="1"/>
  <c r="AL960" i="1"/>
  <c r="AM960" i="1" s="1"/>
  <c r="AL965" i="1"/>
  <c r="AL966" i="1"/>
  <c r="AM966" i="1" s="1"/>
  <c r="AL969" i="1"/>
  <c r="AM969" i="1" s="1"/>
  <c r="AL972" i="1"/>
  <c r="AM972" i="1" s="1"/>
  <c r="AL973" i="1"/>
  <c r="AM973" i="1" s="1"/>
  <c r="AL974" i="1"/>
  <c r="AM974" i="1" s="1"/>
  <c r="AL975" i="1"/>
  <c r="AM975" i="1" s="1"/>
  <c r="AL978" i="1"/>
  <c r="AM978" i="1" s="1"/>
  <c r="AL979" i="1"/>
  <c r="AM979" i="1" s="1"/>
  <c r="AL982" i="1"/>
  <c r="AM982" i="1" s="1"/>
  <c r="AL983" i="1"/>
  <c r="AM983" i="1" s="1"/>
  <c r="AL984" i="1"/>
  <c r="AM984" i="1" s="1"/>
  <c r="AL986" i="1"/>
  <c r="AL987" i="1"/>
  <c r="AM987" i="1" s="1"/>
  <c r="AL988" i="1"/>
  <c r="AM988" i="1" s="1"/>
  <c r="AL991" i="1"/>
  <c r="AL992" i="1"/>
  <c r="AM992" i="1" s="1"/>
  <c r="AL995" i="1"/>
  <c r="AL996" i="1"/>
  <c r="AM996" i="1" s="1"/>
  <c r="AL999" i="1"/>
  <c r="AL1000" i="1"/>
  <c r="AM1000" i="1" s="1"/>
  <c r="AL1003" i="1"/>
  <c r="AL1004" i="1"/>
  <c r="AM1004" i="1" s="1"/>
  <c r="AL1006" i="1"/>
  <c r="AM1006" i="1" s="1"/>
  <c r="AL1007" i="1"/>
  <c r="AM1007" i="1" s="1"/>
  <c r="AL1009" i="1"/>
  <c r="AL1010" i="1"/>
  <c r="AM1010" i="1" s="1"/>
  <c r="AL1013" i="1"/>
  <c r="AM1013" i="1" s="1"/>
  <c r="AL1015" i="1"/>
  <c r="AM1015" i="1" s="1"/>
  <c r="AL1017" i="1"/>
  <c r="AL1018" i="1"/>
  <c r="AM1018" i="1" s="1"/>
  <c r="AL1021" i="1"/>
  <c r="AM1021" i="1" s="1"/>
  <c r="AL1022" i="1"/>
  <c r="AM1022" i="1" s="1"/>
  <c r="AL1025" i="1"/>
  <c r="AL1026" i="1"/>
  <c r="AM1026" i="1" s="1"/>
  <c r="AL1027" i="1"/>
  <c r="AM1027" i="1" s="1"/>
  <c r="AL1028" i="1"/>
  <c r="AM1028" i="1" s="1"/>
  <c r="AL1029" i="1"/>
  <c r="AL1030" i="1"/>
  <c r="AL1031" i="1"/>
  <c r="AM1031" i="1" s="1"/>
  <c r="AL1035" i="1"/>
  <c r="AM1035" i="1" s="1"/>
  <c r="AL1038" i="1"/>
  <c r="AM1038" i="1" s="1"/>
  <c r="AL1039" i="1"/>
  <c r="AM1039" i="1" s="1"/>
  <c r="AL1041" i="1"/>
  <c r="AM1041" i="1" s="1"/>
  <c r="AL1044" i="1"/>
  <c r="AM1044" i="1" s="1"/>
  <c r="AL1045" i="1"/>
  <c r="AM1045" i="1" s="1"/>
  <c r="AL1046" i="1"/>
  <c r="AM1046" i="1" s="1"/>
  <c r="AL1052" i="1"/>
  <c r="AL1053" i="1"/>
  <c r="AM1053" i="1" s="1"/>
  <c r="AL1054" i="1"/>
  <c r="AM1054" i="1" s="1"/>
  <c r="AL1055" i="1"/>
  <c r="AL1056" i="1"/>
  <c r="AM1056" i="1" s="1"/>
  <c r="AL1058" i="1"/>
  <c r="AM1058" i="1" s="1"/>
  <c r="AL1061" i="1"/>
  <c r="AL1062" i="1"/>
  <c r="AL1063" i="1"/>
  <c r="AM1063" i="1" s="1"/>
  <c r="AL1064" i="1"/>
  <c r="AM1064" i="1" s="1"/>
  <c r="AL1065" i="1"/>
  <c r="AM1065" i="1" s="1"/>
  <c r="AL1066" i="1"/>
  <c r="AM1066" i="1" s="1"/>
  <c r="AL1068" i="1"/>
  <c r="AL1069" i="1"/>
  <c r="AM1069" i="1" s="1"/>
  <c r="AL1070" i="1"/>
  <c r="AM1070" i="1" s="1"/>
  <c r="AL1072" i="1"/>
  <c r="AM1072" i="1" s="1"/>
  <c r="AL1073" i="1"/>
  <c r="AM1073" i="1" s="1"/>
  <c r="AL1074" i="1"/>
  <c r="AM1074" i="1" s="1"/>
  <c r="AL1075" i="1"/>
  <c r="AL1076" i="1"/>
  <c r="AL1077" i="1"/>
  <c r="AL1078" i="1"/>
  <c r="AL1079" i="1"/>
  <c r="AM1079" i="1" s="1"/>
  <c r="AL1080" i="1"/>
  <c r="AM1080" i="1" s="1"/>
  <c r="AL1081" i="1"/>
  <c r="AM1081" i="1" s="1"/>
  <c r="AL1082" i="1"/>
  <c r="AM1082" i="1" s="1"/>
  <c r="AL1085" i="1"/>
  <c r="AM1085" i="1" s="1"/>
  <c r="AL1089" i="1"/>
  <c r="AM1089" i="1" s="1"/>
  <c r="AO913" i="1"/>
  <c r="AO914" i="1"/>
  <c r="AO915" i="1"/>
  <c r="AO918" i="1"/>
  <c r="AO919" i="1"/>
  <c r="AO922" i="1"/>
  <c r="AO923" i="1"/>
  <c r="AO926" i="1"/>
  <c r="AO928" i="1"/>
  <c r="AO929" i="1"/>
  <c r="AO930" i="1"/>
  <c r="AO931" i="1"/>
  <c r="AO934" i="1"/>
  <c r="AO935" i="1"/>
  <c r="AO936" i="1"/>
  <c r="AO938" i="1"/>
  <c r="AO939" i="1"/>
  <c r="AO940" i="1"/>
  <c r="AO944" i="1"/>
  <c r="AO945" i="1"/>
  <c r="AO948" i="1"/>
  <c r="AO949" i="1"/>
  <c r="AO953" i="1"/>
  <c r="AO954" i="1"/>
  <c r="AO955" i="1"/>
  <c r="AO957" i="1"/>
  <c r="AO959" i="1"/>
  <c r="AO960" i="1"/>
  <c r="AO963" i="1"/>
  <c r="AO967" i="1"/>
  <c r="AO969" i="1"/>
  <c r="AO972" i="1"/>
  <c r="AO973" i="1"/>
  <c r="AO974" i="1"/>
  <c r="AO975" i="1"/>
  <c r="AO978" i="1"/>
  <c r="AO979" i="1"/>
  <c r="AO982" i="1"/>
  <c r="AO983" i="1"/>
  <c r="AO984" i="1"/>
  <c r="AO987" i="1"/>
  <c r="AO988" i="1"/>
  <c r="AO989" i="1"/>
  <c r="AO992" i="1"/>
  <c r="AO993" i="1"/>
  <c r="AO994" i="1"/>
  <c r="AO996" i="1"/>
  <c r="AO997" i="1"/>
  <c r="AO999" i="1"/>
  <c r="AO1000" i="1"/>
  <c r="AO1001" i="1"/>
  <c r="AO1002" i="1"/>
  <c r="AO1004" i="1"/>
  <c r="AO1005" i="1"/>
  <c r="AO1006" i="1"/>
  <c r="AO1007" i="1"/>
  <c r="AO1010" i="1"/>
  <c r="AO1011" i="1"/>
  <c r="AO1013" i="1"/>
  <c r="AO1014" i="1"/>
  <c r="AO1015" i="1"/>
  <c r="AO1017" i="1"/>
  <c r="AO1018" i="1"/>
  <c r="AO1022" i="1"/>
  <c r="AO1023" i="1"/>
  <c r="AO1026" i="1"/>
  <c r="AO1027" i="1"/>
  <c r="AO1028" i="1"/>
  <c r="AO1031" i="1"/>
  <c r="AO1032" i="1"/>
  <c r="AO1035" i="1"/>
  <c r="AO1036" i="1"/>
  <c r="AO1038" i="1"/>
  <c r="AO1039" i="1"/>
  <c r="AO1040" i="1"/>
  <c r="AO1041" i="1"/>
  <c r="AO1044" i="1"/>
  <c r="AO1045" i="1"/>
  <c r="AO1046" i="1"/>
  <c r="AO1049" i="1"/>
  <c r="AO1050" i="1"/>
  <c r="AO1053" i="1"/>
  <c r="AO1054" i="1"/>
  <c r="AO1055" i="1"/>
  <c r="AO1056" i="1"/>
  <c r="AO1058" i="1"/>
  <c r="AO1060" i="1"/>
  <c r="AO1063" i="1"/>
  <c r="AO1064" i="1"/>
  <c r="AO1065" i="1"/>
  <c r="AO1069" i="1"/>
  <c r="AO1070" i="1"/>
  <c r="AO1071" i="1"/>
  <c r="AO1072" i="1"/>
  <c r="AO1073" i="1"/>
  <c r="AO1074" i="1"/>
  <c r="AO1076" i="1"/>
  <c r="AO1079" i="1"/>
  <c r="AO1080" i="1"/>
  <c r="AO1081" i="1"/>
  <c r="AO1082" i="1"/>
  <c r="AO1085" i="1"/>
  <c r="AL1389" i="1"/>
  <c r="Y1316" i="1"/>
  <c r="Y1318" i="1"/>
  <c r="Y1459" i="1"/>
  <c r="Y1463" i="1"/>
  <c r="Y1462" i="1"/>
  <c r="Y1464" i="1"/>
  <c r="Y1461" i="1"/>
  <c r="Y1460" i="1"/>
  <c r="Y1457" i="1"/>
  <c r="Y1456" i="1"/>
  <c r="Y1455" i="1"/>
  <c r="Y1452" i="1"/>
  <c r="Y1442" i="1"/>
  <c r="Y1431" i="1"/>
  <c r="Y1427" i="1"/>
  <c r="Y1413" i="1"/>
  <c r="Y1414" i="1"/>
  <c r="Y1412" i="1"/>
  <c r="Y1409" i="1"/>
  <c r="Y1407" i="1"/>
  <c r="Y1402" i="1"/>
  <c r="Y1401" i="1"/>
  <c r="Y1399" i="1"/>
  <c r="Y1397" i="1"/>
  <c r="Y1396" i="1"/>
  <c r="Y1395" i="1"/>
  <c r="Y1390" i="1"/>
  <c r="Y1394" i="1"/>
  <c r="Y1393" i="1"/>
  <c r="Y1389" i="1"/>
  <c r="Y1388" i="1"/>
  <c r="Y1386" i="1"/>
  <c r="Y1385" i="1"/>
  <c r="Y1383" i="1"/>
  <c r="Y1374" i="1"/>
  <c r="Y1373" i="1"/>
  <c r="Y1371" i="1"/>
  <c r="Y1370" i="1"/>
  <c r="Y1367" i="1"/>
  <c r="Y1369" i="1"/>
  <c r="Y1366" i="1"/>
  <c r="Y1364" i="1"/>
  <c r="Y1361" i="1"/>
  <c r="Y1360" i="1"/>
  <c r="Y1356" i="1"/>
  <c r="Y1358" i="1"/>
  <c r="Y1355" i="1"/>
  <c r="Y1354" i="1"/>
  <c r="Y1345" i="1"/>
  <c r="Y1351" i="1"/>
  <c r="Y1350" i="1"/>
  <c r="Y1349" i="1"/>
  <c r="Y1343" i="1"/>
  <c r="Y1341" i="1"/>
  <c r="Y1335" i="1"/>
  <c r="Y1339" i="1"/>
  <c r="Y1338" i="1"/>
  <c r="Y1334" i="1"/>
  <c r="Y1331" i="1"/>
  <c r="Y1329" i="1"/>
  <c r="Y1328" i="1"/>
  <c r="Y1327" i="1"/>
  <c r="Y1325" i="1"/>
  <c r="Y1326" i="1"/>
  <c r="Y1323" i="1"/>
  <c r="Y1322" i="1"/>
  <c r="Y1321" i="1"/>
  <c r="Y1312" i="1"/>
  <c r="Y1311" i="1"/>
  <c r="Y1309" i="1"/>
  <c r="Y1304" i="1"/>
  <c r="Y1303" i="1"/>
  <c r="Y1302" i="1"/>
  <c r="Y1301" i="1"/>
  <c r="Y1300" i="1"/>
  <c r="Y1299" i="1"/>
  <c r="Y1298" i="1"/>
  <c r="Y1297" i="1"/>
  <c r="Y1296" i="1"/>
  <c r="Y1295" i="1"/>
  <c r="Y1294" i="1"/>
  <c r="Y1293" i="1"/>
  <c r="Y1291" i="1"/>
  <c r="Y1290" i="1"/>
  <c r="Y1289" i="1"/>
  <c r="Y1288" i="1"/>
  <c r="Y1287" i="1"/>
  <c r="Y1286" i="1"/>
  <c r="Y1284" i="1"/>
  <c r="Y1283" i="1"/>
  <c r="Y1281" i="1"/>
  <c r="Y1280" i="1"/>
  <c r="Y1278" i="1"/>
  <c r="Y1277" i="1"/>
  <c r="Y1276" i="1"/>
  <c r="Y1275" i="1"/>
  <c r="Y1274" i="1"/>
  <c r="Y1273" i="1"/>
  <c r="Y1272" i="1"/>
  <c r="Y1271" i="1"/>
  <c r="Q955" i="1" l="1"/>
  <c r="R995" i="1"/>
  <c r="R979" i="1"/>
  <c r="S979" i="1"/>
  <c r="M922" i="1"/>
  <c r="S971" i="1"/>
  <c r="M1035" i="1"/>
  <c r="S1035" i="1"/>
  <c r="S931" i="1"/>
  <c r="Q971" i="1"/>
  <c r="S939" i="1"/>
  <c r="R923" i="1"/>
  <c r="M955" i="1"/>
  <c r="R932" i="1"/>
  <c r="S995" i="1"/>
  <c r="S947" i="1"/>
  <c r="R1059" i="1"/>
  <c r="R939" i="1"/>
  <c r="Q1003" i="1"/>
  <c r="Q931" i="1"/>
  <c r="S1019" i="1"/>
  <c r="S963" i="1"/>
  <c r="S915" i="1"/>
  <c r="R947" i="1"/>
  <c r="R915" i="1"/>
  <c r="Q939" i="1"/>
  <c r="M923" i="1"/>
  <c r="Q948" i="1"/>
  <c r="R924" i="1"/>
  <c r="Q932" i="1"/>
  <c r="M924" i="1"/>
  <c r="R925" i="1"/>
  <c r="Q1036" i="1"/>
  <c r="R1004" i="1"/>
  <c r="Q1020" i="1"/>
  <c r="M930" i="1"/>
  <c r="M914" i="1"/>
  <c r="Q1052" i="1"/>
  <c r="Q988" i="1"/>
  <c r="M956" i="1"/>
  <c r="S996" i="1"/>
  <c r="S964" i="1"/>
  <c r="S932" i="1"/>
  <c r="R1019" i="1"/>
  <c r="R964" i="1"/>
  <c r="R931" i="1"/>
  <c r="R916" i="1"/>
  <c r="Q1035" i="1"/>
  <c r="Q979" i="1"/>
  <c r="Q940" i="1"/>
  <c r="Q923" i="1"/>
  <c r="S987" i="1"/>
  <c r="S933" i="1"/>
  <c r="Q1051" i="1"/>
  <c r="Q987" i="1"/>
  <c r="M947" i="1"/>
  <c r="S1027" i="1"/>
  <c r="R971" i="1"/>
  <c r="Q1027" i="1"/>
  <c r="Q963" i="1"/>
  <c r="Q915" i="1"/>
  <c r="S1003" i="1"/>
  <c r="S955" i="1"/>
  <c r="R1067" i="1"/>
  <c r="Q1011" i="1"/>
  <c r="M1003" i="1"/>
  <c r="S1005" i="1"/>
  <c r="M1043" i="1"/>
  <c r="S981" i="1"/>
  <c r="S917" i="1"/>
  <c r="R940" i="1"/>
  <c r="Q917" i="1"/>
  <c r="S980" i="1"/>
  <c r="S940" i="1"/>
  <c r="S916" i="1"/>
  <c r="R988" i="1"/>
  <c r="Q1059" i="1"/>
  <c r="Q949" i="1"/>
  <c r="Q916" i="1"/>
  <c r="S1076" i="1"/>
  <c r="R1028" i="1"/>
  <c r="S1067" i="1"/>
  <c r="S988" i="1"/>
  <c r="S956" i="1"/>
  <c r="S924" i="1"/>
  <c r="R949" i="1"/>
  <c r="Q964" i="1"/>
  <c r="M980" i="1"/>
  <c r="M1005" i="1"/>
  <c r="S1037" i="1"/>
  <c r="S1061" i="1"/>
  <c r="S965" i="1"/>
  <c r="R1075" i="1"/>
  <c r="Q1021" i="1"/>
  <c r="M1027" i="1"/>
  <c r="M941" i="1"/>
  <c r="R1051" i="1"/>
  <c r="M995" i="1"/>
  <c r="S1083" i="1"/>
  <c r="S1011" i="1"/>
  <c r="M1051" i="1"/>
  <c r="R980" i="1"/>
  <c r="R948" i="1"/>
  <c r="S1069" i="1"/>
  <c r="S1012" i="1"/>
  <c r="R1068" i="1"/>
  <c r="R1012" i="1"/>
  <c r="R972" i="1"/>
  <c r="Q972" i="1"/>
  <c r="S1060" i="1"/>
  <c r="S1004" i="1"/>
  <c r="S948" i="1"/>
  <c r="R996" i="1"/>
  <c r="R956" i="1"/>
  <c r="S972" i="1"/>
  <c r="R1045" i="1"/>
  <c r="Q1037" i="1"/>
  <c r="Q996" i="1"/>
  <c r="M1028" i="1"/>
  <c r="S1068" i="1"/>
  <c r="S1020" i="1"/>
  <c r="Q1076" i="1"/>
  <c r="R1076" i="1"/>
  <c r="R1044" i="1"/>
  <c r="Q1068" i="1"/>
  <c r="M1020" i="1"/>
  <c r="R1036" i="1"/>
  <c r="M1012" i="1"/>
  <c r="Q1004" i="1"/>
  <c r="S1036" i="1"/>
  <c r="R1060" i="1"/>
  <c r="M1077" i="1"/>
  <c r="S1028" i="1"/>
  <c r="R1029" i="1"/>
  <c r="R965" i="1"/>
  <c r="Q1084" i="1"/>
  <c r="Q1044" i="1"/>
  <c r="Q981" i="1"/>
  <c r="M957" i="1"/>
  <c r="Q1005" i="1"/>
  <c r="S1084" i="1"/>
  <c r="S1052" i="1"/>
  <c r="R1084" i="1"/>
  <c r="R1052" i="1"/>
  <c r="R981" i="1"/>
  <c r="Q1061" i="1"/>
  <c r="Q973" i="1"/>
  <c r="S1044" i="1"/>
  <c r="R1077" i="1"/>
  <c r="Q1060" i="1"/>
  <c r="M1021" i="1"/>
  <c r="Q1016" i="1"/>
  <c r="S1016" i="1"/>
  <c r="Q1080" i="1"/>
  <c r="Q1048" i="1"/>
  <c r="Q991" i="1"/>
  <c r="S984" i="1"/>
  <c r="R936" i="1"/>
  <c r="S1043" i="1"/>
  <c r="R1011" i="1"/>
  <c r="Q1083" i="1"/>
  <c r="M1083" i="1"/>
  <c r="M987" i="1"/>
  <c r="Q1077" i="1"/>
  <c r="M1075" i="1"/>
  <c r="M1067" i="1"/>
  <c r="S1079" i="1"/>
  <c r="S1059" i="1"/>
  <c r="Q1075" i="1"/>
  <c r="R1043" i="1"/>
  <c r="R1013" i="1"/>
  <c r="R963" i="1"/>
  <c r="Q1085" i="1"/>
  <c r="Q1019" i="1"/>
  <c r="M989" i="1"/>
  <c r="S1021" i="1"/>
  <c r="S941" i="1"/>
  <c r="R1053" i="1"/>
  <c r="R989" i="1"/>
  <c r="Q1045" i="1"/>
  <c r="Q1007" i="1"/>
  <c r="Q989" i="1"/>
  <c r="Q933" i="1"/>
  <c r="M1053" i="1"/>
  <c r="M1029" i="1"/>
  <c r="M965" i="1"/>
  <c r="M925" i="1"/>
  <c r="S1053" i="1"/>
  <c r="S997" i="1"/>
  <c r="S957" i="1"/>
  <c r="R1069" i="1"/>
  <c r="R941" i="1"/>
  <c r="M1045" i="1"/>
  <c r="S1085" i="1"/>
  <c r="S1031" i="1"/>
  <c r="S1013" i="1"/>
  <c r="S973" i="1"/>
  <c r="R1085" i="1"/>
  <c r="R957" i="1"/>
  <c r="R917" i="1"/>
  <c r="Q997" i="1"/>
  <c r="Q943" i="1"/>
  <c r="Q925" i="1"/>
  <c r="M997" i="1"/>
  <c r="M933" i="1"/>
  <c r="Q927" i="1"/>
  <c r="S1047" i="1"/>
  <c r="S1029" i="1"/>
  <c r="S949" i="1"/>
  <c r="R1061" i="1"/>
  <c r="Q1013" i="1"/>
  <c r="Q959" i="1"/>
  <c r="M1069" i="1"/>
  <c r="M1037" i="1"/>
  <c r="M973" i="1"/>
  <c r="S1063" i="1"/>
  <c r="Q975" i="1"/>
  <c r="M991" i="1"/>
  <c r="M975" i="1"/>
  <c r="M959" i="1"/>
  <c r="M943" i="1"/>
  <c r="M919" i="1"/>
  <c r="S975" i="1"/>
  <c r="S959" i="1"/>
  <c r="S943" i="1"/>
  <c r="S927" i="1"/>
  <c r="R1089" i="1"/>
  <c r="R1071" i="1"/>
  <c r="R1055" i="1"/>
  <c r="R1039" i="1"/>
  <c r="R1023" i="1"/>
  <c r="R1007" i="1"/>
  <c r="R991" i="1"/>
  <c r="Q1055" i="1"/>
  <c r="M1015" i="1"/>
  <c r="M934" i="1"/>
  <c r="R927" i="1"/>
  <c r="Q1089" i="1"/>
  <c r="Q1071" i="1"/>
  <c r="Q1039" i="1"/>
  <c r="Q1023" i="1"/>
  <c r="M1031" i="1"/>
  <c r="S999" i="1"/>
  <c r="S983" i="1"/>
  <c r="S967" i="1"/>
  <c r="S951" i="1"/>
  <c r="S935" i="1"/>
  <c r="S919" i="1"/>
  <c r="R1079" i="1"/>
  <c r="R1063" i="1"/>
  <c r="R1047" i="1"/>
  <c r="R1031" i="1"/>
  <c r="R1015" i="1"/>
  <c r="R999" i="1"/>
  <c r="R983" i="1"/>
  <c r="R967" i="1"/>
  <c r="R951" i="1"/>
  <c r="M918" i="1"/>
  <c r="S1015" i="1"/>
  <c r="R935" i="1"/>
  <c r="R919" i="1"/>
  <c r="Q1047" i="1"/>
  <c r="M1039" i="1"/>
  <c r="S1089" i="1"/>
  <c r="S1071" i="1"/>
  <c r="S1055" i="1"/>
  <c r="S1023" i="1"/>
  <c r="Q999" i="1"/>
  <c r="Q983" i="1"/>
  <c r="Q967" i="1"/>
  <c r="Q951" i="1"/>
  <c r="Q935" i="1"/>
  <c r="M926" i="1"/>
  <c r="S1007" i="1"/>
  <c r="S952" i="1"/>
  <c r="Q984" i="1"/>
  <c r="M936" i="1"/>
  <c r="M928" i="1"/>
  <c r="M920" i="1"/>
  <c r="M921" i="1"/>
  <c r="S920" i="1"/>
  <c r="Q952" i="1"/>
  <c r="R1064" i="1"/>
  <c r="Q920" i="1"/>
  <c r="M992" i="1"/>
  <c r="M929" i="1"/>
  <c r="R1032" i="1"/>
  <c r="M1024" i="1"/>
  <c r="M960" i="1"/>
  <c r="S1080" i="1"/>
  <c r="R1000" i="1"/>
  <c r="S1048" i="1"/>
  <c r="R968" i="1"/>
  <c r="M1056" i="1"/>
  <c r="Q1079" i="1"/>
  <c r="Q1063" i="1"/>
  <c r="M1057" i="1"/>
  <c r="M913" i="1"/>
  <c r="M1072" i="1"/>
  <c r="S1057" i="1"/>
  <c r="R977" i="1"/>
  <c r="Q1057" i="1"/>
  <c r="Q929" i="1"/>
  <c r="S1056" i="1"/>
  <c r="S1024" i="1"/>
  <c r="S992" i="1"/>
  <c r="S960" i="1"/>
  <c r="S928" i="1"/>
  <c r="R1072" i="1"/>
  <c r="R1040" i="1"/>
  <c r="R1008" i="1"/>
  <c r="R976" i="1"/>
  <c r="R944" i="1"/>
  <c r="R912" i="1"/>
  <c r="Q1056" i="1"/>
  <c r="Q1024" i="1"/>
  <c r="Q992" i="1"/>
  <c r="Q960" i="1"/>
  <c r="Q928" i="1"/>
  <c r="M1081" i="1"/>
  <c r="M1032" i="1"/>
  <c r="M1000" i="1"/>
  <c r="M968" i="1"/>
  <c r="S1025" i="1"/>
  <c r="Q961" i="1"/>
  <c r="M1033" i="1"/>
  <c r="S1065" i="1"/>
  <c r="S1033" i="1"/>
  <c r="S1001" i="1"/>
  <c r="S969" i="1"/>
  <c r="S937" i="1"/>
  <c r="R1081" i="1"/>
  <c r="R1049" i="1"/>
  <c r="R1017" i="1"/>
  <c r="R985" i="1"/>
  <c r="R953" i="1"/>
  <c r="R921" i="1"/>
  <c r="Q1065" i="1"/>
  <c r="Q1033" i="1"/>
  <c r="Q1001" i="1"/>
  <c r="Q969" i="1"/>
  <c r="Q937" i="1"/>
  <c r="M1080" i="1"/>
  <c r="M1065" i="1"/>
  <c r="M1041" i="1"/>
  <c r="M1009" i="1"/>
  <c r="M977" i="1"/>
  <c r="M945" i="1"/>
  <c r="Q1025" i="1"/>
  <c r="M1001" i="1"/>
  <c r="S1064" i="1"/>
  <c r="S1032" i="1"/>
  <c r="S1000" i="1"/>
  <c r="S968" i="1"/>
  <c r="S936" i="1"/>
  <c r="R1048" i="1"/>
  <c r="R1016" i="1"/>
  <c r="R984" i="1"/>
  <c r="R952" i="1"/>
  <c r="Q1064" i="1"/>
  <c r="M1040" i="1"/>
  <c r="M1008" i="1"/>
  <c r="M976" i="1"/>
  <c r="M944" i="1"/>
  <c r="R1009" i="1"/>
  <c r="S1073" i="1"/>
  <c r="S1041" i="1"/>
  <c r="S1009" i="1"/>
  <c r="S977" i="1"/>
  <c r="S945" i="1"/>
  <c r="S913" i="1"/>
  <c r="R1025" i="1"/>
  <c r="R993" i="1"/>
  <c r="R961" i="1"/>
  <c r="R929" i="1"/>
  <c r="Q1073" i="1"/>
  <c r="Q1041" i="1"/>
  <c r="Q945" i="1"/>
  <c r="Q913" i="1"/>
  <c r="M1049" i="1"/>
  <c r="M1017" i="1"/>
  <c r="M985" i="1"/>
  <c r="M953" i="1"/>
  <c r="Q993" i="1"/>
  <c r="S1072" i="1"/>
  <c r="S1040" i="1"/>
  <c r="S1008" i="1"/>
  <c r="S976" i="1"/>
  <c r="S944" i="1"/>
  <c r="S912" i="1"/>
  <c r="S993" i="1"/>
  <c r="S961" i="1"/>
  <c r="R1073" i="1"/>
  <c r="M969" i="1"/>
  <c r="S1081" i="1"/>
  <c r="S1049" i="1"/>
  <c r="S1017" i="1"/>
  <c r="S985" i="1"/>
  <c r="S953" i="1"/>
  <c r="S921" i="1"/>
  <c r="R937" i="1"/>
  <c r="M1066" i="1"/>
  <c r="M1058" i="1"/>
  <c r="M1050" i="1"/>
  <c r="M1042" i="1"/>
  <c r="M1034" i="1"/>
  <c r="M1026" i="1"/>
  <c r="M1018" i="1"/>
  <c r="M1010" i="1"/>
  <c r="M1002" i="1"/>
  <c r="M994" i="1"/>
  <c r="M986" i="1"/>
  <c r="M978" i="1"/>
  <c r="M970" i="1"/>
  <c r="M962" i="1"/>
  <c r="M954" i="1"/>
  <c r="M946" i="1"/>
  <c r="M938" i="1"/>
  <c r="AM963" i="1"/>
  <c r="AL1014" i="1"/>
  <c r="AM1014" i="1" s="1"/>
  <c r="AM1060" i="1"/>
  <c r="M1082" i="1"/>
  <c r="M1074" i="1"/>
  <c r="AM917" i="1"/>
  <c r="S1082" i="1"/>
  <c r="S1074" i="1"/>
  <c r="S1066" i="1"/>
  <c r="S1058" i="1"/>
  <c r="S1050" i="1"/>
  <c r="S1042" i="1"/>
  <c r="S1034" i="1"/>
  <c r="S1026" i="1"/>
  <c r="S1018" i="1"/>
  <c r="S1010" i="1"/>
  <c r="S1002" i="1"/>
  <c r="S994" i="1"/>
  <c r="S986" i="1"/>
  <c r="S978" i="1"/>
  <c r="S970" i="1"/>
  <c r="S962" i="1"/>
  <c r="S954" i="1"/>
  <c r="S946" i="1"/>
  <c r="S938" i="1"/>
  <c r="S930" i="1"/>
  <c r="S922" i="1"/>
  <c r="S914" i="1"/>
  <c r="R1082" i="1"/>
  <c r="R1074" i="1"/>
  <c r="R1066" i="1"/>
  <c r="R1058" i="1"/>
  <c r="R1050" i="1"/>
  <c r="R1042" i="1"/>
  <c r="R1034" i="1"/>
  <c r="R1026" i="1"/>
  <c r="R1018" i="1"/>
  <c r="R1010" i="1"/>
  <c r="R1002" i="1"/>
  <c r="R994" i="1"/>
  <c r="R986" i="1"/>
  <c r="R978" i="1"/>
  <c r="R970" i="1"/>
  <c r="R962" i="1"/>
  <c r="R954" i="1"/>
  <c r="R946" i="1"/>
  <c r="R938" i="1"/>
  <c r="R930" i="1"/>
  <c r="R922" i="1"/>
  <c r="R914" i="1"/>
  <c r="AM990" i="1"/>
  <c r="M1070" i="1"/>
  <c r="M1062" i="1"/>
  <c r="M1054" i="1"/>
  <c r="M1046" i="1"/>
  <c r="M1038" i="1"/>
  <c r="M1030" i="1"/>
  <c r="M1022" i="1"/>
  <c r="M1014" i="1"/>
  <c r="M1006" i="1"/>
  <c r="M998" i="1"/>
  <c r="M990" i="1"/>
  <c r="M982" i="1"/>
  <c r="M974" i="1"/>
  <c r="M966" i="1"/>
  <c r="M958" i="1"/>
  <c r="M950" i="1"/>
  <c r="M942" i="1"/>
  <c r="AM1086" i="1"/>
  <c r="M1088" i="1"/>
  <c r="M1078" i="1"/>
  <c r="S1088" i="1"/>
  <c r="S1078" i="1"/>
  <c r="S1070" i="1"/>
  <c r="S1062" i="1"/>
  <c r="S1054" i="1"/>
  <c r="S1046" i="1"/>
  <c r="S1038" i="1"/>
  <c r="S1030" i="1"/>
  <c r="S1022" i="1"/>
  <c r="S1014" i="1"/>
  <c r="S1006" i="1"/>
  <c r="S998" i="1"/>
  <c r="S990" i="1"/>
  <c r="S982" i="1"/>
  <c r="S974" i="1"/>
  <c r="S966" i="1"/>
  <c r="S958" i="1"/>
  <c r="S950" i="1"/>
  <c r="S942" i="1"/>
  <c r="S934" i="1"/>
  <c r="S926" i="1"/>
  <c r="S918" i="1"/>
  <c r="R1088" i="1"/>
  <c r="R1078" i="1"/>
  <c r="R1070" i="1"/>
  <c r="R1062" i="1"/>
  <c r="R1054" i="1"/>
  <c r="R1046" i="1"/>
  <c r="R1038" i="1"/>
  <c r="R1030" i="1"/>
  <c r="R1022" i="1"/>
  <c r="R1014" i="1"/>
  <c r="R1006" i="1"/>
  <c r="R998" i="1"/>
  <c r="R990" i="1"/>
  <c r="R982" i="1"/>
  <c r="R974" i="1"/>
  <c r="R966" i="1"/>
  <c r="R958" i="1"/>
  <c r="R950" i="1"/>
  <c r="R942" i="1"/>
  <c r="R934" i="1"/>
  <c r="R926" i="1"/>
  <c r="R918" i="1"/>
  <c r="AO950" i="1"/>
  <c r="AO1059" i="1"/>
  <c r="AM998" i="1"/>
  <c r="AM1008" i="1"/>
  <c r="AM1055" i="1"/>
  <c r="AM946" i="1"/>
  <c r="AM956" i="1"/>
  <c r="AM961" i="1"/>
  <c r="AM970" i="1"/>
  <c r="AM976" i="1"/>
  <c r="AM980" i="1"/>
  <c r="AM985" i="1"/>
  <c r="AM1047" i="1"/>
  <c r="AO962" i="1"/>
  <c r="AM1075" i="1"/>
  <c r="AO941" i="1"/>
  <c r="AO985" i="1"/>
  <c r="AO1019" i="1"/>
  <c r="AO1051" i="1"/>
  <c r="AO1066" i="1"/>
  <c r="AM1077" i="1"/>
  <c r="AM986" i="1"/>
  <c r="AM927" i="1"/>
  <c r="AM1062" i="1"/>
  <c r="AM943" i="1"/>
  <c r="AL937" i="1"/>
  <c r="AM937" i="1" s="1"/>
  <c r="AL951" i="1"/>
  <c r="AM951" i="1" s="1"/>
  <c r="AL1051" i="1"/>
  <c r="AM1051" i="1" s="1"/>
  <c r="AL1071" i="1"/>
  <c r="AM1071" i="1" s="1"/>
  <c r="AM1083" i="1"/>
  <c r="AL1087" i="1"/>
  <c r="AM1087" i="1" s="1"/>
  <c r="AM925" i="1"/>
  <c r="AM933" i="1"/>
  <c r="AO952" i="1"/>
  <c r="AM958" i="1"/>
  <c r="AM962" i="1"/>
  <c r="AO965" i="1"/>
  <c r="AM971" i="1"/>
  <c r="AM977" i="1"/>
  <c r="AM981" i="1"/>
  <c r="AO1025" i="1"/>
  <c r="AM1043" i="1"/>
  <c r="AM1084" i="1"/>
  <c r="AM913" i="1"/>
  <c r="AL942" i="1"/>
  <c r="AM942" i="1" s="1"/>
  <c r="AL1088" i="1"/>
  <c r="AM1088" i="1" s="1"/>
  <c r="AO942" i="1"/>
  <c r="AO966" i="1"/>
  <c r="AL920" i="1"/>
  <c r="AM920" i="1" s="1"/>
  <c r="AL924" i="1"/>
  <c r="AM924" i="1" s="1"/>
  <c r="AL929" i="1"/>
  <c r="AM929" i="1" s="1"/>
  <c r="AL931" i="1"/>
  <c r="AM931" i="1" s="1"/>
  <c r="AL932" i="1"/>
  <c r="AM932" i="1" s="1"/>
  <c r="AL938" i="1"/>
  <c r="AM938" i="1" s="1"/>
  <c r="AL939" i="1"/>
  <c r="AM939" i="1" s="1"/>
  <c r="AL940" i="1"/>
  <c r="AM940" i="1" s="1"/>
  <c r="AL941" i="1"/>
  <c r="AM941" i="1" s="1"/>
  <c r="AL947" i="1"/>
  <c r="AM947" i="1" s="1"/>
  <c r="AL952" i="1"/>
  <c r="AM952" i="1" s="1"/>
  <c r="AL954" i="1"/>
  <c r="AM954" i="1" s="1"/>
  <c r="AL1005" i="1"/>
  <c r="AM1005" i="1" s="1"/>
  <c r="AM1016" i="1"/>
  <c r="AO1020" i="1"/>
  <c r="AL1034" i="1"/>
  <c r="AM1034" i="1" s="1"/>
  <c r="AL1036" i="1"/>
  <c r="AM1036" i="1" s="1"/>
  <c r="AL1037" i="1"/>
  <c r="AM1037" i="1" s="1"/>
  <c r="AL1040" i="1"/>
  <c r="AM1040" i="1" s="1"/>
  <c r="AL1042" i="1"/>
  <c r="AM1042" i="1" s="1"/>
  <c r="AL1048" i="1"/>
  <c r="AM1048" i="1" s="1"/>
  <c r="AL1049" i="1"/>
  <c r="AM1049" i="1" s="1"/>
  <c r="AL1050" i="1"/>
  <c r="AM1050" i="1" s="1"/>
  <c r="AL1057" i="1"/>
  <c r="AM1057" i="1" s="1"/>
  <c r="AL1059" i="1"/>
  <c r="AM1059" i="1" s="1"/>
  <c r="AM1003" i="1"/>
  <c r="AM995" i="1"/>
  <c r="AM1078" i="1"/>
  <c r="AM1025" i="1"/>
  <c r="AM1017" i="1"/>
  <c r="AM1009" i="1"/>
  <c r="AM1068" i="1"/>
  <c r="AM999" i="1"/>
  <c r="AM1052" i="1"/>
  <c r="AM991" i="1"/>
  <c r="AM965" i="1"/>
  <c r="AM1030" i="1"/>
  <c r="AM921" i="1"/>
  <c r="M1086" i="1"/>
  <c r="AM912" i="1"/>
  <c r="AM968" i="1"/>
  <c r="AM1029" i="1"/>
  <c r="AM1061" i="1"/>
  <c r="AM1002" i="1"/>
  <c r="AM1024" i="1"/>
  <c r="AM1076" i="1"/>
  <c r="AM1020" i="1"/>
  <c r="AM1012" i="1"/>
  <c r="AO1016" i="1"/>
  <c r="AO968" i="1"/>
  <c r="AM1067" i="1"/>
  <c r="AM994" i="1"/>
  <c r="AO912" i="1"/>
  <c r="AM964" i="1"/>
  <c r="AM916" i="1"/>
  <c r="AO1061" i="1"/>
  <c r="AO1029" i="1"/>
  <c r="AM1033" i="1"/>
  <c r="S1086" i="1"/>
  <c r="R1086" i="1"/>
  <c r="R1087" i="1"/>
  <c r="Q1087" i="1"/>
  <c r="S1087" i="1"/>
  <c r="AN1431" i="1"/>
  <c r="Y1375" i="1" l="1"/>
  <c r="Y1372" i="1"/>
  <c r="B1385" i="1"/>
  <c r="H1385" i="1"/>
  <c r="K1385" i="1"/>
  <c r="L1385" i="1"/>
  <c r="M1385" i="1" s="1"/>
  <c r="P1385" i="1"/>
  <c r="W1385" i="1"/>
  <c r="AL1385" i="1"/>
  <c r="AM1385" i="1" s="1"/>
  <c r="AO1385" i="1"/>
  <c r="AN1409" i="1"/>
  <c r="S1385" i="1" l="1"/>
  <c r="R1385" i="1"/>
  <c r="Q1385" i="1"/>
  <c r="Z1465" i="1" l="1"/>
  <c r="AA1465" i="1"/>
  <c r="B1272" i="1" l="1"/>
  <c r="H1272" i="1"/>
  <c r="K1272" i="1"/>
  <c r="L1272" i="1"/>
  <c r="P1272" i="1"/>
  <c r="W1272" i="1"/>
  <c r="AO1272" i="1"/>
  <c r="AI1272" i="1"/>
  <c r="AJ1272" i="1"/>
  <c r="B1273" i="1"/>
  <c r="H1273" i="1"/>
  <c r="K1273" i="1"/>
  <c r="L1273" i="1"/>
  <c r="Q1273" i="1" s="1"/>
  <c r="P1273" i="1"/>
  <c r="W1273" i="1"/>
  <c r="AO1273" i="1"/>
  <c r="AL1273" i="1"/>
  <c r="B1274" i="1"/>
  <c r="H1274" i="1"/>
  <c r="K1274" i="1"/>
  <c r="L1274" i="1"/>
  <c r="M1274" i="1" s="1"/>
  <c r="P1274" i="1"/>
  <c r="W1274" i="1"/>
  <c r="AO1274" i="1"/>
  <c r="AL1274" i="1"/>
  <c r="B1275" i="1"/>
  <c r="H1275" i="1"/>
  <c r="K1275" i="1"/>
  <c r="L1275" i="1"/>
  <c r="P1275" i="1"/>
  <c r="W1275" i="1"/>
  <c r="AO1275" i="1"/>
  <c r="AI1275" i="1"/>
  <c r="AJ1275" i="1"/>
  <c r="B1276" i="1"/>
  <c r="H1276" i="1"/>
  <c r="K1276" i="1"/>
  <c r="L1276" i="1"/>
  <c r="Q1276" i="1" s="1"/>
  <c r="P1276" i="1"/>
  <c r="W1276" i="1"/>
  <c r="AO1276" i="1"/>
  <c r="AF1276" i="1"/>
  <c r="AG1276" i="1"/>
  <c r="AH1276" i="1"/>
  <c r="AI1276" i="1"/>
  <c r="AJ1276" i="1"/>
  <c r="B1277" i="1"/>
  <c r="H1277" i="1"/>
  <c r="K1277" i="1"/>
  <c r="L1277" i="1"/>
  <c r="M1277" i="1" s="1"/>
  <c r="P1277" i="1"/>
  <c r="W1277" i="1"/>
  <c r="AO1277" i="1"/>
  <c r="AD1277" i="1"/>
  <c r="AE1277" i="1"/>
  <c r="AF1277" i="1"/>
  <c r="AG1277" i="1"/>
  <c r="AH1277" i="1"/>
  <c r="AI1277" i="1"/>
  <c r="B1278" i="1"/>
  <c r="H1278" i="1"/>
  <c r="K1278" i="1"/>
  <c r="L1278" i="1"/>
  <c r="P1278" i="1"/>
  <c r="W1278" i="1"/>
  <c r="AO1278" i="1"/>
  <c r="AD1278" i="1"/>
  <c r="AE1278" i="1"/>
  <c r="AF1278" i="1"/>
  <c r="AG1278" i="1"/>
  <c r="AH1278" i="1"/>
  <c r="AI1278" i="1"/>
  <c r="AJ1278" i="1"/>
  <c r="B1279" i="1"/>
  <c r="H1279" i="1"/>
  <c r="K1279" i="1"/>
  <c r="L1279" i="1"/>
  <c r="M1279" i="1" s="1"/>
  <c r="P1279" i="1"/>
  <c r="W1279" i="1"/>
  <c r="Y1279" i="1"/>
  <c r="AO1279" i="1" s="1"/>
  <c r="AF1279" i="1"/>
  <c r="AG1279" i="1"/>
  <c r="AH1279" i="1"/>
  <c r="AI1279" i="1"/>
  <c r="AJ1279" i="1"/>
  <c r="AK1279" i="1"/>
  <c r="B1280" i="1"/>
  <c r="H1280" i="1"/>
  <c r="K1280" i="1"/>
  <c r="L1280" i="1"/>
  <c r="M1280" i="1" s="1"/>
  <c r="P1280" i="1"/>
  <c r="W1280" i="1"/>
  <c r="AC1280" i="1"/>
  <c r="AD1280" i="1"/>
  <c r="AE1280" i="1"/>
  <c r="AF1280" i="1"/>
  <c r="AG1280" i="1"/>
  <c r="AH1280" i="1"/>
  <c r="AI1280" i="1"/>
  <c r="AO1280" i="1"/>
  <c r="B1281" i="1"/>
  <c r="H1281" i="1"/>
  <c r="K1281" i="1"/>
  <c r="L1281" i="1"/>
  <c r="P1281" i="1"/>
  <c r="W1281" i="1"/>
  <c r="AO1281" i="1"/>
  <c r="AC1281" i="1"/>
  <c r="AD1281" i="1"/>
  <c r="AE1281" i="1"/>
  <c r="AF1281" i="1"/>
  <c r="AG1281" i="1"/>
  <c r="AH1281" i="1"/>
  <c r="AI1281" i="1"/>
  <c r="AJ1281" i="1"/>
  <c r="B1282" i="1"/>
  <c r="H1282" i="1"/>
  <c r="K1282" i="1"/>
  <c r="L1282" i="1"/>
  <c r="M1282" i="1" s="1"/>
  <c r="P1282" i="1"/>
  <c r="W1282" i="1"/>
  <c r="Y1282" i="1"/>
  <c r="AO1282" i="1" s="1"/>
  <c r="AL1282" i="1"/>
  <c r="B1283" i="1"/>
  <c r="H1283" i="1"/>
  <c r="K1283" i="1"/>
  <c r="L1283" i="1"/>
  <c r="Q1283" i="1" s="1"/>
  <c r="P1283" i="1"/>
  <c r="W1283" i="1"/>
  <c r="AO1283" i="1"/>
  <c r="AC1283" i="1"/>
  <c r="AD1283" i="1"/>
  <c r="AE1283" i="1"/>
  <c r="AF1283" i="1"/>
  <c r="AG1283" i="1"/>
  <c r="AH1283" i="1"/>
  <c r="AI1283" i="1"/>
  <c r="AJ1283" i="1"/>
  <c r="B1284" i="1"/>
  <c r="H1284" i="1"/>
  <c r="K1284" i="1"/>
  <c r="L1284" i="1"/>
  <c r="R1284" i="1" s="1"/>
  <c r="P1284" i="1"/>
  <c r="W1284" i="1"/>
  <c r="AO1284" i="1"/>
  <c r="AC1284" i="1"/>
  <c r="AD1284" i="1"/>
  <c r="AE1284" i="1"/>
  <c r="AF1284" i="1"/>
  <c r="AG1284" i="1"/>
  <c r="AH1284" i="1"/>
  <c r="AI1284" i="1"/>
  <c r="AJ1284" i="1"/>
  <c r="B1285" i="1"/>
  <c r="H1285" i="1"/>
  <c r="K1285" i="1"/>
  <c r="L1285" i="1"/>
  <c r="S1285" i="1" s="1"/>
  <c r="P1285" i="1"/>
  <c r="W1285" i="1"/>
  <c r="Y1285" i="1"/>
  <c r="AO1285" i="1" s="1"/>
  <c r="AD1285" i="1"/>
  <c r="AE1285" i="1"/>
  <c r="AF1285" i="1"/>
  <c r="AG1285" i="1"/>
  <c r="AH1285" i="1"/>
  <c r="AI1285" i="1"/>
  <c r="AJ1285" i="1"/>
  <c r="AK1285" i="1"/>
  <c r="B1286" i="1"/>
  <c r="H1286" i="1"/>
  <c r="K1286" i="1"/>
  <c r="L1286" i="1"/>
  <c r="M1286" i="1" s="1"/>
  <c r="P1286" i="1"/>
  <c r="W1286" i="1"/>
  <c r="AO1286" i="1"/>
  <c r="AL1286" i="1"/>
  <c r="B1287" i="1"/>
  <c r="H1287" i="1"/>
  <c r="K1287" i="1"/>
  <c r="L1287" i="1"/>
  <c r="M1287" i="1" s="1"/>
  <c r="P1287" i="1"/>
  <c r="W1287" i="1"/>
  <c r="AO1287" i="1"/>
  <c r="AL1287" i="1"/>
  <c r="B1288" i="1"/>
  <c r="H1288" i="1"/>
  <c r="K1288" i="1"/>
  <c r="L1288" i="1"/>
  <c r="Q1288" i="1" s="1"/>
  <c r="P1288" i="1"/>
  <c r="W1288" i="1"/>
  <c r="AO1288" i="1"/>
  <c r="AL1288" i="1"/>
  <c r="B1289" i="1"/>
  <c r="H1289" i="1"/>
  <c r="K1289" i="1"/>
  <c r="L1289" i="1"/>
  <c r="S1289" i="1" s="1"/>
  <c r="P1289" i="1"/>
  <c r="W1289" i="1"/>
  <c r="AO1289" i="1"/>
  <c r="AL1289" i="1"/>
  <c r="B1290" i="1"/>
  <c r="H1290" i="1"/>
  <c r="K1290" i="1"/>
  <c r="L1290" i="1"/>
  <c r="M1290" i="1" s="1"/>
  <c r="P1290" i="1"/>
  <c r="W1290" i="1"/>
  <c r="AO1290" i="1"/>
  <c r="AC1290" i="1"/>
  <c r="AD1290" i="1"/>
  <c r="AE1290" i="1"/>
  <c r="AF1290" i="1"/>
  <c r="AG1290" i="1"/>
  <c r="AH1290" i="1"/>
  <c r="AI1290" i="1"/>
  <c r="B1291" i="1"/>
  <c r="H1291" i="1"/>
  <c r="K1291" i="1"/>
  <c r="L1291" i="1"/>
  <c r="P1291" i="1"/>
  <c r="W1291" i="1"/>
  <c r="AO1291" i="1"/>
  <c r="AC1291" i="1"/>
  <c r="AD1291" i="1"/>
  <c r="AE1291" i="1"/>
  <c r="AF1291" i="1"/>
  <c r="AG1291" i="1"/>
  <c r="AH1291" i="1"/>
  <c r="AI1291" i="1"/>
  <c r="AJ1291" i="1"/>
  <c r="B1292" i="1"/>
  <c r="H1292" i="1"/>
  <c r="K1292" i="1"/>
  <c r="L1292" i="1"/>
  <c r="Q1292" i="1" s="1"/>
  <c r="P1292" i="1"/>
  <c r="W1292" i="1"/>
  <c r="Y1292" i="1"/>
  <c r="AO1292" i="1" s="1"/>
  <c r="AL1292" i="1"/>
  <c r="B1293" i="1"/>
  <c r="H1293" i="1"/>
  <c r="K1293" i="1"/>
  <c r="L1293" i="1"/>
  <c r="S1293" i="1" s="1"/>
  <c r="P1293" i="1"/>
  <c r="W1293" i="1"/>
  <c r="AO1293" i="1"/>
  <c r="AC1293" i="1"/>
  <c r="AD1293" i="1"/>
  <c r="AE1293" i="1"/>
  <c r="AF1293" i="1"/>
  <c r="AG1293" i="1"/>
  <c r="AH1293" i="1"/>
  <c r="AI1293" i="1"/>
  <c r="AJ1293" i="1"/>
  <c r="B1294" i="1"/>
  <c r="H1294" i="1"/>
  <c r="K1294" i="1"/>
  <c r="L1294" i="1"/>
  <c r="S1294" i="1" s="1"/>
  <c r="P1294" i="1"/>
  <c r="W1294" i="1"/>
  <c r="AL1294" i="1"/>
  <c r="B1295" i="1"/>
  <c r="H1295" i="1"/>
  <c r="K1295" i="1"/>
  <c r="L1295" i="1"/>
  <c r="P1295" i="1"/>
  <c r="W1295" i="1"/>
  <c r="AL1295" i="1"/>
  <c r="B1296" i="1"/>
  <c r="H1296" i="1"/>
  <c r="K1296" i="1"/>
  <c r="L1296" i="1"/>
  <c r="P1296" i="1"/>
  <c r="W1296" i="1"/>
  <c r="AO1296" i="1"/>
  <c r="AD1296" i="1"/>
  <c r="AE1296" i="1"/>
  <c r="AF1296" i="1"/>
  <c r="AG1296" i="1"/>
  <c r="AH1296" i="1"/>
  <c r="AI1296" i="1"/>
  <c r="AJ1296" i="1"/>
  <c r="B1297" i="1"/>
  <c r="H1297" i="1"/>
  <c r="K1297" i="1"/>
  <c r="L1297" i="1"/>
  <c r="R1297" i="1" s="1"/>
  <c r="P1297" i="1"/>
  <c r="W1297" i="1"/>
  <c r="AO1297" i="1"/>
  <c r="AC1297" i="1"/>
  <c r="AD1297" i="1"/>
  <c r="AE1297" i="1"/>
  <c r="AF1297" i="1"/>
  <c r="AG1297" i="1"/>
  <c r="AH1297" i="1"/>
  <c r="AI1297" i="1"/>
  <c r="B1298" i="1"/>
  <c r="H1298" i="1"/>
  <c r="K1298" i="1"/>
  <c r="L1298" i="1"/>
  <c r="S1298" i="1" s="1"/>
  <c r="P1298" i="1"/>
  <c r="W1298" i="1"/>
  <c r="AO1298" i="1"/>
  <c r="AL1298" i="1"/>
  <c r="B1299" i="1"/>
  <c r="H1299" i="1"/>
  <c r="K1299" i="1"/>
  <c r="L1299" i="1"/>
  <c r="M1299" i="1" s="1"/>
  <c r="P1299" i="1"/>
  <c r="W1299" i="1"/>
  <c r="AO1299" i="1"/>
  <c r="AL1299" i="1"/>
  <c r="B1300" i="1"/>
  <c r="H1300" i="1"/>
  <c r="K1300" i="1"/>
  <c r="L1300" i="1"/>
  <c r="M1300" i="1" s="1"/>
  <c r="P1300" i="1"/>
  <c r="W1300" i="1"/>
  <c r="AO1300" i="1"/>
  <c r="AE1300" i="1"/>
  <c r="AF1300" i="1"/>
  <c r="AG1300" i="1"/>
  <c r="AH1300" i="1"/>
  <c r="AI1300" i="1"/>
  <c r="B1301" i="1"/>
  <c r="H1301" i="1"/>
  <c r="K1301" i="1"/>
  <c r="L1301" i="1"/>
  <c r="R1301" i="1" s="1"/>
  <c r="P1301" i="1"/>
  <c r="W1301" i="1"/>
  <c r="AO1301" i="1"/>
  <c r="AC1301" i="1"/>
  <c r="AD1301" i="1"/>
  <c r="AE1301" i="1"/>
  <c r="AF1301" i="1"/>
  <c r="AG1301" i="1"/>
  <c r="AH1301" i="1"/>
  <c r="AI1301" i="1"/>
  <c r="AJ1301" i="1"/>
  <c r="B1302" i="1"/>
  <c r="H1302" i="1"/>
  <c r="K1302" i="1"/>
  <c r="L1302" i="1"/>
  <c r="S1302" i="1" s="1"/>
  <c r="P1302" i="1"/>
  <c r="W1302" i="1"/>
  <c r="AO1302" i="1"/>
  <c r="AD1302" i="1"/>
  <c r="AE1302" i="1"/>
  <c r="AF1302" i="1"/>
  <c r="AG1302" i="1"/>
  <c r="AH1302" i="1"/>
  <c r="AI1302" i="1"/>
  <c r="AJ1302" i="1"/>
  <c r="B1303" i="1"/>
  <c r="H1303" i="1"/>
  <c r="K1303" i="1"/>
  <c r="L1303" i="1"/>
  <c r="M1303" i="1" s="1"/>
  <c r="P1303" i="1"/>
  <c r="W1303" i="1"/>
  <c r="AO1303" i="1"/>
  <c r="AL1303" i="1"/>
  <c r="B1304" i="1"/>
  <c r="H1304" i="1"/>
  <c r="K1304" i="1"/>
  <c r="L1304" i="1"/>
  <c r="M1304" i="1" s="1"/>
  <c r="P1304" i="1"/>
  <c r="W1304" i="1"/>
  <c r="AO1304" i="1"/>
  <c r="AL1304" i="1"/>
  <c r="B1305" i="1"/>
  <c r="H1305" i="1"/>
  <c r="K1305" i="1"/>
  <c r="L1305" i="1"/>
  <c r="S1305" i="1" s="1"/>
  <c r="P1305" i="1"/>
  <c r="W1305" i="1"/>
  <c r="Y1305" i="1"/>
  <c r="AO1305" i="1" s="1"/>
  <c r="AL1305" i="1"/>
  <c r="B1306" i="1"/>
  <c r="H1306" i="1"/>
  <c r="K1306" i="1"/>
  <c r="L1306" i="1"/>
  <c r="S1306" i="1" s="1"/>
  <c r="P1306" i="1"/>
  <c r="W1306" i="1"/>
  <c r="Y1306" i="1"/>
  <c r="AO1306" i="1" s="1"/>
  <c r="AL1306" i="1"/>
  <c r="B1307" i="1"/>
  <c r="H1307" i="1"/>
  <c r="K1307" i="1"/>
  <c r="L1307" i="1"/>
  <c r="M1307" i="1" s="1"/>
  <c r="P1307" i="1"/>
  <c r="W1307" i="1"/>
  <c r="Y1307" i="1"/>
  <c r="AO1307" i="1" s="1"/>
  <c r="AL1307" i="1"/>
  <c r="B1308" i="1"/>
  <c r="H1308" i="1"/>
  <c r="K1308" i="1"/>
  <c r="L1308" i="1"/>
  <c r="M1308" i="1" s="1"/>
  <c r="P1308" i="1"/>
  <c r="W1308" i="1"/>
  <c r="AL1308" i="1"/>
  <c r="AM1308" i="1" s="1"/>
  <c r="AO1308" i="1"/>
  <c r="B1309" i="1"/>
  <c r="H1309" i="1"/>
  <c r="K1309" i="1"/>
  <c r="L1309" i="1"/>
  <c r="M1309" i="1" s="1"/>
  <c r="P1309" i="1"/>
  <c r="W1309" i="1"/>
  <c r="AO1309" i="1"/>
  <c r="AD1309" i="1"/>
  <c r="B1310" i="1"/>
  <c r="H1310" i="1"/>
  <c r="K1310" i="1"/>
  <c r="L1310" i="1"/>
  <c r="R1310" i="1" s="1"/>
  <c r="P1310" i="1"/>
  <c r="W1310" i="1"/>
  <c r="AL1310" i="1"/>
  <c r="B1311" i="1"/>
  <c r="H1311" i="1"/>
  <c r="K1311" i="1"/>
  <c r="L1311" i="1"/>
  <c r="R1311" i="1" s="1"/>
  <c r="P1311" i="1"/>
  <c r="W1311" i="1"/>
  <c r="AE1311" i="1"/>
  <c r="AF1311" i="1"/>
  <c r="AG1311" i="1"/>
  <c r="AH1311" i="1"/>
  <c r="AI1311" i="1"/>
  <c r="AJ1311" i="1"/>
  <c r="AO1311" i="1"/>
  <c r="B1312" i="1"/>
  <c r="H1312" i="1"/>
  <c r="K1312" i="1"/>
  <c r="L1312" i="1"/>
  <c r="S1312" i="1" s="1"/>
  <c r="P1312" i="1"/>
  <c r="W1312" i="1"/>
  <c r="AE1312" i="1"/>
  <c r="AF1312" i="1"/>
  <c r="AG1312" i="1"/>
  <c r="AH1312" i="1"/>
  <c r="AI1312" i="1"/>
  <c r="AO1312" i="1"/>
  <c r="B1313" i="1"/>
  <c r="H1313" i="1"/>
  <c r="K1313" i="1"/>
  <c r="L1313" i="1"/>
  <c r="S1313" i="1" s="1"/>
  <c r="P1313" i="1"/>
  <c r="W1313" i="1"/>
  <c r="AL1313" i="1"/>
  <c r="AM1313" i="1" s="1"/>
  <c r="AN1313" i="1"/>
  <c r="AO1313" i="1" s="1"/>
  <c r="B1314" i="1"/>
  <c r="H1314" i="1"/>
  <c r="K1314" i="1"/>
  <c r="L1314" i="1"/>
  <c r="P1314" i="1"/>
  <c r="W1314" i="1"/>
  <c r="Y1314" i="1"/>
  <c r="AJ1314" i="1"/>
  <c r="AK1314" i="1"/>
  <c r="AN1314" i="1"/>
  <c r="B1315" i="1"/>
  <c r="H1315" i="1"/>
  <c r="K1315" i="1"/>
  <c r="L1315" i="1"/>
  <c r="M1315" i="1" s="1"/>
  <c r="P1315" i="1"/>
  <c r="W1315" i="1"/>
  <c r="Y1315" i="1"/>
  <c r="AO1315" i="1" s="1"/>
  <c r="AL1315" i="1"/>
  <c r="B1316" i="1"/>
  <c r="H1316" i="1"/>
  <c r="K1316" i="1"/>
  <c r="L1316" i="1"/>
  <c r="M1316" i="1" s="1"/>
  <c r="P1316" i="1"/>
  <c r="W1316" i="1"/>
  <c r="AO1316" i="1"/>
  <c r="AL1316" i="1"/>
  <c r="B1317" i="1"/>
  <c r="H1317" i="1"/>
  <c r="K1317" i="1"/>
  <c r="L1317" i="1"/>
  <c r="P1317" i="1"/>
  <c r="W1317" i="1"/>
  <c r="Y1317" i="1"/>
  <c r="AO1317" i="1" s="1"/>
  <c r="AL1317" i="1"/>
  <c r="B1318" i="1"/>
  <c r="H1318" i="1"/>
  <c r="K1318" i="1"/>
  <c r="L1318" i="1"/>
  <c r="Q1318" i="1" s="1"/>
  <c r="P1318" i="1"/>
  <c r="W1318" i="1"/>
  <c r="AL1318" i="1"/>
  <c r="AM1318" i="1" s="1"/>
  <c r="AO1318" i="1"/>
  <c r="B1319" i="1"/>
  <c r="H1319" i="1"/>
  <c r="K1319" i="1"/>
  <c r="L1319" i="1"/>
  <c r="M1319" i="1" s="1"/>
  <c r="P1319" i="1"/>
  <c r="W1319" i="1"/>
  <c r="Y1319" i="1"/>
  <c r="AL1319" i="1"/>
  <c r="AN1319" i="1"/>
  <c r="B1320" i="1"/>
  <c r="H1320" i="1"/>
  <c r="K1320" i="1"/>
  <c r="L1320" i="1"/>
  <c r="R1320" i="1" s="1"/>
  <c r="P1320" i="1"/>
  <c r="W1320" i="1"/>
  <c r="Y1320" i="1"/>
  <c r="AO1320" i="1" s="1"/>
  <c r="AL1320" i="1"/>
  <c r="B1321" i="1"/>
  <c r="H1321" i="1"/>
  <c r="K1321" i="1"/>
  <c r="L1321" i="1"/>
  <c r="P1321" i="1"/>
  <c r="W1321" i="1"/>
  <c r="AL1321" i="1"/>
  <c r="AM1321" i="1" s="1"/>
  <c r="AO1321" i="1"/>
  <c r="B1322" i="1"/>
  <c r="H1322" i="1"/>
  <c r="K1322" i="1"/>
  <c r="L1322" i="1"/>
  <c r="P1322" i="1"/>
  <c r="W1322" i="1"/>
  <c r="AO1322" i="1"/>
  <c r="AL1322" i="1"/>
  <c r="B1323" i="1"/>
  <c r="H1323" i="1"/>
  <c r="K1323" i="1"/>
  <c r="L1323" i="1"/>
  <c r="M1323" i="1" s="1"/>
  <c r="P1323" i="1"/>
  <c r="W1323" i="1"/>
  <c r="AL1323" i="1"/>
  <c r="AM1323" i="1" s="1"/>
  <c r="AN1323" i="1"/>
  <c r="AO1323" i="1" s="1"/>
  <c r="B1324" i="1"/>
  <c r="H1324" i="1"/>
  <c r="K1324" i="1"/>
  <c r="L1324" i="1"/>
  <c r="M1324" i="1" s="1"/>
  <c r="P1324" i="1"/>
  <c r="W1324" i="1"/>
  <c r="Y1324" i="1"/>
  <c r="AO1324" i="1" s="1"/>
  <c r="AL1324" i="1"/>
  <c r="B1325" i="1"/>
  <c r="H1325" i="1"/>
  <c r="K1325" i="1"/>
  <c r="L1325" i="1"/>
  <c r="S1325" i="1" s="1"/>
  <c r="P1325" i="1"/>
  <c r="W1325" i="1"/>
  <c r="AO1325" i="1"/>
  <c r="AL1325" i="1"/>
  <c r="B1326" i="1"/>
  <c r="H1326" i="1"/>
  <c r="K1326" i="1"/>
  <c r="L1326" i="1"/>
  <c r="S1326" i="1" s="1"/>
  <c r="P1326" i="1"/>
  <c r="W1326" i="1"/>
  <c r="AO1326" i="1"/>
  <c r="AL1326" i="1"/>
  <c r="B1327" i="1"/>
  <c r="H1327" i="1"/>
  <c r="K1327" i="1"/>
  <c r="L1327" i="1"/>
  <c r="M1327" i="1" s="1"/>
  <c r="P1327" i="1"/>
  <c r="W1327" i="1"/>
  <c r="AO1327" i="1"/>
  <c r="AL1327" i="1"/>
  <c r="B1328" i="1"/>
  <c r="H1328" i="1"/>
  <c r="K1328" i="1"/>
  <c r="L1328" i="1"/>
  <c r="M1328" i="1" s="1"/>
  <c r="P1328" i="1"/>
  <c r="W1328" i="1"/>
  <c r="AL1328" i="1"/>
  <c r="B1329" i="1"/>
  <c r="H1329" i="1"/>
  <c r="K1329" i="1"/>
  <c r="L1329" i="1"/>
  <c r="P1329" i="1"/>
  <c r="W1329" i="1"/>
  <c r="AL1329" i="1"/>
  <c r="AN1329" i="1"/>
  <c r="B1330" i="1"/>
  <c r="H1330" i="1"/>
  <c r="K1330" i="1"/>
  <c r="L1330" i="1"/>
  <c r="Q1330" i="1" s="1"/>
  <c r="P1330" i="1"/>
  <c r="W1330" i="1"/>
  <c r="Y1330" i="1"/>
  <c r="AO1330" i="1" s="1"/>
  <c r="AL1330" i="1"/>
  <c r="B1331" i="1"/>
  <c r="H1331" i="1"/>
  <c r="K1331" i="1"/>
  <c r="L1331" i="1"/>
  <c r="S1331" i="1" s="1"/>
  <c r="P1331" i="1"/>
  <c r="W1331" i="1"/>
  <c r="AL1331" i="1"/>
  <c r="AM1331" i="1" s="1"/>
  <c r="AO1331" i="1"/>
  <c r="B1332" i="1"/>
  <c r="H1332" i="1"/>
  <c r="K1332" i="1"/>
  <c r="L1332" i="1"/>
  <c r="R1332" i="1" s="1"/>
  <c r="P1332" i="1"/>
  <c r="W1332" i="1"/>
  <c r="Y1332" i="1"/>
  <c r="AL1332" i="1"/>
  <c r="AN1332" i="1"/>
  <c r="B1333" i="1"/>
  <c r="H1333" i="1"/>
  <c r="K1333" i="1"/>
  <c r="L1333" i="1"/>
  <c r="M1333" i="1" s="1"/>
  <c r="P1333" i="1"/>
  <c r="W1333" i="1"/>
  <c r="AL1333" i="1"/>
  <c r="AM1333" i="1" s="1"/>
  <c r="AO1333" i="1"/>
  <c r="B1334" i="1"/>
  <c r="H1334" i="1"/>
  <c r="K1334" i="1"/>
  <c r="L1334" i="1"/>
  <c r="Q1334" i="1" s="1"/>
  <c r="P1334" i="1"/>
  <c r="W1334" i="1"/>
  <c r="AL1334" i="1"/>
  <c r="B1335" i="1"/>
  <c r="H1335" i="1"/>
  <c r="K1335" i="1"/>
  <c r="L1335" i="1"/>
  <c r="M1335" i="1" s="1"/>
  <c r="P1335" i="1"/>
  <c r="W1335" i="1"/>
  <c r="AB1335" i="1"/>
  <c r="AC1335" i="1"/>
  <c r="AD1335" i="1"/>
  <c r="AE1335" i="1"/>
  <c r="AF1335" i="1"/>
  <c r="AG1335" i="1"/>
  <c r="AH1335" i="1"/>
  <c r="AI1335" i="1"/>
  <c r="AJ1335" i="1"/>
  <c r="B1336" i="1"/>
  <c r="H1336" i="1"/>
  <c r="K1336" i="1"/>
  <c r="L1336" i="1"/>
  <c r="S1336" i="1" s="1"/>
  <c r="P1336" i="1"/>
  <c r="W1336" i="1"/>
  <c r="AL1336" i="1"/>
  <c r="AM1336" i="1" s="1"/>
  <c r="AO1336" i="1"/>
  <c r="B1337" i="1"/>
  <c r="H1337" i="1"/>
  <c r="K1337" i="1"/>
  <c r="L1337" i="1"/>
  <c r="R1337" i="1" s="1"/>
  <c r="P1337" i="1"/>
  <c r="W1337" i="1"/>
  <c r="Y1337" i="1"/>
  <c r="AO1337" i="1" s="1"/>
  <c r="AL1337" i="1"/>
  <c r="B1338" i="1"/>
  <c r="H1338" i="1"/>
  <c r="K1338" i="1"/>
  <c r="L1338" i="1"/>
  <c r="P1338" i="1"/>
  <c r="W1338" i="1"/>
  <c r="AO1338" i="1"/>
  <c r="AL1338" i="1"/>
  <c r="B1339" i="1"/>
  <c r="H1339" i="1"/>
  <c r="K1339" i="1"/>
  <c r="L1339" i="1"/>
  <c r="P1339" i="1"/>
  <c r="W1339" i="1"/>
  <c r="AO1339" i="1"/>
  <c r="AL1339" i="1"/>
  <c r="B1340" i="1"/>
  <c r="H1340" i="1"/>
  <c r="K1340" i="1"/>
  <c r="L1340" i="1"/>
  <c r="R1340" i="1" s="1"/>
  <c r="P1340" i="1"/>
  <c r="W1340" i="1"/>
  <c r="Y1340" i="1"/>
  <c r="AL1340" i="1"/>
  <c r="AN1340" i="1"/>
  <c r="B1341" i="1"/>
  <c r="H1341" i="1"/>
  <c r="K1341" i="1"/>
  <c r="L1341" i="1"/>
  <c r="M1341" i="1" s="1"/>
  <c r="P1341" i="1"/>
  <c r="W1341" i="1"/>
  <c r="AL1341" i="1"/>
  <c r="AM1341" i="1" s="1"/>
  <c r="AO1341" i="1"/>
  <c r="B1342" i="1"/>
  <c r="H1342" i="1"/>
  <c r="K1342" i="1"/>
  <c r="L1342" i="1"/>
  <c r="P1342" i="1"/>
  <c r="W1342" i="1"/>
  <c r="AL1342" i="1"/>
  <c r="AM1342" i="1" s="1"/>
  <c r="AO1342" i="1"/>
  <c r="B1343" i="1"/>
  <c r="H1343" i="1"/>
  <c r="K1343" i="1"/>
  <c r="L1343" i="1"/>
  <c r="S1343" i="1" s="1"/>
  <c r="P1343" i="1"/>
  <c r="W1343" i="1"/>
  <c r="AJ1343" i="1"/>
  <c r="AN1343" i="1"/>
  <c r="B1344" i="1"/>
  <c r="H1344" i="1"/>
  <c r="K1344" i="1"/>
  <c r="L1344" i="1"/>
  <c r="M1344" i="1" s="1"/>
  <c r="P1344" i="1"/>
  <c r="W1344" i="1"/>
  <c r="Y1344" i="1"/>
  <c r="AL1344" i="1"/>
  <c r="AN1344" i="1"/>
  <c r="B1345" i="1"/>
  <c r="H1345" i="1"/>
  <c r="K1345" i="1"/>
  <c r="L1345" i="1"/>
  <c r="S1345" i="1" s="1"/>
  <c r="P1345" i="1"/>
  <c r="W1345" i="1"/>
  <c r="AO1345" i="1"/>
  <c r="AL1345" i="1"/>
  <c r="B1346" i="1"/>
  <c r="H1346" i="1"/>
  <c r="K1346" i="1"/>
  <c r="L1346" i="1"/>
  <c r="M1346" i="1" s="1"/>
  <c r="P1346" i="1"/>
  <c r="W1346" i="1"/>
  <c r="Y1346" i="1"/>
  <c r="AO1346" i="1" s="1"/>
  <c r="AL1346" i="1"/>
  <c r="B1347" i="1"/>
  <c r="H1347" i="1"/>
  <c r="K1347" i="1"/>
  <c r="L1347" i="1"/>
  <c r="M1347" i="1" s="1"/>
  <c r="P1347" i="1"/>
  <c r="W1347" i="1"/>
  <c r="Y1347" i="1"/>
  <c r="AO1347" i="1" s="1"/>
  <c r="AL1347" i="1"/>
  <c r="B1348" i="1"/>
  <c r="H1348" i="1"/>
  <c r="K1348" i="1"/>
  <c r="L1348" i="1"/>
  <c r="S1348" i="1" s="1"/>
  <c r="P1348" i="1"/>
  <c r="W1348" i="1"/>
  <c r="Y1348" i="1"/>
  <c r="AL1348" i="1"/>
  <c r="AN1348" i="1"/>
  <c r="B1349" i="1"/>
  <c r="H1349" i="1"/>
  <c r="K1349" i="1"/>
  <c r="L1349" i="1"/>
  <c r="M1349" i="1" s="1"/>
  <c r="P1349" i="1"/>
  <c r="W1349" i="1"/>
  <c r="AL1349" i="1"/>
  <c r="B1350" i="1"/>
  <c r="H1350" i="1"/>
  <c r="K1350" i="1"/>
  <c r="L1350" i="1"/>
  <c r="Q1350" i="1" s="1"/>
  <c r="P1350" i="1"/>
  <c r="W1350" i="1"/>
  <c r="AL1350" i="1"/>
  <c r="B1351" i="1"/>
  <c r="H1351" i="1"/>
  <c r="K1351" i="1"/>
  <c r="L1351" i="1"/>
  <c r="R1351" i="1" s="1"/>
  <c r="P1351" i="1"/>
  <c r="W1351" i="1"/>
  <c r="AO1351" i="1"/>
  <c r="AL1351" i="1"/>
  <c r="B1352" i="1"/>
  <c r="H1352" i="1"/>
  <c r="K1352" i="1"/>
  <c r="L1352" i="1"/>
  <c r="Q1352" i="1" s="1"/>
  <c r="P1352" i="1"/>
  <c r="W1352" i="1"/>
  <c r="Y1352" i="1"/>
  <c r="AO1352" i="1" s="1"/>
  <c r="AL1352" i="1"/>
  <c r="B1353" i="1"/>
  <c r="H1353" i="1"/>
  <c r="K1353" i="1"/>
  <c r="L1353" i="1"/>
  <c r="Q1353" i="1" s="1"/>
  <c r="P1353" i="1"/>
  <c r="W1353" i="1"/>
  <c r="Y1353" i="1"/>
  <c r="AL1353" i="1"/>
  <c r="B1354" i="1"/>
  <c r="H1354" i="1"/>
  <c r="K1354" i="1"/>
  <c r="L1354" i="1"/>
  <c r="S1354" i="1" s="1"/>
  <c r="P1354" i="1"/>
  <c r="W1354" i="1"/>
  <c r="AL1354" i="1"/>
  <c r="B1355" i="1"/>
  <c r="H1355" i="1"/>
  <c r="K1355" i="1"/>
  <c r="L1355" i="1"/>
  <c r="P1355" i="1"/>
  <c r="W1355" i="1"/>
  <c r="AO1355" i="1"/>
  <c r="AL1355" i="1"/>
  <c r="B1356" i="1"/>
  <c r="H1356" i="1"/>
  <c r="K1356" i="1"/>
  <c r="L1356" i="1"/>
  <c r="Q1356" i="1" s="1"/>
  <c r="P1356" i="1"/>
  <c r="W1356" i="1"/>
  <c r="AL1356" i="1"/>
  <c r="B1357" i="1"/>
  <c r="H1357" i="1"/>
  <c r="K1357" i="1"/>
  <c r="L1357" i="1"/>
  <c r="S1357" i="1" s="1"/>
  <c r="P1357" i="1"/>
  <c r="W1357" i="1"/>
  <c r="Y1357" i="1"/>
  <c r="AO1357" i="1" s="1"/>
  <c r="AL1357" i="1"/>
  <c r="B1358" i="1"/>
  <c r="H1358" i="1"/>
  <c r="K1358" i="1"/>
  <c r="L1358" i="1"/>
  <c r="S1358" i="1" s="1"/>
  <c r="P1358" i="1"/>
  <c r="W1358" i="1"/>
  <c r="AO1358" i="1"/>
  <c r="AL1358" i="1"/>
  <c r="B1359" i="1"/>
  <c r="H1359" i="1"/>
  <c r="K1359" i="1"/>
  <c r="L1359" i="1"/>
  <c r="S1359" i="1" s="1"/>
  <c r="P1359" i="1"/>
  <c r="W1359" i="1"/>
  <c r="AL1359" i="1"/>
  <c r="AM1359" i="1" s="1"/>
  <c r="AN1359" i="1"/>
  <c r="AO1359" i="1" s="1"/>
  <c r="B1360" i="1"/>
  <c r="H1360" i="1"/>
  <c r="K1360" i="1"/>
  <c r="L1360" i="1"/>
  <c r="R1360" i="1" s="1"/>
  <c r="P1360" i="1"/>
  <c r="W1360" i="1"/>
  <c r="AO1360" i="1"/>
  <c r="AL1360" i="1"/>
  <c r="B1361" i="1"/>
  <c r="H1361" i="1"/>
  <c r="K1361" i="1"/>
  <c r="L1361" i="1"/>
  <c r="S1361" i="1" s="1"/>
  <c r="P1361" i="1"/>
  <c r="W1361" i="1"/>
  <c r="AL1361" i="1"/>
  <c r="AN1361" i="1"/>
  <c r="B1362" i="1"/>
  <c r="H1362" i="1"/>
  <c r="K1362" i="1"/>
  <c r="L1362" i="1"/>
  <c r="R1362" i="1" s="1"/>
  <c r="P1362" i="1"/>
  <c r="W1362" i="1"/>
  <c r="AL1362" i="1"/>
  <c r="AM1362" i="1" s="1"/>
  <c r="AO1362" i="1"/>
  <c r="B1363" i="1"/>
  <c r="H1363" i="1"/>
  <c r="K1363" i="1"/>
  <c r="L1363" i="1"/>
  <c r="S1363" i="1" s="1"/>
  <c r="P1363" i="1"/>
  <c r="W1363" i="1"/>
  <c r="AL1363" i="1"/>
  <c r="AM1363" i="1" s="1"/>
  <c r="AO1363" i="1"/>
  <c r="B1364" i="1"/>
  <c r="H1364" i="1"/>
  <c r="K1364" i="1"/>
  <c r="L1364" i="1"/>
  <c r="R1364" i="1" s="1"/>
  <c r="P1364" i="1"/>
  <c r="W1364" i="1"/>
  <c r="AL1364" i="1"/>
  <c r="AN1364" i="1"/>
  <c r="B1365" i="1"/>
  <c r="H1365" i="1"/>
  <c r="K1365" i="1"/>
  <c r="L1365" i="1"/>
  <c r="S1365" i="1" s="1"/>
  <c r="P1365" i="1"/>
  <c r="W1365" i="1"/>
  <c r="Y1365" i="1"/>
  <c r="AL1365" i="1"/>
  <c r="AN1365" i="1"/>
  <c r="B1366" i="1"/>
  <c r="H1366" i="1"/>
  <c r="K1366" i="1"/>
  <c r="L1366" i="1"/>
  <c r="P1366" i="1"/>
  <c r="W1366" i="1"/>
  <c r="AL1366" i="1"/>
  <c r="B1367" i="1"/>
  <c r="H1367" i="1"/>
  <c r="K1367" i="1"/>
  <c r="L1367" i="1"/>
  <c r="R1367" i="1" s="1"/>
  <c r="P1367" i="1"/>
  <c r="W1367" i="1"/>
  <c r="AL1367" i="1"/>
  <c r="B1368" i="1"/>
  <c r="H1368" i="1"/>
  <c r="K1368" i="1"/>
  <c r="L1368" i="1"/>
  <c r="S1368" i="1" s="1"/>
  <c r="P1368" i="1"/>
  <c r="W1368" i="1"/>
  <c r="Y1368" i="1"/>
  <c r="AO1368" i="1" s="1"/>
  <c r="AL1368" i="1"/>
  <c r="B1369" i="1"/>
  <c r="H1369" i="1"/>
  <c r="K1369" i="1"/>
  <c r="L1369" i="1"/>
  <c r="R1369" i="1" s="1"/>
  <c r="P1369" i="1"/>
  <c r="W1369" i="1"/>
  <c r="AO1369" i="1"/>
  <c r="AL1369" i="1"/>
  <c r="B1370" i="1"/>
  <c r="H1370" i="1"/>
  <c r="K1370" i="1"/>
  <c r="L1370" i="1"/>
  <c r="S1370" i="1" s="1"/>
  <c r="P1370" i="1"/>
  <c r="W1370" i="1"/>
  <c r="AO1370" i="1"/>
  <c r="AL1370" i="1"/>
  <c r="B1371" i="1"/>
  <c r="H1371" i="1"/>
  <c r="K1371" i="1"/>
  <c r="L1371" i="1"/>
  <c r="M1371" i="1" s="1"/>
  <c r="P1371" i="1"/>
  <c r="W1371" i="1"/>
  <c r="AL1371" i="1"/>
  <c r="AN1371" i="1"/>
  <c r="B1372" i="1"/>
  <c r="H1372" i="1"/>
  <c r="K1372" i="1"/>
  <c r="L1372" i="1"/>
  <c r="S1372" i="1" s="1"/>
  <c r="P1372" i="1"/>
  <c r="W1372" i="1"/>
  <c r="AL1372" i="1"/>
  <c r="AN1372" i="1"/>
  <c r="B1373" i="1"/>
  <c r="H1373" i="1"/>
  <c r="K1373" i="1"/>
  <c r="L1373" i="1"/>
  <c r="S1373" i="1" s="1"/>
  <c r="P1373" i="1"/>
  <c r="W1373" i="1"/>
  <c r="AO1373" i="1"/>
  <c r="AL1373" i="1"/>
  <c r="B1374" i="1"/>
  <c r="H1374" i="1"/>
  <c r="K1374" i="1"/>
  <c r="L1374" i="1"/>
  <c r="M1374" i="1" s="1"/>
  <c r="P1374" i="1"/>
  <c r="W1374" i="1"/>
  <c r="AL1374" i="1"/>
  <c r="AM1374" i="1" s="1"/>
  <c r="AO1374" i="1"/>
  <c r="B1375" i="1"/>
  <c r="H1375" i="1"/>
  <c r="K1375" i="1"/>
  <c r="L1375" i="1"/>
  <c r="M1375" i="1" s="1"/>
  <c r="P1375" i="1"/>
  <c r="W1375" i="1"/>
  <c r="AL1375" i="1"/>
  <c r="B1376" i="1"/>
  <c r="H1376" i="1"/>
  <c r="K1376" i="1"/>
  <c r="L1376" i="1"/>
  <c r="M1376" i="1" s="1"/>
  <c r="P1376" i="1"/>
  <c r="W1376" i="1"/>
  <c r="Y1376" i="1"/>
  <c r="AO1376" i="1" s="1"/>
  <c r="AL1376" i="1"/>
  <c r="B1377" i="1"/>
  <c r="H1377" i="1"/>
  <c r="K1377" i="1"/>
  <c r="L1377" i="1"/>
  <c r="R1377" i="1" s="1"/>
  <c r="P1377" i="1"/>
  <c r="W1377" i="1"/>
  <c r="Y1377" i="1"/>
  <c r="AO1377" i="1" s="1"/>
  <c r="AL1377" i="1"/>
  <c r="B1378" i="1"/>
  <c r="H1378" i="1"/>
  <c r="K1378" i="1"/>
  <c r="L1378" i="1"/>
  <c r="P1378" i="1"/>
  <c r="W1378" i="1"/>
  <c r="Y1378" i="1"/>
  <c r="AL1378" i="1"/>
  <c r="AN1378" i="1"/>
  <c r="B1379" i="1"/>
  <c r="H1379" i="1"/>
  <c r="K1379" i="1"/>
  <c r="L1379" i="1"/>
  <c r="S1379" i="1" s="1"/>
  <c r="P1379" i="1"/>
  <c r="W1379" i="1"/>
  <c r="Y1379" i="1"/>
  <c r="AL1379" i="1"/>
  <c r="B1380" i="1"/>
  <c r="H1380" i="1"/>
  <c r="K1380" i="1"/>
  <c r="L1380" i="1"/>
  <c r="Q1380" i="1" s="1"/>
  <c r="P1380" i="1"/>
  <c r="W1380" i="1"/>
  <c r="Y1380" i="1"/>
  <c r="AO1380" i="1" s="1"/>
  <c r="AL1380" i="1"/>
  <c r="B1381" i="1"/>
  <c r="H1381" i="1"/>
  <c r="K1381" i="1"/>
  <c r="L1381" i="1"/>
  <c r="M1381" i="1" s="1"/>
  <c r="P1381" i="1"/>
  <c r="W1381" i="1"/>
  <c r="Y1381" i="1"/>
  <c r="AO1381" i="1" s="1"/>
  <c r="AL1381" i="1"/>
  <c r="B1382" i="1"/>
  <c r="H1382" i="1"/>
  <c r="K1382" i="1"/>
  <c r="L1382" i="1"/>
  <c r="R1382" i="1" s="1"/>
  <c r="P1382" i="1"/>
  <c r="W1382" i="1"/>
  <c r="Y1382" i="1"/>
  <c r="AL1382" i="1"/>
  <c r="B1383" i="1"/>
  <c r="H1383" i="1"/>
  <c r="K1383" i="1"/>
  <c r="L1383" i="1"/>
  <c r="P1383" i="1"/>
  <c r="W1383" i="1"/>
  <c r="AO1383" i="1"/>
  <c r="AL1383" i="1"/>
  <c r="B1384" i="1"/>
  <c r="H1384" i="1"/>
  <c r="K1384" i="1"/>
  <c r="L1384" i="1"/>
  <c r="S1384" i="1" s="1"/>
  <c r="P1384" i="1"/>
  <c r="W1384" i="1"/>
  <c r="Y1384" i="1"/>
  <c r="AL1384" i="1"/>
  <c r="AN1384" i="1"/>
  <c r="B1386" i="1"/>
  <c r="H1386" i="1"/>
  <c r="K1386" i="1"/>
  <c r="L1386" i="1"/>
  <c r="P1386" i="1"/>
  <c r="W1386" i="1"/>
  <c r="AL1386" i="1"/>
  <c r="AN1386" i="1"/>
  <c r="B1387" i="1"/>
  <c r="H1387" i="1"/>
  <c r="K1387" i="1"/>
  <c r="L1387" i="1"/>
  <c r="R1387" i="1" s="1"/>
  <c r="P1387" i="1"/>
  <c r="W1387" i="1"/>
  <c r="Y1387" i="1"/>
  <c r="AL1387" i="1"/>
  <c r="B1388" i="1"/>
  <c r="H1388" i="1"/>
  <c r="K1388" i="1"/>
  <c r="L1388" i="1"/>
  <c r="P1388" i="1"/>
  <c r="W1388" i="1"/>
  <c r="AL1388" i="1"/>
  <c r="B1389" i="1"/>
  <c r="H1389" i="1"/>
  <c r="K1389" i="1"/>
  <c r="L1389" i="1"/>
  <c r="Q1389" i="1" s="1"/>
  <c r="P1389" i="1"/>
  <c r="W1389" i="1"/>
  <c r="B1390" i="1"/>
  <c r="H1390" i="1"/>
  <c r="K1390" i="1"/>
  <c r="L1390" i="1"/>
  <c r="P1390" i="1"/>
  <c r="W1390" i="1"/>
  <c r="AL1390" i="1"/>
  <c r="B1391" i="1"/>
  <c r="H1391" i="1"/>
  <c r="K1391" i="1"/>
  <c r="L1391" i="1"/>
  <c r="R1391" i="1" s="1"/>
  <c r="P1391" i="1"/>
  <c r="W1391" i="1"/>
  <c r="AL1391" i="1"/>
  <c r="AM1391" i="1" s="1"/>
  <c r="AO1391" i="1"/>
  <c r="B1392" i="1"/>
  <c r="H1392" i="1"/>
  <c r="K1392" i="1"/>
  <c r="L1392" i="1"/>
  <c r="Q1392" i="1" s="1"/>
  <c r="P1392" i="1"/>
  <c r="W1392" i="1"/>
  <c r="Y1392" i="1"/>
  <c r="AL1392" i="1"/>
  <c r="AN1392" i="1"/>
  <c r="B1393" i="1"/>
  <c r="H1393" i="1"/>
  <c r="K1393" i="1"/>
  <c r="L1393" i="1"/>
  <c r="R1393" i="1" s="1"/>
  <c r="P1393" i="1"/>
  <c r="W1393" i="1"/>
  <c r="AO1393" i="1"/>
  <c r="AL1393" i="1"/>
  <c r="B1394" i="1"/>
  <c r="H1394" i="1"/>
  <c r="K1394" i="1"/>
  <c r="L1394" i="1"/>
  <c r="S1394" i="1" s="1"/>
  <c r="P1394" i="1"/>
  <c r="W1394" i="1"/>
  <c r="AL1394" i="1"/>
  <c r="AN1394" i="1"/>
  <c r="B1395" i="1"/>
  <c r="H1395" i="1"/>
  <c r="K1395" i="1"/>
  <c r="L1395" i="1"/>
  <c r="M1395" i="1" s="1"/>
  <c r="P1395" i="1"/>
  <c r="W1395" i="1"/>
  <c r="AL1395" i="1"/>
  <c r="AM1395" i="1" s="1"/>
  <c r="AN1395" i="1"/>
  <c r="AO1395" i="1" s="1"/>
  <c r="B1396" i="1"/>
  <c r="H1396" i="1"/>
  <c r="K1396" i="1"/>
  <c r="L1396" i="1"/>
  <c r="M1396" i="1" s="1"/>
  <c r="P1396" i="1"/>
  <c r="W1396" i="1"/>
  <c r="AL1396" i="1"/>
  <c r="AN1396" i="1"/>
  <c r="B1397" i="1"/>
  <c r="H1397" i="1"/>
  <c r="K1397" i="1"/>
  <c r="L1397" i="1"/>
  <c r="P1397" i="1"/>
  <c r="W1397" i="1"/>
  <c r="AL1397" i="1"/>
  <c r="AM1397" i="1" s="1"/>
  <c r="AO1397" i="1"/>
  <c r="B1398" i="1"/>
  <c r="H1398" i="1"/>
  <c r="K1398" i="1"/>
  <c r="L1398" i="1"/>
  <c r="R1398" i="1" s="1"/>
  <c r="P1398" i="1"/>
  <c r="W1398" i="1"/>
  <c r="Y1398" i="1"/>
  <c r="AO1398" i="1" s="1"/>
  <c r="AG1398" i="1"/>
  <c r="AL1398" i="1" s="1"/>
  <c r="B1399" i="1"/>
  <c r="H1399" i="1"/>
  <c r="K1399" i="1"/>
  <c r="L1399" i="1"/>
  <c r="R1399" i="1" s="1"/>
  <c r="P1399" i="1"/>
  <c r="W1399" i="1"/>
  <c r="AL1399" i="1"/>
  <c r="B1400" i="1"/>
  <c r="H1400" i="1"/>
  <c r="K1400" i="1"/>
  <c r="L1400" i="1"/>
  <c r="Q1400" i="1" s="1"/>
  <c r="P1400" i="1"/>
  <c r="W1400" i="1"/>
  <c r="Y1400" i="1"/>
  <c r="AO1400" i="1" s="1"/>
  <c r="AL1400" i="1"/>
  <c r="AS1400" i="1"/>
  <c r="B1401" i="1"/>
  <c r="H1401" i="1"/>
  <c r="K1401" i="1"/>
  <c r="L1401" i="1"/>
  <c r="M1401" i="1" s="1"/>
  <c r="P1401" i="1"/>
  <c r="W1401" i="1"/>
  <c r="AL1401" i="1"/>
  <c r="AM1401" i="1" s="1"/>
  <c r="AO1401" i="1"/>
  <c r="B1402" i="1"/>
  <c r="H1402" i="1"/>
  <c r="K1402" i="1"/>
  <c r="L1402" i="1"/>
  <c r="Q1402" i="1" s="1"/>
  <c r="P1402" i="1"/>
  <c r="W1402" i="1"/>
  <c r="AL1402" i="1"/>
  <c r="AM1402" i="1" s="1"/>
  <c r="AO1402" i="1"/>
  <c r="B1403" i="1"/>
  <c r="H1403" i="1"/>
  <c r="K1403" i="1"/>
  <c r="L1403" i="1"/>
  <c r="P1403" i="1"/>
  <c r="W1403" i="1"/>
  <c r="Y1403" i="1"/>
  <c r="AO1403" i="1" s="1"/>
  <c r="AL1403" i="1"/>
  <c r="B1404" i="1"/>
  <c r="H1404" i="1"/>
  <c r="K1404" i="1"/>
  <c r="L1404" i="1"/>
  <c r="M1404" i="1" s="1"/>
  <c r="P1404" i="1"/>
  <c r="W1404" i="1"/>
  <c r="Y1404" i="1"/>
  <c r="AO1404" i="1" s="1"/>
  <c r="AL1404" i="1"/>
  <c r="B1405" i="1"/>
  <c r="H1405" i="1"/>
  <c r="K1405" i="1"/>
  <c r="L1405" i="1"/>
  <c r="Q1405" i="1" s="1"/>
  <c r="P1405" i="1"/>
  <c r="W1405" i="1"/>
  <c r="Y1405" i="1"/>
  <c r="AO1405" i="1" s="1"/>
  <c r="AL1405" i="1"/>
  <c r="B1406" i="1"/>
  <c r="H1406" i="1"/>
  <c r="K1406" i="1"/>
  <c r="L1406" i="1"/>
  <c r="S1406" i="1" s="1"/>
  <c r="P1406" i="1"/>
  <c r="W1406" i="1"/>
  <c r="Y1406" i="1"/>
  <c r="AO1406" i="1" s="1"/>
  <c r="AL1406" i="1"/>
  <c r="B1407" i="1"/>
  <c r="H1407" i="1"/>
  <c r="K1407" i="1"/>
  <c r="L1407" i="1"/>
  <c r="P1407" i="1"/>
  <c r="W1407" i="1"/>
  <c r="AO1407" i="1"/>
  <c r="AL1407" i="1"/>
  <c r="B1408" i="1"/>
  <c r="H1408" i="1"/>
  <c r="K1408" i="1"/>
  <c r="L1408" i="1"/>
  <c r="M1408" i="1" s="1"/>
  <c r="P1408" i="1"/>
  <c r="W1408" i="1"/>
  <c r="Y1408" i="1"/>
  <c r="AO1408" i="1" s="1"/>
  <c r="AL1408" i="1"/>
  <c r="B1409" i="1"/>
  <c r="H1409" i="1"/>
  <c r="K1409" i="1"/>
  <c r="L1409" i="1"/>
  <c r="Q1409" i="1" s="1"/>
  <c r="P1409" i="1"/>
  <c r="W1409" i="1"/>
  <c r="AL1409" i="1"/>
  <c r="AM1409" i="1" s="1"/>
  <c r="AO1409" i="1"/>
  <c r="B1410" i="1"/>
  <c r="H1410" i="1"/>
  <c r="K1410" i="1"/>
  <c r="L1410" i="1"/>
  <c r="S1410" i="1" s="1"/>
  <c r="P1410" i="1"/>
  <c r="W1410" i="1"/>
  <c r="Y1410" i="1"/>
  <c r="AO1410" i="1" s="1"/>
  <c r="AL1410" i="1"/>
  <c r="B1411" i="1"/>
  <c r="H1411" i="1"/>
  <c r="K1411" i="1"/>
  <c r="L1411" i="1"/>
  <c r="M1411" i="1" s="1"/>
  <c r="P1411" i="1"/>
  <c r="W1411" i="1"/>
  <c r="Y1411" i="1"/>
  <c r="AO1411" i="1" s="1"/>
  <c r="AL1411" i="1"/>
  <c r="B1412" i="1"/>
  <c r="H1412" i="1"/>
  <c r="K1412" i="1"/>
  <c r="L1412" i="1"/>
  <c r="M1412" i="1" s="1"/>
  <c r="P1412" i="1"/>
  <c r="W1412" i="1"/>
  <c r="AO1412" i="1"/>
  <c r="AL1412" i="1"/>
  <c r="B1413" i="1"/>
  <c r="H1413" i="1"/>
  <c r="K1413" i="1"/>
  <c r="L1413" i="1"/>
  <c r="Q1413" i="1" s="1"/>
  <c r="P1413" i="1"/>
  <c r="W1413" i="1"/>
  <c r="AL1413" i="1"/>
  <c r="AM1413" i="1" s="1"/>
  <c r="AO1413" i="1"/>
  <c r="B1414" i="1"/>
  <c r="H1414" i="1"/>
  <c r="K1414" i="1"/>
  <c r="L1414" i="1"/>
  <c r="P1414" i="1"/>
  <c r="W1414" i="1"/>
  <c r="AB1414" i="1"/>
  <c r="AF1414" i="1"/>
  <c r="AG1414" i="1"/>
  <c r="AH1414" i="1"/>
  <c r="AI1414" i="1"/>
  <c r="AN1414" i="1"/>
  <c r="B1415" i="1"/>
  <c r="H1415" i="1"/>
  <c r="K1415" i="1"/>
  <c r="L1415" i="1"/>
  <c r="R1415" i="1" s="1"/>
  <c r="P1415" i="1"/>
  <c r="W1415" i="1"/>
  <c r="Y1415" i="1"/>
  <c r="AL1415" i="1"/>
  <c r="AN1415" i="1"/>
  <c r="B1416" i="1"/>
  <c r="H1416" i="1"/>
  <c r="K1416" i="1"/>
  <c r="L1416" i="1"/>
  <c r="M1416" i="1" s="1"/>
  <c r="P1416" i="1"/>
  <c r="W1416" i="1"/>
  <c r="Y1416" i="1"/>
  <c r="AO1416" i="1" s="1"/>
  <c r="AL1416" i="1"/>
  <c r="B1417" i="1"/>
  <c r="H1417" i="1"/>
  <c r="K1417" i="1"/>
  <c r="L1417" i="1"/>
  <c r="Q1417" i="1" s="1"/>
  <c r="P1417" i="1"/>
  <c r="W1417" i="1"/>
  <c r="Y1417" i="1"/>
  <c r="AO1417" i="1" s="1"/>
  <c r="AL1417" i="1"/>
  <c r="B1418" i="1"/>
  <c r="H1418" i="1"/>
  <c r="K1418" i="1"/>
  <c r="L1418" i="1"/>
  <c r="P1418" i="1"/>
  <c r="W1418" i="1"/>
  <c r="Y1418" i="1"/>
  <c r="AL1418" i="1"/>
  <c r="AN1418" i="1"/>
  <c r="B1419" i="1"/>
  <c r="H1419" i="1"/>
  <c r="K1419" i="1"/>
  <c r="L1419" i="1"/>
  <c r="R1419" i="1" s="1"/>
  <c r="P1419" i="1"/>
  <c r="W1419" i="1"/>
  <c r="AL1419" i="1"/>
  <c r="AM1419" i="1" s="1"/>
  <c r="AO1419" i="1"/>
  <c r="B1420" i="1"/>
  <c r="H1420" i="1"/>
  <c r="K1420" i="1"/>
  <c r="L1420" i="1"/>
  <c r="M1420" i="1" s="1"/>
  <c r="P1420" i="1"/>
  <c r="W1420" i="1"/>
  <c r="Y1420" i="1"/>
  <c r="AO1420" i="1" s="1"/>
  <c r="AL1420" i="1"/>
  <c r="B1421" i="1"/>
  <c r="H1421" i="1"/>
  <c r="K1421" i="1"/>
  <c r="L1421" i="1"/>
  <c r="Q1421" i="1" s="1"/>
  <c r="P1421" i="1"/>
  <c r="W1421" i="1"/>
  <c r="Y1421" i="1"/>
  <c r="AO1421" i="1" s="1"/>
  <c r="AL1421" i="1"/>
  <c r="B1422" i="1"/>
  <c r="H1422" i="1"/>
  <c r="K1422" i="1"/>
  <c r="L1422" i="1"/>
  <c r="S1422" i="1" s="1"/>
  <c r="P1422" i="1"/>
  <c r="W1422" i="1"/>
  <c r="Y1422" i="1"/>
  <c r="AO1422" i="1" s="1"/>
  <c r="AL1422" i="1"/>
  <c r="B1423" i="1"/>
  <c r="H1423" i="1"/>
  <c r="K1423" i="1"/>
  <c r="L1423" i="1"/>
  <c r="M1423" i="1" s="1"/>
  <c r="P1423" i="1"/>
  <c r="W1423" i="1"/>
  <c r="Y1423" i="1"/>
  <c r="AO1423" i="1" s="1"/>
  <c r="AL1423" i="1"/>
  <c r="B1424" i="1"/>
  <c r="H1424" i="1"/>
  <c r="K1424" i="1"/>
  <c r="L1424" i="1"/>
  <c r="M1424" i="1" s="1"/>
  <c r="P1424" i="1"/>
  <c r="W1424" i="1"/>
  <c r="Y1424" i="1"/>
  <c r="AO1424" i="1" s="1"/>
  <c r="AL1424" i="1"/>
  <c r="B1425" i="1"/>
  <c r="H1425" i="1"/>
  <c r="K1425" i="1"/>
  <c r="L1425" i="1"/>
  <c r="Q1425" i="1" s="1"/>
  <c r="P1425" i="1"/>
  <c r="W1425" i="1"/>
  <c r="Y1425" i="1"/>
  <c r="AO1425" i="1" s="1"/>
  <c r="AL1425" i="1"/>
  <c r="B1426" i="1"/>
  <c r="H1426" i="1"/>
  <c r="K1426" i="1"/>
  <c r="L1426" i="1"/>
  <c r="P1426" i="1"/>
  <c r="W1426" i="1"/>
  <c r="Y1426" i="1"/>
  <c r="AO1426" i="1" s="1"/>
  <c r="AL1426" i="1"/>
  <c r="B1427" i="1"/>
  <c r="H1427" i="1"/>
  <c r="K1427" i="1"/>
  <c r="L1427" i="1"/>
  <c r="M1427" i="1" s="1"/>
  <c r="P1427" i="1"/>
  <c r="W1427" i="1"/>
  <c r="AO1427" i="1"/>
  <c r="AL1427" i="1"/>
  <c r="B1428" i="1"/>
  <c r="H1428" i="1"/>
  <c r="K1428" i="1"/>
  <c r="L1428" i="1"/>
  <c r="M1428" i="1" s="1"/>
  <c r="P1428" i="1"/>
  <c r="W1428" i="1"/>
  <c r="Y1428" i="1"/>
  <c r="AO1428" i="1" s="1"/>
  <c r="AL1428" i="1"/>
  <c r="B1429" i="1"/>
  <c r="H1429" i="1"/>
  <c r="K1429" i="1"/>
  <c r="L1429" i="1"/>
  <c r="Q1429" i="1" s="1"/>
  <c r="P1429" i="1"/>
  <c r="W1429" i="1"/>
  <c r="Y1429" i="1"/>
  <c r="AO1429" i="1" s="1"/>
  <c r="AL1429" i="1"/>
  <c r="B1430" i="1"/>
  <c r="H1430" i="1"/>
  <c r="K1430" i="1"/>
  <c r="L1430" i="1"/>
  <c r="S1430" i="1" s="1"/>
  <c r="P1430" i="1"/>
  <c r="W1430" i="1"/>
  <c r="Y1430" i="1"/>
  <c r="AO1430" i="1" s="1"/>
  <c r="AL1430" i="1"/>
  <c r="B1431" i="1"/>
  <c r="H1431" i="1"/>
  <c r="K1431" i="1"/>
  <c r="L1431" i="1"/>
  <c r="P1431" i="1"/>
  <c r="W1431" i="1"/>
  <c r="AL1431" i="1"/>
  <c r="B1432" i="1"/>
  <c r="H1432" i="1"/>
  <c r="K1432" i="1"/>
  <c r="L1432" i="1"/>
  <c r="M1432" i="1" s="1"/>
  <c r="P1432" i="1"/>
  <c r="W1432" i="1"/>
  <c r="Y1432" i="1"/>
  <c r="AL1432" i="1"/>
  <c r="B1433" i="1"/>
  <c r="H1433" i="1"/>
  <c r="K1433" i="1"/>
  <c r="L1433" i="1"/>
  <c r="M1433" i="1" s="1"/>
  <c r="P1433" i="1"/>
  <c r="W1433" i="1"/>
  <c r="Y1433" i="1"/>
  <c r="AL1433" i="1"/>
  <c r="B1434" i="1"/>
  <c r="H1434" i="1"/>
  <c r="K1434" i="1"/>
  <c r="L1434" i="1"/>
  <c r="S1434" i="1" s="1"/>
  <c r="P1434" i="1"/>
  <c r="W1434" i="1"/>
  <c r="Y1434" i="1"/>
  <c r="AO1434" i="1" s="1"/>
  <c r="AL1434" i="1"/>
  <c r="B1435" i="1"/>
  <c r="H1435" i="1"/>
  <c r="K1435" i="1"/>
  <c r="L1435" i="1"/>
  <c r="R1435" i="1" s="1"/>
  <c r="P1435" i="1"/>
  <c r="W1435" i="1"/>
  <c r="Y1435" i="1"/>
  <c r="AL1435" i="1"/>
  <c r="B1436" i="1"/>
  <c r="H1436" i="1"/>
  <c r="K1436" i="1"/>
  <c r="L1436" i="1"/>
  <c r="R1436" i="1" s="1"/>
  <c r="P1436" i="1"/>
  <c r="W1436" i="1"/>
  <c r="Y1436" i="1"/>
  <c r="AL1436" i="1"/>
  <c r="AN1436" i="1"/>
  <c r="B1437" i="1"/>
  <c r="H1437" i="1"/>
  <c r="K1437" i="1"/>
  <c r="L1437" i="1"/>
  <c r="M1437" i="1" s="1"/>
  <c r="P1437" i="1"/>
  <c r="W1437" i="1"/>
  <c r="AL1437" i="1"/>
  <c r="AM1437" i="1" s="1"/>
  <c r="AO1437" i="1"/>
  <c r="B1438" i="1"/>
  <c r="H1438" i="1"/>
  <c r="K1438" i="1"/>
  <c r="L1438" i="1"/>
  <c r="S1438" i="1" s="1"/>
  <c r="P1438" i="1"/>
  <c r="W1438" i="1"/>
  <c r="Y1438" i="1"/>
  <c r="AO1438" i="1" s="1"/>
  <c r="AL1438" i="1"/>
  <c r="B1439" i="1"/>
  <c r="H1439" i="1"/>
  <c r="K1439" i="1"/>
  <c r="L1439" i="1"/>
  <c r="M1439" i="1" s="1"/>
  <c r="P1439" i="1"/>
  <c r="W1439" i="1"/>
  <c r="Y1439" i="1"/>
  <c r="AO1439" i="1" s="1"/>
  <c r="AL1439" i="1"/>
  <c r="B1440" i="1"/>
  <c r="H1440" i="1"/>
  <c r="K1440" i="1"/>
  <c r="L1440" i="1"/>
  <c r="M1440" i="1" s="1"/>
  <c r="P1440" i="1"/>
  <c r="W1440" i="1"/>
  <c r="Y1440" i="1"/>
  <c r="AG1440" i="1"/>
  <c r="AL1440" i="1" s="1"/>
  <c r="AN1440" i="1"/>
  <c r="B1441" i="1"/>
  <c r="H1441" i="1"/>
  <c r="K1441" i="1"/>
  <c r="L1441" i="1"/>
  <c r="M1441" i="1" s="1"/>
  <c r="P1441" i="1"/>
  <c r="W1441" i="1"/>
  <c r="Y1441" i="1"/>
  <c r="AO1441" i="1" s="1"/>
  <c r="AL1441" i="1"/>
  <c r="B1442" i="1"/>
  <c r="H1442" i="1"/>
  <c r="K1442" i="1"/>
  <c r="L1442" i="1"/>
  <c r="Q1442" i="1" s="1"/>
  <c r="P1442" i="1"/>
  <c r="W1442" i="1"/>
  <c r="AO1442" i="1"/>
  <c r="AL1442" i="1"/>
  <c r="B1443" i="1"/>
  <c r="H1443" i="1"/>
  <c r="K1443" i="1"/>
  <c r="L1443" i="1"/>
  <c r="S1443" i="1" s="1"/>
  <c r="P1443" i="1"/>
  <c r="W1443" i="1"/>
  <c r="Y1443" i="1"/>
  <c r="AO1443" i="1" s="1"/>
  <c r="AL1443" i="1"/>
  <c r="B1444" i="1"/>
  <c r="H1444" i="1"/>
  <c r="K1444" i="1"/>
  <c r="L1444" i="1"/>
  <c r="M1444" i="1" s="1"/>
  <c r="P1444" i="1"/>
  <c r="W1444" i="1"/>
  <c r="Y1444" i="1"/>
  <c r="AO1444" i="1" s="1"/>
  <c r="AL1444" i="1"/>
  <c r="B1445" i="1"/>
  <c r="H1445" i="1"/>
  <c r="K1445" i="1"/>
  <c r="L1445" i="1"/>
  <c r="M1445" i="1" s="1"/>
  <c r="P1445" i="1"/>
  <c r="W1445" i="1"/>
  <c r="Y1445" i="1"/>
  <c r="AL1445" i="1"/>
  <c r="AN1445" i="1"/>
  <c r="B1446" i="1"/>
  <c r="H1446" i="1"/>
  <c r="K1446" i="1"/>
  <c r="L1446" i="1"/>
  <c r="S1446" i="1" s="1"/>
  <c r="P1446" i="1"/>
  <c r="W1446" i="1"/>
  <c r="AL1446" i="1"/>
  <c r="AM1446" i="1" s="1"/>
  <c r="AO1446" i="1"/>
  <c r="B1447" i="1"/>
  <c r="H1447" i="1"/>
  <c r="K1447" i="1"/>
  <c r="L1447" i="1"/>
  <c r="S1447" i="1" s="1"/>
  <c r="P1447" i="1"/>
  <c r="W1447" i="1"/>
  <c r="Y1447" i="1"/>
  <c r="AL1447" i="1"/>
  <c r="B1448" i="1"/>
  <c r="H1448" i="1"/>
  <c r="K1448" i="1"/>
  <c r="L1448" i="1"/>
  <c r="R1448" i="1" s="1"/>
  <c r="P1448" i="1"/>
  <c r="W1448" i="1"/>
  <c r="Y1448" i="1"/>
  <c r="AL1448" i="1"/>
  <c r="B1449" i="1"/>
  <c r="H1449" i="1"/>
  <c r="K1449" i="1"/>
  <c r="L1449" i="1"/>
  <c r="R1449" i="1" s="1"/>
  <c r="P1449" i="1"/>
  <c r="W1449" i="1"/>
  <c r="Y1449" i="1"/>
  <c r="AL1449" i="1"/>
  <c r="AN1449" i="1"/>
  <c r="B1450" i="1"/>
  <c r="H1450" i="1"/>
  <c r="K1450" i="1"/>
  <c r="L1450" i="1"/>
  <c r="Q1450" i="1" s="1"/>
  <c r="P1450" i="1"/>
  <c r="W1450" i="1"/>
  <c r="Y1450" i="1"/>
  <c r="AO1450" i="1" s="1"/>
  <c r="AL1450" i="1"/>
  <c r="B1451" i="1"/>
  <c r="H1451" i="1"/>
  <c r="K1451" i="1"/>
  <c r="L1451" i="1"/>
  <c r="S1451" i="1" s="1"/>
  <c r="P1451" i="1"/>
  <c r="W1451" i="1"/>
  <c r="Y1451" i="1"/>
  <c r="AL1451" i="1"/>
  <c r="AN1451" i="1"/>
  <c r="B1452" i="1"/>
  <c r="H1452" i="1"/>
  <c r="K1452" i="1"/>
  <c r="L1452" i="1"/>
  <c r="M1452" i="1" s="1"/>
  <c r="P1452" i="1"/>
  <c r="W1452" i="1"/>
  <c r="AL1452" i="1"/>
  <c r="AN1452" i="1"/>
  <c r="B1453" i="1"/>
  <c r="H1453" i="1"/>
  <c r="K1453" i="1"/>
  <c r="L1453" i="1"/>
  <c r="M1453" i="1" s="1"/>
  <c r="P1453" i="1"/>
  <c r="W1453" i="1"/>
  <c r="Y1453" i="1"/>
  <c r="AO1453" i="1" s="1"/>
  <c r="AL1453" i="1"/>
  <c r="B1454" i="1"/>
  <c r="H1454" i="1"/>
  <c r="K1454" i="1"/>
  <c r="L1454" i="1"/>
  <c r="M1454" i="1" s="1"/>
  <c r="P1454" i="1"/>
  <c r="W1454" i="1"/>
  <c r="Y1454" i="1"/>
  <c r="AO1454" i="1" s="1"/>
  <c r="AL1454" i="1"/>
  <c r="B1455" i="1"/>
  <c r="H1455" i="1"/>
  <c r="K1455" i="1"/>
  <c r="L1455" i="1"/>
  <c r="Q1455" i="1" s="1"/>
  <c r="P1455" i="1"/>
  <c r="W1455" i="1"/>
  <c r="AL1455" i="1"/>
  <c r="AN1455" i="1"/>
  <c r="B1456" i="1"/>
  <c r="H1456" i="1"/>
  <c r="K1456" i="1"/>
  <c r="L1456" i="1"/>
  <c r="M1456" i="1" s="1"/>
  <c r="P1456" i="1"/>
  <c r="W1456" i="1"/>
  <c r="AL1456" i="1"/>
  <c r="AN1456" i="1"/>
  <c r="B1457" i="1"/>
  <c r="H1457" i="1"/>
  <c r="K1457" i="1"/>
  <c r="L1457" i="1"/>
  <c r="S1457" i="1" s="1"/>
  <c r="P1457" i="1"/>
  <c r="W1457" i="1"/>
  <c r="AL1457" i="1"/>
  <c r="AM1457" i="1" s="1"/>
  <c r="AO1457" i="1"/>
  <c r="B1458" i="1"/>
  <c r="H1458" i="1"/>
  <c r="K1458" i="1"/>
  <c r="L1458" i="1"/>
  <c r="R1458" i="1" s="1"/>
  <c r="P1458" i="1"/>
  <c r="W1458" i="1"/>
  <c r="Y1458" i="1"/>
  <c r="AL1458" i="1"/>
  <c r="B1459" i="1"/>
  <c r="H1459" i="1"/>
  <c r="K1459" i="1"/>
  <c r="L1459" i="1"/>
  <c r="R1459" i="1" s="1"/>
  <c r="P1459" i="1"/>
  <c r="W1459" i="1"/>
  <c r="AO1459" i="1"/>
  <c r="AL1459" i="1"/>
  <c r="B1460" i="1"/>
  <c r="H1460" i="1"/>
  <c r="K1460" i="1"/>
  <c r="L1460" i="1"/>
  <c r="Q1460" i="1" s="1"/>
  <c r="P1460" i="1"/>
  <c r="W1460" i="1"/>
  <c r="AL1460" i="1"/>
  <c r="AM1460" i="1" s="1"/>
  <c r="AO1460" i="1"/>
  <c r="B1461" i="1"/>
  <c r="H1461" i="1"/>
  <c r="K1461" i="1"/>
  <c r="L1461" i="1"/>
  <c r="M1461" i="1" s="1"/>
  <c r="P1461" i="1"/>
  <c r="W1461" i="1"/>
  <c r="AL1461" i="1"/>
  <c r="AM1461" i="1" s="1"/>
  <c r="AO1461" i="1"/>
  <c r="B1462" i="1"/>
  <c r="H1462" i="1"/>
  <c r="K1462" i="1"/>
  <c r="L1462" i="1"/>
  <c r="R1462" i="1" s="1"/>
  <c r="P1462" i="1"/>
  <c r="W1462" i="1"/>
  <c r="AL1462" i="1"/>
  <c r="AM1462" i="1" s="1"/>
  <c r="AO1462" i="1"/>
  <c r="B1463" i="1"/>
  <c r="H1463" i="1"/>
  <c r="K1463" i="1"/>
  <c r="L1463" i="1"/>
  <c r="S1463" i="1" s="1"/>
  <c r="P1463" i="1"/>
  <c r="W1463" i="1"/>
  <c r="AL1463" i="1"/>
  <c r="AM1463" i="1" s="1"/>
  <c r="AO1463" i="1"/>
  <c r="B1464" i="1"/>
  <c r="H1464" i="1"/>
  <c r="K1464" i="1"/>
  <c r="L1464" i="1"/>
  <c r="R1464" i="1" s="1"/>
  <c r="P1464" i="1"/>
  <c r="W1464" i="1"/>
  <c r="AL1464" i="1"/>
  <c r="AO1464" i="1"/>
  <c r="B1271" i="1"/>
  <c r="H1271" i="1"/>
  <c r="K1271" i="1"/>
  <c r="L1271" i="1"/>
  <c r="Q1271" i="1" s="1"/>
  <c r="P1271" i="1"/>
  <c r="W1271" i="1"/>
  <c r="AO1271" i="1"/>
  <c r="AC1271" i="1"/>
  <c r="AD1271" i="1"/>
  <c r="AD1465" i="1" s="1"/>
  <c r="AE1271" i="1"/>
  <c r="AE1465" i="1" s="1"/>
  <c r="AF1271" i="1"/>
  <c r="AG1271" i="1"/>
  <c r="AH1271" i="1"/>
  <c r="AI1271" i="1"/>
  <c r="AJ1271" i="1"/>
  <c r="AJ1465" i="1" s="1"/>
  <c r="AM1464" i="1" l="1"/>
  <c r="AG1465" i="1"/>
  <c r="AI1465" i="1"/>
  <c r="AK1465" i="1"/>
  <c r="AH1465" i="1"/>
  <c r="AF1465" i="1"/>
  <c r="AC1465" i="1"/>
  <c r="Y1465" i="1"/>
  <c r="AB1465" i="1"/>
  <c r="AN1465" i="1"/>
  <c r="AM1393" i="1"/>
  <c r="S1458" i="1"/>
  <c r="AM1288" i="1"/>
  <c r="Q1367" i="1"/>
  <c r="Q1458" i="1"/>
  <c r="S1387" i="1"/>
  <c r="AM1378" i="1"/>
  <c r="AM1376" i="1"/>
  <c r="S1452" i="1"/>
  <c r="M1400" i="1"/>
  <c r="S1400" i="1"/>
  <c r="M1353" i="1"/>
  <c r="AM1430" i="1"/>
  <c r="AM1428" i="1"/>
  <c r="AM1426" i="1"/>
  <c r="AO1344" i="1"/>
  <c r="R1433" i="1"/>
  <c r="R1372" i="1"/>
  <c r="S1399" i="1"/>
  <c r="AM1453" i="1"/>
  <c r="Q1447" i="1"/>
  <c r="Q1382" i="1"/>
  <c r="AM1361" i="1"/>
  <c r="AM1338" i="1"/>
  <c r="R1293" i="1"/>
  <c r="R1289" i="1"/>
  <c r="M1276" i="1"/>
  <c r="S1341" i="1"/>
  <c r="Q1293" i="1"/>
  <c r="R1447" i="1"/>
  <c r="AM1452" i="1"/>
  <c r="M1447" i="1"/>
  <c r="Q1415" i="1"/>
  <c r="R1411" i="1"/>
  <c r="S1391" i="1"/>
  <c r="M1391" i="1"/>
  <c r="AM1295" i="1"/>
  <c r="AO1456" i="1"/>
  <c r="R1298" i="1"/>
  <c r="S1456" i="1"/>
  <c r="AM1455" i="1"/>
  <c r="Q1435" i="1"/>
  <c r="AM1415" i="1"/>
  <c r="AO1367" i="1"/>
  <c r="Q1362" i="1"/>
  <c r="R1345" i="1"/>
  <c r="AL1283" i="1"/>
  <c r="AM1283" i="1" s="1"/>
  <c r="AL1275" i="1"/>
  <c r="AM1275" i="1" s="1"/>
  <c r="S1435" i="1"/>
  <c r="S1464" i="1"/>
  <c r="Q1456" i="1"/>
  <c r="Q1345" i="1"/>
  <c r="AO1332" i="1"/>
  <c r="Q1464" i="1"/>
  <c r="AM1440" i="1"/>
  <c r="M1435" i="1"/>
  <c r="S1433" i="1"/>
  <c r="S1415" i="1"/>
  <c r="AM1400" i="1"/>
  <c r="Q1384" i="1"/>
  <c r="AM1380" i="1"/>
  <c r="S1367" i="1"/>
  <c r="M1362" i="1"/>
  <c r="AM1353" i="1"/>
  <c r="M1464" i="1"/>
  <c r="Q1433" i="1"/>
  <c r="AM1425" i="1"/>
  <c r="AM1423" i="1"/>
  <c r="M1393" i="1"/>
  <c r="R1353" i="1"/>
  <c r="AM1327" i="1"/>
  <c r="AM1320" i="1"/>
  <c r="S1362" i="1"/>
  <c r="AM1449" i="1"/>
  <c r="AM1431" i="1"/>
  <c r="AM1407" i="1"/>
  <c r="AM1398" i="1"/>
  <c r="AO1365" i="1"/>
  <c r="M1354" i="1"/>
  <c r="AM1352" i="1"/>
  <c r="AM1351" i="1"/>
  <c r="M1348" i="1"/>
  <c r="Q1332" i="1"/>
  <c r="AM1329" i="1"/>
  <c r="AL1314" i="1"/>
  <c r="AM1314" i="1" s="1"/>
  <c r="R1292" i="1"/>
  <c r="Q1289" i="1"/>
  <c r="AM1365" i="1"/>
  <c r="AM1358" i="1"/>
  <c r="S1460" i="1"/>
  <c r="R1460" i="1"/>
  <c r="M1449" i="1"/>
  <c r="R1406" i="1"/>
  <c r="M1399" i="1"/>
  <c r="Q1387" i="1"/>
  <c r="M1380" i="1"/>
  <c r="R1379" i="1"/>
  <c r="AO1378" i="1"/>
  <c r="AM1372" i="1"/>
  <c r="AM1355" i="1"/>
  <c r="S1350" i="1"/>
  <c r="M1337" i="1"/>
  <c r="R1336" i="1"/>
  <c r="R1313" i="1"/>
  <c r="R1312" i="1"/>
  <c r="R1305" i="1"/>
  <c r="Q1298" i="1"/>
  <c r="R1285" i="1"/>
  <c r="AM1434" i="1"/>
  <c r="AM1418" i="1"/>
  <c r="AM1416" i="1"/>
  <c r="R1402" i="1"/>
  <c r="AO1384" i="1"/>
  <c r="AM1383" i="1"/>
  <c r="AO1372" i="1"/>
  <c r="AO1371" i="1"/>
  <c r="Q1357" i="1"/>
  <c r="R1350" i="1"/>
  <c r="Q1336" i="1"/>
  <c r="Q1312" i="1"/>
  <c r="M1294" i="1"/>
  <c r="Q1285" i="1"/>
  <c r="AO1431" i="1"/>
  <c r="M1460" i="1"/>
  <c r="AM1451" i="1"/>
  <c r="AM1445" i="1"/>
  <c r="AM1369" i="1"/>
  <c r="S1349" i="1"/>
  <c r="AM1345" i="1"/>
  <c r="R1343" i="1"/>
  <c r="AM1292" i="1"/>
  <c r="AM1456" i="1"/>
  <c r="AM1442" i="1"/>
  <c r="AM1412" i="1"/>
  <c r="M1364" i="1"/>
  <c r="R1354" i="1"/>
  <c r="Q1452" i="1"/>
  <c r="AM1375" i="1"/>
  <c r="S1323" i="1"/>
  <c r="AL1300" i="1"/>
  <c r="AM1300" i="1" s="1"/>
  <c r="R1277" i="1"/>
  <c r="M1459" i="1"/>
  <c r="R1456" i="1"/>
  <c r="AO1455" i="1"/>
  <c r="AM1432" i="1"/>
  <c r="R1427" i="1"/>
  <c r="AM1422" i="1"/>
  <c r="AM1421" i="1"/>
  <c r="S1402" i="1"/>
  <c r="M1382" i="1"/>
  <c r="AM1370" i="1"/>
  <c r="R1357" i="1"/>
  <c r="S1353" i="1"/>
  <c r="R1349" i="1"/>
  <c r="AO1343" i="1"/>
  <c r="M1332" i="1"/>
  <c r="AO1329" i="1"/>
  <c r="S1297" i="1"/>
  <c r="Q1284" i="1"/>
  <c r="AM1282" i="1"/>
  <c r="S1375" i="1"/>
  <c r="Q1349" i="1"/>
  <c r="Q1311" i="1"/>
  <c r="Q1297" i="1"/>
  <c r="S1273" i="1"/>
  <c r="R1439" i="1"/>
  <c r="Q1432" i="1"/>
  <c r="S1389" i="1"/>
  <c r="S1380" i="1"/>
  <c r="R1375" i="1"/>
  <c r="Q1371" i="1"/>
  <c r="AO1364" i="1"/>
  <c r="AO1356" i="1"/>
  <c r="AM1348" i="1"/>
  <c r="Q1344" i="1"/>
  <c r="Q1340" i="1"/>
  <c r="AM1337" i="1"/>
  <c r="AM1334" i="1"/>
  <c r="M1312" i="1"/>
  <c r="Q1310" i="1"/>
  <c r="S1309" i="1"/>
  <c r="M1305" i="1"/>
  <c r="R1302" i="1"/>
  <c r="R1294" i="1"/>
  <c r="R1283" i="1"/>
  <c r="Q1280" i="1"/>
  <c r="AL1272" i="1"/>
  <c r="AM1272" i="1" s="1"/>
  <c r="R1461" i="1"/>
  <c r="R1457" i="1"/>
  <c r="S1449" i="1"/>
  <c r="AM1429" i="1"/>
  <c r="AM1406" i="1"/>
  <c r="M1402" i="1"/>
  <c r="R1389" i="1"/>
  <c r="M1384" i="1"/>
  <c r="R1380" i="1"/>
  <c r="Q1375" i="1"/>
  <c r="AM1373" i="1"/>
  <c r="R1370" i="1"/>
  <c r="AM1368" i="1"/>
  <c r="M1365" i="1"/>
  <c r="R1361" i="1"/>
  <c r="M1357" i="1"/>
  <c r="AL1343" i="1"/>
  <c r="AM1343" i="1" s="1"/>
  <c r="S1335" i="1"/>
  <c r="AM1332" i="1"/>
  <c r="AM1325" i="1"/>
  <c r="M1320" i="1"/>
  <c r="R1309" i="1"/>
  <c r="AM1307" i="1"/>
  <c r="Q1302" i="1"/>
  <c r="S1299" i="1"/>
  <c r="M1297" i="1"/>
  <c r="M1273" i="1"/>
  <c r="Q1449" i="1"/>
  <c r="S1419" i="1"/>
  <c r="AO1392" i="1"/>
  <c r="S1382" i="1"/>
  <c r="AM1367" i="1"/>
  <c r="S1364" i="1"/>
  <c r="AO1353" i="1"/>
  <c r="R1348" i="1"/>
  <c r="S1334" i="1"/>
  <c r="S1327" i="1"/>
  <c r="S1319" i="1"/>
  <c r="Q1309" i="1"/>
  <c r="Q1301" i="1"/>
  <c r="S1286" i="1"/>
  <c r="R1444" i="1"/>
  <c r="AO1440" i="1"/>
  <c r="AM1433" i="1"/>
  <c r="R1430" i="1"/>
  <c r="AM1427" i="1"/>
  <c r="Q1419" i="1"/>
  <c r="AM1404" i="1"/>
  <c r="AM1403" i="1"/>
  <c r="AM1399" i="1"/>
  <c r="Q1393" i="1"/>
  <c r="AM1392" i="1"/>
  <c r="M1389" i="1"/>
  <c r="AM1386" i="1"/>
  <c r="M1370" i="1"/>
  <c r="AM1357" i="1"/>
  <c r="M1356" i="1"/>
  <c r="Q1326" i="1"/>
  <c r="AM1305" i="1"/>
  <c r="AL1296" i="1"/>
  <c r="AM1296" i="1" s="1"/>
  <c r="AM1289" i="1"/>
  <c r="AM1274" i="1"/>
  <c r="R1463" i="1"/>
  <c r="M1458" i="1"/>
  <c r="AM1454" i="1"/>
  <c r="R1452" i="1"/>
  <c r="AO1451" i="1"/>
  <c r="AM1448" i="1"/>
  <c r="R1443" i="1"/>
  <c r="AM1441" i="1"/>
  <c r="R1438" i="1"/>
  <c r="AM1436" i="1"/>
  <c r="S1426" i="1"/>
  <c r="R1426" i="1"/>
  <c r="M1403" i="1"/>
  <c r="R1403" i="1"/>
  <c r="M1386" i="1"/>
  <c r="R1386" i="1"/>
  <c r="R1314" i="1"/>
  <c r="M1314" i="1"/>
  <c r="Q1314" i="1"/>
  <c r="M1278" i="1"/>
  <c r="S1278" i="1"/>
  <c r="R1434" i="1"/>
  <c r="R1414" i="1"/>
  <c r="M1414" i="1"/>
  <c r="Q1414" i="1"/>
  <c r="S1414" i="1"/>
  <c r="M1397" i="1"/>
  <c r="Q1397" i="1"/>
  <c r="R1397" i="1"/>
  <c r="S1397" i="1"/>
  <c r="AO1394" i="1"/>
  <c r="S1322" i="1"/>
  <c r="Q1322" i="1"/>
  <c r="R1322" i="1"/>
  <c r="AL1271" i="1"/>
  <c r="AM1271" i="1" s="1"/>
  <c r="S1462" i="1"/>
  <c r="Q1462" i="1"/>
  <c r="S1459" i="1"/>
  <c r="AO1452" i="1"/>
  <c r="S1448" i="1"/>
  <c r="R1446" i="1"/>
  <c r="S1436" i="1"/>
  <c r="Q1434" i="1"/>
  <c r="R1432" i="1"/>
  <c r="S1432" i="1"/>
  <c r="R1390" i="1"/>
  <c r="M1390" i="1"/>
  <c r="Q1390" i="1"/>
  <c r="S1390" i="1"/>
  <c r="AO1387" i="1"/>
  <c r="AM1387" i="1"/>
  <c r="R1378" i="1"/>
  <c r="S1378" i="1"/>
  <c r="M1366" i="1"/>
  <c r="Q1366" i="1"/>
  <c r="R1366" i="1"/>
  <c r="S1366" i="1"/>
  <c r="S1418" i="1"/>
  <c r="R1418" i="1"/>
  <c r="AO1389" i="1"/>
  <c r="AM1389" i="1"/>
  <c r="Q1459" i="1"/>
  <c r="AM1458" i="1"/>
  <c r="AM1450" i="1"/>
  <c r="Q1448" i="1"/>
  <c r="AM1447" i="1"/>
  <c r="AO1445" i="1"/>
  <c r="AM1444" i="1"/>
  <c r="AM1439" i="1"/>
  <c r="Q1436" i="1"/>
  <c r="AM1435" i="1"/>
  <c r="M1431" i="1"/>
  <c r="R1431" i="1"/>
  <c r="AM1405" i="1"/>
  <c r="R1295" i="1"/>
  <c r="M1295" i="1"/>
  <c r="Q1295" i="1"/>
  <c r="M1462" i="1"/>
  <c r="R1453" i="1"/>
  <c r="R1451" i="1"/>
  <c r="M1446" i="1"/>
  <c r="M1434" i="1"/>
  <c r="R1383" i="1"/>
  <c r="M1383" i="1"/>
  <c r="Q1383" i="1"/>
  <c r="S1383" i="1"/>
  <c r="Q1281" i="1"/>
  <c r="M1281" i="1"/>
  <c r="M1448" i="1"/>
  <c r="AM1443" i="1"/>
  <c r="AM1438" i="1"/>
  <c r="M1436" i="1"/>
  <c r="M1407" i="1"/>
  <c r="R1407" i="1"/>
  <c r="R1388" i="1"/>
  <c r="M1388" i="1"/>
  <c r="Q1388" i="1"/>
  <c r="S1388" i="1"/>
  <c r="AM1349" i="1"/>
  <c r="AO1349" i="1"/>
  <c r="M1339" i="1"/>
  <c r="Q1339" i="1"/>
  <c r="R1339" i="1"/>
  <c r="S1339" i="1"/>
  <c r="AO1414" i="1"/>
  <c r="R1355" i="1"/>
  <c r="M1355" i="1"/>
  <c r="Q1355" i="1"/>
  <c r="AM1330" i="1"/>
  <c r="M1272" i="1"/>
  <c r="R1272" i="1"/>
  <c r="S1272" i="1"/>
  <c r="S1376" i="1"/>
  <c r="R1374" i="1"/>
  <c r="Q1372" i="1"/>
  <c r="Q1370" i="1"/>
  <c r="AM1366" i="1"/>
  <c r="R1365" i="1"/>
  <c r="Q1361" i="1"/>
  <c r="R1358" i="1"/>
  <c r="Q1354" i="1"/>
  <c r="M1350" i="1"/>
  <c r="Q1348" i="1"/>
  <c r="AM1346" i="1"/>
  <c r="S1344" i="1"/>
  <c r="Q1343" i="1"/>
  <c r="AM1339" i="1"/>
  <c r="Q1337" i="1"/>
  <c r="R1335" i="1"/>
  <c r="AO1334" i="1"/>
  <c r="M1334" i="1"/>
  <c r="M1325" i="1"/>
  <c r="Q1320" i="1"/>
  <c r="AM1319" i="1"/>
  <c r="M1318" i="1"/>
  <c r="Q1313" i="1"/>
  <c r="R1306" i="1"/>
  <c r="S1303" i="1"/>
  <c r="AL1301" i="1"/>
  <c r="AM1301" i="1" s="1"/>
  <c r="AM1298" i="1"/>
  <c r="Q1294" i="1"/>
  <c r="S1290" i="1"/>
  <c r="M1288" i="1"/>
  <c r="AL1284" i="1"/>
  <c r="AM1284" i="1" s="1"/>
  <c r="AL1277" i="1"/>
  <c r="AM1277" i="1" s="1"/>
  <c r="Q1277" i="1"/>
  <c r="AM1273" i="1"/>
  <c r="AO1418" i="1"/>
  <c r="R1410" i="1"/>
  <c r="AO1396" i="1"/>
  <c r="Q1394" i="1"/>
  <c r="Q1391" i="1"/>
  <c r="AM1390" i="1"/>
  <c r="AM1388" i="1"/>
  <c r="AO1386" i="1"/>
  <c r="R1381" i="1"/>
  <c r="R1376" i="1"/>
  <c r="AM1371" i="1"/>
  <c r="M1367" i="1"/>
  <c r="Q1365" i="1"/>
  <c r="Q1358" i="1"/>
  <c r="R1344" i="1"/>
  <c r="M1340" i="1"/>
  <c r="Q1335" i="1"/>
  <c r="R1330" i="1"/>
  <c r="R1326" i="1"/>
  <c r="AM1322" i="1"/>
  <c r="AO1319" i="1"/>
  <c r="S1315" i="1"/>
  <c r="M1310" i="1"/>
  <c r="Q1306" i="1"/>
  <c r="M1301" i="1"/>
  <c r="M1292" i="1"/>
  <c r="M1284" i="1"/>
  <c r="R1423" i="1"/>
  <c r="M1419" i="1"/>
  <c r="AM1417" i="1"/>
  <c r="M1415" i="1"/>
  <c r="AM1408" i="1"/>
  <c r="AM1396" i="1"/>
  <c r="M1387" i="1"/>
  <c r="AM1382" i="1"/>
  <c r="M1379" i="1"/>
  <c r="Q1376" i="1"/>
  <c r="M1372" i="1"/>
  <c r="AM1364" i="1"/>
  <c r="AO1361" i="1"/>
  <c r="M1361" i="1"/>
  <c r="Q1351" i="1"/>
  <c r="AO1348" i="1"/>
  <c r="AO1314" i="1"/>
  <c r="M1313" i="1"/>
  <c r="AL1297" i="1"/>
  <c r="AM1297" i="1" s="1"/>
  <c r="AL1280" i="1"/>
  <c r="AM1280" i="1" s="1"/>
  <c r="AL1414" i="1"/>
  <c r="AM1414" i="1" s="1"/>
  <c r="S1393" i="1"/>
  <c r="AM1377" i="1"/>
  <c r="S1346" i="1"/>
  <c r="AM1340" i="1"/>
  <c r="M1330" i="1"/>
  <c r="AM1328" i="1"/>
  <c r="AM1310" i="1"/>
  <c r="AL1302" i="1"/>
  <c r="AM1302" i="1" s="1"/>
  <c r="AL1279" i="1"/>
  <c r="AM1279" i="1" s="1"/>
  <c r="AL1276" i="1"/>
  <c r="AM1276" i="1" s="1"/>
  <c r="R1422" i="1"/>
  <c r="AM1420" i="1"/>
  <c r="AM1411" i="1"/>
  <c r="AM1384" i="1"/>
  <c r="M1351" i="1"/>
  <c r="AO1328" i="1"/>
  <c r="S1318" i="1"/>
  <c r="AM1294" i="1"/>
  <c r="AL1285" i="1"/>
  <c r="AM1285" i="1" s="1"/>
  <c r="AL1281" i="1"/>
  <c r="AM1281" i="1" s="1"/>
  <c r="R1273" i="1"/>
  <c r="S1340" i="1"/>
  <c r="R1334" i="1"/>
  <c r="R1331" i="1"/>
  <c r="R1325" i="1"/>
  <c r="R1318" i="1"/>
  <c r="AM1317" i="1"/>
  <c r="M1311" i="1"/>
  <c r="S1310" i="1"/>
  <c r="AL1309" i="1"/>
  <c r="AM1309" i="1" s="1"/>
  <c r="AM1306" i="1"/>
  <c r="Q1305" i="1"/>
  <c r="AM1303" i="1"/>
  <c r="S1301" i="1"/>
  <c r="AL1290" i="1"/>
  <c r="AM1290" i="1" s="1"/>
  <c r="S1284" i="1"/>
  <c r="M1283" i="1"/>
  <c r="S1280" i="1"/>
  <c r="AM1424" i="1"/>
  <c r="AM1410" i="1"/>
  <c r="Q1399" i="1"/>
  <c r="R1395" i="1"/>
  <c r="AM1394" i="1"/>
  <c r="AM1381" i="1"/>
  <c r="AM1379" i="1"/>
  <c r="AO1366" i="1"/>
  <c r="Q1364" i="1"/>
  <c r="AM1356" i="1"/>
  <c r="AM1344" i="1"/>
  <c r="Q1331" i="1"/>
  <c r="AM1326" i="1"/>
  <c r="Q1325" i="1"/>
  <c r="AM1315" i="1"/>
  <c r="AL1312" i="1"/>
  <c r="AM1312" i="1" s="1"/>
  <c r="S1307" i="1"/>
  <c r="AM1299" i="1"/>
  <c r="R1288" i="1"/>
  <c r="AM1286" i="1"/>
  <c r="R1280" i="1"/>
  <c r="S1277" i="1"/>
  <c r="AM1459" i="1"/>
  <c r="M1271" i="1"/>
  <c r="Q1463" i="1"/>
  <c r="S1461" i="1"/>
  <c r="Q1457" i="1"/>
  <c r="M1455" i="1"/>
  <c r="S1453" i="1"/>
  <c r="Q1451" i="1"/>
  <c r="M1450" i="1"/>
  <c r="S1444" i="1"/>
  <c r="Q1443" i="1"/>
  <c r="M1442" i="1"/>
  <c r="S1439" i="1"/>
  <c r="Q1438" i="1"/>
  <c r="S1431" i="1"/>
  <c r="Q1430" i="1"/>
  <c r="M1429" i="1"/>
  <c r="S1427" i="1"/>
  <c r="Q1426" i="1"/>
  <c r="M1425" i="1"/>
  <c r="S1423" i="1"/>
  <c r="Q1422" i="1"/>
  <c r="M1421" i="1"/>
  <c r="Q1418" i="1"/>
  <c r="M1417" i="1"/>
  <c r="M1413" i="1"/>
  <c r="S1411" i="1"/>
  <c r="Q1410" i="1"/>
  <c r="M1409" i="1"/>
  <c r="S1407" i="1"/>
  <c r="Q1406" i="1"/>
  <c r="M1405" i="1"/>
  <c r="S1403" i="1"/>
  <c r="Q1398" i="1"/>
  <c r="S1395" i="1"/>
  <c r="R1394" i="1"/>
  <c r="M1392" i="1"/>
  <c r="S1386" i="1"/>
  <c r="R1384" i="1"/>
  <c r="S1381" i="1"/>
  <c r="M1377" i="1"/>
  <c r="M1373" i="1"/>
  <c r="Q1373" i="1"/>
  <c r="R1373" i="1"/>
  <c r="R1371" i="1"/>
  <c r="AO1335" i="1"/>
  <c r="AM1324" i="1"/>
  <c r="AM1316" i="1"/>
  <c r="M1296" i="1"/>
  <c r="Q1296" i="1"/>
  <c r="R1296" i="1"/>
  <c r="S1296" i="1"/>
  <c r="AM1287" i="1"/>
  <c r="M1275" i="1"/>
  <c r="Q1275" i="1"/>
  <c r="R1275" i="1"/>
  <c r="S1275" i="1"/>
  <c r="M1329" i="1"/>
  <c r="Q1329" i="1"/>
  <c r="R1329" i="1"/>
  <c r="S1329" i="1"/>
  <c r="M1463" i="1"/>
  <c r="Q1461" i="1"/>
  <c r="M1457" i="1"/>
  <c r="S1454" i="1"/>
  <c r="Q1453" i="1"/>
  <c r="M1451" i="1"/>
  <c r="AO1447" i="1"/>
  <c r="S1445" i="1"/>
  <c r="Q1444" i="1"/>
  <c r="M1443" i="1"/>
  <c r="S1441" i="1"/>
  <c r="S1440" i="1"/>
  <c r="Q1439" i="1"/>
  <c r="M1438" i="1"/>
  <c r="AO1435" i="1"/>
  <c r="Q1431" i="1"/>
  <c r="M1430" i="1"/>
  <c r="S1428" i="1"/>
  <c r="Q1427" i="1"/>
  <c r="M1426" i="1"/>
  <c r="S1424" i="1"/>
  <c r="Q1423" i="1"/>
  <c r="M1422" i="1"/>
  <c r="S1420" i="1"/>
  <c r="M1418" i="1"/>
  <c r="S1416" i="1"/>
  <c r="S1412" i="1"/>
  <c r="Q1411" i="1"/>
  <c r="M1410" i="1"/>
  <c r="S1408" i="1"/>
  <c r="Q1407" i="1"/>
  <c r="M1406" i="1"/>
  <c r="S1404" i="1"/>
  <c r="Q1403" i="1"/>
  <c r="S1401" i="1"/>
  <c r="R1400" i="1"/>
  <c r="AO1399" i="1"/>
  <c r="M1398" i="1"/>
  <c r="S1396" i="1"/>
  <c r="Q1395" i="1"/>
  <c r="AO1390" i="1"/>
  <c r="Q1386" i="1"/>
  <c r="Q1381" i="1"/>
  <c r="Q1378" i="1"/>
  <c r="AO1375" i="1"/>
  <c r="M1369" i="1"/>
  <c r="Q1369" i="1"/>
  <c r="S1369" i="1"/>
  <c r="AM1360" i="1"/>
  <c r="M1359" i="1"/>
  <c r="Q1359" i="1"/>
  <c r="R1359" i="1"/>
  <c r="AM1347" i="1"/>
  <c r="AL1311" i="1"/>
  <c r="AM1311" i="1" s="1"/>
  <c r="AL1291" i="1"/>
  <c r="AM1291" i="1" s="1"/>
  <c r="R1454" i="1"/>
  <c r="R1445" i="1"/>
  <c r="R1441" i="1"/>
  <c r="R1440" i="1"/>
  <c r="S1437" i="1"/>
  <c r="AO1436" i="1"/>
  <c r="R1428" i="1"/>
  <c r="R1424" i="1"/>
  <c r="R1420" i="1"/>
  <c r="R1416" i="1"/>
  <c r="AO1415" i="1"/>
  <c r="R1412" i="1"/>
  <c r="R1408" i="1"/>
  <c r="R1404" i="1"/>
  <c r="R1401" i="1"/>
  <c r="R1396" i="1"/>
  <c r="M1394" i="1"/>
  <c r="M1338" i="1"/>
  <c r="Q1338" i="1"/>
  <c r="R1338" i="1"/>
  <c r="S1338" i="1"/>
  <c r="M1321" i="1"/>
  <c r="Q1321" i="1"/>
  <c r="R1321" i="1"/>
  <c r="S1321" i="1"/>
  <c r="AL1293" i="1"/>
  <c r="AM1293" i="1" s="1"/>
  <c r="S1271" i="1"/>
  <c r="AO1458" i="1"/>
  <c r="S1455" i="1"/>
  <c r="Q1454" i="1"/>
  <c r="S1450" i="1"/>
  <c r="AO1448" i="1"/>
  <c r="Q1445" i="1"/>
  <c r="S1442" i="1"/>
  <c r="Q1441" i="1"/>
  <c r="Q1440" i="1"/>
  <c r="R1437" i="1"/>
  <c r="AO1432" i="1"/>
  <c r="S1429" i="1"/>
  <c r="Q1428" i="1"/>
  <c r="S1425" i="1"/>
  <c r="Q1424" i="1"/>
  <c r="S1421" i="1"/>
  <c r="Q1420" i="1"/>
  <c r="S1417" i="1"/>
  <c r="Q1416" i="1"/>
  <c r="S1413" i="1"/>
  <c r="Q1412" i="1"/>
  <c r="S1409" i="1"/>
  <c r="Q1408" i="1"/>
  <c r="S1405" i="1"/>
  <c r="Q1404" i="1"/>
  <c r="Q1401" i="1"/>
  <c r="Q1396" i="1"/>
  <c r="S1392" i="1"/>
  <c r="Q1379" i="1"/>
  <c r="M1378" i="1"/>
  <c r="M1368" i="1"/>
  <c r="Q1368" i="1"/>
  <c r="R1368" i="1"/>
  <c r="M1363" i="1"/>
  <c r="Q1363" i="1"/>
  <c r="R1363" i="1"/>
  <c r="M1317" i="1"/>
  <c r="Q1317" i="1"/>
  <c r="R1317" i="1"/>
  <c r="S1317" i="1"/>
  <c r="AL1278" i="1"/>
  <c r="AM1278" i="1" s="1"/>
  <c r="R1450" i="1"/>
  <c r="AO1449" i="1"/>
  <c r="R1442" i="1"/>
  <c r="R1429" i="1"/>
  <c r="R1425" i="1"/>
  <c r="R1421" i="1"/>
  <c r="R1417" i="1"/>
  <c r="R1413" i="1"/>
  <c r="R1409" i="1"/>
  <c r="R1405" i="1"/>
  <c r="R1392" i="1"/>
  <c r="S1377" i="1"/>
  <c r="M1352" i="1"/>
  <c r="R1352" i="1"/>
  <c r="S1352" i="1"/>
  <c r="AM1350" i="1"/>
  <c r="AO1350" i="1"/>
  <c r="R1271" i="1"/>
  <c r="R1455" i="1"/>
  <c r="AO1433" i="1"/>
  <c r="S1398" i="1"/>
  <c r="AO1388" i="1"/>
  <c r="AO1382" i="1"/>
  <c r="AO1379" i="1"/>
  <c r="Q1377" i="1"/>
  <c r="Q1374" i="1"/>
  <c r="S1374" i="1"/>
  <c r="M1342" i="1"/>
  <c r="Q1342" i="1"/>
  <c r="R1342" i="1"/>
  <c r="S1342" i="1"/>
  <c r="AL1335" i="1"/>
  <c r="AM1335" i="1" s="1"/>
  <c r="M1291" i="1"/>
  <c r="Q1291" i="1"/>
  <c r="R1291" i="1"/>
  <c r="S1291" i="1"/>
  <c r="S1371" i="1"/>
  <c r="M1360" i="1"/>
  <c r="Q1360" i="1"/>
  <c r="S1360" i="1"/>
  <c r="R1356" i="1"/>
  <c r="S1356" i="1"/>
  <c r="AM1354" i="1"/>
  <c r="AO1354" i="1"/>
  <c r="AM1304" i="1"/>
  <c r="S1355" i="1"/>
  <c r="S1351" i="1"/>
  <c r="R1346" i="1"/>
  <c r="R1341" i="1"/>
  <c r="AO1340" i="1"/>
  <c r="S1337" i="1"/>
  <c r="S1332" i="1"/>
  <c r="R1327" i="1"/>
  <c r="R1323" i="1"/>
  <c r="S1320" i="1"/>
  <c r="R1319" i="1"/>
  <c r="R1315" i="1"/>
  <c r="S1314" i="1"/>
  <c r="S1311" i="1"/>
  <c r="R1307" i="1"/>
  <c r="R1303" i="1"/>
  <c r="R1299" i="1"/>
  <c r="S1295" i="1"/>
  <c r="R1290" i="1"/>
  <c r="R1286" i="1"/>
  <c r="S1281" i="1"/>
  <c r="R1278" i="1"/>
  <c r="S1274" i="1"/>
  <c r="M1358" i="1"/>
  <c r="S1347" i="1"/>
  <c r="Q1346" i="1"/>
  <c r="M1345" i="1"/>
  <c r="M1343" i="1"/>
  <c r="Q1341" i="1"/>
  <c r="M1336" i="1"/>
  <c r="S1333" i="1"/>
  <c r="M1331" i="1"/>
  <c r="S1328" i="1"/>
  <c r="Q1327" i="1"/>
  <c r="M1326" i="1"/>
  <c r="S1324" i="1"/>
  <c r="Q1323" i="1"/>
  <c r="M1322" i="1"/>
  <c r="Q1319" i="1"/>
  <c r="S1316" i="1"/>
  <c r="Q1315" i="1"/>
  <c r="AO1310" i="1"/>
  <c r="S1308" i="1"/>
  <c r="Q1307" i="1"/>
  <c r="M1306" i="1"/>
  <c r="S1304" i="1"/>
  <c r="Q1303" i="1"/>
  <c r="M1302" i="1"/>
  <c r="S1300" i="1"/>
  <c r="Q1299" i="1"/>
  <c r="M1298" i="1"/>
  <c r="AO1294" i="1"/>
  <c r="M1293" i="1"/>
  <c r="Q1290" i="1"/>
  <c r="M1289" i="1"/>
  <c r="S1287" i="1"/>
  <c r="Q1286" i="1"/>
  <c r="M1285" i="1"/>
  <c r="S1282" i="1"/>
  <c r="R1281" i="1"/>
  <c r="S1279" i="1"/>
  <c r="Q1278" i="1"/>
  <c r="S1276" i="1"/>
  <c r="R1274" i="1"/>
  <c r="Q1272" i="1"/>
  <c r="R1347" i="1"/>
  <c r="R1333" i="1"/>
  <c r="R1328" i="1"/>
  <c r="R1324" i="1"/>
  <c r="R1316" i="1"/>
  <c r="R1308" i="1"/>
  <c r="R1304" i="1"/>
  <c r="R1300" i="1"/>
  <c r="R1287" i="1"/>
  <c r="R1282" i="1"/>
  <c r="R1279" i="1"/>
  <c r="R1276" i="1"/>
  <c r="Q1274" i="1"/>
  <c r="Q1347" i="1"/>
  <c r="Q1333" i="1"/>
  <c r="S1330" i="1"/>
  <c r="Q1328" i="1"/>
  <c r="Q1324" i="1"/>
  <c r="Q1316" i="1"/>
  <c r="Q1308" i="1"/>
  <c r="Q1304" i="1"/>
  <c r="Q1300" i="1"/>
  <c r="AO1295" i="1"/>
  <c r="S1292" i="1"/>
  <c r="S1288" i="1"/>
  <c r="Q1287" i="1"/>
  <c r="S1283" i="1"/>
  <c r="Q1282" i="1"/>
  <c r="Q1279" i="1"/>
  <c r="AL1465" i="1" l="1"/>
  <c r="AO1465" i="1"/>
  <c r="AM1465" i="1"/>
  <c r="X1465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ZAMBRANO MOSCOSO MARIA FERNANDA</author>
    <author>JAVIER SANCHEZ</author>
  </authors>
  <commentList>
    <comment ref="AP942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 xml:space="preserve">ZAMBRANO MOSCOSO MARIA FERNANDA:
</t>
        </r>
        <r>
          <rPr>
            <sz val="9"/>
            <color indexed="81"/>
            <rFont val="Tahoma"/>
            <family val="2"/>
          </rPr>
          <t>Resolución No. 002</t>
        </r>
      </text>
    </comment>
    <comment ref="AN944" authorId="0" shapeId="0" xr:uid="{00000000-0006-0000-0100-000002000000}">
      <text>
        <r>
          <rPr>
            <b/>
            <sz val="9"/>
            <color indexed="81"/>
            <rFont val="Tahoma"/>
            <family val="2"/>
          </rPr>
          <t xml:space="preserve">SIS-CZ6-DZPGE-2023-0146-M
</t>
        </r>
      </text>
    </comment>
    <comment ref="Y945" authorId="0" shapeId="0" xr:uid="{00000000-0006-0000-0100-000003000000}">
      <text>
        <r>
          <rPr>
            <b/>
            <sz val="9"/>
            <color indexed="81"/>
            <rFont val="Tahoma"/>
            <family val="2"/>
          </rPr>
          <t>ZAMBRANO MOSCOSO MARIA FERNANDA:</t>
        </r>
        <r>
          <rPr>
            <sz val="9"/>
            <color indexed="81"/>
            <rFont val="Tahoma"/>
            <family val="2"/>
          </rPr>
          <t xml:space="preserve">
DISMINUCIÓN MEF NOV 2023
DISMINUCIÓN MEF DIC 
2023
</t>
        </r>
      </text>
    </comment>
    <comment ref="Y946" authorId="0" shapeId="0" xr:uid="{00000000-0006-0000-0100-000004000000}">
      <text>
        <r>
          <rPr>
            <b/>
            <sz val="9"/>
            <color indexed="81"/>
            <rFont val="Tahoma"/>
            <family val="2"/>
          </rPr>
          <t>ZAMBRANO MOSCOSO MARIA FERNANDA:</t>
        </r>
        <r>
          <rPr>
            <sz val="9"/>
            <color indexed="81"/>
            <rFont val="Tahoma"/>
            <family val="2"/>
          </rPr>
          <t xml:space="preserve">
DISMINUCIÓN MEF DIC 
2023</t>
        </r>
      </text>
    </comment>
    <comment ref="AP947" authorId="0" shapeId="0" xr:uid="{00000000-0006-0000-0100-000005000000}">
      <text>
        <r>
          <rPr>
            <b/>
            <sz val="9"/>
            <color indexed="81"/>
            <rFont val="Tahoma"/>
            <family val="2"/>
          </rPr>
          <t>ZAMBRANO MOSCOSO MARIA FERNANDA:</t>
        </r>
        <r>
          <rPr>
            <sz val="9"/>
            <color indexed="81"/>
            <rFont val="Tahoma"/>
            <family val="2"/>
          </rPr>
          <t xml:space="preserve">
Resolución No. 002</t>
        </r>
      </text>
    </comment>
    <comment ref="AP948" authorId="0" shapeId="0" xr:uid="{00000000-0006-0000-0100-000006000000}">
      <text>
        <r>
          <rPr>
            <b/>
            <sz val="9"/>
            <color indexed="81"/>
            <rFont val="Tahoma"/>
            <family val="2"/>
          </rPr>
          <t>ZAMBRANO MOSCOSO MARIA FERNANDA:</t>
        </r>
        <r>
          <rPr>
            <sz val="9"/>
            <color indexed="81"/>
            <rFont val="Tahoma"/>
            <family val="2"/>
          </rPr>
          <t xml:space="preserve">
Resolución No. 002</t>
        </r>
      </text>
    </comment>
    <comment ref="AP949" authorId="0" shapeId="0" xr:uid="{00000000-0006-0000-0100-000007000000}">
      <text>
        <r>
          <rPr>
            <b/>
            <sz val="9"/>
            <color indexed="81"/>
            <rFont val="Tahoma"/>
            <family val="2"/>
          </rPr>
          <t>ZAMBRANO MOSCOSO MARIA FERNANDA:</t>
        </r>
        <r>
          <rPr>
            <sz val="9"/>
            <color indexed="81"/>
            <rFont val="Tahoma"/>
            <family val="2"/>
          </rPr>
          <t xml:space="preserve">
Resolución No. 002</t>
        </r>
      </text>
    </comment>
    <comment ref="AP950" authorId="0" shapeId="0" xr:uid="{00000000-0006-0000-0100-000008000000}">
      <text>
        <r>
          <rPr>
            <b/>
            <sz val="9"/>
            <color indexed="81"/>
            <rFont val="Tahoma"/>
            <family val="2"/>
          </rPr>
          <t>ZAMBRANO MOSCOSO MARIA FERNANDA:</t>
        </r>
        <r>
          <rPr>
            <sz val="9"/>
            <color indexed="81"/>
            <rFont val="Tahoma"/>
            <family val="2"/>
          </rPr>
          <t xml:space="preserve">
Resolución No. 002</t>
        </r>
      </text>
    </comment>
    <comment ref="Y951" authorId="0" shapeId="0" xr:uid="{00000000-0006-0000-0100-000009000000}">
      <text>
        <r>
          <rPr>
            <b/>
            <sz val="9"/>
            <color indexed="81"/>
            <rFont val="Tahoma"/>
            <family val="2"/>
          </rPr>
          <t xml:space="preserve">ZAMBRANO MOSCOSO MARIA FERNANDA:
</t>
        </r>
        <r>
          <rPr>
            <sz val="9"/>
            <color indexed="81"/>
            <rFont val="Tahoma"/>
            <family val="2"/>
          </rPr>
          <t xml:space="preserve">DISMINUCIÓN MEF DICIEMBRE 2023
</t>
        </r>
      </text>
    </comment>
    <comment ref="AP958" authorId="0" shapeId="0" xr:uid="{00000000-0006-0000-0100-00000A000000}">
      <text>
        <r>
          <rPr>
            <b/>
            <sz val="9"/>
            <color indexed="81"/>
            <rFont val="Tahoma"/>
            <family val="2"/>
          </rPr>
          <t>ZAMBRANO MOSCOSO MARIA FERNANDA:</t>
        </r>
        <r>
          <rPr>
            <sz val="9"/>
            <color indexed="81"/>
            <rFont val="Tahoma"/>
            <family val="2"/>
          </rPr>
          <t xml:space="preserve">
Resolución No. 002</t>
        </r>
      </text>
    </comment>
    <comment ref="AP962" authorId="0" shapeId="0" xr:uid="{00000000-0006-0000-0100-00000B000000}">
      <text>
        <r>
          <rPr>
            <b/>
            <sz val="9"/>
            <color indexed="81"/>
            <rFont val="Tahoma"/>
            <family val="2"/>
          </rPr>
          <t>ZAMBRANO MOSCOSO MARIA FERNANDA:</t>
        </r>
        <r>
          <rPr>
            <sz val="9"/>
            <color indexed="81"/>
            <rFont val="Tahoma"/>
            <family val="2"/>
          </rPr>
          <t xml:space="preserve">
Resolución No. 002</t>
        </r>
      </text>
    </comment>
    <comment ref="Y967" authorId="0" shapeId="0" xr:uid="{00000000-0006-0000-0100-00000C000000}">
      <text>
        <r>
          <rPr>
            <b/>
            <sz val="9"/>
            <color indexed="81"/>
            <rFont val="Tahoma"/>
            <family val="2"/>
          </rPr>
          <t>ZAMBRANO MOSCOSO MARIA FERNANDA:</t>
        </r>
        <r>
          <rPr>
            <sz val="9"/>
            <color indexed="81"/>
            <rFont val="Tahoma"/>
            <family val="2"/>
          </rPr>
          <t xml:space="preserve">
DISMINUCION MEF DICIEMBRE 2023</t>
        </r>
      </text>
    </comment>
    <comment ref="AP969" authorId="0" shapeId="0" xr:uid="{00000000-0006-0000-0100-00000D000000}">
      <text>
        <r>
          <rPr>
            <b/>
            <sz val="9"/>
            <color indexed="81"/>
            <rFont val="Tahoma"/>
            <family val="2"/>
          </rPr>
          <t>ZAMBRANO MOSCOSO MARIA FERNANDA:</t>
        </r>
        <r>
          <rPr>
            <sz val="9"/>
            <color indexed="81"/>
            <rFont val="Tahoma"/>
            <family val="2"/>
          </rPr>
          <t xml:space="preserve">
Resolución No. 002</t>
        </r>
      </text>
    </comment>
    <comment ref="AP979" authorId="0" shapeId="0" xr:uid="{00000000-0006-0000-0100-00000E000000}">
      <text>
        <r>
          <rPr>
            <b/>
            <sz val="9"/>
            <color indexed="81"/>
            <rFont val="Tahoma"/>
            <family val="2"/>
          </rPr>
          <t>ZAMBRANO MOSCOSO MARIA FERNANDA:</t>
        </r>
        <r>
          <rPr>
            <sz val="9"/>
            <color indexed="81"/>
            <rFont val="Tahoma"/>
            <family val="2"/>
          </rPr>
          <t xml:space="preserve">
Resolución No. 002</t>
        </r>
      </text>
    </comment>
    <comment ref="AP995" authorId="0" shapeId="0" xr:uid="{00000000-0006-0000-0100-00000F000000}">
      <text>
        <r>
          <rPr>
            <b/>
            <sz val="9"/>
            <color indexed="81"/>
            <rFont val="Tahoma"/>
            <family val="2"/>
          </rPr>
          <t>ZAMBRANO MOSCOSO MARIA FERNANDA:</t>
        </r>
        <r>
          <rPr>
            <sz val="9"/>
            <color indexed="81"/>
            <rFont val="Tahoma"/>
            <family val="2"/>
          </rPr>
          <t xml:space="preserve">
Resolución No. 002</t>
        </r>
      </text>
    </comment>
    <comment ref="Y1003" authorId="0" shapeId="0" xr:uid="{00000000-0006-0000-0100-000010000000}">
      <text>
        <r>
          <rPr>
            <b/>
            <sz val="9"/>
            <color indexed="81"/>
            <rFont val="Tahoma"/>
            <family val="2"/>
          </rPr>
          <t>ZAMBRANO MOSCOSO MARIA FERNANDA:</t>
        </r>
        <r>
          <rPr>
            <sz val="9"/>
            <color indexed="81"/>
            <rFont val="Tahoma"/>
            <family val="2"/>
          </rPr>
          <t xml:space="preserve">
DISMINUCIÓN MEF DIC 
2023
</t>
        </r>
      </text>
    </comment>
    <comment ref="AP1005" authorId="0" shapeId="0" xr:uid="{00000000-0006-0000-0100-000011000000}">
      <text>
        <r>
          <rPr>
            <b/>
            <sz val="9"/>
            <color indexed="81"/>
            <rFont val="Tahoma"/>
            <family val="2"/>
          </rPr>
          <t>ZAMBRANO MOSCOSO MARIA FERNANDA:</t>
        </r>
        <r>
          <rPr>
            <sz val="9"/>
            <color indexed="81"/>
            <rFont val="Tahoma"/>
            <family val="2"/>
          </rPr>
          <t xml:space="preserve">
RESOLUCION NOL 002</t>
        </r>
      </text>
    </comment>
    <comment ref="AN1007" authorId="0" shapeId="0" xr:uid="{00000000-0006-0000-0100-000012000000}">
      <text>
        <r>
          <rPr>
            <b/>
            <sz val="9"/>
            <color indexed="81"/>
            <rFont val="Tahoma"/>
            <family val="2"/>
          </rPr>
          <t>Mediante Memorando Nro. SIS-CZ6-DZTS-2023-0234-M de fecha 21 de agosto de 2023 se solicita la ANULACIÓN</t>
        </r>
      </text>
    </comment>
    <comment ref="AP1016" authorId="0" shapeId="0" xr:uid="{00000000-0006-0000-0100-000013000000}">
      <text>
        <r>
          <rPr>
            <b/>
            <sz val="9"/>
            <color indexed="81"/>
            <rFont val="Tahoma"/>
            <family val="2"/>
          </rPr>
          <t>ZAMBRANO MOSCOSO MARIA FERNANDA:</t>
        </r>
        <r>
          <rPr>
            <sz val="9"/>
            <color indexed="81"/>
            <rFont val="Tahoma"/>
            <family val="2"/>
          </rPr>
          <t xml:space="preserve">
Resolución No. 004</t>
        </r>
      </text>
    </comment>
    <comment ref="Y1017" authorId="0" shapeId="0" xr:uid="{00000000-0006-0000-0100-000014000000}">
      <text>
        <r>
          <rPr>
            <b/>
            <sz val="9"/>
            <color indexed="81"/>
            <rFont val="Tahoma"/>
            <family val="2"/>
          </rPr>
          <t>ZAMBRANO MOSCOSO MARIA FERNANDA:</t>
        </r>
        <r>
          <rPr>
            <sz val="9"/>
            <color indexed="81"/>
            <rFont val="Tahoma"/>
            <family val="2"/>
          </rPr>
          <t xml:space="preserve">
DISMINUCION MEF DICIEMBRE 2023
</t>
        </r>
      </text>
    </comment>
    <comment ref="AP1017" authorId="0" shapeId="0" xr:uid="{00000000-0006-0000-0100-000015000000}">
      <text>
        <r>
          <rPr>
            <b/>
            <sz val="9"/>
            <color indexed="81"/>
            <rFont val="Tahoma"/>
            <family val="2"/>
          </rPr>
          <t>ZAMBRANO MOSCOSO MARIA FERNANDA:</t>
        </r>
        <r>
          <rPr>
            <sz val="9"/>
            <color indexed="81"/>
            <rFont val="Tahoma"/>
            <family val="2"/>
          </rPr>
          <t xml:space="preserve">
Resolución No. 004</t>
        </r>
      </text>
    </comment>
    <comment ref="Y1019" authorId="0" shapeId="0" xr:uid="{00000000-0006-0000-0100-000016000000}">
      <text>
        <r>
          <rPr>
            <b/>
            <sz val="9"/>
            <color indexed="81"/>
            <rFont val="Tahoma"/>
            <family val="2"/>
          </rPr>
          <t>ZAMBRANO MOSCOSO MARIA FERNANDA:</t>
        </r>
        <r>
          <rPr>
            <sz val="9"/>
            <color indexed="81"/>
            <rFont val="Tahoma"/>
            <family val="2"/>
          </rPr>
          <t xml:space="preserve">
DISMINUCIÓN MEF DICIEMBRE 2023</t>
        </r>
      </text>
    </comment>
    <comment ref="AP1020" authorId="0" shapeId="0" xr:uid="{00000000-0006-0000-0100-000017000000}">
      <text>
        <r>
          <rPr>
            <b/>
            <sz val="9"/>
            <color indexed="81"/>
            <rFont val="Tahoma"/>
            <family val="2"/>
          </rPr>
          <t>ZAMBRANO MOSCOSO MARIA FERNANDA:</t>
        </r>
        <r>
          <rPr>
            <sz val="9"/>
            <color indexed="81"/>
            <rFont val="Tahoma"/>
            <family val="2"/>
          </rPr>
          <t xml:space="preserve">
Resolución No. 004</t>
        </r>
      </text>
    </comment>
    <comment ref="AP1021" authorId="0" shapeId="0" xr:uid="{00000000-0006-0000-0100-000018000000}">
      <text>
        <r>
          <rPr>
            <b/>
            <sz val="9"/>
            <color indexed="81"/>
            <rFont val="Tahoma"/>
            <family val="2"/>
          </rPr>
          <t>ZAMBRANO MOSCOSO MARIA FERNANDA:</t>
        </r>
        <r>
          <rPr>
            <sz val="9"/>
            <color indexed="81"/>
            <rFont val="Tahoma"/>
            <family val="2"/>
          </rPr>
          <t xml:space="preserve">
Resolución No. 004</t>
        </r>
      </text>
    </comment>
    <comment ref="AP1023" authorId="0" shapeId="0" xr:uid="{00000000-0006-0000-0100-000019000000}">
      <text>
        <r>
          <rPr>
            <b/>
            <sz val="9"/>
            <color indexed="81"/>
            <rFont val="Tahoma"/>
            <family val="2"/>
          </rPr>
          <t>ZAMBRANO MOSCOSO MARIA FERNANDA:</t>
        </r>
        <r>
          <rPr>
            <sz val="9"/>
            <color indexed="81"/>
            <rFont val="Tahoma"/>
            <family val="2"/>
          </rPr>
          <t xml:space="preserve">
Resolución No. 004</t>
        </r>
      </text>
    </comment>
    <comment ref="AN1024" authorId="0" shapeId="0" xr:uid="{00000000-0006-0000-0100-00001A000000}">
      <text>
        <r>
          <rPr>
            <b/>
            <sz val="9"/>
            <color indexed="81"/>
            <rFont val="Tahoma"/>
            <family val="2"/>
          </rPr>
          <t>SIS-CZ6-DZPGE-2023-0144-M</t>
        </r>
      </text>
    </comment>
    <comment ref="AP1053" authorId="0" shapeId="0" xr:uid="{00000000-0006-0000-0100-00001B000000}">
      <text>
        <r>
          <rPr>
            <b/>
            <sz val="9"/>
            <color indexed="81"/>
            <rFont val="Tahoma"/>
            <family val="2"/>
          </rPr>
          <t>ZAMBRANO MOSCOSO MARIA FERNANDA:
Resolución No. 001</t>
        </r>
      </text>
    </comment>
    <comment ref="Y1054" authorId="0" shapeId="0" xr:uid="{00000000-0006-0000-0100-00001C000000}">
      <text>
        <r>
          <rPr>
            <b/>
            <sz val="9"/>
            <color indexed="81"/>
            <rFont val="Tahoma"/>
            <family val="2"/>
          </rPr>
          <t>ZAMBRANO MOSCOSO MARIA FERNANDA:</t>
        </r>
        <r>
          <rPr>
            <sz val="9"/>
            <color indexed="81"/>
            <rFont val="Tahoma"/>
            <family val="2"/>
          </rPr>
          <t xml:space="preserve">
DISMINUCION MEF NO. 41 2/12/2023
</t>
        </r>
      </text>
    </comment>
    <comment ref="Y1066" authorId="0" shapeId="0" xr:uid="{00000000-0006-0000-0100-00001D000000}">
      <text>
        <r>
          <rPr>
            <b/>
            <sz val="9"/>
            <color indexed="81"/>
            <rFont val="Tahoma"/>
            <family val="2"/>
          </rPr>
          <t>ZAMBRANO MOSCOSO MARIA FERNANDA:</t>
        </r>
        <r>
          <rPr>
            <sz val="9"/>
            <color indexed="81"/>
            <rFont val="Tahoma"/>
            <family val="2"/>
          </rPr>
          <t xml:space="preserve">
DISMINUCION MEF DICIEMBRE 2023
</t>
        </r>
      </text>
    </comment>
    <comment ref="Y1067" authorId="0" shapeId="0" xr:uid="{00000000-0006-0000-0100-00001E000000}">
      <text>
        <r>
          <rPr>
            <b/>
            <sz val="9"/>
            <color indexed="81"/>
            <rFont val="Tahoma"/>
            <family val="2"/>
          </rPr>
          <t>ZAMBRANO MOSCOSO MARIA FERNANDA:</t>
        </r>
        <r>
          <rPr>
            <sz val="9"/>
            <color indexed="81"/>
            <rFont val="Tahoma"/>
            <family val="2"/>
          </rPr>
          <t xml:space="preserve">
DISMINUCION MEF DICIEMBRE 2023</t>
        </r>
      </text>
    </comment>
    <comment ref="AP1071" authorId="0" shapeId="0" xr:uid="{00000000-0006-0000-0100-00001F000000}">
      <text>
        <r>
          <rPr>
            <b/>
            <sz val="9"/>
            <color indexed="81"/>
            <rFont val="Tahoma"/>
            <family val="2"/>
          </rPr>
          <t>ZAMBRANO MOSCOSO MARIA FERNANDA:</t>
        </r>
        <r>
          <rPr>
            <sz val="9"/>
            <color indexed="81"/>
            <rFont val="Tahoma"/>
            <family val="2"/>
          </rPr>
          <t xml:space="preserve">
Resolución No. 010
Segundo Semestre</t>
        </r>
      </text>
    </comment>
    <comment ref="AN1072" authorId="0" shapeId="0" xr:uid="{00000000-0006-0000-0100-000020000000}">
      <text>
        <r>
          <rPr>
            <b/>
            <sz val="9"/>
            <color indexed="81"/>
            <rFont val="Tahoma"/>
            <family val="2"/>
          </rPr>
          <t xml:space="preserve">SIS-CZ6-DZPGE-2023-0150-M
</t>
        </r>
      </text>
    </comment>
    <comment ref="AP1072" authorId="0" shapeId="0" xr:uid="{00000000-0006-0000-0100-000021000000}">
      <text>
        <r>
          <rPr>
            <b/>
            <sz val="9"/>
            <color indexed="81"/>
            <rFont val="Tahoma"/>
            <family val="2"/>
          </rPr>
          <t>ZAMBRANO MOSCOSO MARIA FERNANDA:</t>
        </r>
        <r>
          <rPr>
            <sz val="9"/>
            <color indexed="81"/>
            <rFont val="Tahoma"/>
            <family val="2"/>
          </rPr>
          <t xml:space="preserve">
RESOLUCIÓN NO. 001</t>
        </r>
      </text>
    </comment>
    <comment ref="Y1083" authorId="0" shapeId="0" xr:uid="{00000000-0006-0000-0100-000022000000}">
      <text>
        <r>
          <rPr>
            <b/>
            <sz val="9"/>
            <color indexed="81"/>
            <rFont val="Tahoma"/>
            <family val="2"/>
          </rPr>
          <t>ZAMBRANO MOSCOSO MARIA FERNANDA:</t>
        </r>
        <r>
          <rPr>
            <sz val="9"/>
            <color indexed="81"/>
            <rFont val="Tahoma"/>
            <family val="2"/>
          </rPr>
          <t xml:space="preserve">
DISMINUCION MEF DICIEMBRE 2023
</t>
        </r>
      </text>
    </comment>
    <comment ref="Y1084" authorId="0" shapeId="0" xr:uid="{00000000-0006-0000-0100-000023000000}">
      <text>
        <r>
          <rPr>
            <b/>
            <sz val="9"/>
            <color indexed="81"/>
            <rFont val="Tahoma"/>
            <family val="2"/>
          </rPr>
          <t>ZAMBRANO MOSCOSO MARIA FERNANDA:</t>
        </r>
        <r>
          <rPr>
            <sz val="9"/>
            <color indexed="81"/>
            <rFont val="Tahoma"/>
            <family val="2"/>
          </rPr>
          <t xml:space="preserve">
DISMINUCION MEF DICIEMBRE 2023</t>
        </r>
      </text>
    </comment>
    <comment ref="AN1086" authorId="0" shapeId="0" xr:uid="{00000000-0006-0000-0100-000024000000}">
      <text>
        <r>
          <rPr>
            <b/>
            <sz val="9"/>
            <color indexed="81"/>
            <rFont val="Tahoma"/>
            <family val="2"/>
          </rPr>
          <t>SIS-CZ6-DZPGE-2023-0149-M</t>
        </r>
      </text>
    </comment>
    <comment ref="AN1123" authorId="1" shapeId="0" xr:uid="{00000000-0006-0000-0100-000025000000}">
      <text>
        <r>
          <rPr>
            <b/>
            <sz val="8"/>
            <color indexed="81"/>
            <rFont val="Tahoma"/>
            <family val="2"/>
          </rPr>
          <t>JAVIER SANCHEZ:</t>
        </r>
        <r>
          <rPr>
            <sz val="8"/>
            <color indexed="81"/>
            <rFont val="Tahoma"/>
            <family val="2"/>
          </rPr>
          <t xml:space="preserve">
EL MEF REALIZO UNA REFORMA EN NEGATIVO POR 17,27</t>
        </r>
      </text>
    </comment>
    <comment ref="AN1130" authorId="1" shapeId="0" xr:uid="{00000000-0006-0000-0100-000026000000}">
      <text>
        <r>
          <rPr>
            <b/>
            <sz val="8"/>
            <color indexed="81"/>
            <rFont val="Tahoma"/>
            <family val="2"/>
          </rPr>
          <t>JAVIER SANCHEZ:</t>
        </r>
        <r>
          <rPr>
            <sz val="8"/>
            <color indexed="81"/>
            <rFont val="Tahoma"/>
            <family val="2"/>
          </rPr>
          <t xml:space="preserve">
ACTUALIZACIÓN PLURIANUAL</t>
        </r>
      </text>
    </comment>
    <comment ref="AN1148" authorId="1" shapeId="0" xr:uid="{00000000-0006-0000-0100-000027000000}">
      <text>
        <r>
          <rPr>
            <b/>
            <sz val="8"/>
            <color indexed="81"/>
            <rFont val="Tahoma"/>
            <family val="2"/>
          </rPr>
          <t>JAVIER SANCHEZ:</t>
        </r>
        <r>
          <rPr>
            <sz val="8"/>
            <color indexed="81"/>
            <rFont val="Tahoma"/>
            <family val="2"/>
          </rPr>
          <t xml:space="preserve">
SE INFORMA MEDIANTE QUIPUX SE INFORMA QUE SE TOME EN CUENTA LOS VALORES POR PARTE DE PLANIFICACIÓN </t>
        </r>
      </text>
    </comment>
    <comment ref="Y1156" authorId="1" shapeId="0" xr:uid="{00000000-0006-0000-0100-000028000000}">
      <text>
        <r>
          <rPr>
            <b/>
            <sz val="8"/>
            <color indexed="81"/>
            <rFont val="Tahoma"/>
            <family val="2"/>
          </rPr>
          <t>JAVIER SANCHEZ:</t>
        </r>
        <r>
          <rPr>
            <sz val="8"/>
            <color indexed="81"/>
            <rFont val="Tahoma"/>
            <family val="2"/>
          </rPr>
          <t xml:space="preserve">
SE LIBERAN RECURSOS MEDIANTE REFORMA #1</t>
        </r>
      </text>
    </comment>
    <comment ref="AN1165" authorId="1" shapeId="0" xr:uid="{00000000-0006-0000-0100-000029000000}">
      <text>
        <r>
          <rPr>
            <b/>
            <sz val="8"/>
            <color indexed="81"/>
            <rFont val="Tahoma"/>
            <family val="2"/>
          </rPr>
          <t>JAVIER SANCHEZ:</t>
        </r>
        <r>
          <rPr>
            <sz val="8"/>
            <color indexed="81"/>
            <rFont val="Tahoma"/>
            <family val="2"/>
          </rPr>
          <t xml:space="preserve">
REVISAR PROCESO
</t>
        </r>
      </text>
    </comment>
    <comment ref="Y1181" authorId="1" shapeId="0" xr:uid="{00000000-0006-0000-0100-00002A000000}">
      <text>
        <r>
          <rPr>
            <b/>
            <sz val="8"/>
            <color indexed="81"/>
            <rFont val="Tahoma"/>
            <family val="2"/>
          </rPr>
          <t>JAVIER SANCHEZ:</t>
        </r>
        <r>
          <rPr>
            <sz val="8"/>
            <color indexed="81"/>
            <rFont val="Tahoma"/>
            <family val="2"/>
          </rPr>
          <t xml:space="preserve">
SE DISMINUYEN LOS VALORES REFORMA nª6</t>
        </r>
      </text>
    </comment>
    <comment ref="Y1249" authorId="1" shapeId="0" xr:uid="{00000000-0006-0000-0100-00002B000000}">
      <text>
        <r>
          <rPr>
            <b/>
            <sz val="8"/>
            <color indexed="81"/>
            <rFont val="Tahoma"/>
            <family val="2"/>
          </rPr>
          <t>JAVIER SANCHEZ:</t>
        </r>
        <r>
          <rPr>
            <sz val="8"/>
            <color indexed="81"/>
            <rFont val="Tahoma"/>
            <family val="2"/>
          </rPr>
          <t xml:space="preserve">
SE DEBE ALIMENTAR RECURSOS REFORMA OCTUBRE</t>
        </r>
      </text>
    </comment>
    <comment ref="V1259" authorId="1" shapeId="0" xr:uid="{00000000-0006-0000-0100-00002C000000}">
      <text>
        <r>
          <rPr>
            <b/>
            <sz val="8"/>
            <color indexed="81"/>
            <rFont val="Tahoma"/>
            <family val="2"/>
          </rPr>
          <t>JAVIER SANCHEZ:</t>
        </r>
        <r>
          <rPr>
            <sz val="8"/>
            <color indexed="81"/>
            <rFont val="Tahoma"/>
            <family val="2"/>
          </rPr>
          <t xml:space="preserve">
revisar</t>
        </r>
      </text>
    </comment>
    <comment ref="AN1266" authorId="1" shapeId="0" xr:uid="{00000000-0006-0000-0100-00002D000000}">
      <text>
        <r>
          <rPr>
            <b/>
            <sz val="8"/>
            <color indexed="81"/>
            <rFont val="Tahoma"/>
            <family val="2"/>
          </rPr>
          <t>JAVIER SANCHEZ:</t>
        </r>
        <r>
          <rPr>
            <sz val="8"/>
            <color indexed="81"/>
            <rFont val="Tahoma"/>
            <family val="2"/>
          </rPr>
          <t xml:space="preserve">
PAGO MES DE DICIEMBRE</t>
        </r>
      </text>
    </comment>
  </commentList>
</comments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keepAlive="1" name="ThisWorkbookDataModel" description="Modelo de datos" type="5" refreshedVersion="5" minRefreshableVersion="5" background="1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  <connection id="2" xr16:uid="{00000000-0015-0000-FFFF-FFFF01000000}" name="WorksheetConnection_MATRIZ PAPP PROFORMA PRESUPUESTARIA 2023.rv.xlsx!Tabla3" type="102" refreshedVersion="8" minRefreshableVersion="5">
    <extLst>
      <ext xmlns:x15="http://schemas.microsoft.com/office/spreadsheetml/2010/11/main" uri="{DE250136-89BD-433C-8126-D09CA5730AF9}">
        <x15:connection id="Tabla3-60635661-99f3-405c-ab22-6c56574a13e6">
          <x15:rangePr sourceName="_xlcn.WorksheetConnection_MATRIZPAPPPROFORMAPRESUPUESTARIA2023.rv.xlsxTabla3"/>
        </x15:connection>
      </ext>
    </extLst>
  </connection>
  <connection id="3" xr16:uid="{00000000-0015-0000-FFFF-FFFF02000000}" name="WorksheetConnection_MATRIZ PAPP PROFORMA PRESUPUESTARIA 2023.rv.xlsx!Tabla5" type="102" refreshedVersion="8" minRefreshableVersion="5">
    <extLst>
      <ext xmlns:x15="http://schemas.microsoft.com/office/spreadsheetml/2010/11/main" uri="{DE250136-89BD-433C-8126-D09CA5730AF9}">
        <x15:connection id="Tabla5-dcba878a-c444-4dd8-a34c-eb33847ac3f3">
          <x15:rangePr sourceName="_xlcn.WorksheetConnection_MATRIZPAPPPROFORMAPRESUPUESTARIA2023.rv.xlsxTabla5"/>
        </x15:connection>
      </ext>
    </extLst>
  </connection>
</connections>
</file>

<file path=xl/sharedStrings.xml><?xml version="1.0" encoding="utf-8"?>
<sst xmlns="http://schemas.openxmlformats.org/spreadsheetml/2006/main" count="12474" uniqueCount="1087">
  <si>
    <t>EOD</t>
  </si>
  <si>
    <t>266_9999</t>
  </si>
  <si>
    <t>Etiquetas de fila</t>
  </si>
  <si>
    <t>Suma de PRESUPUESTO VIGENTE</t>
  </si>
  <si>
    <t>COORDINACIÓN_GENERAL_ADMINISTRATIVA_FINANCIERA</t>
  </si>
  <si>
    <t>DIRECCIÓN ADMINISTRATIVA</t>
  </si>
  <si>
    <t>DIRECCIÓN DE ADMINISTRACIÓN DE RECURSOS HUMANOS</t>
  </si>
  <si>
    <t>DIRECCIÓN FINANCIERA</t>
  </si>
  <si>
    <t>COORDINACIÓN_ZONAL_2_9</t>
  </si>
  <si>
    <t>GESTIÓN ZONAL DE OPERACIONES</t>
  </si>
  <si>
    <t>GESTIÓN ZONAL DE TECNOLOGÍA Y SOPORTE</t>
  </si>
  <si>
    <t xml:space="preserve">DIRECCIÓN_GENERAL </t>
  </si>
  <si>
    <t>DIRECCIÓN DE ASESORÍA JURÍDICA</t>
  </si>
  <si>
    <t>DIRECCIÓN DE COMUNICACIÓN SOCIAL</t>
  </si>
  <si>
    <t>DIRECCIÓN DE GESTIÓN DOCUMENTAL Y ARCHIVO</t>
  </si>
  <si>
    <t>SUBDIRECCIÓN_TÉCNICA_DE_DOCTRINA</t>
  </si>
  <si>
    <t>DIRECCIÓN NACIONAL ACADÉMICO PARA EMERGENCIAS</t>
  </si>
  <si>
    <t>DIRECCIÓN NACIONAL REGULATORIO EN EMERGENCIAS</t>
  </si>
  <si>
    <t>SUBDIRECCIÓN_TÉCNICA_DE_OPERACIONES</t>
  </si>
  <si>
    <t>DIRECCIÓN NACIONAL DE ANÁLISIS DE DATOS</t>
  </si>
  <si>
    <t>SUBDIRECCIÓN_TÉCNICA_DE_TECNOLOGÍA_E_INNOVACIÓN</t>
  </si>
  <si>
    <t>DIRECCIÓN NACIONAL DE GESTIÓN DE INFRAESTRUCTURA TECNOLOGÍCA PARA EMERGENCIA</t>
  </si>
  <si>
    <t>DIRECCIÓN NACIONAL DE PROYECTOS E INNOVACIÓN TECNOLÓGICA</t>
  </si>
  <si>
    <t>Total general</t>
  </si>
  <si>
    <t xml:space="preserve"> PLANIFICACIÓN Y GESTION ESTRATÉGICA</t>
  </si>
  <si>
    <t>GESTION DE PLANIFICACIÓN E INVERSIÓN</t>
  </si>
  <si>
    <t>MATRIZ PAPP</t>
  </si>
  <si>
    <t>CÓDIGO</t>
  </si>
  <si>
    <t>VERSIÓN</t>
  </si>
  <si>
    <t>PLA_FOR_43</t>
  </si>
  <si>
    <t>01</t>
  </si>
  <si>
    <t>PLAN ANUAL DE LA POLÍTICA PÚBLICA - PAPP 2023</t>
  </si>
  <si>
    <t>I. OBJETIVOS Y POLÍTICAS</t>
  </si>
  <si>
    <t>II. ESTRUCTURA ORGANIZATIVA</t>
  </si>
  <si>
    <t>III. ACTIVIDAD PAPP</t>
  </si>
  <si>
    <t>IV. ESTRUCTURA PROGRAMÁTICA</t>
  </si>
  <si>
    <t>V. PROGRAMACIÓN FINANCIERA</t>
  </si>
  <si>
    <t>OBJETIVOS PND</t>
  </si>
  <si>
    <t>POLÍTICAS PND</t>
  </si>
  <si>
    <t>OBJETIVOS ESTRATÉGICOS</t>
  </si>
  <si>
    <t>OBJETIVOS OPERATIVOS</t>
  </si>
  <si>
    <t>PLANTA CENTRAL / ZONAS</t>
  </si>
  <si>
    <t>DIRECCIÓN GENERAL / COORDINACIÓN / SUBDIRECCIÓN</t>
  </si>
  <si>
    <t>DIRECCIÓN</t>
  </si>
  <si>
    <t>MACROACTIVIDAD</t>
  </si>
  <si>
    <t>ACTIVIDAD PAPP</t>
  </si>
  <si>
    <t>PONDERACIÓN</t>
  </si>
  <si>
    <t>PG</t>
  </si>
  <si>
    <t>PY</t>
  </si>
  <si>
    <t>AC</t>
  </si>
  <si>
    <t>GEO</t>
  </si>
  <si>
    <t>NOMBRE GEO</t>
  </si>
  <si>
    <t>FTE</t>
  </si>
  <si>
    <t>ORG</t>
  </si>
  <si>
    <t>COR</t>
  </si>
  <si>
    <t>TIPO DE GASTO</t>
  </si>
  <si>
    <t>GG</t>
  </si>
  <si>
    <t>ÍTEM PRESUPUESTARIO</t>
  </si>
  <si>
    <t>DESCRIPCIÓN ÍTEM PRESUPUESTARIO</t>
  </si>
  <si>
    <t>PRESUPUESTO INICIAL 2023</t>
  </si>
  <si>
    <t>PRESUPUESTO VIGENTE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</si>
  <si>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</si>
  <si>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</si>
  <si>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</si>
  <si>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</si>
  <si>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</si>
  <si>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</si>
  <si>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</si>
  <si>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</si>
  <si>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</si>
  <si>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</si>
  <si>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</si>
  <si>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</si>
  <si>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TOTAL PROGRAMADO</t>
  </si>
  <si>
    <t>REVISIÓN DE SUMAS</t>
  </si>
  <si>
    <t>CERTIFICACIÓN PAPP</t>
  </si>
  <si>
    <t>SALDO DSIPONIBLE</t>
  </si>
  <si>
    <t>REPROGRAMACIONES</t>
  </si>
  <si>
    <t>OBJETIVO 14: FORTALECER LAS CAPACIDADES DEL ESTADO CON ÉNFASIS EN LA ADMINISTRACIÓN DE JUSTICIA Y EFICIENCIA EN LOS PROCESOS DE REGULACIÓN Y CONTROL CON INDEPENDENCIA Y AUTONOMÍA.</t>
  </si>
  <si>
    <t>OE 4 FORTALECER LAS CAPACIDADES INSTITUCIONALES (PARA LA MEJORA CONTINUA DEL SERVICIO)</t>
  </si>
  <si>
    <t>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</t>
  </si>
  <si>
    <t>COORDINACIÓN_ZONAL</t>
  </si>
  <si>
    <t>COORDINACIÓN_ZONAL_1</t>
  </si>
  <si>
    <t>GESTIÓN LOCAL ADMINISTRATIVA FINANCIERA Y DE ADMINISTRACIÓN DE RECURSOS HUMANOS</t>
  </si>
  <si>
    <t>CORRIENTE</t>
  </si>
  <si>
    <t>OE 3 INCREMENTAR EL POSICIONAMIENTO DEL SERVICIO INTEGRADO DE SEGURIDAD ECU 911 A NIVEL NACIONAL E INTERNACIONAL</t>
  </si>
  <si>
    <t>GESTIÓN LOCAL DE COMUNICACIÓN SOCIAL</t>
  </si>
  <si>
    <t>R</t>
  </si>
  <si>
    <t>OBJETIVO 9: GARANTIZAR LA SEGURIDAD CIUDADANA, ORDEN PÚBLICO Y GESTIÓN DE RIESGOS</t>
  </si>
  <si>
    <t>OE 1 INCREMENTAR LA CALIDAD EN LA PRESTACIÓN DEL SERVICIO DE ATENCIÓN DE EMERGENCIAS A NIVEL NACIONAL</t>
  </si>
  <si>
    <t>GESTIÓN LOCAL DE SOPORTE TECNOLÓGICO</t>
  </si>
  <si>
    <t>53</t>
  </si>
  <si>
    <t>GESTIÓN ZONAL ADMINISTRATIVA FINANCIERA Y DE ADMINISTRACIÓN DE RECURSOS HUMANOS</t>
  </si>
  <si>
    <t>CANCELACIÓN DE REMUNERACIONES Y BENEFICIOS SOCIALES</t>
  </si>
  <si>
    <t>GESTIÓN ZONAL DE COMUNICACIÓN SOCIAL</t>
  </si>
  <si>
    <t>CAPITAL</t>
  </si>
  <si>
    <t>COORDINACIÓN_ZONAL_3</t>
  </si>
  <si>
    <t>ADQUISICIÓN REALIZADA POR CAJA CHICA</t>
  </si>
  <si>
    <t>GESTIÓN LOCAL DE OPERACIONES</t>
  </si>
  <si>
    <t>COORDINACIÓN_ZONAL_4</t>
  </si>
  <si>
    <t>OE 2 INCREMENTAR LA ARTICULACIÓN INTERINSTITUCIONAL EN LA PRESTACIÓN DE SERVICIOS DE ATENCIÓN DE EMERGENCIAS</t>
  </si>
  <si>
    <t>COORDINACIÓN_ZONAL_5_8</t>
  </si>
  <si>
    <t>DESPIDO INTEMPESTIVO</t>
  </si>
  <si>
    <t>COMPENSACIÓN POR DESAHUCIO</t>
  </si>
  <si>
    <t>ENCARGOS</t>
  </si>
  <si>
    <t>OBLIGACIONES CON EL IESS POR RESPONSABILIDAD PATRONAL</t>
  </si>
  <si>
    <t>INTERESES POR MORA PATRONAL AL IESS</t>
  </si>
  <si>
    <t>OBLIGACIONES DE EJERCICIOS ANTERIORES POR EGRESOS DE PERSONAL</t>
  </si>
  <si>
    <t>HORAS EXTRAORDINARIAS Y SUPLEMENTARIAS</t>
  </si>
  <si>
    <t>POR CARGAS FAMILIARES</t>
  </si>
  <si>
    <t>COORDINACIÓN_ZONAL_6</t>
  </si>
  <si>
    <t>COMPENSACIÓN POR VACACIONES NO GOZADAS POR CESACIÓN DE FUNCIONES</t>
  </si>
  <si>
    <t>COORDINACIÓN_ZONAL_7</t>
  </si>
  <si>
    <t xml:space="preserve">INCREMENTAR LA EFICIENCIA EN LA GESTIÓN FINANCIERA MEDIANTE EL FORTALECIMIENTO DE LAS METODOLOGÍAS, MEJORAMIENTO DE PROCESOS FINANCIEROS INTERNOS, APLICACIÓN DE NORMATIVAS Y REGULACIONES VIGENTES. </t>
  </si>
  <si>
    <t>PLANTA_CENTRAL</t>
  </si>
  <si>
    <t xml:space="preserve">INCREMENTAR LA EFICIENCIA DE LA GESTIÓN ADMINISTRATIVA MEDIANTE LA OPTIMIZACIÓN DEL USO Y RENDIMIENTO DE LOS RECURSOS </t>
  </si>
  <si>
    <t>CANCELACIÓN POR EL SERVICIO DE CONSUMOS BÁSICOS</t>
  </si>
  <si>
    <t>CONTRATACIÓN DEL SERVICIO DE TELEVISIÓN POR CABLE</t>
  </si>
  <si>
    <t xml:space="preserve">INCREMENTAR LA EFICIENCIA DE LA ADMINISTRACIÓN DE DOCUMENTOS INSTITUCIONALES MEDIANTE LA EVALUACIÓN, SIMPLIFICACIÓN, MEJORA, CONTROL DE PROCESOS, GENERACIÓN DE LINEAMIENTOS Y CAPACITACIÓN DEL PERSONAL EN MANEJO DE LA INFORMACIÓN Y HERRAMIENTAS TECNOLÓGICAS DE GESTIÓN DOCUMENTAL Y ARCHIVO. </t>
  </si>
  <si>
    <t>CANCELACIÓN DEL SERVICIO DE CORREO (ECU QUITO) 2023</t>
  </si>
  <si>
    <t>ARRASTRE MES DE DICIEMBRE 2022</t>
  </si>
  <si>
    <t>CONTRATACIÓN DEL SERVICIO DE TRANSPORTE ADMINISTRATIVO Y OPERATIVO PARA EL SIS ECU 911 PC- CZ2-9</t>
  </si>
  <si>
    <t>CONTRATACIÓN DEL SERVICIO DE ABASTECIMIENTO DE COMBUSTIBLE PARA GENERADORES</t>
  </si>
  <si>
    <t>CONTRATACIÓN DE SERVICIOS DE RECARGAS DE EXTINTORES</t>
  </si>
  <si>
    <t xml:space="preserve">INCREMENTAR EL  NIVEL DE REPUTACIÓN E IMAGEN INSTITUCIONAL, MEDIANTE EL DISEÑO E IMPLEMENTACIÓN DEL PLAN ESTRATÉGICO DE COMUNICACIÓN APLICADO Y HOMOLOGADO A NIVEL NACIONAL. </t>
  </si>
  <si>
    <t xml:space="preserve">CONTRATACIÓN DE SERVICIO DE ENTREGA DE PRENSA ESCRITA A NIVEL NACIONAL </t>
  </si>
  <si>
    <t>SERVICIO DE IMPRESIÓN DE MATERIAL PARA REPORTEROS ECU 911 SEXTA EDICIÓN – PLANTA CENTRAL</t>
  </si>
  <si>
    <t>CONTRATACIÓN DEL SERVICIO DE IMPRESIÓN Y REPRODUCCIÓN DE MATERIAL COMUNICACIONAL PARA LAS ACTIVIDADES DE VINCULACIÓN DEL SIS ECU 9-1-1</t>
  </si>
  <si>
    <t>ANUNCIO EN PRENSA</t>
  </si>
  <si>
    <t>CONTRATACIÓN DEL SERVICIO DE VIGILANCIA PARA LAS INSTALACIONES DEL SIS ECU 911 PC-CZ 2-9</t>
  </si>
  <si>
    <t>CONTRATACIÓN DEL SERVICIO DE ASEO Y LIMPIEZA INSTALACIONES SIS ECU 911 PC - CZ 2-9</t>
  </si>
  <si>
    <t xml:space="preserve">CONTRATACIÓN DEL SERVICIO DE LAVANDERÍA </t>
  </si>
  <si>
    <t xml:space="preserve">INCREMENTAR LA EFICIENCIA Y LA EFICACIA DE LA GESTIÓN DE ADMINISTRACIÓN DEL RECURSO HUMANO MEDIANTE EL DESARROLLO DE MECANISMOS Y PLANES QUE PERMITAN OPTIMIZAR EL DESEMPEÑO LABORAL EN BASE AL CUMPLIMIENTO DE LA NORMATIVA LEGAL VIGENTE. </t>
  </si>
  <si>
    <t>CANCELACIÓN DE SERVICIOS DE GUARDERÍA DE ADMINISTRACIÓN CENTRAL Y COORDINACIÓN ZONAL 2-9 EN CUMPLIMIENTO AL ACUERDO MINISTERIAL Nro.  MDT-2023-085</t>
  </si>
  <si>
    <t>CONTRATACIÓN DEL SERVICIO DE MONITOREO DE MEDIOS A ESCALA NACIONAL (CLIPPING DE NOTICIAS) DEL SERVICIO INTEGRADO DE SEGURIDAD ECU 911</t>
  </si>
  <si>
    <t>SERVICIO DE MONITOREO DE MEDIOS DE COMUNICACIÓN DE DIFUSIÓN NACIONAL, INTERNACIONAL, REGIONAL Y LOCAL (TELEVISIÓN, RADIO, PRENSA, REVISTAS Y MEDIOS DIGITALES) PARA EL SERVICIO INTEGRADO DE SEGURIDAD ECU 911 Y SUS PRINCIPALES AUTORIDADES</t>
  </si>
  <si>
    <t xml:space="preserve">CONTRATACIÓN DEL SERVICIO DE RASTREO SATELITAL </t>
  </si>
  <si>
    <t>CONTRATACIÓN DE ABASTECIMIENTO DE COMBUSTIBLE PARA EL PARQUE AUTOMOTOR PC-CZ 2-9</t>
  </si>
  <si>
    <t>GASTOS PARA CUBRIR VALORES DIARIOS DE HOSPEDAJE Y ALIMENTACIÓN DE LOS SERVIDORES Y TRABAJADORES PÚBLICOS ENVIADOS EN COMISIÓN DE SERVICIOS, DENTRO DEL PAÍS</t>
  </si>
  <si>
    <t>CONTRATACIÓN DE ABASTECIMIENTO DE GAS LICUADO</t>
  </si>
  <si>
    <t>CONTRATACIÓN DEL SERVICIO DE EMISIÓN DE PASAJES AÉREOS NACIONALES</t>
  </si>
  <si>
    <t>REEMBOLSO DE PASAJES AL INTERIOR</t>
  </si>
  <si>
    <t xml:space="preserve">CONTRATACIÓN DEL SERVICIO DE MANTENIMIENTO DE ASCENSORES </t>
  </si>
  <si>
    <t>CONTRATACIÓN DEL SERVICIO DE MANTENIMIENTO PREVENTIVO Y CORRECTIVO DEL SISTEMA DE CLIMATIZACIÓN SIS ECU 911 PC - CZ 2-9</t>
  </si>
  <si>
    <t>SERVICIO DE PINTURA EXTERIOR PARA EL EDIFICIO DEL SERVICIO INTEGRADO DE SEGURIDAD ECU 911 QUITO – COORDINACIÓN ZONAL 2 -9</t>
  </si>
  <si>
    <t>MANTENIMIENTO PREVENTIVO Y CORRECTIVO DEL CUARTO DE BOMBAS DEL SISTEMA HIDROSANITARIOS</t>
  </si>
  <si>
    <t>CONTRATACIÓN DEL SERVICIO DE MANTENIMIENTO PREVENTIVO DEL SISTEMA DE ELECTRICO SIS ECU 911 PC- CZ 2-9</t>
  </si>
  <si>
    <t>ADECUACIONES EN EDIFICACIÓN SIS ECU 911</t>
  </si>
  <si>
    <t>ADQUISICIÓN DE BRAZOS DE ACCESO A PARQUEADEROS PARA LAS AUTORIDADES DEL SIS ECU 911 Y ENTIDADES ARTÍCULADAS AUTORIZADAS</t>
  </si>
  <si>
    <t>MANTENIMIENTO DEL SISTEMA DE GAS LICUADO</t>
  </si>
  <si>
    <t>INSTALACIÓN DE SISTEMA DE ACCESOS</t>
  </si>
  <si>
    <t>MANTENIMIENTO DE SILLAS ERÓNOMICAS</t>
  </si>
  <si>
    <t>CONTRATACIÓN DEL SERVICIO DE MANTENIMIENTO PREVENTIVO Y CORRECTIVO DEL PARQUE AUTOMOTOR PC - CZ 2-9</t>
  </si>
  <si>
    <t>CONTRATACIÓN DEL SERVICIO DE REENCAUCHE</t>
  </si>
  <si>
    <t>INCREMENTAR LA EFICIENCIA EN LA GESTIÓN LEGAL MEDIANTE LA EVALUACIÓN, SIMPLIFICACIÓN, MEJORA Y CONTROL DE LOS PROCESOS Y SERVICIOS DE ASESORÍA JURÍDICA INSTITUCIONAL, ASÍ COMO TAMBIÉN DE LA ATENCIÓN OPORTUNA Y ACERTADA A LOS REQUERIMIENTOS EFECTUADOS POR PARTE DE LOS USUARIOS INTERNOS, EXTERNOS Y LA ACTUALIZACIÓN DEL PERSONAL EN ÁMBITOS JURÍDICOS.</t>
  </si>
  <si>
    <t>CONTRATACIÓN DEL SERVICIO DEL
 SISTEMA DE NORMATIVA Y CONSULTAS JURÍDICAS</t>
  </si>
  <si>
    <t>CONTRATACIÓN PARA LA ACTUALIZACIÓN DE SOFTWARE SITAC PLUS (TRIBUTACIÓN Y ADMINISTRACIÓN DE DOCUMENTOS ELECTRÓNICOS)</t>
  </si>
  <si>
    <t>ADQUISICIÓN DE ROPA DE TRABAJO PARA EL PERSONAL BAJO RÉGIMEN DE CÓDIGO DE TRABAJO DEL SIS ECU 911- PLANTA CENTRAL</t>
  </si>
  <si>
    <t>ADQUISICIÓN DE SUMINISTROS DE OFICINA</t>
  </si>
  <si>
    <t>ADQUISICIÓN DE TARJETAS DE PROXIMIDAD HID , COLGANTES INSTITUCIONALES ,TARJETAS ADHESIVAS BASE MILLER Y PORTACREDENCIALES</t>
  </si>
  <si>
    <t>ADQUISICIÓN DE SUMINISTROS DE LIMPIEZA</t>
  </si>
  <si>
    <t>ADQUISICIÓN DE SUMINISTROS DE IMPRESIÓN (TONER Y OTROS)</t>
  </si>
  <si>
    <t>ADQUISICIÓN DE MEDICAMENTOS BÁSICOS PARA EL CONSULTORIO MÉDICO</t>
  </si>
  <si>
    <t>ADQUISICIÓN DE MATERIALES DE FERRETERÍA</t>
  </si>
  <si>
    <t>ADQUISICIÓN DE BANCO DE BATERIAS</t>
  </si>
  <si>
    <t>BLINDAJE DE VEHÍCULOS</t>
  </si>
  <si>
    <t>ACTUALIZACIÓN SISTEMA CONTRAINCENDIOS</t>
  </si>
  <si>
    <t>ADQUISICIÓN DE REPUESTOS PARA GENERADORES</t>
  </si>
  <si>
    <t>ADQUISICIÓN DE REPUESTOS PARA FILTROS DE AGUA</t>
  </si>
  <si>
    <t>ADQUISICIÓN DE REPUESTOS PARA CLIMATIZACIÓN</t>
  </si>
  <si>
    <t>ADQUISICIÓN DE PARTES Y PIEZAS PARA EL SISTEMAS DE INFRAESTRUCTURA</t>
  </si>
  <si>
    <t>ADQUISICIÓN DE CARPAS E INFLABLES PARA ACTIVIDADES DE VINCULACIÓN CON LA COMUNIDAD</t>
  </si>
  <si>
    <t>ADQUISICIÓN DE MATERIAL COMUNICACIONAL PARA LAS ACTIVIDADES DE VINCULACIÓN DEL SERVICIO INTEGRADO DE SEGURIDAD ECU 911</t>
  </si>
  <si>
    <t>ADQUISICIÓN DE DISPOSITIVOS MÉDICOS PARA EL CONSULTORIO MÉDICO</t>
  </si>
  <si>
    <t>PAGO POR EL SERVICIO DE PEAJES DEL PARQUE AUTOMOTOR DE PLANTA CENTRAL Y COORDINACIÓN ZONAL 2-9</t>
  </si>
  <si>
    <t>PAGO IMPUESTO PREDIAL</t>
  </si>
  <si>
    <t>PAGO DE REVISIÓN VEHICULAR Y MATRÍCULAS</t>
  </si>
  <si>
    <t>PAGO DE TASAS, IMPUESTOS, PERMISOS, CONTRIBUCIONES Y OTROS</t>
  </si>
  <si>
    <t>CONTRATACIÓN DEL SERVICIO DE PÓLIZAS DE SEGUROS</t>
  </si>
  <si>
    <t>PAGO DE SEGUNDA EXTENSIÓN DE SEGUROS CONVENIO DE PAGO</t>
  </si>
  <si>
    <t>CONTRATACIÓN DE PÓLIZA DE FIDELIDAD DEL SERVICIO INTEGRADO DE SEGURIDAD SIS ECU 911</t>
  </si>
  <si>
    <t>ADQUISICIÓN DE SILLAS ERGONÓMICAS</t>
  </si>
  <si>
    <t>ADQUISICIÓN DE MOBILIARIO INSTITUCIONAL</t>
  </si>
  <si>
    <t>PAGO DE AÑOS ANTERIORES</t>
  </si>
  <si>
    <t>INCREMENTAR  LA EFICIENCIA DE LOS PROCESOS DE INTERVENCIÓN Y CONTRIBUCIÓN DE INSTRUMENTOS NORMATIVOS VINCULADOS A LA PRESTACIÓN DE SERVICIOS DE EMERGENCIA, MEDIANTE LA GENERACIÓN DE PROPUESTAS A NIVEL INTERNACIONAL, EL ACOMPAÑAMIENTO TÉCNICO PARA LA INTERVENCIÓN DE NORMATIVA INTERNA E INTERSECTORIAL Y EL MONITOREO DE LA APLICACIÓN DE LAS REGULACIONES TÉCNICAS Y DE TELECOMUNICACIONES VIGENTES</t>
  </si>
  <si>
    <t>CONTRATACIÓN DEL SERVICIO DE MENSAJERÍA SMS PARA EL PROYECTO PILOTO DE ENVÍO DE MENSAJES INFORMATIVOS A LOS USUARIOS QUE REALIZAN MAL USO DEL SERVICIO</t>
  </si>
  <si>
    <t>INCREMENTAR LA EFICACIA EN EL PROCESO DE ADIESTRAMIENTO DE PERSONAS VINCULADAS CON LA PRESTACIÓN DEL SERVICIO DE EMERGENCIA MEDIANTE LA IMPLEMENTACIÓN Y MEJORA DE PROGRAMAS DE ADIESTRAMIENTO, EDUCACIÓN CONTINUA, TÉCNICA Y AVANZADA PARA EL PERSONAL OPERATIVO, INSTITUCIONES ARTICULADAS AL SIS ECU 911 Y CIUDADANÍA, ASÍ COMO TAMBIÉN LA SUSCRIPCIÓN DE ACUERDOS Y/O CONVENIOS Y LA GESTIÓN DE ESTUDIOS CON INSTITUCIONES NACIONALES E INTERNACIONALES.</t>
  </si>
  <si>
    <t>CONTRATACIÓN DEL SERVICIO DE IMPRESIÓN</t>
  </si>
  <si>
    <t>SERVICIO DE LOGISTICA PARA LA CERTIFICACIÓN DE INSTRUCTORES EN SISTEMA DE COMANDO DE INCIDENTES BÁSICO PARA EL SIS ECU 911</t>
  </si>
  <si>
    <t>CONTRATACIÓN DEL SERVICIO DE HOSPEDAJE Y POTENCIACIÓN DEL ENTORNO VIRTUAL DE APRENDIZAJE EVA PARA EL SERVICIO INTEGRADO DE SEGURIDAD ECU 911</t>
  </si>
  <si>
    <t>ADQUISICIÓN DE MATERIAL ACADÉMICO PARA EL DESARROLLO DE PROCESOS ACADÉMICOS</t>
  </si>
  <si>
    <t>ADQUISICIÓN DE UN SISTEMA DE MENSAJERÍA USSD PARA LA CONSULTA DEL ESTADO DE LA GESTIÓN DE LÍNEAS SUSPENDIDAS</t>
  </si>
  <si>
    <t xml:space="preserve">CERTIFICACIÓN DE PROPIEDAD INTELECTUAL DE LA NORMATIVA INTERNA </t>
  </si>
  <si>
    <t>INCREMENTAR LA CALIDAD Y OPORTUNIDAD DE LA GENERACIÓN DE INFORMACIÓN ESTADÍSTICA MEDIANTE EL DESARROLLO Y MEJORA DE REPORTES ESTADÍSTICOS Y ESTUDIOS RELACIONADOS CON LOS HECHOS GENERADORES DE SITUACIONES DE EMERGENCIA PARA LA TOMA DE DECISIONES.</t>
  </si>
  <si>
    <t>SERVICIO DE IMPRESIÓN DE MATERIAL ACADÉMICO PARA LOS CURSOS PRESENCIALES DEL SISTEMA DE COMANDO DE INCIDENTES BÁSICO PARA LA COORDINACIÓN ZONAL 2-9</t>
  </si>
  <si>
    <t>RENOVACIÓN LICENCIA POWER BI</t>
  </si>
  <si>
    <t>ADQUISICIÓN LICENCIA ARCGIS</t>
  </si>
  <si>
    <t>MANTENER LA EFICAZ OPERACIÓN DE LA INFRAESTRUCTURA BASE Y DE LA PLATAFORMA TECNOLÓGICA DEL SERVICIO INTEGRADO DE SEGURIDAD ECU 911 A NIVEL NACIONAL MEDIANTE LA PLANIFICACIÓN, IMPLEMENTACIÓN Y CONTROL, DE NORMAS, PROCESOS Y HERRAMIENTAS APLICADAS, DESARROLLANDO Y MEJORANDO LOS SERVICIOS CON RECURSOS Y COMPONENTES TECNOLÓGICOS.</t>
  </si>
  <si>
    <t>CONTRATACIÓN DEL SERVICIO POR EL USO DEL ESPECTRO RADIOELÉCTRICO DE LAS FRECUENCIAS PARA RADIO COMUNICACIÓN TIERRA AIRE DE LOS CENTROS A NIVEL NACIONAL Y COMUNICACIONES VHF DE LOS CUERPOS DE BOMBEROS DEL ESPECTRO</t>
  </si>
  <si>
    <t xml:space="preserve">CONTRATACIÓN DEL SERVICIO DE COMUNICACIÓN DE TIEMPO AIRE SATELITAL PARA 176 TERMINALES SATELITALES IDP-280 QUE FORMAN PARTE DEL SISTEMA DE ALERTA TEMPRANA  </t>
  </si>
  <si>
    <t>SERVICIO DE RADIO COMUNICACIONES DE LA RED NACIONAL TRONCALIZADA PARA LA ATENCIÓN DE EMERGENCIAS Y MISIÓN CRÍTICA PARA LAS INSTITUCIONES ARTICULADAS</t>
  </si>
  <si>
    <t>INCREMENTAR LA MEJORA DE LOS SERVICIOS TECNOLÓGICOS DEL SIS ECU 911 MEDIANTE EL DESARROLLO DE PROYECTOS DE INNOVACIÓN Y DEMÁS INSTRUMENTOS RELATIVOS AL MEJORAMIENTO DE LA PRESTACIÓN DEL SERVICIO, FORTALECIMIENTO DE LA PLATAFORMA TECNOLÓGICA Y LA INCORPORACIÓN DE NUEVOS PRODUCTOS Y SERVICIOS PARA EL SIS ECU 911.</t>
  </si>
  <si>
    <t>ARRASTRE: PROVISIÓN DEL SERVICIO DE TELEFONÍA FIJA, ENLACES DE DATOS, INTERNET Y SERVICIOS MÓVILES AVANZADOS PARA EL SERVICIO INTEGRADO DE SEGURIDAD ECU 911 QUITO</t>
  </si>
  <si>
    <t>PROVISIÓN DEL SERVICIO DE TELEFONÍA FIJA, ENLACES DE DATOS, INTERNET, SERVICIOS MÓVILES AVANZADOS Y ANTIVIRUS PARA EL SERVICIO INTEGRADO DE SEGURIDAD ECU 911 QUITO</t>
  </si>
  <si>
    <t>CONTRATACIÓN DEL SOSTENIMIENTO TECNOLÓGICO DE SITIOS DE VIDEO MONITOREO DE LA COORDINACIÓN ZONAL 2-9</t>
  </si>
  <si>
    <t>CONTRATACIÓN DE SERVICIO DE MANTENIMIENTO CORRECTIVO DE LOS MICRÓFONOS CUELLO DE GANSO PARA LA SALA DE CRISIS NACIONAL DEL SERVICIO INTEGRADO DE SEGURIDAD ECU 911</t>
  </si>
  <si>
    <t>CONTRATACIÓN DEL SERVICIO DE ARRENDAMIENTO DE PUNTOS DE VIDEO VIGILANCIA PARA EL SIS ECU 911 A NIVEL NACIONAL</t>
  </si>
  <si>
    <t>CONTRATACIÓN DE SERVICIOS ESPECIALIZADOS PARA RESOLVER LOS INCIDENTES SIN SOPORTE TECNOLÓGICO</t>
  </si>
  <si>
    <t>CONTRATACIÓN DE LICENCIAMIENTO PARA EQUIPO FIREWALL-IPS FORTIGATE 200E SIS ECU911 QUITO</t>
  </si>
  <si>
    <t>CONTRATACIÓN DE LICENCIAMIENTO DE LA SOLUCIÓN DE ANTIVIRUS PARA EL EQUIPAMIENTO INFORMATICO DE LOS CENTROS OPERATIVOS ZONALES, LOCALES Y PLANTA CENTRAL DEL SERVICIO INTEGRADO DE SEGURIDAD ECU 911</t>
  </si>
  <si>
    <t>CONTRATACIÓN DE ARRENDAMIENTO DEL SERVICIO EN NUBE PARA LOS PROYECTOS TECNOLÓGICOS QUE MANEJA EL SIS ECU 911</t>
  </si>
  <si>
    <t>RENOVACIÓN DE LICENCIAS PARA HERRAMIENTA DE VIDEOCONFERENCIAS PARA EL SERVICIO INTEGRADO DE SEGURIDAD ECU 911</t>
  </si>
  <si>
    <t>RENOVACIÓN E INSTALACIÓN DE CERTIFICADOS SSL (SECURE SOCKET LAYER) PARA LA  APLICACIÓN DE CORREO ELECTRÓNICO DEL SERVICIO INTEGRADO DE SEGURIDAD ECU 911</t>
  </si>
  <si>
    <t>CONTRATACIÓN DE CUENTA SENCHA PARA EL DESARROLLO DE APLICACIONES INTERCOMUNICADAS CON EL SIS ECU 911</t>
  </si>
  <si>
    <t>CONTRATACIÓN DE LA CUENTA APP DE APPLE PARA LA APLICACIÓN SMARTPHONE DEL SERVICIO INTEGRADO DE SEGURIDAD ECU 911</t>
  </si>
  <si>
    <t>ADQUISICIÓN DEL CERTIFICADO DIGITAL SSL WILDCARD MULTIDOMINIO PARA APLICAR NIVELES DE SEGURIDAD A LOS DOMINIOS Y SUBDOMINIOS DE LOS SISTEMAS DESARROLLADOS INCLUÍDO EL SISTEMA SAEI-FJ DEL SERVICIO INTEGRADO DE SEGURIDAD ECU</t>
  </si>
  <si>
    <t>CONTRATACIÓN DE LICENCIAMIENTO PARA EQUIPOS MERAKI DE PLANTA CENTRAL Y LA COORDINACIÓN ZONAL 2-9 DEL SERVICIO INTEGRADO DE SEGURIDAD ECU911</t>
  </si>
  <si>
    <t>MANTENIMIENTO TECNOLÓGICO DEL SUBSISTEMA DE SERVIDORES Y ALMACENAMIENTO DE LOS CENTROS OPERATIVOS DEL SIS ECU 911</t>
  </si>
  <si>
    <t>SERVICIO DE MANTENIMIENTO Y ACTUALIZACIÓN DE LOS EQUIPOS VCN DE LOS CENTROS OPERATIVOS ZONALES Y EL CENTRO OPERATIVO LOCAL ESMERALDAS DEL SIS ECU 911 CON GARANTÍA EXTENDIDA</t>
  </si>
  <si>
    <t>ADQUISICIÓN Y PUESTA EN MARCHA DE EQUIPOS DE ALMACENAMIENTO PARA REPOTENCIAR EL SISTEMA DE VIDEO VIGILANCIA IVS QUE ACTUALMENTE DISPONE EL SERVICIO INTEGRADO DE SEGURIDAD ECU 911 A NIVEL NACIONAL</t>
  </si>
  <si>
    <t>ADQUISICIÓN DE PANTALLAS PARA LOS VIDEOWALLS DE LOS CENTROS OPERATIVOS ZONALES, LOCALES Y SALAS DESCONCENTRADAS, E IMPLEMENTACIÓN DE DOS VIDEO WALLS PARA PLANTA CENTRAL DEL SERVICIO INTEGRADO DE SEGURIDAD ECU 911</t>
  </si>
  <si>
    <t>SERVICIO DE SEGURIDAD PERIMETRAL PARA SIS ECU 911</t>
  </si>
  <si>
    <t>MANTENIMIENTO TECNOLÓGICO PREVENTIVO Y CORRECTIVO DE LOS 176 PUNTOS DE ALERTA TEMPRANA Y 6 CENTROS DE CONTROL DE LA FASE I y II, QUE FORMAN PARTE DEL SISTEMA NACIONAL DE ALERTA TEMPRANA FRENTE A EVENTOS ADVERSOS DE TSUNAMI Y DESBORDAMIENTO DE REPRESAS PARA LAS PROVINCIAS DE MANABÍ, ESMERALDAS, GUAYAS, SANTA ELENA, EL ORO, Y GALÁPAGOS.</t>
  </si>
  <si>
    <t>MANTENIMIENTO PREVENTIVO Y CORRECTIVO ESPECIALIZADO A LAS BASES DE DATOS ORACLE A NIVEL NACIONAL DEL SIS ECU911</t>
  </si>
  <si>
    <t>CONTRATACIÓN DEL SERVICIO DE SOPORTE TÉCNICO HACIA LOS SISTEMAS INTEGRADOS DE LA PLATAFORMA TECNOLÓGICA DEL SERVICIO INTEGRADO DE SEGURIDAD ECU-911 EN LOS CENTROS OPERATIVOS ECU 911 A NIVEL NACIONAL</t>
  </si>
  <si>
    <t>CONTRATACIÓN DEL SERVICIO DE REPARACIÓN INTEGRAL DE MONITORES DE LAS CONSOLAS DE LAS SALAS OPERATIVAS Y SALAS DESCONCENTRADAS DE LA COORDINACIÓN ZONAL 2-9</t>
  </si>
  <si>
    <t>ADQUISICIÓN DE EQUIPO DE SEGURIDAD PERIMETRAL PARA LA COORDINACIÓN ZONAL 2-9 DEL SIS ECU 911</t>
  </si>
  <si>
    <t>SOSTENIMIENTO DE EQUIPOS DE IMPRESIÓN DE LA ZONAL 2-9 Y PLANTA CENTRAL</t>
  </si>
  <si>
    <t>ADQUISICIÓN DE PARTES Y PIEZAS PARA EQUIPOS SERVIDORES Y DE ALMACENAMIENTO PARA LA COORDINACIÓN ZONAL 2-9</t>
  </si>
  <si>
    <t>ADQUISICIÓN DE REPUESTOS PARA INFRAESTRUCTURA TECNOLÓGICA</t>
  </si>
  <si>
    <t>ADQUISICIÓN DE REPUESTOS PARA EL MCE (EQUIPO DE CONTROL DE GESTIÓN) DEL SISTEMA DE ALERTA TEMPRANA ANTE TSUNAMIS Y DESBORDAMIENTO DE RIOS Y REPRESAS DEL CENTRO OPERATIVO QUITO DEL SERVICIO INTEGRADO DE SEGURIDAD ECU 911</t>
  </si>
  <si>
    <t>ADQUISICIÓN DE REPUESTOS Y ACCESORIOS PARA RADIOS APX 2000 DE LOS CENTROS ZONALES, LOCALES, SALAS DESCONCENTRADAS Y PLANTA CENTRAL DEL SERVICIO INTEGRADO DE SEGURIDAD ECU 911</t>
  </si>
  <si>
    <t>ADQUISICIÓN DE PARTES Y PIEZAS PARA REPOTENCIAR EL EQUIPO DE ALMACENAMIENTO Y ACCESOS A LA RED INALÁMBRICA</t>
  </si>
  <si>
    <t>ADQUISICIÓN DE COMPONENTES, REPUESTOS Y ACCESORIOS PARA REPOTENCIAR LOS EQUIPOS ELECTRÓNICOS DE LA COORDINACIÓN ZONAL 2-9 Y PLANTA CENTRAL DEL SIS ECU911</t>
  </si>
  <si>
    <t>ADQUISICIÓN DE PROYECTORES PARA LA SALA DE CRISIS Y SALA CAPACITACIÓN DEL CENTRO QUITO</t>
  </si>
  <si>
    <t>ADQUISICIÓN DE EQUIPOS PORTÁTILES, DESKTOP E IMPRESORA PARA PLANTA CENTRAL Y LA COORDINACIÓN ZONAL 2-9 DEL SIS ECU 911</t>
  </si>
  <si>
    <t>ADQUISICIÓN DE TRES SCANNER PARA DIGITALIZACIÓN DE DOCUMENTOS DEL SERVICIO INTEGRADO DE SEGURIDAD ECU 911</t>
  </si>
  <si>
    <t>ADQUISICIÓN DE UNA IMPRESORA PARA CREDENCIALES INSTITUCIONALES DE LOS SERVIDORES DEL SIS ECU 911</t>
  </si>
  <si>
    <t>ADQUISICIÓN DE IMPRESORAS MULTIFUNCIONAL PARA PLANTA CENTRAL Y LA COORDINACIÓN ZONAL 2-9</t>
  </si>
  <si>
    <t>ADQUISICIÓN DE EQUIPOS TECNOLÓGICOS PARA GESTIONAR LOS PROCESOS DE COMUNICACIÓN OPERATIVA Y EVENTOS RELEVANTES DE LA SALA OPERATIVA Y SALAS DESCONCENTRADAS DE LA COORDINACIÓN ZONAL 2-9 DEL SERVICIO INTEGRADO DE SEGURIDAD ECU 911</t>
  </si>
  <si>
    <t>TOTALES</t>
  </si>
  <si>
    <t>OBJETIVOS</t>
  </si>
  <si>
    <t>POLÍTICAS</t>
  </si>
  <si>
    <t>PLANTA</t>
  </si>
  <si>
    <t>Columna1</t>
  </si>
  <si>
    <t>14.2 POTENCIAR LAS CAPACIDADES DE LOS DISTINTOS NIVELES DE GOBIERNO PARA EL CUMPLIMIENTO DE LOS OBJETIVOS NACIONALES Y LA PRESTACIÓN DE SERVICIOS CON CALIDAD</t>
  </si>
  <si>
    <t>ADMINISTRACIÓN CENTRAL</t>
  </si>
  <si>
    <t>REMUNERACIONES UNIFICADAS</t>
  </si>
  <si>
    <t>9.3 MPULSAR LA REDUCCIÓN DE RIESGOS DE DESASTRES Y ATENCIÓN OPORTUNA A EMERGENCIAS ANTE AMENAZAS NATURALES O ANTRÓPICAS EN TODOS LOS SECTORES Y NIVELES TERRITORIALES</t>
  </si>
  <si>
    <t>SALARIOS UNIFICADOS</t>
  </si>
  <si>
    <t>INCREMENTAR LA EFICIENCIA Y EFICACIA DE LA PRESTACIÓN DEL SERVICIO PÚBLICO DE COORDINACIÓN PARA LA ATENCIÓN DE EMERGENCIAS CIUDADANAS QUE PRESTA EL SIS ECU 911 A NIVEL NACIONAL MEDIANTE LA IMPLEMENTACIÓN DE PLANES DE MEJORA CONTINUA, SEGUIMIENTO Y CONTROL DE EJECUCIÓN DE PROTOCOLOS, PROCESOS Y PROCEDIMIENTOS OPERATIVOS.</t>
  </si>
  <si>
    <t>COORDINACIÓN_ZONAL_2 _-_9</t>
  </si>
  <si>
    <t>DÉCIMO TERCER SUELDO</t>
  </si>
  <si>
    <t>INCREMENTAR LA EFICIENCIA Y EFICACIA EN LAS RELACIONES Y COORDINACIONES CON LAS INSTITUCIONES Y ORGANISMOS NACIONALES E INTERNACIONALES VINCULADAS AL SIS ECU 911 MEDIANTE EL FORTALECIMIENTO DEL CICLO DE COORDINACIÓN INTERINSTITUCIONAL EN LA PRESTACIÓN DE SERVICIOS DE EMERGENCIA Y LA IMPLEMENTACIÓN DE LOS COMPROMISOS Y ACUERDOS INTERINSTITUCIONALES.</t>
  </si>
  <si>
    <t>COMUNICACIÓN SOCIAL</t>
  </si>
  <si>
    <t>DÉCIMO CUARTO SUELDO</t>
  </si>
  <si>
    <t>INCREMENTAR LA CALIDAD DE LA GENERACIÓN DE INFORMACIÓN ESTADÍSTICA DE MANERA OPORTUNA MEDIANTE EL DESARROLLO Y MEJORA DE REPORTES ESTADÍSTICOS Y ESTUDIOS RELACIONADOS CON LOS HECHOS GENERADORES DE SITUACIONES DE EMERGENCIA PARA LA TOMA DE DECISIONES.</t>
  </si>
  <si>
    <t>COMPENSACION POR TRANSPORTE</t>
  </si>
  <si>
    <t>INCREMENTAR LA CONTRIBUCIÓN DE INSTRUMENTOS NORMATIVOS DE CARÁCTER INTERNACIONAL, MEDIANTE LA ARTICULACIÓN CON ORGANIZACIONES DEL EXTERIOR.</t>
  </si>
  <si>
    <t>COORDINACIÓN_ZONAL_5 - 8</t>
  </si>
  <si>
    <t>ALIMENTACION</t>
  </si>
  <si>
    <t>INCREMENTAR LA EFICIENCIA DE LOS SERVICIOS DE TELECOMUNICACIONES PARA EMERGENCIAS; MEDIANTE LA CONTRIBUCIÓN DE PLANES DE ACCIÓN DE MONITOREO Y CONTROL DE APLICACIÓN DE LA REGULACIÓN VIGENTE.</t>
  </si>
  <si>
    <t>DOCTRINA</t>
  </si>
  <si>
    <t>INCREMENTAR LA EFICIENCIA DE LOS PROCESOS DE INTERVENCIÓN DE NORMATIVA INTERNA E INTERSECTORIAL VINCULADA A LA PRESTACIÓN DE SERVICIOS DE EMERGENCIA, MEDIANTE EL ACOMPAÑAMIENTO TÉCNICO EN LA SIMPLIFICACIÓN DE ACTIVIDADES Y ALINEACIÓN A SISTEMAS DE GESTIÓN.</t>
  </si>
  <si>
    <t>OPERACIONES</t>
  </si>
  <si>
    <t>SUBSIDIO DE ANTIGUEDAD</t>
  </si>
  <si>
    <t>DIRECCIÓN_GENERAL</t>
  </si>
  <si>
    <t>TECNOLOGÍA</t>
  </si>
  <si>
    <t>SERVICIOS PERSONALES POR CONTRATO</t>
  </si>
  <si>
    <t xml:space="preserve">SUBROGACIÓN </t>
  </si>
  <si>
    <t>GESTIÓN LOCAL DE ASESORÍA JURÍDICA</t>
  </si>
  <si>
    <t>SERVICIOS PERSONALES POR CONTRATO DE PROFESIONALES DE LA SALUD</t>
  </si>
  <si>
    <t>APORTE PATRONAL</t>
  </si>
  <si>
    <t>FONDO DE RESERVA</t>
  </si>
  <si>
    <t>POR RENUNCIA VOLUNTARIA</t>
  </si>
  <si>
    <t>AGUA POTABLE</t>
  </si>
  <si>
    <t>ENERGÍA ELÉCTRICA</t>
  </si>
  <si>
    <t>TELECOMUNICACIONES</t>
  </si>
  <si>
    <t>SERVICIO DE CORREO</t>
  </si>
  <si>
    <t>TRANSPORTE DE PERSONAL</t>
  </si>
  <si>
    <t>FLETES Y MANIOBRAS</t>
  </si>
  <si>
    <t>ALMACENAMIENTO, EMBALAJE, DESEMBALAJE, ENVASE, DESENVASE Y RECARGA DE EXTINTORES</t>
  </si>
  <si>
    <t>EDICIÓN, IMPRESIÓN, REPRODUCCIÓN, PUBLICACIONES, SUSCRIPCIONES, FOTOCOPIADO, TRADUCCIÓN, EMPASTADO, ENMARCACIÓN, SERIGRAFÍA, FOTOGRAFÍA, CARNETIZACIÓN, FILMACIÓN E IMÁGENES SATELITALES</t>
  </si>
  <si>
    <t>ESPECTÁCULOS CULTURALES Y SOCIALES</t>
  </si>
  <si>
    <t>INVERSIÓN</t>
  </si>
  <si>
    <t>DIFUSIÓN, INFORMACIÓN Y PUBLICIDAD</t>
  </si>
  <si>
    <t>SERVICIO DE SEGURIDAD Y VIGILANCIA</t>
  </si>
  <si>
    <t>SERVICIOS DE ASEO, LAVADO DE VESTIMENTA DE TRABAJO, FUMIGACIÓN, DESINFECCIÓN, LIMPIEZA DE INSTALACIONES, MANEJO DE DESECHOS CONTAMINADOS, RECUPERACIÓN Y CLASIFICACIÓN DE MATERIALES RECICLABLES</t>
  </si>
  <si>
    <t>SERVICIO DE GUARDERÍA</t>
  </si>
  <si>
    <t>SERVICIO DE IMPLEMENTACIÓN Y ADMINISTRACIÓN DE BANCOS DE INFORMACIÓN</t>
  </si>
  <si>
    <t>SERVICIOS DE PROVISIÓN DE DISPOSITIVOS ELECTRONICOS Y CERTIFICACION PARA REGISTRO DE FIRMAS DIGITALES</t>
  </si>
  <si>
    <t>SOPORTE AL USUARIO A TRAVÉS DE CENTROS DE SERVICIOS Y OPERADORES TELEFÓNICOS</t>
  </si>
  <si>
    <t>SERVICIO DE MONITOREO DE LA INFORMACIÓN EN -TELEVISIÓN - RADIO- PRENSA - MEDIOS ON LINE Y OTROS</t>
  </si>
  <si>
    <t>SERVICIOS DE IDENTIFICACIÓN, MARCACIÓN, AUTENTIFICACIÓN, RASTREO, MONITOREO, SEGUIMIENTO Y/O TRAZABILIDAD</t>
  </si>
  <si>
    <t>EVENTOS OFICIALES</t>
  </si>
  <si>
    <t>COMBUSTIBLES</t>
  </si>
  <si>
    <t>PASAJES AL INTERIOR</t>
  </si>
  <si>
    <t>VIÁTICOS Y SUBSISTENCIAS EN EL INTERIOR</t>
  </si>
  <si>
    <t>EDIFICIOS, LOCALES, RESIDENCIAS Y CABLEADO ESTRUCTURADO (INSTALACIÓN, MANTENIMIENTO Y REPARACIÓN)</t>
  </si>
  <si>
    <t>MOBILIARIOS (INSTALACIÓN, MANTENIMIENTO Y REPARACIÓN)</t>
  </si>
  <si>
    <t>MAQUINARIAS Y EQUIPOS (INSTALACIÓN, MANTENIMIENTO Y REPARACIÓN)</t>
  </si>
  <si>
    <t>VEHÍCULOS (SERVICIO PARA MANTENIMIENTO Y REPARACIÓN)</t>
  </si>
  <si>
    <t>HERRAMIENTAS (MANTENIMIENTO Y REPARACIÓN)</t>
  </si>
  <si>
    <t>Columna2</t>
  </si>
  <si>
    <t>INFRAESTRUCTURA</t>
  </si>
  <si>
    <t>CUENCA</t>
  </si>
  <si>
    <t>266_0006</t>
  </si>
  <si>
    <t>MANTENIMIENTO DE ÁREAS VERDES Y ARREGLO DE VÍAS INTERNAS</t>
  </si>
  <si>
    <t>EDIFICIOS, LOCALES Y RESIDENCIAS, PARQUEADEROS, CASILLEROS JUDICIALES Y BANCARIOS (ARRENDAMIENTO)</t>
  </si>
  <si>
    <t>TULCÁN</t>
  </si>
  <si>
    <t>266_0001</t>
  </si>
  <si>
    <t>MAQUINARIAS Y EQUIPOS (ARRENDAMIENTO)</t>
  </si>
  <si>
    <t>CHIMBORAZO</t>
  </si>
  <si>
    <t>266_0003</t>
  </si>
  <si>
    <t>VEHÍCULOS (ARRENDAMIENTO)</t>
  </si>
  <si>
    <t>RIOBAMBA</t>
  </si>
  <si>
    <t>CONSULTORÍA, ASESORÍA E INVESTIGACIÓN ESPECIALIZADA</t>
  </si>
  <si>
    <t>EL ORO</t>
  </si>
  <si>
    <t>266_0007</t>
  </si>
  <si>
    <t>FISCALIZACIÓN E INSPECCIONES TÉCNICAS</t>
  </si>
  <si>
    <t>MACHALA</t>
  </si>
  <si>
    <t>HONORARIOS POR CONTRATOS CIVILES DE SERVICIOS</t>
  </si>
  <si>
    <t>ESMERALDAS</t>
  </si>
  <si>
    <t>DESARROLLO, ACTUALIZACIÓN, ASISTENCIA TÉCNICA Y SOPORTE DE SISTEMAS INFORMÁTICOS</t>
  </si>
  <si>
    <t>SAMBORONDÓN</t>
  </si>
  <si>
    <t>266_0005</t>
  </si>
  <si>
    <t>ARRENDAMIENTO Y LICENCIAS DE USO DE PAQUETES INFORMÁTICOS</t>
  </si>
  <si>
    <t>ARRENDAMIENTO DE EQUIPOS INFORMÁTICOS</t>
  </si>
  <si>
    <t>IMBABURA</t>
  </si>
  <si>
    <t xml:space="preserve">MANTENIMIENTO Y REPARACIÓN DE EQUIPOS Y SISTEMAS INFORMÁTICOS </t>
  </si>
  <si>
    <t>IBARRA</t>
  </si>
  <si>
    <t>ALIMENTOS Y BEBIDAS</t>
  </si>
  <si>
    <t>LOJA</t>
  </si>
  <si>
    <t>VESTUARIO, LENCERÍA, PRENDAS DE PROTECCIÓN Y ACCESORIOS PARA UNIFORMES DEL PERSONAL DE PROTECCIÓN, VIGILANCIA Y SEGURIDAD</t>
  </si>
  <si>
    <t>LUBRICANTES</t>
  </si>
  <si>
    <t>BABAHOYO</t>
  </si>
  <si>
    <t>MATERIALES DE OFICINA</t>
  </si>
  <si>
    <t>MATERIALES DE ASEO</t>
  </si>
  <si>
    <t>PORTOVIEJO</t>
  </si>
  <si>
    <t>266_0004</t>
  </si>
  <si>
    <t>MATERIALES DE IMPRESIÓN, FOTOGRAFÍA, REPRODUCCIÓN Y PUBLICACIONES</t>
  </si>
  <si>
    <t>INSTRUMENTAL MÉDICO MENOR</t>
  </si>
  <si>
    <t>MORONA</t>
  </si>
  <si>
    <t>MEDICAMENTOS</t>
  </si>
  <si>
    <t>MACAS</t>
  </si>
  <si>
    <t>DISPOSITIVOS MÉDICOS PARA LABORATORIO CLÍNICO Y DE PATOLOGÍA</t>
  </si>
  <si>
    <t>PICHINCHA</t>
  </si>
  <si>
    <t>INSUMOS, MATERIALES Y SUMINISTROS PARA CONSTRUCCIÓN, ELECTRICIDAD, PLOMERÍA, CARPINTERÍA, SEÑALIZACIÓN VIAL, NAVEGACIÓN, CONTRA INCENDIOS Y PLACAS</t>
  </si>
  <si>
    <t>QUITO</t>
  </si>
  <si>
    <t>MATERIALES DIDÁCTICOS</t>
  </si>
  <si>
    <t>TUNGURAHUA</t>
  </si>
  <si>
    <t>REPUESTOS Y ACCESORIOS</t>
  </si>
  <si>
    <t>AMBATO</t>
  </si>
  <si>
    <t>MENAJE Y ACCESORIOS DESCARTABLES</t>
  </si>
  <si>
    <t>SAN CRISTÓBAL</t>
  </si>
  <si>
    <t>INSUMOS, BIENES Y MATERIALES PARA PRODUCCIÓN DE PROGRAMAS DE RADIO, TELEVISIÓN, EVENTOS CULTURALES, ARTÍSTICOS Y ENTRETENIMIENTO EN GENERAL</t>
  </si>
  <si>
    <t>DISPOSITIVOS MÉDICOS DE USO GENERAL</t>
  </si>
  <si>
    <t>LAGO AGRIO</t>
  </si>
  <si>
    <t xml:space="preserve">INSUMOS MATERIALES SUMINISTROS Y BIENES PARA INVESTIGACION </t>
  </si>
  <si>
    <t>SANTO DOMINGO</t>
  </si>
  <si>
    <t xml:space="preserve">MOBILIARIO </t>
  </si>
  <si>
    <t xml:space="preserve">SANTO DOMINGO </t>
  </si>
  <si>
    <t>MAQUINARIAS Y EQUIPOS</t>
  </si>
  <si>
    <t>HERRAMIENTAS Y EQUIPOS MENORES</t>
  </si>
  <si>
    <t>EQUIPOS, SISTEMAS Y PAQUETES INFORMÁTICOS</t>
  </si>
  <si>
    <t>BIENES ARTÍSTICOS, CULTURALES, DEPORTIVOS Y SÍMBOLOS PATRIOS</t>
  </si>
  <si>
    <t>PARTES Y REPUESTOS</t>
  </si>
  <si>
    <t>TASAS GENERALES, IMPUESTOS, CONTRIBUCIONES, PERMISOS, LICENCIAS Y PATENTES</t>
  </si>
  <si>
    <t>CONTRIBUCIONES ESPECIALES Y DE MEJORA</t>
  </si>
  <si>
    <t>SEGUROS</t>
  </si>
  <si>
    <t>266 0001</t>
  </si>
  <si>
    <t>266 0003</t>
  </si>
  <si>
    <t>266 0004</t>
  </si>
  <si>
    <t>266 0005</t>
  </si>
  <si>
    <t>COMISIONES BANCARIAS</t>
  </si>
  <si>
    <t>COSTAS JUDICIALES, TRÁMITES NOTARIALES,  LEGALIZACIÓN DE DOCUMENTOS Y ARREGLOS EXTRAJUDICIALES</t>
  </si>
  <si>
    <t>EDICION IMPRESIÓN REPRODUCCION PUBLICACIONES SUSCRIPCIONES FOTOCOPIADO TRADUCCION EMPASTADO ENMARCACION SERIGRAFIA FOTOGRAFIA CARNETIZACION FILMACION E IMÁGENES SATELITALES</t>
  </si>
  <si>
    <t>CONSULTORÍA ASESORÍA E INVESTIGACIÓN ESPECIALIZADA</t>
  </si>
  <si>
    <t>SERVICIO DE AUDITORIA</t>
  </si>
  <si>
    <t>INSUMOS MATERIALES Y SUMINISTROS PARA CONSTRUCCIÓN-ELECTRICIDAD-PLOMERÍA-CARPINTERÍA-SEÑALIZACIÓN VIAL NAVEGACIÓN CONTRA INCENDIOS Y PLACAS</t>
  </si>
  <si>
    <t>266 0006</t>
  </si>
  <si>
    <t>266 0007</t>
  </si>
  <si>
    <t>266 9999</t>
  </si>
  <si>
    <t>MOBILIARIOS</t>
  </si>
  <si>
    <t>EQUIPOS SISTEMAS Y PAQUETES INFORMÁTICOS</t>
  </si>
  <si>
    <t>OBLIGACIONES DE EJERCICIOS ANTERIORES POR EGRESOS EN SERVICIOS</t>
  </si>
  <si>
    <t>51</t>
  </si>
  <si>
    <t>57</t>
  </si>
  <si>
    <t>99</t>
  </si>
  <si>
    <t>PLANTA CENTRAL</t>
  </si>
  <si>
    <t>COORDINACIÓN ZONAL</t>
  </si>
  <si>
    <t>COORDINACIÓN GENERAL ADMINISTRATIVA FINANCIERA</t>
  </si>
  <si>
    <t xml:space="preserve">DIRECCIÓN GENERAL </t>
  </si>
  <si>
    <t>SUBDIRECCIÓN TÉCNICA DE DOCTRINA</t>
  </si>
  <si>
    <t>SUBDIRECCIÓN TÉCNICA DE OPERACIONES</t>
  </si>
  <si>
    <t>SUBDIRECCIÓN TÉCNICA DE TECNOLOGÍA E INNOVACIÓN</t>
  </si>
  <si>
    <t>COORDINACIÓN ZONAL 1</t>
  </si>
  <si>
    <t>COORDINACIÓN ZONAL 2 - 9</t>
  </si>
  <si>
    <t>COORDINACIÓN ZONAL 3</t>
  </si>
  <si>
    <t>COORDINACIÓN ZONAL 4</t>
  </si>
  <si>
    <t>COORDINACIÓN ZONAL 5 - 8</t>
  </si>
  <si>
    <t>COORDINACIÓN ZONAL 6</t>
  </si>
  <si>
    <t>COORDINACIÓN ZONAL 7</t>
  </si>
  <si>
    <t xml:space="preserve">CAPITAL </t>
  </si>
  <si>
    <t>73</t>
  </si>
  <si>
    <t>84</t>
  </si>
  <si>
    <t>OE 1 Incrementar la calidad en la prestación del servicio de atención de emergencias a nivel nacional</t>
  </si>
  <si>
    <t>OE 1 Incrementar la calidad en la prestación del servicio de atención de emergencias a nivel nacional
OE 2 Incrementar la articulación interinstitucional en la prestación de servicios de atención de emergencias
OE 4 Fortalecer las capacidades instituciona</t>
  </si>
  <si>
    <t>OE 4 Fortalecer las capacidades institucionales (para la mejora continua del servicio)</t>
  </si>
  <si>
    <t>OE 3 Incrementar el posicionamiento del Servicio Integrado de Seguridad ECU 911 a nivel nacional e internacional</t>
  </si>
  <si>
    <t>Mantener la eficaz operación de la infraestructura base y de la plataforma tecnológica del Servicio Integrado de Seguridad ECU 911 a nivel nacional MEDIANTE la planificación, implementación y control, de normas, procesos y herramientas aplicadas, desarrollando y mejorando los servicios con recursos y componentes tecnológicos.</t>
  </si>
  <si>
    <t>Incrementar la eficiencia y eficacia de la prestación del servicio público de coordinación para la atención de emergencias ciudadanas que presta el SIS ECU 911 a nivel Nacional MEDIANTE la implementación de planes de mejora continua, seguimiento y control de ejecución de protocolos, procesos y procedimientos operativos.</t>
  </si>
  <si>
    <t xml:space="preserve">Incrementar la eficiencia de la gestión administrativa MEDIANTE la optimización del uso y rendimiento de los recursos 
</t>
  </si>
  <si>
    <t xml:space="preserve">Incrementar el  nivel de reputación e imagen institucional, MEDIANTE el diseño e implementación del Plan estratégico de comunicación aplicado y homologado a nivel nacional. 
</t>
  </si>
  <si>
    <t>Incrementar la mejora de los servicios tecnológicos del SIS ECU 911 MEDIANTE el desarrollo de proyectos de innovación y demás instrumentos relativos al mejoramiento de la prestación del servicio, fortalecimiento de la plataforma tecnológica y la incorporación de nuevos productos y servicios para el SIS ECU 911.</t>
  </si>
  <si>
    <t>Incrementar la eficiencia y eficacia en las relaciones y coordinaciones con las instituciones y organismos nacionales e internacionales vinculadas al SIS ECU 911 MEDIANTE el fortalecimiento del ciclo de coordinación interinstitucional en la prestación de servicios de emergencia y la implementación de los compromisos y acuerdos interinstitucionales.</t>
  </si>
  <si>
    <t xml:space="preserve">Incrementar la eficiencia y la eficacia de la gestión de Administración del Recurso Humano MEDIANTE el desarrollo de mecanismos y planes que permitan optimizar el desempeño laboral en base al cumplimiento de la normativa legal vigente. </t>
  </si>
  <si>
    <t xml:space="preserve">OE 1 INCREMENTAR LA CALIDAD EN LA PRESTACIÓN DEL SERVICIO DE ATENCIÓN DE EMERGENCIAS A NIVEL NACIONAL
OE 2 INCREMENTAR LA ARTICULACIÓN INTERINSTITUCIONAL EN LA PRESTACIÓN DE SERVICIOS DE ATENCIÓN DE EMERGENCIAS
OE 4 FORTALECER LAS CAPACIDADES INSTITUCIONALES (PARA LA MEJORA CONTINUA DEL SERVICIO)
</t>
  </si>
  <si>
    <t>Incrementar la calidad de la generación de información estadística de manera oportuna MEDIANTE el desarrollo y mejora de reportes estadísticos y estudios relacionados con los hechos generadores de situaciones de emergencia para la toma de decisiones.</t>
  </si>
  <si>
    <t xml:space="preserve">Incrementar la eficiencia en la gestión financiera MEDIANTE el fortalecimiento de las metodologías, mejoramiento de procesos financieros internos, aplicación de normativas y regulaciones vigentes. </t>
  </si>
  <si>
    <t xml:space="preserve">Incrementar la eficiencia de la administración de documentos institucionales MEDIANTE la evaluación, simplificación, mejora, control de procesos, generación de lineamientos y capacitación del personal en manejo de la información y herramientas tecnológicas de gestión documental y archivo. 
</t>
  </si>
  <si>
    <t xml:space="preserve">Incrementar la eficiencia en la gestión legal MEDIANTE la evaluación, simplificación, mejora y control de los procesos y servicios de asesoría jurídica institucional, así como también de la atención oportuna y acertada a los requerimientos efectuados por parte de los usuarios internos, externos y la actualización del personal en ámbitos jurídicos.
</t>
  </si>
  <si>
    <t xml:space="preserve">OE 1 INCREMENTAR LA CALIDAD EN LA PRESTACIÓN DEL SERVICIO DE ATENCIÓN DE EMERGENCIAS A NIVEL NACIONAL
OE 2 INCREMENTAR LA ARTICULACIÓN INTERINSTITUCIONAL EN LA PRESTACIÓN DE SERVICIOS DE ATENCIÓN DE EMERGENCIAS
</t>
  </si>
  <si>
    <t xml:space="preserve">INCREMENTAR EL NIVEL DE REPUTACIÓN E IMAGEN INSTITUCIONAL, MEDIANTE EL DISEÑO E IMPLEMENTACIÓN DEL PLAN ESTRATÉGICO DE COMUNICACIÓN APLICADO Y HOMOLOGADO A NIVEL NACIONAL. </t>
  </si>
  <si>
    <t>ADMINISTRACIÓN Y GESTIÓN</t>
  </si>
  <si>
    <t>CONTRATACIÓN DEL SERVICIO DE CORRESPONDENCIA PARA LA COORDINACIÓN ZONAL 6 SIS ECU 911</t>
  </si>
  <si>
    <t>CONTRATACIÓN DEL SERVICIO DE TRANSPORTE PARA EL PERSONAL OPERATIVO DE LA CZ6 SIS ECU 911</t>
  </si>
  <si>
    <t>CONTRATACIÓN DEL SERVICIO DE RECARGA DE EXTINTORES</t>
  </si>
  <si>
    <t>CONTRATACIÓN DEL SERVICIO DE IMPRESIÓN DE MATERIAL POP PARA LAS ACTIVIDADES DE VINCULACIÓN DE LA COORDINACIÓN ZONAL 6 SIS ECU 911</t>
  </si>
  <si>
    <t>CONTRATACIÓN DEL SERVICIO DE IMPRESIÓN DE MATERIAL EDUCOMUNICACIONAL PARA LAS ACTIVIDADES DE VINCULACIÓN DE LA CZ6 SIS ECU 911</t>
  </si>
  <si>
    <t>CONTRATACIÓN DEL SERVICIO DE VIGILANCIA, SEGURIDAD ARMADA Y SUPERVISADA, PARA CUSTODIAR Y PROTEGER EL PATRIMONIO INSTITUCIONAL DE LA COORDINACIÓN ZONAL 6 SERVICIO INTEGRADO DE SEGURIDAD ECU 911 CUENCA Y MACAS</t>
  </si>
  <si>
    <t>CONTRATACIÓN DEL SERVICIO DE LIMPIEZA DEL EDIFICIO DE LA COORDINACIÓN ZONAL 6</t>
  </si>
  <si>
    <t>CANCELACIÓN DEL  SERVICIO DE RECOLECCIÓN DE BASURA  DEL EDIFICIO DE LA COORDINACIÓN ZONAL 6</t>
  </si>
  <si>
    <t>CONTRATACIÓN DEL SERVICIO DE FUMIGACIÓN DEL EDIFICIO</t>
  </si>
  <si>
    <t>SERVICIO DE GUARDERIA PARA LOS HIJOS MENORES DE 5 AÑOS DE LOS FUNCIONARIOS DE LA COORDINACIÓN ZONAL 6 ECU 911 CUENCA Y MACAS</t>
  </si>
  <si>
    <t xml:space="preserve">SERVICIO DE RASTREO SATELITAL PARA REALIZAR EL MONITOREO DE LOS VEHÍCULOS DE LA CZ6 SIS ECU 911 CUECA - MACAS </t>
  </si>
  <si>
    <t>ADQUISICIÓN DE COMBUSTIBLE PARA EL PARQUE AUTOMOTOR DE LA CZ6 SIS ECU 911</t>
  </si>
  <si>
    <t>CONTRATACIÓN DEL SERVICIO PARA LA PROVISIÓN DE COMBUSTIBLE PARA LOS VEHÍCULOS DE LA COORDINACIÓN ZONAL 6 SI ECU 911</t>
  </si>
  <si>
    <t>ADQUISICIÓN DE COMBUSTIBLE PARA LOS GENERADORES DE LA CZ6 SIS ECU 911</t>
  </si>
  <si>
    <t>CONTRATACIÓN DEL SERVICIO PARA LA PROVISIÓN DE COMBUSTIBLE PARA LOS GENERADORES DE LA COORDINACIÓN ZONAL 6 SIS ECU 911</t>
  </si>
  <si>
    <t>REEMBOLSO POR COMPRA DE COMBUSTIBLE EN COMISIONES DE LA CZ6 SIS ECU 911</t>
  </si>
  <si>
    <t>CONTRATACIÓN DE UNA AGENCIA DE VIAJES QUE BRINDE EL SERVICIO DE EMISIÓN PASAJES AÉREOS NACIONALES PARA LA COORDINACIÓN ZONAL 6 SERVICIO INTEGRADO DE SEGURIDAD ECU 911</t>
  </si>
  <si>
    <t>REEMBOLSO POR PAGO DE PASAJES AL INTERIOR A FUNCIONARIOS DE LA COORDINACIÓN ZONAL 6 SIS ECU 911</t>
  </si>
  <si>
    <t>PAGO DE VIÁTICOS DEL PERSONAL DE LA COORDINACIÓN ZONAL 6 SIS ECU 911</t>
  </si>
  <si>
    <t>REPOSICIÓN DE CAJA CHICA</t>
  </si>
  <si>
    <t>CONTRATACIÓN DEL SERVICIO DE MANTENIMIENTO PREVENTIVO Y CORRECTIVO DEL SISTEMA ELÉCTRICO DEL EDIFICIO DE LA COORDINACIÓN ZONAL 6 SIS ECU 911 Y CENTRO OPERATIVO LOCAL MACAS</t>
  </si>
  <si>
    <t>CONTRATACIÓN DEL SERVICIO DE MANTENIMIENTO PREVENTIVO Y CORRECTIVO DE LOS EQUIPOS Y SISTEMAS DE CLIMATIZACIÓN DE LA COORDINACIÓN ZONAL 6 SERVICIO INTEGRADO DE SEGURIDAD ECU 911 Y CENTRO OPERATIVO LOCAL MACAS</t>
  </si>
  <si>
    <t>CONTRATACIÓN DEL SERVICIO DE MANTENIMIENTO PREVENTIVO Y CORRECTIVO DEL SISTEMA DE DETECCIÓN Y EXTINCIÓN DEL SISTEMA CONTRA INCENDIOS Y CÁMARAS INTERNAS (CCTV) DE LA COORDINACIÓN ZONAL 6 SIS ECU 911 Y CENTRO OPERATIVO LOCAL MACAS</t>
  </si>
  <si>
    <t>CONTRATACIÓN DEL SERVICIO DE MANTENIMIENTO PREVENTIVO Y CORRECTIVO DEL EDIFICIO DE LA CZ6 SIS ECU 911</t>
  </si>
  <si>
    <t>CONTRATACIÓN DEL SERVICIO DE MANTENIMIENTO DEL ASCENSOR DEL EDIFICIO DE LA COORDINACIÓN ZONAL 6 SIS ECU 911 CUENCA Y CENTRO OPERATIVO LOCAL MACAS</t>
  </si>
  <si>
    <t>CONTRATACIÓN DEL SERVICIO DE MANTENIMIENTO CORRECTIVO DE LAS SILLAS ERGONÓMICAS DE LAS SALAS OPERATIVAS DE LA COORDINACIÓN ZONAL 6 SERVICIO INTEGRADO DE SEGURIDAD ECU 911</t>
  </si>
  <si>
    <t>CONTRATACIÓN DEL SERVICIO DE MANTENIMIENTO PARA VEHÍCULOS DE LA CZ6 SIS ECU 911</t>
  </si>
  <si>
    <t>ADQUISICIÓN DE MASCARILLAS DESECHABLES PARA LA COORDINACIÓN ZONAL 6 SIS ECU 911</t>
  </si>
  <si>
    <t>ADQUISICIÓN DE PRENDAS DE PROTECCIÓN PARA LA UNIDAD MÉDICA DE LA COORDINACIÓN ZONAL 6 SIS ECU 911</t>
  </si>
  <si>
    <t>ADQUISICIÓN DE LUBRICANTES Y ADITIVOS PARA EL MANTENIMIENTO DE LOS VEHÍCULOS DE LA CZ6 SIS ECU 911</t>
  </si>
  <si>
    <t>ADQUISICIÓN DE MATERIALES DE OFICINA PARA LA CZ6 SIS ECU 911 Y CENTRO OPERATIVO LOCAL MACAS - ÍNFIMA CUANTIA</t>
  </si>
  <si>
    <t>ADQUISICIÓN DE MATERIALES DE OFICINA PARA LA CZ6 SIS ECU 911 Y CENTRO OPERATIVO LOCAL MACAS</t>
  </si>
  <si>
    <t>ADQUISICIÓN DE MATERIALES DE ASEO PARA LA CZ6 SIS ECU 911 Y CENTRO OPERATIVO LOCAL MACAS</t>
  </si>
  <si>
    <t>ADQUISICIÓN DE MATERIALES DE ASEO PARA LA CZ6 SIS ECU 911 Y CENTRO OPERATIVO LOCAL MACAS - INFIMA CUANTIA</t>
  </si>
  <si>
    <t>ADQUISICIÓN DE BASUREROS METÁLICOS PARA LA COORDINACIÓN ZONAL 6 SIS ECU 911</t>
  </si>
  <si>
    <t>ADQUISICIÓN DE TONNERS Y CINTAS PARA LAS IMPRESORAS DE LA CZ6 Y CENTRO OPERATIVO LOCAL MACAS</t>
  </si>
  <si>
    <t>ADQUISICIÓN DE MEDICAMENTOS E INSUMOS MÉDICOS DE USO GENERAL PARA LA UNIDAD MÉDICA DE LA COORDINACIÓN ZONAL 6 SIS ECU 911</t>
  </si>
  <si>
    <t>ADQUISICIÓN DE INSUMOS, MATERIALES Y SUMINISTROS PARA MANTENIMIENTO PREVENTIVO Y CORRECTIVO DEL SISTEMA ELÉCTRICO DEL EDIFICIO DE LA COORDINACIÓN ZONAL Y CENTRO OPERATIVO LOCAL MACAS</t>
  </si>
  <si>
    <t>ADQUISICIÓN DE INSUMOS PARA EL MANTENIMIENTO PREVENTIVO Y CORRECTIVO DEL SISTEMA DE DETECCIÓN Y EXTINCIÓN DEL SISTEMA CONTRA INCENDIOS Y CÁMARAS INTERNAS (CCTV)</t>
  </si>
  <si>
    <t>ADQUISICIÓN DE 10 SOPORTES PARA TV PARA LA COORDINACIÓN ZONAL 6 SIS ECU 911</t>
  </si>
  <si>
    <t>ADQUISICIÓN DE REPUESTOS PARA EL SERVICIO DE MANTENIMIENTO PREVENTIVO Y CORRECTIVO DEL SISTEMA ELÉCTRICO DEL EDIFICIO DE LA COORDINACIÓN ZONAL</t>
  </si>
  <si>
    <t>ADQUISICIÓN DE REPUESTOS Y ACCESORIOS PARA EL MANTENIMIENTO PREVENTIVO Y CORRECTIVO DEL SISTEMA DE DETECCIÓN Y EXTINCIÓN DEL SISTEMA CONTRA INCENDIOS Y CÁMARAS INTERNAS (CCTV)</t>
  </si>
  <si>
    <t>ADQUISICIÓN DE REPUESTOS Y ACCESORIOS PARA EL MANTENIMIENTO DE VEHÍCULOS DE LA CZ6 SIS ECU 911</t>
  </si>
  <si>
    <t xml:space="preserve">ADQUISICIÓN DE REPUESTOS PARA EL MANTENIMIENTO DE LOS EQUIPOS DE CLIMATIZACIÓN DE LA COORDINACIÓN ZONAL 6 SIS ECU 911 Y CENTRO OPERATIVO LOCAL MACAS </t>
  </si>
  <si>
    <t>ADQUISICIÓN DE BASES PARA EQUIPOS PORTÁTILES PARA LA COORDINACIÓN ZONAL 6 SIS ECU 911 CUENCA – MACAS</t>
  </si>
  <si>
    <t>ADQUISICIÓN DE MOBILIARIO (VITRINA PARA MEDICAMENTOS Y COCHE DE CURACIONES) PARA LA UNIDAD MÉDICA DE LA COORDINACIÓN ZONAL 6 SIS ECU 911</t>
  </si>
  <si>
    <t>ADQUISICIÓN DE SECADORES DE MANOS PARA LOS BAÑOS DE LA COORDINACIÓN ZONAL 6 SIS ECU 911</t>
  </si>
  <si>
    <t>ADQUISICIÓN DE CARPAS METÁLICAS PARA LAS ACTIVIDADES DE VINCULACIÓN DE LA COORDINACIÓN ZONAL 6 SIS ECU 911</t>
  </si>
  <si>
    <t>ADQUISICIÓN DE INFLABLES Y DANZADORES PARA LAS ACTIVIDADES DE VINCULACIÓN DE LA COORDINACIÓN ZONAL 6 SIS ECU 911</t>
  </si>
  <si>
    <t>ADQUISICIÓN DE EQUIPOS MÉDICOS PARA LA UNIDAD MÉDICA DE LA COORDINACIÓN ZONAL 6 SIS ECU 913</t>
  </si>
  <si>
    <t>CANCELACIÓN DE IMPUESTOS, MATRICULACIÓN VEHICULAR Y REEMBOLSO DE PEAJES DE LA COORDINACIÓN ZONAL 6 SIS ECU 911</t>
  </si>
  <si>
    <t>CANCELACIÓN DE GASTOS POR TRÁMITES NOTARIALES, LEGALIZACIÓN DE DOCUMENTOS Y ARREGLOS EXTRAJUDICIALES</t>
  </si>
  <si>
    <t>PAGO DE GLOSA POR RESPONSABILIDAD PATRONAL AL INSTITUTO ECUATORIANO DE SEGURIDAD SOCIAL</t>
  </si>
  <si>
    <t>CONTRATACIÓN DEL SERVICIO DE IMPRESIÓN DE MATERIAL ACADÉMICO PARA LOS CURSOS PRESENCIALES DEL SISTEMA DE COMANDO DE INCIDENTES BÁSICO PARA LA COORDINACIÓN ZONAL 6 SIS ECU 911 Y CENTRO OPERATIVO LOCAL MACAS</t>
  </si>
  <si>
    <t>ADQUISICIÓN DE PORTA GAFETES PARA EL CURSO PRESENCIAL DEL SISTEMA DE COMANDO DE INCIDENTES BÁSICO PARA LA COORDINACIÓN ZONAL 6 SIS ECU 911 Y CENTRO OPERATIVO LOCAL MACAS</t>
  </si>
  <si>
    <t>CONTRATACIÓN DEL SERVICIO DE ENLACE DE DATOS, TELEFONÍA SIP, INTERNET PARA LA COORDINACIÓN ZONAL 6 SERVICIO INTEGRADO DE SEGURIDAD ECU 911</t>
  </si>
  <si>
    <t>CONTRATACIÓN DEL SERVICIO DE PINTADO DE POSTES DE VIDEO VIGILANCIA DE LA COORDINACIÓN ZONAL 6 DEL SERVICIO INTEGRADO DE SEGURIDAD ECU 911 (CENTRO ZONAL CUENCA Y CENTRO OPERATIVO LOCAL MACAS)</t>
  </si>
  <si>
    <t>CONTRATACION DEL SERVICIO DE ARRENDAMIENTO DE CAMARAS TIPO PTZ PARA LA COORDINACION ZONAL6 DEL SERVICIO INTEGRADO DE SEGURIDAD ECU 911</t>
  </si>
  <si>
    <t>SERVICIO DE SEGURIDAD ENDPOINT COORDINACIÓN ZONAL 6 Y CENTRO OPERATIVO LOCAL MACAS</t>
  </si>
  <si>
    <t>SEGURIDAD PERIMETRAL ENERO A DICIEMBRE 2022</t>
  </si>
  <si>
    <t>ADQUISICIÓN DE LICENCIAS ANTIVIRUS ADMINISTRATIVAS ENERO A DICIEMBRE</t>
  </si>
  <si>
    <t>ADQUISICIÓN DE LICENCIAS OPERATIVAS AGOSTO A DICIEMBRE 2022</t>
  </si>
  <si>
    <t>CONTRATACIÓN DEL SERVICIO DE MANTENIMIENTO DE AUDIO Y VIDEO DE LA SALA DE CRISIS Y SALA DE REUNIONES AZOGUES DE LA COORDINACIÓN ZONAL 6</t>
  </si>
  <si>
    <t>ADQUISICIÓN DE EQUIPOS INFORMÁTICOS, PARTES Y REPUESTOS PARA LA SALA DESCONCENTRADA DE AZOGUES DE LA COORDINACIÓN ZONAL 6 SIS ECU 911 (POR VIGENCIA TECNOLÓGICA 2023)</t>
  </si>
  <si>
    <t>CONTRATACIÓN DEL SERVICIO DE MANTENIMIENTO DE PUNTOS DE VIDEO VIGILANCIA DE LA COORDINACIÓN ZONAL 6 Y CENTRO OPERATIVO LOCAL MACAS</t>
  </si>
  <si>
    <t>CONTRATACION DEL SERVICIO DE MANTENIMIENTO DE EQUIPOS DE AUDIO Y VIDEO DE LA SALA DE CRISIS DE LA COORDINACION ZONAL 6 DEL SERVICIO INTEGRADO DE SEGURIDAD ECU 911</t>
  </si>
  <si>
    <t>ADQUISICIÓN DE REPUESTOS, INSUMOS, MATERIALES Y SUMINISTROS PARA EL ÁREA DE TECNOLOGÍA DE LA COORDINACIÓN ZONAL 6 DEL SERVICIO INTEGRADO DE SEGURIDAD ECU 911</t>
  </si>
  <si>
    <t>ADQUISICIÓN DE DISCOS DUROS PARA SERVIDORES Y STORAGE PARA LA COORDIANCIÓN ZONAL 6 DEL SERVICIO INTEGRADO DE SEGURIDAD ECU 911 Y CENTRO LOCAL MACAS</t>
  </si>
  <si>
    <t>ADQUISICION DE DISPOSITIVOS DE ALMACENAMIENTO PARA STORAGE DE LA COORDINACION ZONAL 6 DEL SERVICIO INTEGRADO DE SEGURIDAD ECU 911</t>
  </si>
  <si>
    <t xml:space="preserve">ADQUISICIÓN EQUIPOS MENORES, PARTES Y REPUESTOS PARA EQUIPOS DE COMPUTACIÓN, RADIO COMUNICACIÓN, SISTEMA DE VIDEO VIGILANCIA, ALMACENAMIENTO Y CARGADORES DE RADIO COMUNICACIÓN PARA LA COORDINACIÓN ZONAL 6 </t>
  </si>
  <si>
    <t xml:space="preserve">ADQUISICIÓN EQUIPOS MENORES, PARTES Y REPUESTOS PARA EQUIPOS DE COMPUTACIÓN, RADIO COMUNICACIÓN, SISTEMA DE VIDEO VIGILANCIA, ALMACENAMIENTO Y CARGADORES DE RADIO COMUNICACIÓN PARA LA COORDINACIÓN ZONAL 6  </t>
  </si>
  <si>
    <t xml:space="preserve">ADQUISICIÓN DE EQUIPOS MENORES, PARTES Y REPUESTOS PARA EQUIPOS DE COMPUTACIÓN, RADIO COMUNICACIÓN, SISTEMA DE VIDEO VIGILANCIA, ALMACENAMIENTO Y CARGADORES DE RADIO COMUNICACIÓN PARA LA COORDINACIÓN ZONAL 6 </t>
  </si>
  <si>
    <t>ADQUISICIÓN DE EQUIPOS PORTÁTILES PARA LA COORDINACION ZONAL6 DEL SERVICIO INTEGRADO DE SEGURIDAD ECU 911</t>
  </si>
  <si>
    <t>ADQUISICIÓN DE MONITORES PARA LA COORDINACIÓN ZONAL 6 DEL SERVICIO INTEGRADO DE SEGURIDAD ECU 911</t>
  </si>
  <si>
    <t>CONTRATACIÓN DEL SERVICIO DE TRANSPORTE PARA EL PERSONAL OPERATIVO DEL CENTRO OPERATIVO LOCAL ECU 911 MACAS</t>
  </si>
  <si>
    <t>CONTRATACIÓN DEL SERVICIO DE RECARGA DE EXTINTORES PARA EL CENTRO OPERATIVO LOCAL ECU 911 MACAS</t>
  </si>
  <si>
    <t>SERVICIO DE BRANDEO INSTITUCIONAL PARA EL CENTRO OPERATIVO LOCAL ECU 911 MACAS</t>
  </si>
  <si>
    <t>CONTRATACIÓN DEL SERVICIO DE LIMPIEZA PARA EL CENTRO OPERATIVO LOCAL ECU 911 MACAS</t>
  </si>
  <si>
    <t>DEVOLUCIÓN DEL VALOR DE COMBUSTIBLE PARA LOS CONDUCTORES DEL CENTRO OPERATIVO LOCAL MACAS DEL SISTEMA INTEGRADO DE SEGURIDAD ECU 911</t>
  </si>
  <si>
    <t>ADQUISICIÓN DE COMBUSTIBLE PARA EL PARQUE AUTOMOTOR DEL COL ECU 911 MACAS</t>
  </si>
  <si>
    <t xml:space="preserve">ADQUISICIÓN DE COMBUSTIBLE PARA GENERADORES DEL CENTRO LOCAL ECU 911 MACAS </t>
  </si>
  <si>
    <t>CANCELACIÓN DE VIÁTICOS, PASAJES Y PEAJES PARA LOS FUNCIONARIOS QUE REALICEN COMISIONES DEL CENTRO OPERATIVO LOCAL MACAS SIS ECU 911</t>
  </si>
  <si>
    <t>CONTRATACIÓN DEL SERVICIO DE MANTENIMIENTO DEL ASCENSOR  PARA EL CENTRO OPERATIVO LOCAL ECU 911 MACAS</t>
  </si>
  <si>
    <t>CONTRATACIÓN DEL SERVICIO DE MANTENIMIENTO DEL SISTEMA DE CLIMATIZACIÓN PARA EL CENTRO OPERATIVO LOCAL ECU 911 MACAS</t>
  </si>
  <si>
    <t>CONTRATACIÓN DEL SERVICIO DE MANTENIMIENTO DEL SISTEMA CONTRA INCENDIOS, SISTEMA DE ACCESO Y CCTV PARA EL CENTRO OPERATIVO LOCAL ECU 911 MACAS</t>
  </si>
  <si>
    <t>ADECUACION DE UN ESPACIO PARA EL LACTARIO DEL CENTRO OPERATIVO LOCAL SIS ECU 911 MACAS</t>
  </si>
  <si>
    <t>CONTRATACIÓN DEL SERVICIO DE MANTENIMIENTO DEL SISTEMA ELÉCTRICO PARA EL CENTRO OPERATIVO LOCAL ECU 911 MACAS</t>
  </si>
  <si>
    <t>ADECUACION DE LAS OFICINAS Y ESPACIOS INTERNOS DEL CENTRO OPERATIVO LOCAL ECU 911 MACAS</t>
  </si>
  <si>
    <t>CONTRATACIÓN DEL MANTENIMIENTO DEL MOBILIARIO DEL CENTRO OPERATIVO LOCAL ECU 911 MACAS</t>
  </si>
  <si>
    <t>CONTRATACIÓN DEL SERVICIO DE MANTENIMIENTO DEL PARQUE AUTOMOTOR Y MOTOCICLETA DEL CENTRO OPERATIVO LOCAL ECU 911 MACAS</t>
  </si>
  <si>
    <t>CONTRATACIÓN DEL SERVICIO DE MANTENIMIENTO DEL PARQUE AUTOMOTOR DEL CENTRO OPERATIVO LOCAL ECU 911 MACAS</t>
  </si>
  <si>
    <t>CONTRATACIÓN DEL SERVICIO DE MANTENIMIENTO DE MOTOCICLETA DEL CENTRO OPERATIVO LOCAL ECU 911 MACAS</t>
  </si>
  <si>
    <t>CONTRATACIÓN DEL SERVICIO DE MANTENIMIENTO DEL VEHICULO SUZUKI GRAND VITARA PLACAS PEI8000</t>
  </si>
  <si>
    <t>CONTRATACIÓN DE MANTENIMIENTO DE LAS IMPRESORAS DEL CENTRO OPERATIVO LOCAL ECU 911 MACAS</t>
  </si>
  <si>
    <t>ADQUISICIÓN DE COMBUSTIBLE PARA EL PARQUE AUTOMOTOR DEL CENTRO OPERATIVO LOCAL ECU 911 MACAS</t>
  </si>
  <si>
    <t>ADQUISICIÓN DE LUBRICANTES Y ADITIVOS PARA EL MANTENIMIENTO DE VEHÍCULOS Y MOTOCICLETA  DEL CENTRO OPERATIVO LOCAL ECU 911 MACAS</t>
  </si>
  <si>
    <t>ADQUISICIÓN DE COMBUSTIBLE PARA GENERADORES DEL CENTRO OPERATIVO LOCAL ECU 911 MACAS</t>
  </si>
  <si>
    <t>ADQUISICIÓN DE MATERIALES DE OFICINA PARA EL CENTRO OPERATIVO LOCAL ECU 911 MACAS</t>
  </si>
  <si>
    <t>ADQUISICIÓN DE MATERIALES DE ASEO PARA EL CENTRO OPERATIVO LOCAL ECU 911 MACAS</t>
  </si>
  <si>
    <t>ADQUISICIÓN DE INSUMOS PARA TRABAJOS DE MANTENIMIENTO DEL CENTRO OPERATIVO LOCAL ECU 911 MACAS</t>
  </si>
  <si>
    <t>ADQUISICIÓN DE REPUESTOS Y ACCESORIOS PARA EL MANTENIMIENTO DEL PARQUE AUTOMOTOR DEL CENTRO OPERATIVO LOCAL ECU 911 MACAS</t>
  </si>
  <si>
    <t>ADQUISICIÓN DE REPUESTOS Y ACCESORIOS PARA EL MANTENIMIENTO DE MOTOCICLETA DEL CENTRO OPERATIVO LOCAL ECU 911 MACAS</t>
  </si>
  <si>
    <t>ADQUISICIÓN DE REPUESTOS Y ACCESORIOS PARA EL MANTENIMIENTO DEL SISTEMA DE CLIMATIZACIÓN PARA EL CENTRO OPERATIVO LOCAL ECU 911 MACAS</t>
  </si>
  <si>
    <t>ADQUISICIÓN DE REPUESTOS Y ACCESORIOS PARA EL MANTENIMIENTO DEL SISTEMA CONTRA INCENDIOS, SISTEMA DE ACCESO Y CCTV PARA EL CENTRO OPERATIVO LOCAL ECU 911 MACAS</t>
  </si>
  <si>
    <t xml:space="preserve">ADQUISICION DE REPUESTOS PARA LA IMPRESORA RICOH MP3053 DEL CENTRO OPERATIVO LOCAL SIS ECU 911 MACAS </t>
  </si>
  <si>
    <t xml:space="preserve"> ADQUISICIÓN DE REPUESTOS PARA EQUIPOS INFORMATICOS DE PROPIEDAD DEL CENTRO LOCAL ECU 911 MACAS </t>
  </si>
  <si>
    <t>ADQUISICIÓN DE HERRAMIENTAS Y EQUIPOS MENORES PARA EL SISTEMA CONTRA INCENDIOS DEL CENTRO OPERATIVO LOCAL ECU 911 MACAS</t>
  </si>
  <si>
    <t>ADQUISICION DE UNA BANDERA PARA USO INTERNO EL CENTRO OPERATIVO LOCAL ECU 911 MACAS</t>
  </si>
  <si>
    <t>CANCELACIÓN DE MATRICULACIÓN VEHICULAR, RODAJE, ESPECIES, IMPUESTOS, PERMISOS DE FUNCIONAMIENTO, Y DEVOLUCIÓN DE  PEAJES PARA LOS FUNCIONARIOS QUE REALICEN COMISIONES DEL CENTRO OPERATIVO LOCAL MACAS SIS ECU 911</t>
  </si>
  <si>
    <t>CONTRATACIÓN DEL SERVICIO DE TELEFONÍA FIJA, ENLACE  DE DATOS, INTERNET, SERVICIOS MÓVILES DEL CENTRO OPERATIVO LOCAL ECU 911</t>
  </si>
  <si>
    <t>CONTRATACIÓN DEL SERVICIO DE SOSTENIMIENTO TECNOLÓGICO DE SITIOS DE VIDEO MONITOREO DEL CENTRO LOCAL MACAS</t>
  </si>
  <si>
    <t>SERVICIO DE AGUA POTABLE DEL CENTRO ZONAL PORTOVIEJO</t>
  </si>
  <si>
    <t>SERVICIO DE ENERGÍA ELÉCTRICA PARA EL CENTRO ZONAL PORTOVIEJO</t>
  </si>
  <si>
    <t>SERVICIO DE CORRESPONDENCIA Y CARGA A NIVEL NACIONAL PARA LA COORDINACIÓN ZONAL - 4 SERVICIO INTEGRADO DE SEGURIDAD ECU 911</t>
  </si>
  <si>
    <t>SERVICIO DE TRANSPORTE PARA EL PERSONAL OPERATIVO DEL CENTRO ZONAL PORTOVIEJO</t>
  </si>
  <si>
    <t>SERVICIO DE RECARGA DE EXTINTORES ANUAL PARA LA COORDINACIÓN ZONAL – 4 SERVICIO INTEGRADO DE SEGURIDAD ECU 911</t>
  </si>
  <si>
    <t>SERVICIO DE IMPRESIÓN DE MATERIAL DE POSICIONAMIENTO E IDENTIDAD INSTITUCIONAL PARA PARA LA EJECUCIÓN DE ACTIVIDADES DE VINCULACIÓN CON LA COMUNIDAD DE LA COORDINACIÓN ZONAL – 4 SERVICIO INTEGRADO DE SEGURIDAD ECU 911</t>
  </si>
  <si>
    <t>SERVICIO DE BRANDEO PUBLICITARIO E IMPRESIÓN DE SEÑALÉTICA PARA LA COORDINACIÓN ZONAL 4 SERVICIO INTEGRADO DE SEGURIDAD ECU 911.</t>
  </si>
  <si>
    <t>SERVICIO DE VIGILANCIA, SEGURIDAD ARMADA Y SUPERVISADA PARA LA COORDINACIÓN ZONAL - 4 SERVICIO INTEGRADO DE SEGURIDAD ECU 911</t>
  </si>
  <si>
    <t>SERVICIO DE LIMPIEZA DE INTERIORES Y EXTERIORES TIPO III PARA EL CENTRO ZONAL PORTOVIEJO</t>
  </si>
  <si>
    <t>SERVICIO DE LIMPIEZA DE INTERIORES Y EXTERIORES TIPO III PARA EL CENTRO ZONAL PORTOVIEJO, JULIO-DICIEMBRE 2023</t>
  </si>
  <si>
    <t>CANCELACIÓN POR SERVICIO DE GUARDERÍA PARA LOS HIJOS MENORES DE 5 AÑOS DE LOS SERVIDORES DE LA COORDINACIÓN ZONAL 4 SERVICIO INTEGRADO DE SEGURIDAD ECU 911 CENTRO ZONAL PORTOVIEJO</t>
  </si>
  <si>
    <t>SERVICIO DE RASTREO SATELITAL PARA LOS VEHÍCULOS DE LA COORDINACIÓN ZONAL - 4 SERVICIO INTEGRADO DE SEGURIDAD ECU 911</t>
  </si>
  <si>
    <t>SERVICIO DE PROVISIÓN DE COMBUSTIBLE PARA LA FLOTA VEHICULAR DEL SERVICIO INTEGRADO DE SEGURIDAD ECU 911 Y GENERADORES DEL CENTRO ZONAL PORTOVIEJO</t>
  </si>
  <si>
    <t>PAGO DE VIÁTICOS, REINTEGRO POR PAGO DE PASAJES AL INTERIOR, REEMBOLSO POR PAGO DE COMBUSTIBLE POR COMISIÓN DE SERVICIOS AL PERSONAL DEL CENTRO ZONAL PORTOVIEJO</t>
  </si>
  <si>
    <t>PAGO DE VIÁTICOS, REINTEGRO POR PAGO DE PASAJES AL INTERIOR, REEMBOLSO POR PAGO DE COMBUSTIBLE Y PEAJES POR COMISIÓN DE SERVICIOS AL PERSONAL DEL CENTRO ZONAL PORTOVIEJO</t>
  </si>
  <si>
    <t>SERVICIO DE IMPLEMENTACIÓN DE CUBIERTA METÁLICA PARA EL PARQUEADERO DEL CENTRO ZONAL PORTOVIEJO</t>
  </si>
  <si>
    <t>MANTENIMIENTO DE LOS ASCENSORES DEL CENTRO ZONAL Y LOCAL DE LA COORDINACIÓN ZONAL - 4 SERVICIO INTEGRADO DE SEGURIDAD ECU 911</t>
  </si>
  <si>
    <t>SERVICIO DE MANTENIMIENTO PREVENTIVO Y CORRECTIVO DE LOS EQUIPOS Y SISTEMAS ELÉCTRICOS DEL CENTRO ZONAL PORTOVIEJO</t>
  </si>
  <si>
    <t>SERVICIO DE MANTENIMIENTO PREVENTIVO Y CORRECTIVO DE LOS EQUIPOS DE CLIMATIZACIÓN DEL CENTRO ZONAL PORTOVIEJO</t>
  </si>
  <si>
    <t>SERVICIO DE MANTENIMIENTO PREVENTIVO Y CORRECTIVO DEL SISTEMA CONTRA INCENDIOS DEL CENTRO ZONAL PORTOVIEJO</t>
  </si>
  <si>
    <t>SERVICIO DE MANTENIMIENTO PREVENTIVO Y CORRECTIVO DE LAS PUERTAS ELECTRÓNICAS DEL CENTRO ZONAL PORTOVIEJO</t>
  </si>
  <si>
    <t>SERVICIO DE MANTENIMIENTO AL SISTEMA SANITARIO Y PISOS DEL CENTRO ZONAL PORTOVIEJO</t>
  </si>
  <si>
    <t>SERVICIO DE MANTENIMIENTO PREVENTIVO Y CORRECTIVO DE LAS BARRERAS VEHICULAR DE LA COORDINACIÓN ZONAL - 4 SERVICIO INTEGRADO DE SEGURIDAD ECU 911</t>
  </si>
  <si>
    <t xml:space="preserve">MANTENIMIENTO DE MOBILIARIOS INSTITUCIONAL DEL CENTRO ZONAL PORTOVIEJO </t>
  </si>
  <si>
    <t>ADQUISICIÓN DE REPUESTOS PARA PURIFICADORES DE AGUA, INCLUYE MANTENIMIENTO PARA LA COORDINACIÓN ZONAL 4 SERVICIO INTEGRADO DE SEGURIDAD ECU 911</t>
  </si>
  <si>
    <t>MANTENIMIENTO PREVENTIVO Y CORRECTIVO DE VEHÍCULOS DEL CENTRO ZONAL PORTOVIEJO</t>
  </si>
  <si>
    <t>ADQUISICIÓN DE EQUIPOS DE PROTECCIÓN PERSONAL Y ROPA DE TRABAJO PARA EL PERSONAL DE TECNOLOGÍA Y CÓDIGO DE TRABAJO QUE LABORA EN LA COORDINACIÓN ZONAL 4</t>
  </si>
  <si>
    <t>ADQUISICIÓN DE EQUIPOS DE PROTECCIÓN PERSONAL Y ROPA DE TRABAJO PARA EL PERSONAL DE TECNOLOGÍA Y CÓDIGO DE TRABAJO QUE LABORA EN LA COORDINACIÓN ZONAL 4 MEDIANTE CATÁLOGO ELECTRÓNICO</t>
  </si>
  <si>
    <t>ADQUISICIÓN DE EQUIPOS DE PROTECCIÓN PERSONAL Y ROPA DE TRABAJO PARA EL PERSONAL DE TECNOLOGÍA Y CÓDIGO DE TRABAJO QUE LABORA EN LA COORDINACIÓN ZONAL 4 MEDIANTE ÍNFIMA CUANTÍA</t>
  </si>
  <si>
    <t>ADQUISICIÓN DE MATERIALES ELÉCTRICOS, PLOMERÍA, CARPINTERÍA Y OTROS INSUMOS PARA REALIZAR EL MANTENIMIENTO PREVENTIVO A LOS EDIFICIOS DE LA COORDINACIÓN ZONAL - 4 SERVICIO INTEGRADO DE SEGURIDAD ECU 911</t>
  </si>
  <si>
    <t>ADQUISICIÓN DE MATERIALES  DE IMPRESIÓN PARA LA ROTULACIÓN DE LOS BIENES PARA LA COORDINACIÓN ZONAL – 4 SERVICIO INTEGRADO DE SEGURIDAD ECU 911</t>
  </si>
  <si>
    <t>ADQUISICIÓN DE NUMERADORAS AUTOMÁTICAS PARA DIFERENTES ÁREAS DEL CENTRO ZONAL PORTOVIEJO</t>
  </si>
  <si>
    <t>ADQUISICIÓN DE MATERIALES DE OFICINA (RESMAS DE PAPEL) PARA EL CENTRO ZONAL PORTOVIEJO</t>
  </si>
  <si>
    <t>ADQUISICIÓN DE MATERIALES DE OFICINA POR MEDIO DE CATÁLOGO ELECTRÓNICO PARA EL CENTRO ZONAL PORTOVIEJO</t>
  </si>
  <si>
    <t>ADQUISICIÓN DE MATERIALES DE ASEO POR MEDIO DE CATÁLOGO ELECTRÓNICO PARA EL CENTRO ZONAL PORTOVIEJO</t>
  </si>
  <si>
    <t>ADQUISICIÓN DE DISPENSADORES PARA LOS BAÑOS POR MEDIO DE CATALOGO ELECTRÓNICO PARA EL CENTRO ZONAL PORTOVIEJO</t>
  </si>
  <si>
    <t>ADQUISICIÓN DE TRAJES DE ECUTRÓN INFLABLES PARA ACTIVIDADES DE VINCULACIÓN CON LA COMUNIDAD DE LA COORDINACIÓN ZONAL - 4 SERVICIO INTEGRADO DE SEGURIDAD ECU 911</t>
  </si>
  <si>
    <t>CONTRIBUCIÓN ESPECIAL POR MEJORAS, TASA DE SEGURIDAD Y TASA DE RIESGO AL MUNICIPIO DE PORTOVIEJO, CORRESPONDIENTE A LOS PREDIOS DEL CENTRO ZONAL PORTOVIEJO</t>
  </si>
  <si>
    <t>TASA DE SERVICIO AL CUERPO DE BOMBEROS PORTOVIEJO, CORRESPONDIENTE AL PERMISO DE FUNCIONAMIENTO DE LA COORDINACIÓN ZONAL - 4 SERVICIO INTEGRADO DE SEGURIDAD ECU 911</t>
  </si>
  <si>
    <t>MATRICULACIÓN VEHICULAR (RENOVACIÓN DE MATRÍCULA Y REVISIÓN TÉCNICA VEHICULAR EN PORTOVIAL EP) DE LOS VEHÍCULOS DEL CENTRO ZONAL PORTOVIEJO</t>
  </si>
  <si>
    <t>MATRÍCULA VEHICULAR DE LOS VEHÍCULOS DEL CENTRO ZONAL PORTOVIEJO</t>
  </si>
  <si>
    <t>MATRICULACIÓN VEHICULAR (CONTRIBUCIÓN ESPECIAL POR MEJORAMIENTO VIAL RURAL (CEM VIAL) EN EL GOBIERNO DE MANABÍ) DE LOS VEHÍCULOS DEL CENTRO ZONAL PORTOVIEJO</t>
  </si>
  <si>
    <t>PAGO POR DECLARACIÓN DE TRIBUTOS A LA ACTIVIDAD ECONÓMICA DE LA COORDINACIÓN ZONAL 4 SERVICIO INTEGRADO DE SEGURIDAD ECU911 EN EL MUNICIPIO DE PORTOVIEJO</t>
  </si>
  <si>
    <t>ACTUALIZACIÓN DEL PAGO DE TASA DE SERVICIO AL CUERPO DE BOMBEROS PORTOVIEJO, CORRESPONDIENTE AL PERMISO DE FUNCIONAMIENTO DE LA COORDINACIÓN ZONAL – 4 SERVICIO INTEGRADO DE SEGURIDAD ECU 911</t>
  </si>
  <si>
    <t>TASA DE SERVICIO Y CONTRIBUCIÓN PREDIAL AL CUERPO DE BOMBEROS PORTOVIEJO, CORRESPONDIENTE A LOS PREDIOS DEL CENTRO ZONAL PORTOVIEJO</t>
  </si>
  <si>
    <t>CONTRIBUCIÓN PREDIAL AL CUERPO DE BOMBEROS DE MANTA</t>
  </si>
  <si>
    <t>PAGO DE REGISTRO DE ESCRITURA PÚBLICA DEL TERRENO DE LA COORDINACIÓN ZONAL – 4 SERVICIO INTEGRADO DE SEGURIDAD ECU 911 TRASPASADOS POR EL SERVICIO INTEGRADO DE SEGURIDAD ECU 911 EN EL REGISTRO DE LA PROPIEDAD DE PORTOVIEJO</t>
  </si>
  <si>
    <t>PROVISIÓN DEL SERVICIO DE TELEFONÍA FIJA, ENLACES DE DATOS, INTERNET, SERVICIOS MÓVILES Y SERVICIOS DE SEGURIDAD INFORMÁTICA PARA EL CENTRO OPERATIVO ZONAL ECU 911 PORTOVIEJO</t>
  </si>
  <si>
    <t>SOSTENIMIENTO TECNOLÓGICO DE SITIOS DE VIDEO VIGILANCIA PARA LA COORDINACIÓN ZONAL 4 DEL SIS ECU 911</t>
  </si>
  <si>
    <t>SERVICIO DE MANTENIMIENTO CORRECTIVO DE EQUIPOS ELECTRÓNICOS PARA LA COORDINACIÓN ZONAL 4 SIS ECU 911</t>
  </si>
  <si>
    <t>SERVICIO DE MANTENIMIENTO CORRECTIVO PARA LOS MONITORES LCD DE LA COORDINACIÓN ZONAL 4 SIS ECU 911</t>
  </si>
  <si>
    <t>SERVICIO DE MANTENIMIENTO EMERGENTE DE SERVIDORES PARA LA  COORDINACIÓN ZONAL 4 SIS ECU 911</t>
  </si>
  <si>
    <t>MANTENIMIENTO TECNOLÓGICO CORRECTIVO DE LOS PUNTOS DE ALERTA TEMPRANA Y CENTRO DE CONTROL, QUE FORMAN PARTE DEL SISTEMA NACIONAL DE ALERTA TEMPRANA FRENTE A EVENTOS ADVERSOS DE TSUNAMI Y DESBORDAMIENTO DE REPRESAS DE LA COORDINACIÓN ZONAL 4</t>
  </si>
  <si>
    <t>ADQUISICIÓN DE REPUESTOS, EQUIPOS E INSUMOS PARA EL SOSTENIMIENTO TECNOLÓGICO DE PUNTOS DE ALERTA TEMPRANA Y CENTRO DE CONTROL, QUE FORMAN PARTE DEL SISTEMA NACIONAL DE ALERTA TEMPRANA FRENTE A EVENTOS ADVERSOS  DE TSUNAMI Y DESBORDAMIENTO DE RIOS Y REPRESAS DE LA COORDINACIÓN ZONAL 4</t>
  </si>
  <si>
    <t>ADQUISICIÓN DE REPUESTOS, PARTES Y ACCESORIOS INCLUIDO EL MANTENIMIENTO Y REPARACIÓN PARA LAS IMPRESORAS DE LA COORDINACION ZONAL 4 DEL SIS ECU 911</t>
  </si>
  <si>
    <t>ADQUISICIÓN DE REPUESTOS, EQUIPOS, HERRAMIENTAS, MATERIALES E INSUMOS TECNOLÓGICOS PARA LA COORDINACIÓN ZONAL 4 DEL SIS ECU 911</t>
  </si>
  <si>
    <t>ADQUISICIÓN DE TÓNERS PARA IMPRESORAS PARA LA COORDINACIÓN ZONAL 4 DEL SERVICIO INTEGRADO DE SEGURIDAD ECU 911 MEDIANTE ÍNFIMA CUANTÍA</t>
  </si>
  <si>
    <t>ADQUISICIÓN DE TÓNERS PARA IMPRESORAS PARA LA COORDINACIÓN ZONAL 4 DEL SERVICIO INTEGRADO DE SEGURIDAD ECU 911 MEDIANTE CATÁLOGO ELECTRÓNICO</t>
  </si>
  <si>
    <t>ADQUISICIÓN DE TÓNERS PARA IMPRESORAS PARA LA COORDINACION ZONAL 4 DEL SIS ECU 911</t>
  </si>
  <si>
    <t>ADQUISICIÓN DE BASES TELEFONICAS PARA ATENDER LLAMADAS DE EMERGENCIA EN LOS CENTROS OPERATIVOS DE LA COORDINACIÓN ZONAL 4 DEL SIS ECU 911</t>
  </si>
  <si>
    <t>ADQUISICIÓN DE EQUIPOS PORTÁTILES PARA LA COORDINACIÓN ZONAL 4 DEL ECU 911</t>
  </si>
  <si>
    <t xml:space="preserve">AGUA POTABLE Y ALCANTARILLADO DEL CENTRO OPERATIVO LOCAL ECU 911 SANTO DOMINGO DE LA COORDINACIÓN ZONAL 4
</t>
  </si>
  <si>
    <t>ABASTECIMIENTO DE ENERGÍA ELÉCTRICA DE LAS INSTALACIONES Y CÁMARA LECTORA DE PLACAS DEL CENTRO OPERATIVO LOCAL ECU 911 SANTO DOMINGO DE LA COORDINACIÓN ZONAL 4</t>
  </si>
  <si>
    <t>SERVICIO DE TRANSPORTE PARA EL PERSONAL OPERATIVO DEL CENTRO LOCAL ECU 911 SANTO DOMINGO DE LA COORDINACIÓN ZONAL 4</t>
  </si>
  <si>
    <t>SERVICIO DE LIMPIEZA DE INTERIORES Y EXTERIORES TIPO III PARA EL CENTRO OPERATIVO LOCAL ECU 911 SANTO DOMINGO DE LA COORDINACIÓN ZONAL 4</t>
  </si>
  <si>
    <t>CANCELACIÓN POR SERVICIO DE GUARDERÍA PARA LOS HIJOS MENORES DE 5 AÑOS DE LOS SERVIDORES DEL CENTRO OPERATIVO LOCAL ECU 911 SANTO DOMINGO DE LA COORDINACIÓN ZONAL 4</t>
  </si>
  <si>
    <t>SERVICIO DE ABASTECIMIENTO DE COMBUSTIBLE PARA LA FLOTA VEHICULAR DEL SERVICIO INTEGRADO DE SEGURIDAD ECU 911 Y GENERADORES DEL CENTRO LOCAL SANTO DOMINGO DE LOS TSACHILAS</t>
  </si>
  <si>
    <t>REEMBOLSO POR PAGO DE COMBUSTIBLE EN COMISIÓN DE SERVICIOS AL PERSONAL DEL CENTRO OPERATIVO LOCAL ECU 911 SANTO DOMINGO DE LA COORDINACIÓN ZONAL 4</t>
  </si>
  <si>
    <t>REINTEGRO POR PAGO DE PASAJES EN COMISIÓN DE SERVICIOS AL PERSONAL DEL CENTRO OPERATIVO LOCAL ECU 911 DE LA COORDINACIÓN ZONAL 4</t>
  </si>
  <si>
    <t>PAGO DE VIÁTICOS POR COMISIÓN DE SERVICIOS AL PERSONAL DEL CENTRO OPERATIVO LOCAL ECU 911 DE LA COORDIANCIÓN ZONAL 4</t>
  </si>
  <si>
    <t>SERVICIO DE MANTENIMIENTO PREVENTIVO Y CORRECTIVO DE LOS EQUIPOS Y SISTEMAS ELÉCTRICOS DEL CENTRO OPERATIVO LOCAL ECU911 SANTO DOMINGO DE LA COORDINACIÓN ZONAL 4</t>
  </si>
  <si>
    <t>CONTRATACIÓN DEL SERVICIO DE IMPERMEABILIZACIÓN DE TERRAZAS Y ANTEPECHOS COM MALLA IMPERMEABILIZANTE PARA EL EDIFICIO DEL CENTRO OPERATIVO LOCAL ECU 911 SANTO DOMINGO DE LA COORDINACIÓN ZONAL 4</t>
  </si>
  <si>
    <t>CONTRATACIÓN DEL SERVICIO DE INSTALACIÓN DE LÁMINAS DE SEGURIDAD EN LOS VENTANALES DEL EDIFICIO DEL CENTRO OPERATIVO LOCAL ECU 911DE LA COORDINACIÓN ZONAL 4</t>
  </si>
  <si>
    <t>INSTALACIÓN DE PUERTAS Y VENTANA EN VIDRIO TEMPLADO PARA EL INGRESO, SALIDA, Y VENTANA DE RECEPCIÓN; Y PUERTA DEL COMEDOR DEL EDIFICIO DEL CENTRO OPERATIVO LOCAL ECU 911 SANTO DOMINGO DE LA COORDIANCIÓN ZONAL 4</t>
  </si>
  <si>
    <t>IMPLEMENTACIÓN DE CUBIERTA METÁLICA EN BODEGAS EXTERNAS DEL CENTRO OPERATIVO LOCAL ECU911 SANTO DOMINGO DE LA COORDINACIÓN ZONAL 4</t>
  </si>
  <si>
    <t>ADQUISICION DE REPUESTOS PARA MANTENIMIENTO CORRECTIVO PARA EL EQUIPO DE UPS 1 MARCA EATON DEL CENTRO OPERATIVO LOCAL ECU911 SANTO DOMINGO DE LA COORDINACIÓN ZONAL 4</t>
  </si>
  <si>
    <t>SERVICIO DE MANTENIMIENTO PREVENTIVO Y CORRECTIVO DE LOS EQUIPOS DE CLIMATIZACIÓN DEL CENTRO OPERATIVO LOCAL ECU911 SANTO DOMINGO DE LA COORDINACIÓN ZONAL 4</t>
  </si>
  <si>
    <t>MANTENIMIENTO PREVENTIVO Y CORRECTIVO PARA LOS VEHÍCULOS DEL CENTRO OPERATIVO LOCAL ECU 911 SANTO DOMINGO</t>
  </si>
  <si>
    <t>SERVICIO DE ABASTECIMIENTO DE COMBUSTIBLE PARA LA FLOTA VEHICULAR DEL SERVICIO INTEGRADO DE SEGURIDAD ECU911 Y GENERADORES DEL CENTRO LOCAL SANTO DOMINGO DE LOS TSÁCHILAS.</t>
  </si>
  <si>
    <t>ADQUISICIÓN DE MATERIALES DE OFICINA PARA EL CENTRO OPERATIVO LOCAL ECU 911 SANTO DOMINGO DE LA COORDINACIÓN ZONAL 4</t>
  </si>
  <si>
    <t>ADQUISICIÓN DE MATERIALES DE ASEO PARA EL CENTRO OPERATIVO LOCAL ECU 911 SANTO DOMINGO DE LA COORDINACIÓN ZONAL 4</t>
  </si>
  <si>
    <t>CAJA CHICA</t>
  </si>
  <si>
    <t>ADQUISICIÓN DE EQUIPOS DE ALMACENAMIENTO, DVR Y CAMARAS DE VIGILANCIA DE CCTV QUE INCLUYE INSTALACIÓN, CONFIGURACIÓN Y PUESTA EN FUNCIONAMIENTO PARA EL CENTRO OPERATIVO LOCAL ECU911 SANTO DOMINGO DE LA COORDINACIÓN ZONAL 4</t>
  </si>
  <si>
    <t>ADQUISICIÓN DE NEUMÁTICOS PARA LOS VEHÍCULOS  DEL CENTRO OPERATIVO LOCAL ECU911 SANTO DOMINGO</t>
  </si>
  <si>
    <t>PAGO DE IMPUESTO PREDIAL Y CONTRIBUCIÓN DE MEJORAS DE LOS PREDIOS DEL CENTRO OPERATIVO LOCAL ECU 911 SANTO DOMINGO DE LA COORDINACIÓN ZONAL 4</t>
  </si>
  <si>
    <t>PAGO DE MATRICULACIÓN, REVISIÓN TÉCNICA VEHICULAR, TASA POR IMPUESTO AL RODAJE Y STICKER DE REVISIÓN TÉCNICA VEHICULAR DEL PARQUE AUTOMOTOR DEL CENTRO OPERATIVO LOCAL ECU 911 SANTO DOMINGO</t>
  </si>
  <si>
    <t>REEMBOLSO POR PAGO DE PEAJES EN COMISIÓN DE SERVICIOS AL PERSONAL DEL CENTRO OPERATIVO LOCAL ECU 911 SANTO DOMINGO DE LA COORDINACIÓN ZONAL 4</t>
  </si>
  <si>
    <t>PROVISIÓN DEL SERVICIO DE TELEFONÍA FIJA, ENLACES DE DATOS, INTERNET, SERVICIOS MÓVILES Y SERVICIOS DE SEGURIDAD INFORMÁTICA PARA EL CENTRO OPERATIVO LOCAL ECU 911 SANTO DOMINGO</t>
  </si>
  <si>
    <t>ADQUISICIÓN DE LICENCIAS DE FUNCIONAMIENTO ANUAL PARA LOS EQUIPOS DE RED INALAMBRICA MERAKI CISCO, DEL CENTRO OPERATIVO LOCAL ECU911 SANTO DOMINGO</t>
  </si>
  <si>
    <t>ADQUISICIÓN DE REPUESTOS, PARTES Y ACCESORIOS INCLUIDO EL MANTENIMIENTO Y REPARACION PARA LAS IMPRESORAS DE LA COORDINACION ZONAL 4 DEL SIS ECU 911</t>
  </si>
  <si>
    <t>CANCELACIÓN DE SERVICIOS INSTITUCIONALES</t>
  </si>
  <si>
    <t>CANCELACIÓN DE MOVILIZACIÓN DEL PERSONAL</t>
  </si>
  <si>
    <t>CANCELACIÓN DEL SERVICIO DE RECARGA DE EXTINTORES</t>
  </si>
  <si>
    <t>CANCELACIÓN DEL SERVICIO
DE IMPRESIÓN E INSTALACIÓN
DE VINIL ADHESIVO</t>
  </si>
  <si>
    <t>ADQUISICIÓN DE MATERIAL POP PARA EL ÁREA DE COMUNICACIÓN</t>
  </si>
  <si>
    <t xml:space="preserve">CANCELACIÓN DEL SERVICIO DE SEGURIDAD Y VIGILANCIA SERVICIO DE VIGILANCIA SEGURIDAD ARMADA Y SUPERVISADA, PARA CUSTODIAR Y PROTEGER EL PATRIMONIO INSTITUCIONAL DE LA CZ3 DEL SIS ECU 911 </t>
  </si>
  <si>
    <t>CANCELACIÓN SERVICIO DE LIMPIEZA</t>
  </si>
  <si>
    <t>CANCELACIÓN SERVICIO DE LIMPIEZA DE ÁREA INTERNAS Y EXTERNAS</t>
  </si>
  <si>
    <t>CANCELACIÓN SERVICIO DE LIMPIEZA DE ÁREAS EXTERNAS</t>
  </si>
  <si>
    <t>CANCELACIÓN DE SERVICIO DE GUARDERÍAS DEL CENTRO OPERATIVO LOCAL RIOBAMBA EN CUMPLIMIENTO DEL ACUERDO MINISTERIAL N° MDT-2023-085</t>
  </si>
  <si>
    <t>CANCELACIÓN DEL SERVICIO DE RASTREO SATELITAL</t>
  </si>
  <si>
    <t>CANCELACIÓN DE COMBUSTIBLE</t>
  </si>
  <si>
    <t>ABASTECIMIENTO DE COMBUSTIBLE DIESEL PARA LOS GENERADORES ELECTRICOS</t>
  </si>
  <si>
    <t>CANCELACIÓN DE SERVICIO DE PINTURA EXTERNA</t>
  </si>
  <si>
    <t>MANTENIMIENTO DE ASCENSORES</t>
  </si>
  <si>
    <t>MANTENIMIENTO DE VEHÍCULOS- MANO DE OBRA</t>
  </si>
  <si>
    <t>MANTENIMIENTO PREVENTIVO Y CORRECTIVO QUE INCLUYE REPUESTOS PARA LAS IMPRESORAS Y COPIADORAS</t>
  </si>
  <si>
    <t>ADQUISICIÓN DE ROPA DE TRABAJO Y PRENDAS DE PROTECCIÓN PERSONAL</t>
  </si>
  <si>
    <t>MANTENIMIENTO DE VEHÍCULOS - COMBUSTIBLES Y LUBRICANTES</t>
  </si>
  <si>
    <t>ADQUISICIÓN DE MATERIALES DE OFICINA</t>
  </si>
  <si>
    <t>ADQUISICIÓN DE MATERIALES DE ASEO</t>
  </si>
  <si>
    <t>ADQUISICIÓN TONERS</t>
  </si>
  <si>
    <t>MANTENIMIENTO DE VEHÍCULOS - REPUESTOS</t>
  </si>
  <si>
    <t>CANCELACIÓN DE MATRICULACIÓN VEHICULAR</t>
  </si>
  <si>
    <t>CANCELACIÓN DE PREDIO Y PERMISO DE FUNCIONAMIENTO</t>
  </si>
  <si>
    <t>CANCELACIÓN DE PEAJES COMISIONES  Y RODAJE</t>
  </si>
  <si>
    <t>CANCELACIÓN DE RECARGA DE PEAJES</t>
  </si>
  <si>
    <t>ADQUISICIÓN DE MATERIAL DIDÁCTICO PARA EL CURSO SCI BÁSICO</t>
  </si>
  <si>
    <t>FORTALECIMIENTO OPERACIONAL</t>
  </si>
  <si>
    <t>MANTENIMIENTO PREVENTIVO Y CORRECTIVO DE CÁMARAS. INCLUYE PARTES Y PIEZAS</t>
  </si>
  <si>
    <t>CANCELACIÓN DE SERVICIO DE GUARDERÍAS DEL CENTRO ZONAL AMBATO EN CUMPLIMIENTO DEL ACUERDO MINISTERIAL N° MDT-2023-085</t>
  </si>
  <si>
    <t>CONTRATACIÓN DEL SERVICIO DE ABASTECIMIENTO DE COMBUSTIBLE DIESEL PARA LOS GENERADORES ELÉCTRICOS DE LA COORDINACIÓN ZONAL 3 SIS ECU-911 AMBATO</t>
  </si>
  <si>
    <t>MANTENIMIENTO DEL EDIFICIO</t>
  </si>
  <si>
    <t>MANTENIMIENTO DEL ALUCOBOND</t>
  </si>
  <si>
    <t>ADQUISICIÓN DE PUERTA DE VIDRIO TEMPLADO</t>
  </si>
  <si>
    <t>MANTENIMIENTO DEL SISTEMA CONTRAINCENDIOS</t>
  </si>
  <si>
    <t>CANCELACIÓN DE MANTENIMIENTO Y LIMPIEZA DE ÁREAS VERDES</t>
  </si>
  <si>
    <t>ADQUISICIÓN DE SUMINISTROS DE ASEO CATÁLOGO ELECTRÓNICO</t>
  </si>
  <si>
    <t xml:space="preserve">CANCELACIÓN DE PREDIO INSTITUCIONAL </t>
  </si>
  <si>
    <t xml:space="preserve">CANCELACIÓN DE MATRICULACIÓN VEHICULAR </t>
  </si>
  <si>
    <t>MANTENIMIENTO PREVENTIVO Y CORRECTIVO DE CLIMATIZACIÓN INCLUYE PARTES Y PIEZAS</t>
  </si>
  <si>
    <t>MANTENIMIENTO PREVENTIVO Y CORRECTIVO ELÉCTRICO INCLUYE PARTES Y PIEZAS</t>
  </si>
  <si>
    <t>ADQUISICIÓN DE EQUIPOS PORTÁTILES PARA LA COORDINACIÓN ZONAL 3 DEL ECU 911</t>
  </si>
  <si>
    <t>CANCELACIÓN POR VACACIONES NO GOZADAS POR CESACIÓN DE FUNCIONES</t>
  </si>
  <si>
    <t>CANCELACIÓN DE ENCARGOS</t>
  </si>
  <si>
    <t xml:space="preserve">CANCELACIÓN MENSUAL POR EL CONSUMO DE AGUA POTABLE DE LA COORDINACIÓN ZONAL 7 </t>
  </si>
  <si>
    <t>CANCELACIÓN MENSUAL POR EL CONSUMO DEL SERVICIO ELÉCTRICO Y ALUMBRADO PÚBLICO DE LA COORDINACIÓN ZONAL 7 SIS ECU 911, CENTRO ZONAL MACHALA</t>
  </si>
  <si>
    <t xml:space="preserve">CANCELACIÓN MENSUAL POR EL SERVICIO DE ENVÍO DE CORRESPONDENCIA DE LA COORDINACIÓN ZONAL 7 </t>
  </si>
  <si>
    <t>CANCELACIÓN MENSUAL POR SERVICIO DE TRANSPORTE DEL PERSONAL DE LA GESTIÓN ZONAL DE OPERACIONES</t>
  </si>
  <si>
    <t>CANCELACIÓN POR RECARGA DE EXTINTORES DE LA COORDINACIÓN ZONAL 7 SIS ECU 911, CENTRO ZONAL MACHALA</t>
  </si>
  <si>
    <t>EJECUCIÓN DEL FONDO DE CAJA CHICA DE LA COORDINACIÓN ZONAL 7 SERVICIO INTEGRADO DE SEGURIDAD ECU911, CENTRO ZONAL MACHALA</t>
  </si>
  <si>
    <t xml:space="preserve">CANCELACIÓN POR EL SERVICIO DE IMPRESIÓN DEL REGLAMENTO DE HIGIENE Y SEGURIDAD EN EL TRABAJO 
PARA LA COORDINACIÓN ZONAL 7 SIS ECU 911 </t>
  </si>
  <si>
    <t>ADQUISICIÓN MATERIAL POINT OF PURCHASE (P.O.P) E IMPRESIÓN DE LOGO INSTITUCIONAL SOBRE DISTINTIVOS DE CONSOLAS DE EVALUADORES</t>
  </si>
  <si>
    <t>CANCELACIÓN POR EL SERVICIO DE IMPRESIÓN DE FORMULARIOS PRE NUMERADOS PARA LA EMISION DE ORDENES DE DESPACHO DE COMBUSTIBLE Y PARA EL USO DE FONDO DE CAJA CHICA DE LA COORDINACIÓN ZONAL 7 SIS ECU 911, CENTRO
ZONAL MACHALA</t>
  </si>
  <si>
    <t xml:space="preserve">CANCELACIÓN MENSUAL POR EL SERVICIO DE SEGURIDAD Y VIGILANCIA DE LA COORDINACIÓN ZONAL 7 </t>
  </si>
  <si>
    <t xml:space="preserve">CANCELACIÓN MENSUAL POR EL SERVICIO DE ASEO Y LIMPIEZA PARA LAS INSTALACIONES DE LA COORDINACIÓN ZONAL 7 </t>
  </si>
  <si>
    <t>CANCELACIÓN POR SERVICIO DE GUARDERÍA PARA LOS HIJOS MENORES DE 5 AÑOS DE LOS SERVIDORES DE LA COORDINACIÓN ZONAL 7 SERVICIO INTEGRADO DE SEGURIDAD ECU 911  CENTRO ZONAL MACHALA</t>
  </si>
  <si>
    <t>CANCELACIÓN POR EL SERVICIO DE RASTREO SATELITAL GPS PARA EL PARQUE AUTOMOTOR DE LA COORDINACIÓN ZONAL 7 SERVICIO INTEGRADO DE SEGURIDAD ECU 911</t>
  </si>
  <si>
    <t>CANCELACIÓN POR ADQUISICIÓN DE COMBUSTIBLE PARA LOS GENERADORES ELECTRICOS Y VEHICULOS INSTITUCIONALES DE  LA COORDINACIÓN ZONAL 7 SERVICIO INTEGRADO DE SEGURIDAD ECU 911, CENTRO ZONAL MACHALA</t>
  </si>
  <si>
    <t>SERVICIO DE ABASTECIMIENTO DE COMBUSTIBLE PARA LOS GENERADORES DE LA COORDINACIÓN ZONAL 7 SERVICIO INTEGRADO DE SEGURIDAD ECU 911, CENTRO ZONAL MACHALA</t>
  </si>
  <si>
    <t>CANCELACIÓN  DE PASAJES AL INTERIOR POR COMISIONES DEL PERSONAL DE LA COORDINACIÓN ZONAL 7 SIS ECU911, CENTRO ZONAL MACHALA</t>
  </si>
  <si>
    <t>CANCELACIÓN DE SERVICIO DE EMISIÓN DE PASAJES AÉREOS PARA LOS SERVIDORES Y FUNCIONARIOS  DE LA COORDINACIÓN ZONAL 7 SERVICIO INTEGRADO DE SEGURIDAD ECU 911</t>
  </si>
  <si>
    <t xml:space="preserve">CANCELACIÓN DE VIÁTICOS A LOS FUNCIONARIOS DE LA COORDINACIÓN ZONAL 7 </t>
  </si>
  <si>
    <t xml:space="preserve">SERVICIO DE ELABORACIÓN DE LOGOS CORPOREOS DE LA PARTE EXTERIOR DEL EDIFICIO DE LA COORDINACIÓN ZONAL 7 </t>
  </si>
  <si>
    <t xml:space="preserve">CANCELACIÓN DEL MANTENIMIENTO CORRECTIVO DE LA VIGA DEL SEGUNDO PISO DE LA COORDINACIÓN ZONAL 7 </t>
  </si>
  <si>
    <t>CANCELACIÓN POR EL SOSTENIMIENTO TECNOLÓGICO  DE LOS BIENES Y SISTEMA  ELECTRICO DE LA COORDINACIÓN ZONAL 7 SIS ECU911, CENTRO ZONAL MACHALA, CENTRO OPERATIVO LOCAL LOJA Y SALA OPERATIVA DE ZAMORA CHINCHIPE</t>
  </si>
  <si>
    <t>CANCELACIÓN DEL SERVICIO DE MANTENIMIENTO CORRECTIVO A LAS PUERTAS DE ALUMINIO Y VIDRIO DE LA COORDINACIÓN ZONAL 7 SERVICIO INTEGRADO DE SEGURIDAD ECU 911, CENTRO ZONAL MACHALA</t>
  </si>
  <si>
    <t>CONTRATACIÓN DEL SERVICIO DE REPARACIÓN E IMPERMEABILIZACIÓN DE GRIETAS DE LA PARED DE FACHADA COLOR GRIS DEL EDIFICIO DE LA COORDINACIÓN ZONAL 7 SERVICIO INTEGRADO DE SEGURIDAD ECU 911, CENTRO ZONAL  MACHALA</t>
  </si>
  <si>
    <t>CANCELACIÓN POR SERVICIO DE REPARACIÓN A LOS MOBILIARIOS DE LA COORDINACIÓN ZONAL 7 SIS ECU 911, CENTRO ZONAL MACHALA</t>
  </si>
  <si>
    <t xml:space="preserve">CANCELACIÓN DEL SERVICIO DE MANTENIMIENTO PREVENTIVO DE ASCENSOR DE LA COORDINACIÓN ZONAL 7 </t>
  </si>
  <si>
    <t>CANCELACIÓN POR SOSTENIMIENTO TECNOLÓGICO DE BIENES Y SISTEMA DE CLIMATIZACIÓN DE LA COORDINACIÓN ZONAL 7 SIS ECU911, CENTRO ZONAL MACHALA, CENTRO OPERATIVO LOCAL LOJA Y SALA OPERATIVA DE ZAMORA CHINCHIPE</t>
  </si>
  <si>
    <t>CANCELACIÓN DEL SERVICIO DE LAVADO DE LOS VEHÍCULOS</t>
  </si>
  <si>
    <t xml:space="preserve">SERVICIOS DE MANTENIMIENTO CORRECTIVO Y PREVENTIVO PARA LOS VEHÍCULOS DE LA COORDIANCIÓN ZONAL 7 SERVICIO INTEGRADO DE SEGURIDAD ECU 911, CENTRO ZONAL MACHALA </t>
  </si>
  <si>
    <t>ADQUISICIÓN DE ROPA DE TRABAJO PARA EL PERSONAL BAJO RÉGIMEN DE CÓDIGO DE TRABAJO DE LA COORDINACIÓN ZONAL 7 SIS ECU 911 (CENTRO ZONAL MACHALA Y CENTRO OPERATIVO LOCAL LOJA)</t>
  </si>
  <si>
    <t xml:space="preserve">CANCELACIÓNPOR LA  ADQUISICIÓN DE REPUESTOS ORIGINALES (INCLUYE INSTALACIÓN), LUBRICANTES, MANTENIMIENTOS PREVENTIVOS Y CORRECTIVOS  PARA LOS VEHÍCULOS (CAMIONETA LUV D-MAX; Y GRAND VITARA SZ) DE LA COORDINACIÓN ZONAL 7 SERVICIO INTEGRADO DE SEGURIDAD ECU 911, CENTROZONAL MACHALA </t>
  </si>
  <si>
    <t>CANCELACIÓN ADQUISICIÓN DE MATERIALES DE OFICINA CENTRO ZONAL MACHALA</t>
  </si>
  <si>
    <t>ADQUISICIÓN DE ALMOHADILLAS PARA SELLOS AUTOMÁTICOS DE LA COORDINACIÓN ZONAL 7 SIS ECU 911, CENTRO ZONAL MACHALA</t>
  </si>
  <si>
    <t xml:space="preserve">ADQUISICIÓN DE MATERIALES DE ASEO PARA LA PREVENCIÓN DE CONTAGIO DE COVID-19 EN LAS INSTALACIONES DE LA COORDINACIÓN ZONAL 7 </t>
  </si>
  <si>
    <t>CANCELACIÓN ADQUISICIÓN DE MATERIALES DE ASEO CENTRO ZONAL MACHALA</t>
  </si>
  <si>
    <t xml:space="preserve">ADQUISICIÓN DE TONERS PARA LA COORDINACIÓN ZONAL 7 </t>
  </si>
  <si>
    <t xml:space="preserve">CANCELACIÓN POR ADQUISICIÓN  DE INSUMOS, MATERIALES Y SUMINISTROS PARA LOS MANTENIMIENTO INTERNOS DE LA COORDINACIÓN ZONAL 7 </t>
  </si>
  <si>
    <t>CANCELACIÓN POR ADQUISICIÓN DE REPUESTOS Y ACCESORIOS PARA LOS MANTENIMIENTOS INTERNOS DE LA COORDINACIÓN ZONAL 7 SIS ECU 911, CENTRO ZONAL MACHALA</t>
  </si>
  <si>
    <t>ADQUISICIÓN DE DISPOSITIVOS PARA EL SISTEMA CONTRA INCENDIOS DE LA COORDINACIÓN ZONAL 7 SERVICIO INTEGRADO DE SEGURIDAD ECU  911, CENTRO ZONAL MACHALA, INCLUYE SU CONFIGURACIÓN E INSTALACIÓN</t>
  </si>
  <si>
    <t>CANCELACIÓN POR LA  ADQUISICIÓN DE REPUESTOS ORIGINALES (INCLUYE INSTALACIÓN), LUBRICANTES, MANTENIMIENTOS PREVENTIVOS Y CORRECTIVOS  PARA LOS VEHÍCULOS (CAMIONETA LUV D-MAX; Y GRAND VITARA SZ) DE LA COORDINACIÓN ZONAL 7 SERVICIO INTEGRADO DE
SEGURIDAD ECU
911, CENTRO
ZONAL MACHALA</t>
  </si>
  <si>
    <t xml:space="preserve">ADQUISICIÓN DE INSUMOS DE BIOSEGURIDAD PARA LA PREVENCIÓN DE CONTAGIO DE COVID-19 EN LAS INSTALACIONES DE LA COORDINACIÓN ZONAL 7 </t>
  </si>
  <si>
    <t>ADQUISICIÓN E INSTALACIÓN DE CORTINAS ENROLLABLE MOTORIZADA MODELO ROLLER BLACKOUT PARA SALA DE CRISIS  DE  LA COORDINACIÓN ZONAL 7 SERVICIO INTEGRADO DE SEGURIDAD ECU 911, CENTRO ZONAL MACHALA</t>
  </si>
  <si>
    <t>ADQUISICIÓN DE ESCALERAS TIPO TIJERA PARA LA COORDIANCIÓN ZONAL 7 SERVICIO INTEGRADO DE SEGURIDAD ECU 911, CENTRO ZONAL MACHALA</t>
  </si>
  <si>
    <t>CANCELACIÓN POR PEAJES</t>
  </si>
  <si>
    <t xml:space="preserve">CANCELACIÓN POR MATRICULACIÓN VEHICULAR DE LA COORDINACIÓN ZONAL 7 </t>
  </si>
  <si>
    <t>CANCELACIÓN POR EL PERMISO ANUAL DE FUNCIONAMIENTO DE LA COORDINACIÓN ZONAL 7 SIS ECU 911, CENTRO ZONAL MACHALA OTORGADO POR EL CUERPO DE BOMBERSO DE MACHALA</t>
  </si>
  <si>
    <t xml:space="preserve">CANCELACIÓN MENSUAL POR TASA DE RECOLECCIÓN DE BASURA DE LA COORDINACIÓN ZONAL 7 </t>
  </si>
  <si>
    <t>CONTRATACIÓN DEL SERVICIO DE IMPRESIÓN DE MATERIAL ACADÉMICO PARA LOS CURSOS PRESENCIALES DEL SISTEMA DE COMANDO DE INCIDENTES BÁSICO PARA LA COORDIANCIÓN ZONAL 7 SERVICIO INTEGRADO DE SEGURIDAD ECU 911</t>
  </si>
  <si>
    <t>CONTRATACIÓN DE SERVICIO DE ENLACE, MANTENIMIENTO Y SOPORTE DE 1 PUNTO DE VÍDEO VIGILANCIA (3 REYES 1) EN EL CANTÓN ZARUMA.</t>
  </si>
  <si>
    <t>PROVISIÓN DEL SERVICIO DE TELEFONÍA FIJA, ENLACES DE DATOS, INTERNET Y SERVICIOS MÓVILES (TELEMETRÍA) PARA LA COORDINACIÓN ZONAL 7 SIS ECU 911 CENTRO ZONAL MACHALA.</t>
  </si>
  <si>
    <t xml:space="preserve">MANTENIMIENTO TECNOLÓGICO CORRECTIVO DE LOS PUNTOS DE ALERTA TEMPRANA Y CENTRO DE CONTROL, QUE FORMAN PARTE DEL SISEMA NACIONAL DE ALERTA TEMPRANA A EVENTOS ADVERSOS DE TSUNAMI Y DESBORDAMIENTO DE REPRESAS DE LA COORDINACIÓN ZONAL 7. </t>
  </si>
  <si>
    <t xml:space="preserve">ADQUISICIÓN DE REPUESTOS, INSTALACIÓN Y MANTENIMIENTO PARA EQUIPOS DE IMPRESIÓN DE LA COORDINACIÓN ZONAL 7 </t>
  </si>
  <si>
    <t>CANCELACIÓN DE SOSTENIMIENTO TECNOLÓGICO PARA SITIOS DE VÍDEO MONITOREO DE LA COORDINACIÓN ZONAL 7, CENTRO ZONAL MACHALA, CENTRO LOCAL LOJA Y SALA OPERATIVA ZAMORA CHINCHIPE.</t>
  </si>
  <si>
    <t>ADQUISICIÓN DE RESPUESTOS Y ACCESORIOS PARA EL ÁREA DE TECNOLOGIA DE LA COORDINACIÓN ZONAL 7</t>
  </si>
  <si>
    <t xml:space="preserve">ADQUISICIÓN DE HERRAMIENTAS Y MATERIALES PARA EL ÁREA DE TECNOLOGÍA DE LA COORDINACIÓN ZONAL 7 DEL SERVICIO INTEGRADO DE SEGURIDAD ECU 911, CENTRO ZONAL MACHALA </t>
  </si>
  <si>
    <t>ADQUISICIÓN DE BATERÍAS Y OTROS ACCESORIOS PARA LAS RADIOS TRONCALIZADAS DE LA COORDINACIÓN ZONAL 7</t>
  </si>
  <si>
    <t>MANTENIMIENTO TECNOLÓGICO CORRECTIVO DE LOS PUNTOS DE ALERTA TEMPRANA Y CENTRO DE CONTROL, QUE FORMAN PARTE DEL SISTEMA NACIONAL DE ALERTA TEMPRANA FRENTE A EVENTOS ADVERSOS DE TSUNAMI Y DESBORDAMIENTO DE REPRESAS DE LA COORDINACIÓN ZONAL 7</t>
  </si>
  <si>
    <t>ADQUISICIÓN DE UPS PARA REEMPLAZO Y REGULADORES DE VOLTAJE PARA PROTECCIÓN DE LA ALIMENTACIÓN ELÉCTRICA DE LOS PUNTOS DE VÍDEO VIGILANCIA DE LA COORDINACIÓN ZONAL 7 DEL SIS ECU 911</t>
  </si>
  <si>
    <t>ADQUISICIÓN DE HERRAMIENTAS Y MATERIALES PARA EL ÁREA DE TECNOLOGÍA DE LA COORDINACIÓN ZONAL 7 DEL SERVICIO INTEGRADO DE SEGURIDAD ECU 911, CENTRO ZONAL MACHALA Y CENTRO LOCAL LOJA.</t>
  </si>
  <si>
    <t>ADQUISICIÓN DE CÁMARAS DE  PARA REEMPLAZO  EN PUNTOS DE VÍDEO VIGILANCIA DE LA COORDINACIÓN ZONAL 7 SERVICIO INTEGRADO DE SEGURIDAD ECU 911</t>
  </si>
  <si>
    <t>ADQUISICIÓN DE LICENCIA PARA ALMACENAMIENTO DE 60 PUNTOS DE VÍDEO VIGILANCIA DE LA COORDINACIÓN ZONAL 7 SERVICIO INTEGRADO DE SEGURIDAD ECU 911, CENTRO OPERATIVO LOCAL LOJA Y SALA OPERATIVA DE ZAMORA CHINCHIPE</t>
  </si>
  <si>
    <t>ADQUISICIÓN DE TABLETS PARA LAS TRES ÁREAS OPERATIVAS DEL CENTRO ZONAL MACHALA Y CENTRO OPERATIVO LOCAL LOJA</t>
  </si>
  <si>
    <t>ADQUISICIÓN DE EQUIPOS PORTÁTILES PARA LA COORDINACIÓN ZONAL 7 DEL ECU 911</t>
  </si>
  <si>
    <t>CANCELACIÓN POR COMPENSACIÓN POR VACACIONES NO GOZADAS POR CESACIÓN DE FUNCIONES</t>
  </si>
  <si>
    <t>PAGO DE RUBROS POR CONCEPTO DE CAMBIO DE MEDIDOR DE AGUA POTABLE (SERVICIO DE CONEXIÓN Y RECONEXIÓN, MATERIALES Y ACCESORIOS), EMITIDOS MEDIANTE TÍTULOS DE CRÉDITO POR EL GAD MINUCIPIO DE LOJA A NOMBRE DE LA COORDINACIÓN ZONAL 7 SERVICIO INTEGRADO DE SEGURIDAD ECU 911 CORRESPODNIENTE AL CENTRO OPERATIVO LOCAL LOJA</t>
  </si>
  <si>
    <t>CANCELACIÓN MENSUAL POR CONSUMO DE AGUA POTABLE</t>
  </si>
  <si>
    <t>CANCELACIÓN MENSUAL POR CONSUMO DE ENERGÍA ELÉCTRICA</t>
  </si>
  <si>
    <t>CANCELACIÓN MENSUAL POR SERVICIO DE TRANSPORTE DEL PERSONAL DE LA GESTIÓN LOCAL DE OPERACIONES</t>
  </si>
  <si>
    <t>PAGO POR SERVICIO DE RECARGA DE EXTINTORES INSTALADOS EN EL CENTRO OPERATIVO LOCAL LOJA Y SALA OPERATIVA DE ZAMORA CHINCHIPE</t>
  </si>
  <si>
    <t>PAGO POR CONTRATACIÓN DE SERVICIO DE LIMPIEZA INTERIORES Y EXTERIORES DE LAS INSTALACIONES DEL CENTRO OPERATIVO LOCAL LOJA</t>
  </si>
  <si>
    <t>CANCELACIÓN POR SERVICIO DE GUARDERÍA PARA LOS HIJOS MENORES DE 5 AÑOS DE LOS SERVIDORES Y TRABAJADORES DE LA COORDINACIÓN ZONAL 7 SERVICIO INTEGRADO DE SEGURIDAD ECU 911 CENTRO OPERATIVO LOCAL LOJA</t>
  </si>
  <si>
    <t>PAGO POR CONSUMO DE COMBUSTIBLE PARA LOS VEHÍCULOS ASIGNADOS AL CENTRO OPERATIVO LOCAL LOJA</t>
  </si>
  <si>
    <t>CANCELACIÓN POR ADQUISICIÓN DE COMBUSTIBLE PARA LOS GENERADORES ELECTRICOS DE  LA COORDINACIÓN ZONAL 7 SERVICIO INTEGRADO DE SEGURIDAD ECU 911, CENTRO OPERATIVO LOCAL LOJA</t>
  </si>
  <si>
    <t>CANCELACIÓN POR REEMBOLSO DE CONSUMO DE COMBUSTIBLE POR COMISIONES AUTORIZADAS AL PERSONAL DEL CENTRO OPERATIVO LOCAL LOJA</t>
  </si>
  <si>
    <t>CANCELACIÓN  DE PASAJES AL INTERIOR POR COMISIONES AUTORIZADAS AL PERSONAL DEL CENTRO OPERATIVO LOCAL LOJA</t>
  </si>
  <si>
    <t>CANCELACIÓN DEL SERVICIO DE EMISIÓN DE PASAJES AÉREOS PARA LOS SERVIDORES Y FUNCIOANDRIOS DE LA COORDINACIÓN ZONAL 7 SERIVICIO INTEGRADO DE SEGURIDAD ECU 911</t>
  </si>
  <si>
    <t>CANCELACIÓN POR SERVICIO DE MANTENIMIENTO DEL ALUCOBOND Y GEOMEMBRANA DE PVC (TALUD DEL MURO), DE LA COORDINACIÓN ZONAL 7 SERVICIO INTEGRADO DE SEGURIDAD ECU 911 CENTRO OPERATIVO LOCAL LOJA</t>
  </si>
  <si>
    <t xml:space="preserve">CANCELACIÓN POR EL SERVICIO DE ADECUACIÓN INTERNA DE LA SALA DE APOYO A LACTANCIA MATERNA PARA EL PERSONAL DE LA COORDINACIÓN ZONAL 7 SERVICIO INTEGRADO DE SEGURIDAD ECU 911 CENTRO OPERATIVO LOCALLOJA </t>
  </si>
  <si>
    <t>PAGO POR CONTRATACIÓN DE SERVICIO DE PINTURA EXTERIOR DEL CENTRO OPERATIVO LOCAL LOJA</t>
  </si>
  <si>
    <t>PAGO POR CONCEPTOS DE GASTOS UTILIZANDO EL FONDO DE CAJA CHICA</t>
  </si>
  <si>
    <t>PAGO POR SERVICIO DE LAVADO A LOS VEHÍCULOS ASIGNADOS AL CENTRO OPERATIVO LOCAL LOJA</t>
  </si>
  <si>
    <t>CANCELACIÓN DE SERVICIO DE PINTURA PARA EL VEHÍCULO JEEP GRAN VITARA SZ, DE LA COORDINACIÓN ZONAL 7 SERVICIO INTEGRADO DE SEGURIDAD ECU 911 CENTRO OPERATIVO LOCAL LOJA</t>
  </si>
  <si>
    <t>PAGO POR ADQUISICIÓN DE REPUESTOS, INSTALACIÓN Y MANTENIMIENTO POR KILOMETRAJE PARA LOS VEHICULOS ASIGNADOS AL CENTRO OPERATIVO LOCAL LOJA</t>
  </si>
  <si>
    <t>CANCELACIÓN POR SERVICIO DE MANTENIMIENTO DE ÁREAS VERDES Y JARDINES DEL CENTRO OPERATIVO LOCAL LOJA</t>
  </si>
  <si>
    <t>ADQUISICIÓN DE PRENDAS DE PROTECCIÓN, LUBRICANTES, INSUMOS, REPUESTOS Y ACCESORIOS Y HERRAMIENTAS MENORES PARA MANTENIMIENTOS PREVENTIVOS Y CORRECTIVOS DE LAS INSTALACIONES DE LA COORDINACIÓN ZONAL 7 SERVICIO INTEGRADO DE SEGURIDAD ECU 911, CENTRO OPERATIVO LOCAL LOJA, REALIZADOS POR EL TÉCNICO DE MANTENIMIENTO</t>
  </si>
  <si>
    <t>ADQUISICIÓN DE LUBRICANTES,INSUMOS, MAQUINARIAS Y EQUIPOS Y HERRAMIENTAS PARA USO DE LA GESTIÓN LOCAL DE SOPORTE TECNOLOGICO DE LA COORDINACIÓN ZONAL 7 SERVICIO INTEGRADO DE SEGURIDAD ECU 911, CENTRO OPERATIVO LOCAL</t>
  </si>
  <si>
    <t>ADQUISICIÓN DE PRENDAS DE PROTECCIÓN, LUBRICANTES,INSUMOS, REPUESTOS Y ACCESORIOS Y HERRAMIENTAS MENORES PARA MANTENIMIENTOS PREVENTIVOS Y CORRECTIVOS DE LAS INSTALACIONES DE LA COORDIANCIÓN ZONAL 7 SERVICIO INTEGRADO DE SEGURIDAD ECU 911, CENTRO OPERATIVO LOCAL LOJA, REALIZADOS POR EL TÉCNICO DE MANTENIMIENTO</t>
  </si>
  <si>
    <t>PAGO POR ADQUISICIÓN DE MATERIALES DE OFICINA PARA EL PERSONAL DE CENTRO OPERATIVO LOCAL LOJA Y SALA OPERATIVA DE ZAMORA CHINCHIPE.</t>
  </si>
  <si>
    <t>PAGO POR ADQUISICIÓN DE MATERIALES DE ASEO CENTRO OPERATIVO LOCAL LOJA Y  SALA OPERATIVA DE ZAMORA CHINCHIPE.</t>
  </si>
  <si>
    <t>ADQUISICIÓN DE PRESNDAS DE PROTECCIÓN, LUBRICANTES,INSUMOS, REPUESTOS Y ACCESORIOS Y HERRAMIENTAS MENORES PARA MANTENIMIENTOS PREVENTIVOS Y CORRECTIVOS DE LAS INSTALACIONES DE LA COORDIANCIÓN ZONAL 7 SERVICIO INTEGRADO DE SEGURIDAD ECU 911, CENTRO OPERATIVO LOCAL LOJA, REALIZADOS POR EL TÉCNICO DE MANTENIMIENTO</t>
  </si>
  <si>
    <t>ADQUISICIÓN DE ACCESORIOS PARA VEHÍCULOS ASIGNADOS AL CENTRO OPERATIVO LOCAL LOJA</t>
  </si>
  <si>
    <t>PAGO POR ADQUISICIÓN DE NEUMÁTICOS PARA VEHÍCULO CAMIONETA PLACA LEI - 1240  ASIGNADA AL CENTRO OPERATIVO LOCAL LOJA</t>
  </si>
  <si>
    <t>ADQUISICIÓN DE UNA TAPA DE BALDE RETRACTIL CORREDIZA, PARA EL VEHICULO CAMIONETA CHEVROLET MODELO D-MAX, DE LA COORDINACIÓN ZONAL 7 SERVICIO INTEGRADO DE SEGURIDAD ECU 911 CENTRO OPERATIVO LOCAL LOJA</t>
  </si>
  <si>
    <t>PAGO POR PERMISO ANUAL DE FUNCIONAMIENTO DEL CENTRO OPERATIVO LOCAL LOJA Y SALA OPERATIVA DE ZAMORA CHINCHIPE</t>
  </si>
  <si>
    <t>PAGO POR PREDIO URBANO DEL CENTRO OPERATIVO LOCAL LOJA</t>
  </si>
  <si>
    <t>PAGO POR MATRICULACIÓN VEHICULAR DE VEHÍCULOS ASIGNADOS AL CENTRO OPERATIVO LOCAL LOJA</t>
  </si>
  <si>
    <t>CANCELACIÓN POR REEMBOLSO DE PAGO PEAJES, IMPUESTOS POR COMISIONES AUTORIZADAS AL PERSONAL DEL CENTRO OPERATIVO LOCAL LOJA</t>
  </si>
  <si>
    <t>PAGO DE CUOTAS POR RED DE ALCANTARILLADO SANITARIO Y PLUVIAL DEL CENTRO OPERATIVO LOCAL LOJA</t>
  </si>
  <si>
    <t>PAGO POR CONCEPTO DE PAVIMIENTO DE AV BARCELONA CUOTA AÑO 2023</t>
  </si>
  <si>
    <t>PAGO POR CONCEPTO DE PAVIMENTO DE BARRIO TURUNUMA ALTO, CUOTAS MENSUALES AÑO 2023.</t>
  </si>
  <si>
    <t>PROVISIÓN DEL SERVICIO DE TELEFONÍA FIJA, ENLACES DE DATOS, INTERNET Y SERVICIOS MÓVILES (TELEMETRÍA) PARA LA COORDINACIÓN ZONAL 7 SIS ECU 911 CENTRO LOCAL LOJA.</t>
  </si>
  <si>
    <t>ADQUISICIÓN DE MONITORES,TECLADOS Y MOUSES PARA REEMPLAZO DE EQUIPOS EN MAL ESTADO DE LA COORDIANCIÓN ZONAL 7 CENTRO OPERATIVO LOCAL LOJA</t>
  </si>
  <si>
    <t>ADQUISICIÓN DE 2 TARJETAS DE VIDEO DVI-OUT DE CONTROLADOR LCD PARA LA MATRIZ DE VIDEO WALL DE LA SALA DE VIDEO VIGILANCIA DE LA COORDINACIÓN ZONAL 7 SERVICIO INTEGRADO DE SEGURIDAD ECU 911 CENTRO OPERATIVO LOCAL LOJA</t>
  </si>
  <si>
    <t>ADQUISICIÓN DE MONITORES, TECLADOS Y MOUSES PARA REEMPLAZO DE EQUIPOS EN MAL ESTADO DE LA COORDIANCIÓN ZONAL 7 CENTRO OEPRATIVO LOCAL LOJA</t>
  </si>
  <si>
    <t>ADQUISICIÓN DE 60 LICIENCIAS PARA ALMACENAMINENTO DE VIDEO DE LOS PUNTOS DE VÍDEO VIGILANCIA DE LA COORDINACIÓN ZONAL 7, CENTRO OPERATIVO LOCAL LOJA</t>
  </si>
  <si>
    <t>001</t>
  </si>
  <si>
    <t>002</t>
  </si>
  <si>
    <t>003</t>
  </si>
  <si>
    <t>-</t>
  </si>
  <si>
    <t>ARRASTRE: CANCELACIÓN POR CONSUMO DE SERVICIO DE AGUA POTABLE CORRESPONDIENTE A DICIEMBRE DEL 2022</t>
  </si>
  <si>
    <t>PROVISIÓN POR CONSUMO DE SERVICIO DE AGUA POTABLE PERÍODO ENERO A NOVIEMBRE 2023</t>
  </si>
  <si>
    <t>ARRASTRE: CANCELACIÓN POR CONSUMO DE SERVICIO DE ENERGÍA ELÉCTRICA CORRESPONDIENTE A DICIEMBRE DEL 2022</t>
  </si>
  <si>
    <t>PROVISIÓN POR CONSUMO DE SERVICIO DE ENERGÍA ELÉCTRICA PERÍODO ENERO A DICIEMBRE 2023</t>
  </si>
  <si>
    <t>ARRASTRE: CANCELACIÓN POR CONSUMO DE SERVICIO DE CORREO NACIONAL A DICIEMBRE DEL 2022</t>
  </si>
  <si>
    <t>CONTRATACIÓN DEL SERVICIO DE CORREO NACIONAL PERÍODO ENERO A DICIEMBRE 2023</t>
  </si>
  <si>
    <t>ARRASTRE: CANCELACIÓN POR EL SERVICIO DE TRANSPORTE PERSONAL OPERATIVO DICIEMBRE DEL 2022</t>
  </si>
  <si>
    <t>CONTRATACIÓN DEL SERVICIO DE TRANSPORTE PARA SERVIDORES DEL ÁREA OPERATIVA DEL CENTRO OPERATIVO LOCAL ECU 911 TULCÁN PARA ENERO-DICIEMBRE 2023, SE PAGA A MES VENCIDO</t>
  </si>
  <si>
    <t>CONTRATACIÓN DEL SERVICIO DE RECARGA DE EXTINTORES DEL CENTRO</t>
  </si>
  <si>
    <t>SUSCRIPCIÓN CON SEMANARIOS Y MEDIOS DIGITALES DE CARCHI</t>
  </si>
  <si>
    <t>ADQUISICIÓN DE TRÍPTICOS CON EL MODELO DE GESTIÓN DEL ECU 911 Y BUEN USO DEL 9-1-1</t>
  </si>
  <si>
    <t>ADQUISICIÓN DE MATERIAL DE POSICIONAMIENTO E IDENTIDAD DEL ECU 911 PARA EL CENTRO OPERATIVO ECU 911 TULCÁN</t>
  </si>
  <si>
    <t>ADQUISICIÓN DE PELOTAS ANTI ESTRES CON EL LOGO INSTITUCIONAL PARA VINCULACIÓN CON LA COMUNIDAD</t>
  </si>
  <si>
    <t>ADQUISICIÓN DE BIENES Y PAGO DE SERVICIOS NO PREVISIBLES, URGENTES Y DE VALOR REDUCIDO (CAJA CHICA)</t>
  </si>
  <si>
    <t>ARRASTRE: CANCELACIÓN POR EL SERVICIO DE LIMPIEZA DEL CENTRO OPERATIVO LOCAL ECU 911 TULCÁN DICIEMBRE DEL 2022</t>
  </si>
  <si>
    <t>CONTRATACIÓN DEL SERVICIO DE LIMPIEZA PARA EL CENTRO OPERATIVO LOCAL ECU 911 TULCÁN PERÍODO 2023 SE PAGA A MES VENCIDO</t>
  </si>
  <si>
    <t>CANCELACIÓN DE SERVICIOS DE GUARDERÍA DEL CENTRO OPERATIVO LOCAL SIS ECU 911 TULCÁN EN CUMPLIMIENTO AL ACUERDO MINISTERIAL Nro.  MDT-2023-085</t>
  </si>
  <si>
    <t>CONTRATACIÓN DEL SERVICIO DE RASTREO SATELITAL (GPS) INCLUYE EQUIPOS A PRÉSTAMO PARA LOS VEHÍCULOS DEL CENTRO OPERATIVO LOCAL ECU 911 TULCÁN</t>
  </si>
  <si>
    <t>ADQUISICIÓN DE COMBUSTIBLES PARA MOVILIZACIÓN DE VEHÍCULOS DEL CENTRO PERÍODO 2023</t>
  </si>
  <si>
    <t>ADQUISICIÓN DE COMBUSTIBLES PERÍODO 2023 PARA ABASTECIMIENTO DE GENERADORES</t>
  </si>
  <si>
    <t>PROVISIÓN PARA MOVILIZACIONES TERRESTRES DE FUNCIONARIOS DEL ECU 911  POR ACTIVIDADES INSTITUCIONALES AÑO 2023</t>
  </si>
  <si>
    <t>PROVISIÓN PARA ALIMENTACIÓN Y ESTADÍA DE LOS FUNCIONARIOS DEL CENTRO OPERATIVO LOCAL ECU 911 TULCÁN POR COMISIÓN FUERA DE LA PROVINCIA EN EL AÑO 2023</t>
  </si>
  <si>
    <t>CONTRATACIÓN DEL SERVICIO DE ADECUACIÓN DEL ÁREA DE RECEPCIÓN SEGUNDA PLANTA, DEL CENTRO LOCAL TULCÁN</t>
  </si>
  <si>
    <t>CONTRATACIÓN SERVICIO PARA MANTENIMIENTO DE ALUCUBON EXTERNO</t>
  </si>
  <si>
    <t xml:space="preserve">CONTRATACIÓN SERVICIO DE MANTENIMIENTO RELOJ BIOMÉTRICO </t>
  </si>
  <si>
    <t>CONTRATACIÓN DEL SERVICIO DE MANTENIMIENTO PREVENTIVO Y CORRECTIVO DEL ASCENSOR AÑO 2023</t>
  </si>
  <si>
    <t>CONTRATACIÓN DEL SERVICIO DE MANTENIMIENTO PREVENTIVO Y CORRECTIVO DE ELECTRODOMÉSTICOS DEL CENTRO OPERATIVO LOCAL ECU 911 TULCÁN</t>
  </si>
  <si>
    <t>CANCELACIÓN POR CONTRATACIÓN DE MANO DE OBRA PARA MANTENIMIENTO DE VEHÍCULOS LIVIANOS DEL CENTRO OPERATIVO ECU 911 PARA GARANTIZAR OPERATIVIDAD</t>
  </si>
  <si>
    <t>CONTRATACIÓN DEL SERVICIO DE MANTENIMIENTO PREVENTIVO Y CORRECTIVO DE IMPRESORAS DEL CENTRO OPERATIVO LOCAL ECU 911 TULCÁN</t>
  </si>
  <si>
    <t>ADQUISICIÓN DE EQUIPOS DE PROTECCIÓN INDIVIDUAL Y ROPA DE TRABAJO</t>
  </si>
  <si>
    <t>ADQUISICIÓN DE COMBUSTIBLES, LUBRICANTES, Y ADITIVOS EN GENERAL PARA MANTENIMIENTO DE LOS VEHÍCULOS DEL CENTRO OPERATIVO ECU 911 AÑO 2023</t>
  </si>
  <si>
    <t>ADQUISICION DE LUBRICANTES PARA MANTENIMIENTO DE LA INFRAESTRUCTURA DEL CENTRO OPERATIVO LOCAL ECU 911 TULCÁN AÑO 2023</t>
  </si>
  <si>
    <t>ELABORACIÓN DE FORMULARIOS PRE-IMPRESOS Y PRE-NUMERADOS PARA VALES DE CAJA CHICA, INGRESOS Y EGRESOS DE BODEGA, ÓRDENES DE COMBUSTIBLE, ÓRDENES DE MANTENIMIENTO, FORMULARIOS DE PERMISOS DE PERSONAL, SOLICITUD DE MOVILIZACIÓN</t>
  </si>
  <si>
    <t>ADQUISICIÓN DE MATERIALES DE OFICINA PARA EL CENTRO OPERATIVO LOCAL ECU 911 TULCÁN AÑO 2023</t>
  </si>
  <si>
    <t>CONTRATACIÓN DEL SERVICIO DE IMPRESIÓN DE MATERIAL ACADÉMICO PARA LOS CURSOS PRESENCIALES DEL SISTEMA DE COMANDO DE INCIDENTES BÁSICO PARA EL CENTRO LOCAL TULCÁN</t>
  </si>
  <si>
    <t>ADQUISICIÓN DE MATERIALES DE ASEO PARA EL CENTRO OPERATIVO LOCAL ECU 911 TULCÁN AÑO 2023</t>
  </si>
  <si>
    <t>ADQUISICIÓN DE TONERS NEGRO Y DE COLOR PARA IMPRESORAS DEL CENTRO OPERATIVO LOCAL ECU 911 TULCÁN AÑO 2023</t>
  </si>
  <si>
    <t>ADQUISICIÓN DE MATERIAL DE FERRETERÍA PARA EL CENTRO OPERATIVO LOCAL ECU 911 TULCÁN AÑO 2023</t>
  </si>
  <si>
    <t>ADQUISICIÓN DE MATERIALES PARA MANTENIMIENTO DEL SISTEMA HIDRÁULICO Y SANITARIOS DEL EDIFICIO DEL CENTRO OPERATIVO LOCAL ECU 911 TULCÁN</t>
  </si>
  <si>
    <t>ADQUISICIÓN DE PELOTAS ANTI ESTRÉS CON EL LOGO INSTITUCIONAL PARA VINCULACIÓN CON LA COMUNIDAD</t>
  </si>
  <si>
    <t>ADQUISICIÓN DE REPUESTOS PARA MANTENIMIENTO DE VEHÍCULOS LIVIANOS DEL CENTRO OPERATIVO ECU 911 POR EL PERÍODO 2023</t>
  </si>
  <si>
    <t>ADQUISICIÓN DE REPUESTOS COMO FILTROS DE IMAGEN, MOTOR, CUCHILLAS, RODILLOS, PIÑONES, UÑETAS, COMPONENTES ELECTRÓNICOS INTERNOS DE IMPRESORAS</t>
  </si>
  <si>
    <t>ADQUISICIÓN DE REPUESTOS PARA MANTENIMIENTO PREVENTIVO Y CORRECTIVO DE ELECTRODOMÉSTICOS DEL CENTRO OPERATIVO LOCAL ECU 911 TULCÁN</t>
  </si>
  <si>
    <t>ADQUISICION DE REPUESTOS PARA MANTENIMIENTO DE LA INFRAESTRUCTURA DEL CENTRO OPERATIVO LOCAL ECU 911 TULCÁN AÑO 2023</t>
  </si>
  <si>
    <t>ADQUISICIÓN DE MAQUINARIA Y EQUIPOS MENORES PARA EL CENTRO OPERATIVO LOCAL ECU 911 TULCAN</t>
  </si>
  <si>
    <t>ADQUISICIÓN DE HERRAMIENTAS Y EQUIPOS MENORES</t>
  </si>
  <si>
    <t>MATRICULACIÓN Y REVISIÓN VEHICULAR DE LOS VEHÍCULOS DEL CENTRO OPERATIVO LOCAL ECU 911 TULCÁN AÑO 2023</t>
  </si>
  <si>
    <t>CANCELACIÓN DEL PERMISO DE FUNCIONAMIENTO DEL CUERPO DE BOMBEROS AÑO 2023</t>
  </si>
  <si>
    <t>CANCELACIÓN POR TASA DE MEJORAS EN EL MUNICIPIO AÑO 2023</t>
  </si>
  <si>
    <t>ARRASTRE: PAGOS POR CONSUMO DE SERVICIOS DE TELECOMUNICACIONES CORRESPONDIENTE A DICIEMBRE DEL 2022</t>
  </si>
  <si>
    <t>PAGO POR CONSUMO DE SERVICIOS DE TELECOMUNICACIONES CORRESPONDIENTE AL CONTRATO ENERO-DICIEMBRE 2023</t>
  </si>
  <si>
    <t>PAGO POR LICENCIAMIENTO DE LA SOLUCIÓN ANTIVIRUS PARA CONSOLAS OPERATIVAS Y ADMINISTRATIVAS DEL CENTRO</t>
  </si>
  <si>
    <t>ADQUISICIÓN, INSTALACIÓN, CONFIGURACIÓN Y PUESTA A PUNTOS DE CUATRO DISCOS DUROS PARA STORAGE HP EVA P6500 DEL CENTRO OPERATIVO LOCAL ECU 911 TULCÁN</t>
  </si>
  <si>
    <t>PAGO POR ADQUISICIÓN DE MATERIALES E INSUMOS PARA MANTENIMIENTOS E INSTALACIONES TECNOLÓGICAS DEL CENTRO</t>
  </si>
  <si>
    <t xml:space="preserve"> ADQUISICIÓN DE REPUESTOS Y ACCESORIOS TECNOLÓGICOS PARA MAQUINARIAS, PLANTAS ELÉCTRICAS, EQUIPOS Y OTROS</t>
  </si>
  <si>
    <t>PAGO POR ADQUISICIÓN DE REPUESTOS Y ACCESORIOS PARA RADIOS APX 2000 DEL CENTRO OPERATIVO</t>
  </si>
  <si>
    <t>ADQUISICIÓN DE BIENES, REPUESTOS Y ACCESORIOS PARA MANTENIMIENTO DE EQUIPOS INFORMÁTICOS Y DE RED DE LOS CENTROS OPERATIVOS ECU911</t>
  </si>
  <si>
    <t>CONTRATACIÓN DEL SERVICIO DE TRANSPORTE PARA SERVIDORES DEL ÁREA OPERATIVA DEL CENTRO OPERATIVO LOCAL ECU 911 ESMERALDAS PARA ENERO-DICIEMBRE 2023, SE PAGA A MES VENCIDO</t>
  </si>
  <si>
    <t>ADQUISICIÓN DE MATERIAL DE POSICIONAMIENTO E IDENTIDAD DEL ECU 911 PARA EL CENTRO OPERATIVO ECU 911 ESMERALDAS</t>
  </si>
  <si>
    <t>ADMINISTRACIÓN Y GESTIÓN PARA ADQUISICIÓN DE SEÑALÉTICAS PARA EL EXTERIOR DEL CENTRO LOCAL ECU 911 ESMERALDAS</t>
  </si>
  <si>
    <t>ARRASTRE: CANCELACIÓN POR EL SERVICIO DE LIMPIEZA DEL CENTRO OPERATIVO LOCAL ECU 911 ESMERALDAS DICIEMBRE DEL 2022</t>
  </si>
  <si>
    <t>CONTRATACIÓN DEL SERVICIO DE LIMPIEZA PARA EL CENTRO OPERATIVO LOCAL ECU 911 ESMERALDAS PERÍODO 2023 SE PAGA A MES VENCIDO</t>
  </si>
  <si>
    <t xml:space="preserve">CONTRATACIÓN DEL SERVICIO DE LAVANDERÍA PARA EL CENTRO OPERATIVO LOCAL  </t>
  </si>
  <si>
    <t>CANCELACIÓN DE SERVICIOS DE GUARDERÍA DEL CENTRO OPERATIVO LOCAL SIS ECU 911 ESMERALDAS EN CUMPLIMIENTO AL ACUERDO MINISTERIAL Nro.  MDT-2023-085</t>
  </si>
  <si>
    <t>CONTRATACIÓN DEL SERVICIO DE RASTREO SATELITAL (GPS) INCLUYE EQUIPOS A PRÉSTAMO PARA LOS VEHÍCULOS DEL CENTRO OPERATIVO LOCAL ECU 911 ESMERALDAS</t>
  </si>
  <si>
    <t xml:space="preserve">REPOSICIÓN DE ADQUISICIÓN DE COMBUSTIBLES EN CUMPLIMIENTO DE COMISIÓN DE SERVICIOS AL INTERIOR DE LOS SERVIDORES DEL CENTRO </t>
  </si>
  <si>
    <t xml:space="preserve"> CONTRATACIÓN DE SERVICIO PARA ADQUISICIÓN DE COMBUSTIBLES PARA MOVILIZACIÓN DE VEHÍCULOS Y GENERADORES </t>
  </si>
  <si>
    <t>PROVISIÓN PARA ALIMENTACIÓN Y ESTADÍA DE LOS FUNCIONARIOS DEL CENTRO OPERATIVO LOCAL ECU 911 ESMERALDAS POR COMISIÓN FUERA DE LA PROVINCIA EN EL AÑO 2023</t>
  </si>
  <si>
    <t>CONTRATACIÓN PARA MANTENIMIENTO DE INFRAESTRUCTURA DEL CENTRO OPERATIVO LOCAL ECU 911 ESMERALDAS PARA EL 2023</t>
  </si>
  <si>
    <t xml:space="preserve">ADECUACIÓN Y MEJORAMIENTO DEL CERRAMIENTO AL INGRESO AL PARQUEADERO </t>
  </si>
  <si>
    <t>ADQUISICIÓN DE PUERTAS METÁLICAS PARA SEGURIDAD DEL CENTRO OPERATIVO LOCAL ECU 911 ESMERALDAS, INCLUYE INSTALACIÓN</t>
  </si>
  <si>
    <t>CONTRATACIÓN SERVICIO DE MANTENIMIENTO ASCENSOR HYUNDAI</t>
  </si>
  <si>
    <t>CONTRATACIÓN DE MANO DE OBRA PARA MANTENIMIENTO DE VEHÍCULOS LIVIANOS Y VEHÍCULO PESADO DEL CENTRO OPERATIVO LOCAL ECU 911 ESMERALDAS PARA GARANTIZAR OPERATIVIDAD</t>
  </si>
  <si>
    <t>CONTRATACIÓN DEL SERVICIO DE REENCAUCHE DE LLANTAS DE LOS VEHÍCULOS DEL CENTRO OPERATIVO LOCAL ECU 911 ESMERALDAS AÑO 2023 A FIN DE CUMPLIR EN LO ESTABLECIDO EN LA NORMATIVA PARA INSTITUCIONES DEL ESTADO</t>
  </si>
  <si>
    <t>MANTENIMIENTO PREVENTIVO Y CORRECTIVO DE IMPRESORAS DEL CENTRO OPERATIVO LOCAL ECU 911 ESMERALDAS</t>
  </si>
  <si>
    <t>ADQUISICIÓN DE COMBUSTIBLES, LUBRICANTES, Y ADITIVOS EN GENERAL PARA MANTENIMIENTO DE LOS VEHÍCULOS LIVIANOS Y VEHÍCULO INSTITUCIONAL DEL CENTRO OPERATIVO LOCAL ECU 911 ESMERALDAS AÑO 2023</t>
  </si>
  <si>
    <t>ADQUISICIÓN DE LUBRICANTES PARA MANTENIMIENTO CORRECTIVO DE ASCENSOR HYUNDAI</t>
  </si>
  <si>
    <t>ADQUISICION DE LUBRICANTES PARA MANTENIMIENTO DE LA INFRAESTRUCTURA DEL CENTRO OPERATIVO LOCAL ECU 911 ESMERALDAS AÑO 2023</t>
  </si>
  <si>
    <t>ADQUISICIÓN DE MATERIALES DE OFICINA PARA EL CENTRO OPERATIVO LOCAL ECU 911 ESMERALDAS AÑO 2023</t>
  </si>
  <si>
    <t>CONTRATACIÓN DEL SERVICIO DE IMPRESIÓN DE MATERIAL ACADÉMICO PARA LOS CURSOS PRESENCIALES DEL SISTEMA DE COMANDO DE INCIDENTES BÁSICO PARA EL CENTRO LOCAL ESMERALDAS</t>
  </si>
  <si>
    <t>ADQUISICIÓN DE MATERIALES DE ASEO PARA EL CENTRO OPERATIVO LOCAL ECU 911 ESMERALDAS AÑO 2023</t>
  </si>
  <si>
    <t>ADQUISICIÓN DE TONERS NEGRO Y DE COLOR PARA IMPRESORAS DEL CENTRO OPERATIVO LOCAL ECU 911 ESMERALDAS AÑO 2023</t>
  </si>
  <si>
    <t xml:space="preserve"> ADMINISTRACIÓN Y GESTIÓN PARA ADQUISICIÓN DE BIENES Y PAGO DE SERVICIOS NO PREVISIBLES, URGENTES Y DE VALOR REDUCIDO (CAJA CHICA)</t>
  </si>
  <si>
    <t>ADQUISICIÓN DE MATERIAL DE FERRETERÍA PARA EL CENTRO OPERATIVO LOCAL ECU 911 ESMERALDAS AÑO 2023</t>
  </si>
  <si>
    <t xml:space="preserve">ADQUISICIÓN DE MATERIAL DIDÁCTICO TÍTERES PARA VINCULACIÓN DEL SIS ECU 911 </t>
  </si>
  <si>
    <t xml:space="preserve">ADQUISICIÓN DE MATERIAL DIDÁCTICO INFLABLES PARA VINCULACIÓN DEL SIS ECU 911 </t>
  </si>
  <si>
    <t>ADQUISICIÓN DE REPUESTOS PARA MANTENIMIENTO DE VEHÍCULOS LIVIANOS Y VEHÍCULO PESADO DEL CENTRO OPERATIVO LOCAL ECU 911 ESMERALDAS POR EL PERÍODO 2023</t>
  </si>
  <si>
    <t>ADMINISTRACIÓN Y GESTIÓN PARA ADQUISICIÓN DE BIENES Y PAGO DE SERVICIOS NO PREVISIBLES, URGENTES Y DE VALOR REDUCIDO (CAJA CHICA)</t>
  </si>
  <si>
    <t>ADMINISTRACIÓN Y GESTIÓN PARA ADQUISICIÓN DE LLANTAS PARA LOS VEHÍCULOS DEL CENTRO OPERATIVO  EU 911  AÑO 2023</t>
  </si>
  <si>
    <t>ADQUISICIÓN DE REPUESTOS PARA MANTENIMIENTO CORRECTIVO DE ASCENSOR HYUNDAI</t>
  </si>
  <si>
    <t>ADQUISICIÓN DE REPUESTOS PARA MANTENIMIENTO PREVENTIVO Y CORRECTIVO DE IMPRESORAS DEL CENTRO OPERATIVO LOCAL ECU 911 ESMERALDAS</t>
  </si>
  <si>
    <t>ADQUISICION DE REPUESTOS PARA MANTENIMIENTO DE LA INFRAESTRUCTURA DEL CENTRO OPERATIVO LOCAL ECU 911 ESMERALDAS AÑO 2023</t>
  </si>
  <si>
    <t>MATRICULACIÓN Y REVISIÓN VEHICULAR DE LOS VEHÍCULOS DEL CENTRO OPERATIVO LOCAL ECU 911 ESMERALDAS AÑO 2023</t>
  </si>
  <si>
    <t>MANTENIMIENTO TECNOLÓGICO CORRECTIVO DE LOS PUNTOS DE ALERTA TEMPRANA Y CENTRO DE CONTROL, QUE FORMAN PARTE DEL SISTEMA NACIONAL DE ALERTA TEMPRANA FRENTE A EVENTOS ADVERSOS DE TSUNAMI Y DESBORDAMIENTO DE REPRESAS DEL CENTRO OPERATIVO ECU 911 ESMERALDAS</t>
  </si>
  <si>
    <t>PAGO POR ADQUISICIÓN DE MATERIALES E INSUMOS PARA MANTENIMIENTOS E INSTALACIONES TECNOLÓGICAS DEL CENTRO (CAJA CHICA)</t>
  </si>
  <si>
    <t>PAGOS POR ADQUISICIÓN DE REPUESTOS Y ACCESORIOS TECNOLÓGICOS PARA MAQUINARIAS, PLANTAS ELÉCTRICAS, EQUIPOS Y OTROS</t>
  </si>
  <si>
    <t>CONTRATACIÓN DEL SERVICIO DE TRANSPORTE PARA SERVIDORES DEL ÁREA OPERATIVA DEL CENTRO OPERATIVO ZONAL ECU 911 IBARRA PARA ENERO-DICIEMBRE 2023, SE PAGA A MES VENCIDO</t>
  </si>
  <si>
    <t>ADQUISICIÓN DE BIENES Y CANCELACIÓN DE SERVICIOS NO PREVISIBLES, URGENTES Y DE VALOR REDUCIDO (CAJA CHICA)</t>
  </si>
  <si>
    <t>CANCELACION DE FLETE POR TRASPORTE DE COMBUSTIBLE PARA ABASTECIMIENTO DE GENERADORES DEL CENTRO OPERATIVO ZONAL ECU 911 IBARRA</t>
  </si>
  <si>
    <t>SUSCRIPCIÓN CON DIARIO EL NORTE PARA PROVISIÓN DE DIARIOS EN FORMATO DIGITAL DURANTE UN AÑO</t>
  </si>
  <si>
    <t>ADQUISICIÓN DE MATERIAL DE POSICIONAMIENTO E IDENTIDAD DEL ECU 911 PARA EL CENTRO OPERATIVO ECU 911 IBARRA</t>
  </si>
  <si>
    <t>ARRASTRE CANCELACIÓN POR EL SERVICIO DE SEGURIDAD Y VIGILANCIA DE LOS CENTROS OPERATIVOS QUE CONFORMAN LA ZONA 1  DICIEMBRE 2022, SE PAGA A MES VENCIDO</t>
  </si>
  <si>
    <t>CONTRATACIÓN DEL SERVICIO DE SEGURIDAD Y VIGILANCIA DE LOS CENTROS OPERATIVOS QUE CONFORMAN LA ZONA 1, AÑO 2023 SE PAGA A MES VENCIDO</t>
  </si>
  <si>
    <t>ARRASTRE: CANCELACIÓN POR EL SERVICIO DE LIMPIEZA DEL CENTRO OPERATIVO ZONAL ECU 911 IBARRA DICIEMBRE DEL 2022</t>
  </si>
  <si>
    <t>CONTRATACIÓN DEL SERVICIO DE LIMPIEZA PARA EL CENTRO OPERATIVO ZONAL ECU 911 IBARRA PERÍODO 2023 SE PAGA A MES VENCIDO</t>
  </si>
  <si>
    <t>CANCELACIÓN DE SERVICIOS DE GUARDERÍA DE LA COORDINACIÓN ZONAL 1 SIS ECU 911 IBARRA EN CUMPLIMIENTO AL ACUERDO MINISTERIAL Nro.  MDT-2023-085</t>
  </si>
  <si>
    <t>REEMBOLSO DE GASTOS POR RENOVACION DE FIRMA ELECTRONICA PARA EMISION DE COMPROBANTES DE RETENCION ELECTRONICOS ESIGEF</t>
  </si>
  <si>
    <t>CONTRATACIÓN DEL SERVICIO DE RASTREO SATELITAL (GPS) INCLUYE EQUIPOS A PRÉSTAMO PARA LOS VEHÍCULOS DEL CENTRO OPERATIVO ZONAL ECU 911 IBARRA</t>
  </si>
  <si>
    <t>ARRASTRE CANCELACIÓN POR ADQUISICIÓN DE COMBUSTIBLES PARA MOVILIZACIÓN DE VEHÍCULOS DEL CENTRO OPERATIVO ZONAL ECU 911 IBARRA DICIEMBRE 2022</t>
  </si>
  <si>
    <t>ADQUISICIÓN DE COMBUSTIBLES PARA MOVILIZACIÓN DE VEHÍCULOS DEL CENTRO OPERATIVO ZONAL ECU 911 IBARRA PERÍODO 2023</t>
  </si>
  <si>
    <t>REPOSICIÓN DE ADQUISICIÓN DE COMBUSTIBLES EN CUMPLIMIENTO DE COMISIÓN DE SERVICIOS AL INTERIOR DE LOS SERVIDORES DEL CENTRO OPERATIVO ZONAL ECU 911 IBARRA PERÍODO 2023</t>
  </si>
  <si>
    <t>ADQUISICIÓN DE COMBUSTIBLES PERÍODO 2023 PARA ABASTECIMIENTO DE GENERADORES DEL CENTRO OPERATIVO ZONAL ECU 911 IBARRA</t>
  </si>
  <si>
    <t>PROVISIÓN PARA ALIMENTACIÓN Y ESTADÍA DE LOS FUNCIONARIOS DEL CENTRO OPERATIVO ZONAL ECU 911 IBARRA POR COMISIÓN FUERA DE LA PROVINCIA EN EL AÑO 2023</t>
  </si>
  <si>
    <t>CONTRATACIÓN PARA MANTENIMIENTO DE INFRAESTRUCTURA DEL CENTRO OPERATIVO ZONAL ECU 911 IBARRA PARA EL 2023</t>
  </si>
  <si>
    <t>CONTRATACIÓN DEL SERVICIO DE MANTENIMIENTO DEL SISTEMA ELÉCTRICO DE LOS CENTROS OPERATIVOS ECU 911 IBARRA, TULCÁN, NUEVA LOJA Y ESMERALDAS AÑO 2023</t>
  </si>
  <si>
    <t>CONTRATACIÓN DEL SERVICIO DE MANTENIMIENTO PREVENTIVO Y CORRECTIVO DEL SISTEMA CONTRAINCENDIOS PARA LOS CENTROS OPERATIVOS ECU 911 IBARRA, TULCÁN, ESMERALDAS Y NUEVA LOJA AÑO 2023</t>
  </si>
  <si>
    <t>CONTRATACIÓN DEL SERVICIO DE MANTENIMIENTO Y REPARACIÓN DE MOBILIARIO DEL CENTRO AÑO 2023</t>
  </si>
  <si>
    <t>CONTRATACIÓN DEL SERVICIO DE MANTENIMIENTO PREVENTIVO Y CORRECTIVO PARA EL SOSTENIMIENTO TECNOLÓGICO DEL SISTEMA DE CLIMATIZACIÓN DE LOS CENTROS OPERATIVOS  ECU 911 IBARRA, ESMERALDAS, TULCÁN Y NUEVA LOJA AÑO 2023</t>
  </si>
  <si>
    <t>CONTRATACIÓN DEL SERVICIO DE MANTENIMIENTO PREVENTIVO Y CORRECTIVO DE ELECTRODOMÉSTICOS DEL CENTRO OPERATIVO ZONAL ECU 911 IBARRA</t>
  </si>
  <si>
    <t>CONTRATACIÓN POR MANTENIMIENTO PREVENTIVO Y CORRECTIVO DE FILTROS DE AGUA CON TECNOLOGÍA DE OSMOSIS INVERSA DEL CENTRO OPERATIVO ZONAL ECU 911 IBARRA</t>
  </si>
  <si>
    <t>CONTRATACIÓN DE MANO DE OBRA PARA MANTENIMIENTO DE VEHÍCULOS LIVIANOS Y VEHÍCULO PESADO DEL CENTRO OPERATIVO ZONAL ECU 911 IBARRA PARA GARANTIZAR OPERATIVIDAD</t>
  </si>
  <si>
    <t>CONTRATACIÓN DEL SERVICIO DE REENCAUCHE DE LLANTAS DE LOS VEHÍCULOS DEL CENTRO OPERATIVO ZONAL ECU 911 IBARRA  AÑO 2023 A FIN DE CUMPLIR EN LO ESTABLECIDO EN LA NORMATIVA PARA INSTITUCIONES DEL ESTADO</t>
  </si>
  <si>
    <t>CONTRATACIÓN DEL SERVICIO DE MANTENIMIENTO PREVENTIVO Y CORRECTIVO DE IMPRESORAS DEL CENTRO OPERATIVO ZONAL ECU 911  IBARRA</t>
  </si>
  <si>
    <t>ADQUISICIÓN DE COMBUSTIBLES, LUBRICANTES, Y ADITIVOS EN GENERAL PARA MANTENIMIENTO DE LOS VEHÍCULOS LIVIANOS Y VEHÍCULO INSTITUCIONAL DEL CENTRO OPERATIVO ZONAL ECU 911 IBARRA AÑO 2023</t>
  </si>
  <si>
    <t>ADQUISICION DE LUBRICANTES PARA MANTENIMIENTO DE LA INFRAESTRUCTURA DEL CENTRO OPERATIVO ZONAL ECU 911 IBARRA AÑO 2023</t>
  </si>
  <si>
    <t>ADQUISICIÓN DE MATERIALES DE OFICINA PARA EL CENTRO OPERATIVO ZONAL ECU 911 IBARRA AÑO 2023</t>
  </si>
  <si>
    <t>CONTRATACIÓN DEL SERVICIO DE IMPRESIÓN DE MATERIAL ACADÉMICO PARA LOS CURSOS PRESENCIALES DEL SISTEMA DE COMANDO DE INCIDENTES BÁSICO PARA EL CENTRO ZONAL ECU 911 IBARRA</t>
  </si>
  <si>
    <t>ADQUISICIÓN DE MATERIALES DE ASEO PARA EL CENTRO OPERATIVO ZONAL ECU 911 IBARRA AÑO 2023</t>
  </si>
  <si>
    <t>ADQUISICIÓN DE TONERS NEGRO Y DE COLOR PARA IMPRESORAS DEL CENTRO OPERATIVO ZONAL ECU 911 IBARRA AÑO 2023</t>
  </si>
  <si>
    <t>ADQUISICIÓN DE MATERIAL DE FERRETERÍA PARA EL CENTRO OPERATIVO ZONAL ECU 911 IBARRA AÑO 2023</t>
  </si>
  <si>
    <t>ADQUISICIÓN DE MATERIALES PARA MANTENIMIENTO DEL SISTEMA HIDRÁULICO Y SANITARIOS DEL EDIFICIO DEL CENTRO OPERATIVO ZONAL ECU 911 IBARRA</t>
  </si>
  <si>
    <t>ADQUISICIÓN DE MATERIALES ELECTRICOS Y ELECTRONICOS PARA EL MANTENIMIENTO DEL SISTEMA ELÉCTRICO DE LOS CENTROS OPERATIVOS ECU 911 IBARRA, TULCÁN, NUEVA LOJA Y ESMERALDAS AÑO 2023</t>
  </si>
  <si>
    <t>ADQUISICION DE MATERIALES PARA EL SISTEMA CONTRAINCENDIOS PARA LOS CENTROS OPERATIVOS ECU 911 IBARRA, TULCÁN, ESMERALDAS Y NUEVA LOJA AÑO 2023</t>
  </si>
  <si>
    <t>ADQUISICIÓN DE REPUESTOS PARA MANTENIMIENTO DE VEHÍCULOS LIVIANOS Y VEHÍCULO PESADO DEL CENTRO OPERATIVO ZONAL ECU 911 IBARRA POR EL PERÍODO 2023</t>
  </si>
  <si>
    <t>ADQUISICIÓN DE LLANTAS PARAS LOS VEHÍCULOS DEL CENTRO OPERATIVO ZONAL ECU 911 IBARRA AÑO 2023</t>
  </si>
  <si>
    <t>ADQUISICIÓN DE REPUESTOS PARA MANTENIMIENTO PREVENTIVO Y CORRECTIVO DE IMPRESORAS DEL CENTRO OPERATIVO ZONAL ECU 911 IBARRA</t>
  </si>
  <si>
    <t>ADQUISICIÓN DE REPUESTOS PARA EL MANTENIMIENTO DEL SISTEMA ELÉCTRICO DE LOS CENTROS OPERATIVOS ECU 911 IBARRA, TULCÁN, NUEVA LOJA Y ESMERALDAS AÑO 2023</t>
  </si>
  <si>
    <t>ADQUISICIÓN DE REPUESTOS PARA FILTROS DE AGUA CON TECNOLOGÍA DE OSMOSIS INVERSA DEL CENTRO OPERATIVO ZONAL ECU 911 IBARRA</t>
  </si>
  <si>
    <t>ADQUISICIÓN DE REPUESTOS PARA MANTENIMIENTO PREVENTIVO Y CORRECTIVO DE ELECTRODOMÉSTICOS DEL CENTRO OPERATIVO ZONAL ECU 911 IBARRA</t>
  </si>
  <si>
    <t>ADQUISICION DE REPUESTOS PARA MANTENIMIENTO DE LA INFRAESTRUCTURA DEL CENTRO OPERATIVO ZONAL ECU 911 IBARRA AÑO 2023</t>
  </si>
  <si>
    <t>ADQUISICION DE REPUESTOS PARA MANTENIMIENTO PREVENTIVO Y CORRECTIVO DEL SISTEMA CONTRAINCENDIOS PARA LOS CENTROS OPERATIVOS ECU 911 IBARRA, TULCÁN, ESMERALDAS Y NUEVA LOJA AÑO 2023</t>
  </si>
  <si>
    <t>ADQUISICION DE BOMBAS CIERRA PUERTAS PARA PISO PARA PUERTAS ABATIBLES DE LA PLANTA BAJA DEL CENTRO OPERATIVO ZONAL ECU 911 IBARRA AÑO 2023</t>
  </si>
  <si>
    <t>ADQUISICIÓN DE MENAJE DE HOGAR, SÁBANAS, COBERTORES, FUNDAS DE ALMOHADAS, TOALLAS PARA EL ÁREA DE DORMITORIOS DEL CENTRO OPERATIVO ZONAL ECU 911 IBARRA</t>
  </si>
  <si>
    <t>ADQUISICIÓN DE MAQUINARIA Y EQUIPOS MENORES PARA EL CENTRO OPERATIVO ZONAL ECU 911 IBARRA</t>
  </si>
  <si>
    <t>ADQUISICIÓN DE HERRAMIENTAS PARA MANTENIMIENTO DE LA INFRAESTRUCTURA DEL CENTRO OPERATIVO ZONAL ECU 911 IBARRA</t>
  </si>
  <si>
    <t>MATRICULACIÓN Y REVISIÓN VEHICULAR DE LOS VEHÍCULOS DEL CENTRO OPERATIVO ZONAL ECU 911 IBARRA AÑO 2023</t>
  </si>
  <si>
    <t>CONTRATACIÓN DEL SERVICIO DE TELEPASS PARA LOS VEHICULOS INSTITUCIONALES DE LA COORDINACION ZONAL -1 SERVICIO INTEGRADO DE SEGURIDAD ECU 911</t>
  </si>
  <si>
    <t>PAGO POR SOSTENIMIENTO TECNOLÓGICO DE SITIOS DE VIDEO MONITOREO DE LOS CENTROS OPERATIVOS ECU 911 PERTENECIENTES A LA COORDINACIÓN ZONAL 1</t>
  </si>
  <si>
    <t>ADQUISICIÓN, INSTALACIÓN, CONFIGURACIÓN Y PUESTA A PUNTOS DE CUATRO DISCOS DUROS PARA STORAGE HP EVA P6500 DEL CENTRO OPERATIVO ZONAL ECU 911 IBARRA</t>
  </si>
  <si>
    <t>PAGO POR ADQUISICIÓN DE BIENES Y PAGO DE SERVICIOS NO PREVISIBLES, URGENTES Y DE VALOR REDUCIDO (CAJA CHICA)</t>
  </si>
  <si>
    <t>ADQUISICIÓN DE DOS FUENTES DE PODER PARA MATRIZ DE VIDEO WALL Y DOS FUENTES DE PODER PARA SERVIDOR DEL CENTRO OPERATIVO ZONAL ECU 911 IBARRA</t>
  </si>
  <si>
    <t>ADQUISICIÓN DE EQUIPOS PORTÁTILES PARA LA COORDINACIÓN ZONAL 1 DEL ECU 911</t>
  </si>
  <si>
    <t>ADQUISICIÓN DE COMPUTADORAS DE ESCRITORIO Y PORTÁTILES PARA LOS CENTROS OPERATIVOS ECU 911 DE LA ZONA 1</t>
  </si>
  <si>
    <t>CONTRATACIÓN DEL SERVICIO DE TRANSPORTE PARA SERVIDORES DEL ÁREA OPERATIVA DEL CENTRO OPERATIVO LOCAL ECU 911 NUEVA LOJA PARA ENERO-DICIEMBRE 2023, SE PAGA A MES VENCIDO</t>
  </si>
  <si>
    <t>ADQUISICIÓN DE MATERIAL DE POSICIONAMIENTO E IDENTIDAD DEL ECU 911 PARA EL CENTRO OPERATIVO ECU 911 LAGO AGRIO</t>
  </si>
  <si>
    <t>ARRASTRE: CANCELACIÓN POR EL SERVICIO DE LIMPIEZA DEL CENTRO OPERATIVO LOCAL ECU 911 NUEVA LOJA DICIEMBRE DEL 2022</t>
  </si>
  <si>
    <t>CONTRATACIÓN DEL SERVICIO DE LIMPIEZA PARA EL CENTRO OPERATIVO LOCAL ECU 911 LAGO AGRIO PERÍODO 2023 SE PAGA A MES VENCIDO</t>
  </si>
  <si>
    <t>CANCELACIÓN DE SERVICIOS DE GUARDERÍA DEL CENTRO OPERATIVO LOCAL SIS ECU 911 NUEVA LOJA CUMPLIMIENTO AL ACUERDO MINISTERIAL Nro.  MDT-2023-085</t>
  </si>
  <si>
    <t>CONTRATACIÓN DEL SERVICIO DE RASTREO SATELITAL (GPS) INCLUYE EQUIPOS A PRÉSTAMO PARA LOS VEHÍCULOS DEL CENTRO OPERATIVO LOCAL ECU 911 NUEVA LOJA</t>
  </si>
  <si>
    <t>ADQUISICIÓN DE COMBUSTIBLE PARA EL PARQUE AUTOMOTOR DEL SERVICIO INTEGRADO DE SEGURIDAD ECU 911  Y GENERADORES DEL CENTRO OPERATIVO LOCAL ECU 911 NUEVA LOJA</t>
  </si>
  <si>
    <t>REPOSICIÓN DE ADQUISICIÓN DE COMBUSTIBLES EN CUMPLIMIENTO DE COMISIÓN DE SERVICIOS AL INTERIOR DE LOS SERVIDORES DEL CENTRO PERÍODO 2023</t>
  </si>
  <si>
    <t>PROVISIÓN PARA MOVILIZACIONES DE FUNCIONARIOS DEL ECU 911 POR ACTIVIDADES INSTITUCIONALES AÑO 2023</t>
  </si>
  <si>
    <t>PROVISIÓN PARA ALIMENTACIÓN Y ESTADÍA DE LOS FUNCIONARIOS DEL CENTRO OPERATIVO LOCAL ECU 911 LAGO AGRIO POR COMISIÓN FUERA DE LA PROVINCIA EN EL AÑO 2023</t>
  </si>
  <si>
    <t>CONTRATACIÓN PARA MANTENIMIENTO DE INFRAESTRUCTURA DEL CENTRO OPERATIVO LOCAL ECU 911 LAGO AGRIO PARA EL 2023</t>
  </si>
  <si>
    <t>CONTRATACIÓN DEL SERVICIO DE MANTENIMIENTO PREVENTIVO Y CORRECTIVO DE ELECTRODOMÉSTICOS DEL CENTRO OPERATIVO LOCAL ECU 911 NUEVA LOJA</t>
  </si>
  <si>
    <t>CONTRATACIÓN DEL SERVICIO DE MANTENIMIENTO PREVENTIVO Y CORRECTIVO DE IMPRESORAS DEL CENTRO OPERATIVO LOCAL ECU 911 NUEVA LOJA</t>
  </si>
  <si>
    <t>ADQUISICION DE LUBRICANTES PARA MANTENIMIENTO DE LA INFRAESTRUCTURA DEL CENTRO OPERATIVO LOCAL ECU 911 NUEVA LOJA AÑO 2023</t>
  </si>
  <si>
    <t>ADQUISICIÓN DE MATERIALES DE OFICINA PARA EL CENTRO OPERATIVO LOCAL ECU 911 LAGO AGRIO AÑO 2023</t>
  </si>
  <si>
    <t>ADQUISICIÓN DE MATERIAL DE POSICIONAMIENTO E IDENTIDAD DEL ECU 911 PARA EL CENTRO OPERATIVO ECU 911 NUEVA LOJA</t>
  </si>
  <si>
    <t>CONTRATACIÓN DEL SERVICIO DE IMPRESIÓN DE MATERIAL ACADÉMICO PARA LOS CURSOS PRESENCIALES DEL SISTEMA DE COMANDO DE INCIDENTES BÁSICO PARA EL CENTRO LOCAL NUEVA LOJA</t>
  </si>
  <si>
    <t>ADQUISICIÓN DE CINTAS PARA ETIQUETADORAS DEL CENTRO OPERATIVO LOCAL ECU 911 NUEVA LOJA</t>
  </si>
  <si>
    <t>ADQUISICIÓN DE MATERIALES DE ASEO PARA EL CENTRO OPERATIVO LOCAL ECU 911 LAGO AGRIO AÑO 2023</t>
  </si>
  <si>
    <t>ADQUISICIÓN DE TONERS NEGRO Y DE COLOR PARA IMPRESORAS DEL CENTRO OPERATIVO LOCAL ECU 911 LAGO AGRIO AÑO 2023</t>
  </si>
  <si>
    <t>ADQUISICIÓN DE MATERIAL DE FERRETERÍA PARA EL CENTRO OPERATIVO LOCAL ECU 911 LAGO AGRIO AÑO 2023</t>
  </si>
  <si>
    <t>ADQUISICION DE REPUESTOS PARA MANTENIMIENTO DE LA INFRAESTRUCTURA DEL CENTRO OPERATIVO LOCAL ECU 911 NUEVA LOJA AÑO 2023</t>
  </si>
  <si>
    <t>ADQUISICIÓN DE REPUESTOS PARA MANTENIMIENTO DEL RELOJ BIOMÉTRICO</t>
  </si>
  <si>
    <t>ADQUISICIÓN, INSTALACIÓN, DE REPUESTO ( LTO-4 ULTRIUM RW DATA CARTRIDGE ) PARA EL STORAGE WORK HP MSL 2024 DEL CENTRO OPERATIVO LOCAL NUEVA LOJA</t>
  </si>
  <si>
    <t>ADQUISICIÓN DE MENAJE DE HOGAR (PLATOS, CUCHARAS, VASOS, ENTRE OTROS)</t>
  </si>
  <si>
    <t>ADQUISICIÓN DE MAQUINARIA Y EQUIPOS MENORES PARA EL CENTRO OPERATIVO LOCAL ECU 911 NUEVA LOJA</t>
  </si>
  <si>
    <t>MATRICULACIÓN Y REVISIÓN VEHICULAR DE LOS VEHÍCULOS DEL CENTRO OPERATIVO LOCAL ECU 911 LAGO AGRIO AÑO 2023</t>
  </si>
  <si>
    <t>PAGOS POR ADQUISICIÓN DE REPUESTOS Y ACCESORIOS PARA EQUIPOS TECNOLÓGICOS</t>
  </si>
  <si>
    <t>SUBROGACIÓN</t>
  </si>
  <si>
    <t>COMPENSACIÓN POR VACACIONES NO GOZADAS POR CESASIÓN DE FUNCIONES</t>
  </si>
  <si>
    <t>PAGO MENSUAL POR SUMINISTRO DE AGUA POTABLE PARA EL CENTRO ZONAL SAMBORONDÓN</t>
  </si>
  <si>
    <t>PAGO MENSUAL POR SUMINISTRO DE ENERGÍA ELÉCTRICA DEL CENTRO ZONAL SAMBORONDÓN</t>
  </si>
  <si>
    <t>SERVICIO DE CORRESPONDENCIA Y CARGA A NIVEL NACIONAL PARA LA COORDINACIÓN 5 Y 8 SERVICIO INTEGRADO DE SEGURIDAD ECU 911</t>
  </si>
  <si>
    <t>CONTRATACIÓN DEL SERVICIO DE TRANSPORTE PARA LAS Y LOS SERVIDORES PÚBLICOS DEL CENTRO ZONAL ECU 911 SAMBORONDÓN DE LA COORDINACIÓN ZONAL 5 Y 8 SIS ECU 911</t>
  </si>
  <si>
    <t xml:space="preserve">CONTRATACIÓN DEL SERVICIO DE  RECARGA DE EXTINTORES PORTÁTILES INSTALADOS EN EL CENTRO ZONAL ECU 911 SAMBORONDÓN Y CENTRO OPERATIVO LOCAL ECU 911 BABAHOYO </t>
  </si>
  <si>
    <t>SERVICIO DE IMPRESIÓN DE CREDENCIALES, PORTACREDENCIALES Y CORDONES INSTITUCIONALES PARA EL PERSONAL DE LA COORDINACIÓN ZONAL 5 Y 8 SERVICIO
INTEGRADO DE SEGURIDAD ECU 911</t>
  </si>
  <si>
    <t>SERVICIO DE BRANDEO PUBLICITARIO INTERNO PARA CENTRO ZONAL SAMBORONDÓN DE LA COORDINACIÓN ZONAL 5 Y 8 DEL SERVICIO INTEGRADO DE SEGURIDAD ECU 911</t>
  </si>
  <si>
    <t>PROCESO DE CONTRATACIÓN DEL SERVICIO DE ELABORACIÓN DE MATERIAL PUBLICITARIO PARA LA EJECUCIÓN DE ACTIVIDADES DE COMUNICACIÓN INSTITUCIONAL Y DE VINCULACIÓN CON LA COMUNIDAD DE LA COORDINACIÓN ZONAL 5 Y 8</t>
  </si>
  <si>
    <t xml:space="preserve">CONTRATACIÓN DEL SERVICIO DE VIGILANCIA, SEGURIDAD ARMADA Y SUPERVISADA, PARA CUSTODIAR Y PROTEGER EL PATRIMONIO INSTITUCIONAL DEL CENTRO ZONAL ECU 911 SAMBORONDÓN </t>
  </si>
  <si>
    <t>CONTRATACIÓN DEL SERVICIO DE LIMPIEZA DE INTERIORES Y EXTERIORES TIPO III PARA EL CENTRO ZONAL SAMBORONDÓN</t>
  </si>
  <si>
    <t>CONTRATACIÓN DEL SERVICIO DE AROMATIZACIÓN Y DESODORIZACIÓN PARA BAÑOS Y AMBIENTES DEL CENTRO OPERATIVO LOCAL ECU 911 BABAHOYO Y EL CENTRO ZONAL ECU 911 SAMBORONDÓN</t>
  </si>
  <si>
    <t>CANCELACIÓN DE SERVICIOS DE GUARDERÍA DE LA COORDINACIÓN ZONAL 5 Y 8 EN CUMPLIMIENTO AL ACUERDO MINISTERIAL NRO. MDT-2023-085</t>
  </si>
  <si>
    <t>SERVICIO DE RASTREO SATELITAL GPS, INCLUYE EQUIPOS A PRÉSTAMO PARA EL PARQUE AUTOMOTOR DE LA COORDINACIÓN ZONAL 5 Y 8 SERVICIO INTEGRADO DE SEGURIDAD ECU 911</t>
  </si>
  <si>
    <t>SERVICIO DE COMUNICACIÓN INTERNA PARA REFORZAR LA SEGURIDAD PERIMETRAL DEL CENTRO ZONAL ECU 911 SAMBORONDÓN, CENTRO OPERATIVO SAN CRISTÓBAL Y SALA DESCONCENTRADA SANTA ELENA</t>
  </si>
  <si>
    <t>CONTRATACIÓN DEL SERVICIO DE ABASTECIMIENTO DE COMBUSTIBLE PARA LOS GENERADORES Y VEHÍCULOS INSTITUCIONALES DEL CENTRO ZONAL ECU 911 SAMBORONDÓN</t>
  </si>
  <si>
    <t>REEMBOLSO POR ADQUISICIÓN DE PASAJES EN CUMPLIMIENTO DE COMISIÓN DE SERVICIO INSTITUCIONALES DEL CENTRO ZONAL ECU 911 SAMBORONDÓN</t>
  </si>
  <si>
    <t>PROVISIÓN DE PASAJES AÉREOS EN LAS RUTAS NACIONALES PARA FUNCIONARIOS Y SERVIDORES PÚBLICOS DE LA COORDINACIÓN ZONAL 5 Y 8 SIS ECU 911</t>
  </si>
  <si>
    <t>PAGOS POR VIÁTICOS Y SUBSISTENCIAS EN EL INTERIOR EFECTUADAS POR LOS SERVIDORES, FUNCIONARIOS DEL ECU 911 SAMBORONDÓN</t>
  </si>
  <si>
    <t>CONTRATACIÓN DEL SERVICIO DE MANTENIMIENTO PREVENTIVO Y CORRECTIVO DE LOS SISTEMAS DEL EQUIPAMIENTO ELÉCTRICO EN LOS EDIFICIOS DE LA COORDINACIÓN ZONAL 5 Y 8 Y SUS 3 SALAS DESCONCENTRADAS DEL SIS ECU 911</t>
  </si>
  <si>
    <t>SERVICIO DE MANTENIMIENTO INTEGRAL DEL EDIFICIO E IMPERMEABILIZACIÓN DE TERRAZAS DEL CENTRO ZONAL ECU 911 SAMBORONDON</t>
  </si>
  <si>
    <t>MANTENIMIENTO PREVENTIVO Y CORRECTIVO DEL SISTEMA DE ALARMA CONTRA INCENDIOS Y SISTEMA HIDRÁULICO CONTRA INCENDIO DE LOS CENTROS DE
LA COORDINACIÓN ZONAL 5-8 SIS ECU 911</t>
  </si>
  <si>
    <t>SERVICIO DE FABRICACIÓN E INSTALACIÓN DE PUERTA ENROLLABLE DE LA TERRAZA DEL SEGUNDO PISO Y MANTENIMIENTO CORRECTIVO DE PUERTA ENROLLABLE DEL INGRESO PRINCIPAL DE CENTRO ZONAL ECU 911 SAMBORONDÓN</t>
  </si>
  <si>
    <t>SERVICIO DE MANTENIMIENTO PREVENTIDO Y CORRECTIVO DEL CIRCUITO CERRADO DE TELEVISIÓN DEL CENTRO ZONAL ECU 911 SAMBORONDÓN</t>
  </si>
  <si>
    <t>CONTRATACIÓN DEL SERVICIO DE MANTENIMIENTO PREVENTIVO Y CORRECTIVO DE LOS ASCENSORES DEL CENTRO ZONAL ECU 911 SAMBORONDÓN Y EL CENTRO OPERATIVO LOCAL ECU 911 BABAHOYO</t>
  </si>
  <si>
    <t>MANTENIMIENTO DE ANAQUELES DE COCINA Y BAÑOS DEL CENTRO ZONAL ECU 911 SAMBORONDÓN</t>
  </si>
  <si>
    <t>SERVICIO DE MANTENIMIENTO PREVENTIVO Y CORRECTIVO PARA EL SOSTENIMIENTO TECNOLÓGICO DEL SISTEMA DE CLIMATIZACIÓN DE LOS 3 CENTROS  DE LA COORDINACIÓN ZONAL 5 Y 8 SERVICIO INTEGRADO DE SEGURIDAD ECU 911 Y SUS  3 SALAS DESCONCENTRADAS ECU 911</t>
  </si>
  <si>
    <t>CONTRATACIÓN DEL SERVICIO DE MANTENIMIENTO Y REPARACIÓN DE EQUIPO DE PURIFICACIÓN DE AGUA DEL CENTRO ZONAL ECU 911 SAMBORONDÓN</t>
  </si>
  <si>
    <t>SERVICIO DE MANTENIMIENTO PREVENTIVO Y/O CORRECTIVO DE LOS VEHÍCULOS INSTITUCIONALES, PERTENECIENTES A LA COORDINACIÓN ZONAL 5 Y 8 SERVICIO INTEGRADO DE SEGURIDAD 911, CENTRO ZONAL ECU 911 SAMBORONDÓN</t>
  </si>
  <si>
    <t>SERVICIO DE MANTENIMIENTO CORRECTIVO DEL VEHÍCULO CHEVROLET GRAND VITARA SZ GEA-1459, PERTENECIENTE A LA COORDINACIÓN ZONAL 5 Y 8 SERVICIO INTEGRADO DE SEGURIDAD 911, CENTRO ZONAL ECU 911 SAMBORONDON</t>
  </si>
  <si>
    <t>LIQUIDACIÓN DE CAJA CHICA DEL CENTRO ZONAL SAMBORONDÓN DE PERIODOS ANTERIORES</t>
  </si>
  <si>
    <t>REEMBOLSO DE CAJA CHICA DEL CENTRO ZONAL SAMBORONDÓN</t>
  </si>
  <si>
    <t>CONTRATACIÓN DEL SERVICIO DE SUMINISTRO DE INFORMACIÓN EN LÍNEA DE NORMATIVAS LEGALES ACTUALIZADAS PARA LA COORDINACIÓN ZONAL 5-8</t>
  </si>
  <si>
    <t>ADQUISICIÓN DE VESTIMENTA Y EQUIPOS DE PROTECCIÓN PAR EL PERSONAL DE LA COORDINACIÓN ZONAL 5 Y 8 SERVICIO INTEGRADO DE SEGURIDAD ECU 911</t>
  </si>
  <si>
    <t>CONTRATACIÓN DEL SERVICIO DE ABASTECIMIENTO DE COMBUSTIBLE PARA LOS GENERADORES Y VEHÍCULOS INSTITUCIONALES DEL CENTRO ZONAL SAMBORONDÓN</t>
  </si>
  <si>
    <t>ADQUISICIÓN DE SUMINISTROS DE OFICINA PARA EL CENTRO ZONAL ECU 911 SAMBORONDÓN</t>
  </si>
  <si>
    <t xml:space="preserve">ADQUISICIÓN DE RESMA DE PAPEL BOND A4 DE 75GR Y CUADERNOS ESPIRAL UNIVERSITARIO CUADROS 100 HOJAS PARA EL CENTRO ZONAL ECU 911 </t>
  </si>
  <si>
    <t>ADQUISICIÓN DE SUMINISTROS DE IMPRESIÓN (TONER Y CARTUCHOS) PARA LA UTILIZACIÓN DE IMPRESORAS DEL CENTRO DE LA COORDINACIÓN ZONAL Y SUS SALAS DESCONCENTRADAS</t>
  </si>
  <si>
    <t xml:space="preserve">ADQUSICIÓN DE DISPENSADORES DE PAPEL HIGIÉNICO Y DE TOALLAS DE MANO EN Z, PARA EL CENTRO ZON AL ECU 911 SAMBORONDÓN </t>
  </si>
  <si>
    <t>ADQUISICIÓN DE MATERIALES E INSUMOS DE FERRETERÍA PARA REALIZAR LOS DIFERENTES MANTENIMIENTO EN LOS CENTROS DE LA COORDINACIÓN 5 Y 8 SIS ECU 911</t>
  </si>
  <si>
    <t>ADQUISICIÓN DE REPUESTOS DEL SISTEMA DE AGUA PARA LOS CENTROS DE SAMBORONDÓN, CENTRO OPERATIVO LOCAL BABAHOYO Y EL CENTRO OPERATIVO SAN CRISTÓBAL DE LA COORDINACIÓN ZONAL 5 Y 8 SIS ECU 911</t>
  </si>
  <si>
    <t>ADQUISICIÓN DE NEUMÁTICOS PARA VEHÍCULOS INSTITUCIONALES DEL CENTRO ZONAL ECU 911 SAMBORONDÓN</t>
  </si>
  <si>
    <t>REEMBOLSO DE PEAJES PARA CONDUCTORES DEL CENTRO ZONAL ECU 911 SAMBORONDÓN</t>
  </si>
  <si>
    <t>PAGO DE LA MATRICULACIÓN VEHICULAR DE LOS VEHÍCULOS INSTITUCIONALES DEL CENTRO ZONAL SAMBORONDÓN, CORRESPONDIENTE AL AÑO 2023</t>
  </si>
  <si>
    <t>PAGO DE LA REVISIÓN TECNICA VEHICULAR DE LOS VEHÍCULOS INSTITUCIONALES DEL CENTRO ZONAL SAMBORONDÓN, CORRESPONDIENTE AL AÑO 2023</t>
  </si>
  <si>
    <t xml:space="preserve">PERMISO DE FUNCIONAMIENTO DEL CUERPO DE BOMBEROS 2023 DEL CENTRO ZONAL ECU 911 SAMBORONDÓN </t>
  </si>
  <si>
    <t>PAGO DE TASA POR PERMISO DE FUNCIONAMIENTO ANUAL DEL CUERPO DE BOMBEROS DEL CENTRO ZONAL ECU 911 SAMBORONDÓN</t>
  </si>
  <si>
    <t>CONTRATACIÓN DEL SERVICIO DE IMPRESIÓN DE MATERIAL ACADÉMICO PARA LOS CURSOS PRESENCIALES DEL SISTEMA DE COMANDO DE INCIDENTES BÁSICO PARA LA COORDINACIÓN ZONAL 5-8 SAMBORONDÓN Y CENTROS LOCALES BABAHOYO Y GALÁPAGOS</t>
  </si>
  <si>
    <t>PROVISIÓN DEL SERVICIO DE TELEFONÍA FIJA, ENLACES DE DATOS, INTERNET SERVICIOS MÓVILES (PDA, GPS Y BOTONES DE AUXILIO) Y ANTIVIRUS PARA LA COORDINACIÓN ZONAL 5 Y 8 SERVICIO INTEGRADO DE SEGURIDAD ECU 911 CENTRO ZONAL SAMBORONDÓN</t>
  </si>
  <si>
    <t xml:space="preserve">SERVICIO DE REUBICACIÓN DE PUNTOS DE VIDEO VIGILANCIA Y REEMPLAZO DE POSTES PARA LA COORDINACIÓN ZONAL 5-8 CENTRO ZONAL SAMBORONDÓN
Y EL CENTRO OPERATIVO LOCAL BABAHOYO
</t>
  </si>
  <si>
    <t>SOSTENIMIENTO TECNOLÓGICO DE SITIOS DE VIDEO VIGILANCIA DE LA COORDINACIÓN ZONAL 5 Y 8 SIS ECU 911</t>
  </si>
  <si>
    <t>SOSTENIMIENTO TECNOLÓGICO PARA LOS PUNTOS DE ALERTA TEMPRANA Y CENTRO DE CONTROL, QUE FORMAN PARTE DEL SISTEMA NACIONAL DE ALERTA TEMPRANA FRENTE A EVENTOS ADVERSOS DE TSUNAMI, DESBORDAMIENTO DE RIOS Y REPRESAS DE LA COORDINACIÓN ZONAL 5-8 DEL SERVICIO INTEGRADO DE SEGURIDAD ECU 911</t>
  </si>
  <si>
    <t>SERVICIO EMERGENTE DE SOPORTE TECNOLÓGICO PARA LOS SERVIDORES DE LA COORDINACIÓN ZONAL 5-8 SERVICIO INTEGRADO DE SEGURIDAD ECU 911, CENTRO ZONAL SAMBORONDÓN</t>
  </si>
  <si>
    <t>SERVICIO DE MANTENIMIENTO PREVENTIVO Y CORRECTIVO PARA FOTOCOPIADORAS E IMPRESORAS DEL CENTRO ZONAL SAMBORONDÓN Y EL CENTRO OPERATIVO LOCAL BABAHOYO</t>
  </si>
  <si>
    <t xml:space="preserve">ADQUISICIÓN DE REPUESTOS Y DISPOSITIVOS PARA MANTENIMIENTO DE EQUIPOS TECNOLÓGICOS DE LOS CENTROS OPERATIVOS DE LA COORDINACIÓN ZONAL 5 Y 8 SIS ECU 911 </t>
  </si>
  <si>
    <t>ADQUISICIÓN DE UPS PARA PUNTOS DE VIDEO VIGILANCIA DE LA COORDINACIÓN  ZONAL 5 Y 8 DEL SERVICIO INTEGRADO DE SEGURIDAD ECU 911</t>
  </si>
  <si>
    <t>ADQUISICIÓN DE EQUIPOS PORTÁTILES PARA LA COORDINACION ZONAL 5-8 DEL ECU 911</t>
  </si>
  <si>
    <t>ADQUISICIÓN DE EQUIPOS PORTÁTILES E IMPRESORAS LASER MULTIFUNCIONALES PARA LA COORDINACION ZONAL 5-8 DEL ECU 911</t>
  </si>
  <si>
    <t>PAGO MENSUAL POR SUMINISTRO DE AGUA POTABLE PARA EL CENTRO OPERATIVO LOCAL ECU 911 BABAHOYO</t>
  </si>
  <si>
    <t>PAGO MENSUAL POR SUMINISTRO DE AGUA POTABLE PARA EL CENTRO OPERATIVO PARA LA SALA OPERATIVA ECU 911 QUEVEDO</t>
  </si>
  <si>
    <t>PAGO MENSUAL POR SUMINISTRO DE ENERGÍA ELÉCTRICA DEL CENTRO OPERATIVO LOCAL ECU 911 BABAHOYO</t>
  </si>
  <si>
    <t>PAGO MENSUAL POR SUMINISTRO DE ENERGÍA ELÉCTRICA DE LA SALA OPERATIVA ECU 911 GUARANDA</t>
  </si>
  <si>
    <t>PAGO MENSUAL POR SUMINISTRO DE ENERGÍA ELÉCTRICA DE LA SALA OPERATIVA ECU 911 QUEVEDO</t>
  </si>
  <si>
    <t>CONTRATACIÓN DEL SERVICIO DE TRANSPORTE OPERATIVO PARA PERSONAL DE ÁREA DE OPERACIONES DEL CENTRO OPERATIVO LOCAL ECU 911 BABAHOYO</t>
  </si>
  <si>
    <t>CONTRATACIÓN DEL SERVICIO DE VIGILANCIA, SEGURIDAD ARMADA Y SUPERVISADA, PARA CUSTODIAR Y PROTEGER EL PATRIMONIO INSTITUCIONAL DEL  CENTRO OPERATIVO  LOCAL  ECU 911 BABAHOYO</t>
  </si>
  <si>
    <t>CONTRATACIÓN DEL SERVICIO DE VIGILANCIA, SEGURIDAD ARMADA Y SUPERVISADA, PARA CUSTODIAR Y PROTEGER EL PATRIMONIO INSTITUCIONAL DE LA SALA OPERATIVA ECU 911 QUEVEDO</t>
  </si>
  <si>
    <t>CONTRATACIÓN DEL SERVICIO DE LIMPIEZA DE INTERIORES Y EXTERIORES TIPO III PARA EL CENTRO OPERATIVO LOCAL ECU 911 BABAHOYO</t>
  </si>
  <si>
    <t>CONTRATACIÓN DEL SERVICIO DE LIMPIEZA DE INTERIORES Y EXTERIORES TIPO III PARA  LA  SALA OPERATIVA ECU 911 QUEVEDO</t>
  </si>
  <si>
    <t>CONTRATACIÓN DEL SERVICIO DE ABASTECIMIENTO DE COMBUSTIBLE PARA LOS GENERADORES Y VEHÍCULOS INSTITUCIONALES DEL CENTRO OPERATIVO LOCAL ECU 911 BABAHOYO</t>
  </si>
  <si>
    <t>REEMBOLSO POR ADQUISICIÓN DE PASAJES EN CUMPLIMIENTO DE COMISIÓN DE SERVICIO INSTITUCIONALES DEL CENTRO OPERATIVO LOCAL ECU 911 BABAHOYO</t>
  </si>
  <si>
    <t>PAGO POR VIÁTICOS Y SUBSISTENCIAS EN EL INTERIOR EFECTUADAS POR FUNCIONARIOS DEL CENTRO OPERATIVO LOCAL ECU 911 BABAHOYO</t>
  </si>
  <si>
    <t>SERVICIO DE ADECUACIONES Y MANTENIMIENTO DE INFRAESTRUCTURA DEL CENTRO OPERATIVO LOCAL ECU 911 BABAHOYO Y DE SUS SALAS OPERATIVAS ECU 911 QUEVEDO Y SALA OPERATIVA ECU 911 GUARANDA</t>
  </si>
  <si>
    <t>SERVICIO DE FABRICACIÓN E INSTALACIÓN DE PUERTAS DE SEGURIDAD Y REJAS METÁLICAS PARA LAS INSTALACIONES DEL CENTRO OPERATIVO LOCAL ECU 911 BABAHOYO Y SALA OPERATIVA ECU 911 QUEVEDO</t>
  </si>
  <si>
    <t>REEMBOLSO DE CAJA CHICA DEL CENTRO OPERATIVO LOCAL BABAHOYO</t>
  </si>
  <si>
    <t>CONTRATACIÓN DEL SERVICIO DE MANTENIMIENTO DE MOBILIARIOS DEL CENTRO OPERATIVO LOCAL ECU 911 BABAHOYO Y DE SUS SALAS OPERATIVAS ECU 911 GUARANDA Y ECU 911 QUEVEDO</t>
  </si>
  <si>
    <t>LIQUIDACIÓN DE CAJA CHICA DEL CENTRO BABAHOYO DE PERIODOS ANTERIORES</t>
  </si>
  <si>
    <t>SERVICIO DE MANTENIMIENTO CORRECTIVO DEL EQUIPO DE CLIMATIZACIÓN TIPO VRF MULTI V III - UC 2 DEL CENTRO OPERATIVO LOCAL ECU 911 BABAHOYO</t>
  </si>
  <si>
    <t>CONTRATACIÓN DEL SERVICIO DE MANTENIMIENTO PREVENTIVO Y CORRECTIVO DE LOS VEHÍCULOS LIVIANOS Y PESADOS DEL CENTRO OPERATIVO LOCAL ECU 911 BABAHOYO</t>
  </si>
  <si>
    <t>REEMBOLSO DE CAJA CHICA  DEL CENTRO OPERATIVO LOCAL BABAHOYO</t>
  </si>
  <si>
    <t xml:space="preserve">PAGO POR HONORARIOS DETERMINADOS POR SENTENCIA JUDICIAL
</t>
  </si>
  <si>
    <t>ADQUISICIÓN DE SUMINISTROS DE OFICINA PARA EL CENTRO OPERATIVO LOCAL ECU 911 BABAHOYO Y DE SUS SALAS OPERATIVAS ECU 911 GUARANDA Y ECU 911 QUEVEDO</t>
  </si>
  <si>
    <t xml:space="preserve">ADQUISICIÓN DE MICROONDAS PARA EL CENTRO OPERATIVO LOCAL ECU 911 BABAHOYO Y SUS SALAS OPERATIVOAS  ECU 911 </t>
  </si>
  <si>
    <t>PAGO DE MATRÍCULA ANUAL DE VEHÍCULOS INSTITUCIONALES QUE FORMAN PARTE DEL PARQUE AUTOMOTOR DEL CENTRO OPERATIVO LOCAL ECU 911 BABAHOYO</t>
  </si>
  <si>
    <t>PAGO DE REVISIÓN TÉCNICA VEHICULAR ANUAL DE LOS VEHÍCULOS INSTITUCIONALES QUE FORMAN PARTE DEL PARQUE AUTOMOTOR DEL CENTRO OPERATIVO LOCAL ECU 911 BABAHOYO</t>
  </si>
  <si>
    <t>PAGO DE TASA POR PERMISO DE FUNCIONAMIENTO ANUAL DEL CUERPO DE BOMBEROS DE LA SALA OPERATIVA ECU 911 QUEVEDO</t>
  </si>
  <si>
    <t>PAGO DE TASA POR PERMISO DE FUNCIONAMIENTO ANUAL DEL CUERPO DE BOMBEROS DEL CENTRO OPERATIVO LOCAL ECU 911 BABAHOYO</t>
  </si>
  <si>
    <t>PAGO DE TASA MUNICIPAL ADMINISTRATIVA ANUAL (PATENTES) DE LA SALA OPERATIVA ECU 911 QUEVEDO</t>
  </si>
  <si>
    <t>PAGO DE TASA MUNICIPAL ADMINISTRATIVA ANUAL (SAD) DEL CENTRO OPERATIVO LOCAL ECU 911 BABAHOYO</t>
  </si>
  <si>
    <t>PAGO DE TASA POR PERMISO DE TRASLADO DE COMBUSTIBLE PARA EL CENTRO OPERATIVO LOCAL ECU 911 BABAHOYO</t>
  </si>
  <si>
    <t>PAGO POR REEMBOLSO DE PEAJES EN EL CUMPLIMIENTO DE COMISIONES DE SERVICIOS INSTITUCIONALES DEL CENTRO OPERATIVO LOCAL ECU 911 BABAHOYO</t>
  </si>
  <si>
    <t>SERVICIO DE RECARGA DE PEAJE DE VEHÍCULOS INSTITUCIONALES QUE FORMAN PARTE DEL PARQUE AUTOMOTOR DEL CENTRO OPERATIVO LOCAL ECU 911 BABAHOYO</t>
  </si>
  <si>
    <t xml:space="preserve">PAGO DE ESCRITURA PÚBLICA DE CONTRATO DE COMODATO ENTRE EL SIS ECU 911 Y EL GAD MUNICIPAL DEL CANTÓN QUEVEDO </t>
  </si>
  <si>
    <t>PROVISIÓN DEL SERVICIO DE TELEFONÍA FIJA, ENLACES DE DATOS, INTERNET, SERVICIOS MÓVILES PDA Y BOTONES DE AUXILIO, Y ANTIVIRUS PARA LA COORDINACIÓN ZONAL 5 Y 8 DEL SERVICIO INTEGRADO DE SEGURIDAD ECU 911 CENTRO OPERATIVO LOCAL BABAHOYO</t>
  </si>
  <si>
    <t>COMPENSACIÓN POR TRANSPORTE</t>
  </si>
  <si>
    <t>ALIMENTACIÓN</t>
  </si>
  <si>
    <t>SUBSIDIO DE ANTIGÜEDAD</t>
  </si>
  <si>
    <t>PAGO MENSUAL POR SUMINISTRO DE AGUA POTABLE PARA EL CENTRO OPERATIVO LOCAL ECU 911 GALÁPAGOS</t>
  </si>
  <si>
    <t>PAGO MENSUAL POR SUMINISTRO DE ENERGÍA ELÉCTRICA DEL CENTRO OPERATIVO LOCAL ECU 911 GALÁPAGOS</t>
  </si>
  <si>
    <t>CONTRATACIÓN DEL SERVICIO DE ABASTECIMIENTO DE COMBUSTIBLE PARA LOS GENERADORES Y VEHÍCULOS INSTITUCIONALES DEL CENTRO OPERATIVO LOCAL ECU 911 GALÁPAGOS</t>
  </si>
  <si>
    <t>REEMBOLSO POR ADQUISICIÓN DE PASAJES AÉREOS EN CUMPLIMIENTO DE COMISIÓN DE SERVICIO INSTITUCIONALES DEL CENTRO ZONAL ECU 911 GALÁPAGOS</t>
  </si>
  <si>
    <t>PAGO DE PASAJES MARÍTIMOS PARA LOS SERVIDORES, FUNCIONARIOS DEL  CENTRO OPERATIVO LOCAL  ECU 911 GALÁPAGOS</t>
  </si>
  <si>
    <t>PAGOS POR VIÁTICOS Y SUBSISTENCIAS EN EL INTERIOR EFECTUADAS POR LOS SERVIDORES, FUNCIONARIOS DEL COL ECU 911 GALÁPAGOS</t>
  </si>
  <si>
    <t>SERVICIO DE MANTENIMIENTO DE LA PUERTA ELÉCTRICA, COLOCACIÓN DE SILICONA EN VENTANALES, COLOCACIÓN DE LAMINAS ANTISOLARES Y CAMBIO DE CERRADURA DE LA PUERTA DE EMERGENCIA Y OFICINA ADMINISTRATIVA DEL CENTRO OPERATIVO LOCAL ECU 911 GALÁPAGOS</t>
  </si>
  <si>
    <t>ADQUISICIÓN DE SEÑALÉTICA PARA LAS INSTALACIONES DEL COL ECU 911 GALÁPAGOS</t>
  </si>
  <si>
    <t>SERVICIO DE IMPERMEABILIZACIÓN DE LA LOSA DEL CENTRO OPERATIVO LOCAL ECU 911 GALÁPAGOS</t>
  </si>
  <si>
    <t>SERVICIO DE MANTENIMIENTO DE INFRAESTRUCTURA DEL CENTRO OPERATIVO LOCAL ECU 911 GALÁPAGOS</t>
  </si>
  <si>
    <t>SERVICIO DE MANTENIMIENTO PREVENTIVO Y CORRECTIVO DE LAS INSTALACIONES ELÉCTRICAS DEL ÁREA DE PARQUEADERO DEL CENTRO OPERATIVO LOCAL ECU 911 GALÁPAGOS</t>
  </si>
  <si>
    <t>CONTRATACIÓN DEL SERVICIO DEL MANTENIMIENTO PREVENTIVO Y CORRECTIVO DE LOS VEHÍCULOS DEL PARQUE AUTOMOTOR DEL  CENTRO OPERATIVO LOCAL  ECU 911 GALÁPAGOS</t>
  </si>
  <si>
    <t>SERVICIO DE LIMPIEZA Y DESBROCE DE LOS EXTERIORES DEL CENTRO OPERATIVO LOCAL ECU 911 GALÁPAGOS</t>
  </si>
  <si>
    <t>LIQUIDACIÓN DE CAJA CHICA DEL CENTRO LOCAL SAN CRISTÓBAL DE PERIODOS ANTERIORES</t>
  </si>
  <si>
    <t>CONSULTORÍA PARA LA ELABORACIÓN DE LA FICHA AMBIENTALY PLAN DE MANEJO AMBIENTAL DEL CENTRO OPERATIVO LOCAL ECU 911 GALÁPAGOS</t>
  </si>
  <si>
    <t>MANTENIMIENTO PREVENTIVO Y CORRECTIVO DEL SISTEMA DE CONTROL DE ACCESOS HONEYWLL NETAXS 4 DEL CENTRO OPERATIVO LOCAL ECU 911 GALAPAGOS</t>
  </si>
  <si>
    <t>CONTRATACIÓN DEL SERVICIO DE ABASTECIMIENTO DE COMBUSTIBLE PARA LOS GENERADORES Y VEHÍCULOS INSTITUCIONALES DEL CENTRO OPERATIVO LOCAL  ECU 911 GALÁPAGOS</t>
  </si>
  <si>
    <t>ADQUISICIÓN DE SUMINISTROS DE OFICINA PARA EL CENTRO OPERATIVO LOCAL  ECU 911 GALÁPAGOS</t>
  </si>
  <si>
    <t>ADQUISICIÓN DE MATERIALES DE ASEO PARA EL CENTRO OPERATIVO LOCAL  ECU 911 GALÁPAGOS</t>
  </si>
  <si>
    <t>PAGO DE TASA DEL PLAN DE MANEJO AMBIENTAL DEL CENTRO OPERATIVO LOCAL ECU 911 GALÁPAGOS - PARQUE NACIONAL GALÁPAGOS</t>
  </si>
  <si>
    <t>PAGO DE TASA DEL SEGUIMIENTO AL CUMPLIMIENTO AL PLAN DE MANEJO AMBIENTAL DEL CENTRO OPERATIVO LOCAL ECU 911 GALÁPAGOS - PARQUE NACIONAL
GALÁPAGOS</t>
  </si>
  <si>
    <t>PAGO DE TASA DE RECOLECCIÓN DE BASURA DEL CENTRO OPERATIVO LOCAL ECU 911 GALÁPAGOS</t>
  </si>
  <si>
    <t>PAGO DE MATRÍCULA DEL PARQUE AUTOMOTOR DEL CENTRO OPERATIVO LOCAL ECU 911 GALÁPAGOS</t>
  </si>
  <si>
    <t>PAGO POR TASA DE REVISIÓN TÉCNICA CORRESPONDIENTE AL EJERCICIO FISCAL 2023 DE LOS VEHÍCULOS QUE CONFORMAN EL PARQUE AUTOMOTOR DEL CENTRO OPERATIVO LOCAL ECU 911 GALÁPAGOS</t>
  </si>
  <si>
    <t>PAGO DE PERMISO DE FUNCIONAMIENTO DE CUERPO DE BOMBEROS DEL CENTRO OPERATIVO LOCAL ECU 911 GALÁPAGOS</t>
  </si>
  <si>
    <t>PAGO DE TASA DEL CENTRO OPERATIVO LOCAL ECU 911 GALÁPAGOS - GAD SAN CRISTÓBAL</t>
  </si>
  <si>
    <t>PAGO DE TASA POR PERMISO DE CIRCULACIÓN DEL CUERPO DE BOMBEROS PARA TRASLADO DE COMBUSTIBLE DEL CENTRO OPERATIVO LOCAL ECU 911 GALÁPAGOS</t>
  </si>
  <si>
    <t>PAGO POR  ACERAS Y BORDILLOS  DEL CENTRO OPERATIVO LOCAL ECU 911 GALÁPAGOS - GAD SAN CRISTÓBAL</t>
  </si>
  <si>
    <t>PROVISIÓN DEL SERVICIO DE TELEFONÍA FIJA, ENLACES DE DATOS, INTERNET, SERVICIOS MÓVILES PDA Y BOTONES DE AUXILIO, Y ANTIVIRUS PARA LA COORDINACIÓN ZONAL 5 Y 8 DEL SERVICIO INTEGRADO DE SEGURIDAD ECU 911 CENTRO OPERATIVO LOCAL SAN CRISTÓBAL</t>
  </si>
  <si>
    <t>SERVICIO DE MANTENIMIENTO PREVENTIVO Y CORRECTIVO PARA FOTOCOPIADORAS E IMPRESORAS DEL COL ECU 911 GALÁPAGOS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</si>
</sst>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3" formatCode="_ * #,##0.00_ ;_ * \-#,##0.00_ ;_ * &quot;-&quot;??_ ;_ @_ "/>
    <numFmt numFmtId="164" formatCode="_(* #,##0.00_);_(* \(#,##0.00\);_(* &quot;-&quot;??_);_(@_)"/>
    <numFmt numFmtId="165" formatCode="_-* #,##0.00\ _€_-;\-* #,##0.00\ _€_-;_-* &quot;-&quot;??\ _€_-;_-@_-"/>
    <numFmt numFmtId="166" formatCode="00"/>
    <numFmt numFmtId="167" formatCode="000"/>
    <numFmt numFmtId="168" formatCode="0000"/>
    <numFmt numFmtId="169" formatCode="000000"/>
    <numFmt numFmtId="170" formatCode="&quot;$ &quot;#,##0.00"/>
  </numFmts>
  <fonts count="23" x14ac:knownFonts="1">
    <font>
      <sz val="11"/>
      <color theme="1"/>
      <name val="Calibri"/>
      <family val="2"/>
      <scheme val="minor"/>
    </font>
    <font>
      <sz val="20"/>
      <color indexed="8"/>
      <name val="Calibri"/>
      <family val="2"/>
    </font>
    <font>
      <b/>
      <sz val="20"/>
      <color indexed="56"/>
      <name val="Calibri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name val="Arial"/>
      <family val="2"/>
    </font>
    <font>
      <b/>
      <sz val="8"/>
      <color theme="0"/>
      <name val="Arial"/>
      <family val="2"/>
    </font>
    <font>
      <b/>
      <sz val="8"/>
      <color indexed="9"/>
      <name val="Arial"/>
      <family val="2"/>
    </font>
    <font>
      <b/>
      <sz val="8"/>
      <color indexed="8"/>
      <name val="Arial"/>
      <family val="2"/>
    </font>
    <font>
      <b/>
      <sz val="10"/>
      <name val="Arial"/>
      <family val="2"/>
    </font>
    <font>
      <b/>
      <sz val="10"/>
      <color theme="0"/>
      <name val="Arial"/>
      <family val="2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b/>
      <sz val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8"/>
      <color indexed="81"/>
      <name val="Tahoma"/>
      <family val="2"/>
    </font>
    <font>
      <sz val="8"/>
      <color indexed="81"/>
      <name val="Tahoma"/>
      <family val="2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theme="1" tint="0.34998626667073579"/>
        <bgColor indexed="63"/>
      </patternFill>
    </fill>
    <fill>
      <patternFill patternType="solid">
        <fgColor theme="4" tint="-0.249977111117893"/>
        <bgColor indexed="63"/>
      </patternFill>
    </fill>
    <fill>
      <patternFill patternType="solid">
        <fgColor theme="0" tint="-0.34998626667073579"/>
        <bgColor indexed="63"/>
      </patternFill>
    </fill>
    <fill>
      <patternFill patternType="solid">
        <fgColor theme="4" tint="0.39997558519241921"/>
        <bgColor indexed="63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5" tint="0.39997558519241921"/>
        <bgColor indexed="63"/>
      </patternFill>
    </fill>
    <fill>
      <patternFill patternType="solid">
        <fgColor rgb="FFA162D0"/>
        <bgColor indexed="63"/>
      </patternFill>
    </fill>
    <fill>
      <patternFill patternType="solid">
        <fgColor rgb="FF421C5E"/>
        <bgColor indexed="63"/>
      </patternFill>
    </fill>
    <fill>
      <patternFill patternType="solid">
        <fgColor theme="5" tint="-0.499984740745262"/>
        <bgColor indexed="63"/>
      </patternFill>
    </fill>
    <fill>
      <patternFill patternType="solid">
        <fgColor theme="0"/>
        <bgColor indexed="64"/>
      </patternFill>
    </fill>
    <fill>
      <patternFill patternType="solid">
        <fgColor rgb="FF002060"/>
        <bgColor indexed="63"/>
      </patternFill>
    </fill>
    <fill>
      <patternFill patternType="solid">
        <fgColor theme="9" tint="-0.249977111117893"/>
        <bgColor indexed="63"/>
      </patternFill>
    </fill>
    <fill>
      <patternFill patternType="solid">
        <fgColor theme="8" tint="-0.249977111117893"/>
        <bgColor indexed="57"/>
      </patternFill>
    </fill>
    <fill>
      <patternFill patternType="solid">
        <fgColor rgb="FFA162D0"/>
        <bgColor indexed="57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4"/>
      </left>
      <right/>
      <top style="thin">
        <color theme="4"/>
      </top>
      <bottom/>
      <diagonal/>
    </border>
    <border>
      <left/>
      <right style="thin">
        <color theme="4"/>
      </right>
      <top style="thin">
        <color theme="4"/>
      </top>
      <bottom/>
      <diagonal/>
    </border>
    <border>
      <left style="medium">
        <color rgb="FF4472C4"/>
      </left>
      <right/>
      <top style="medium">
        <color rgb="FF4472C4"/>
      </top>
      <bottom/>
      <diagonal/>
    </border>
    <border>
      <left/>
      <right style="medium">
        <color rgb="FF4472C4"/>
      </right>
      <top style="medium">
        <color rgb="FF4472C4"/>
      </top>
      <bottom/>
      <diagonal/>
    </border>
    <border>
      <left style="medium">
        <color rgb="FF4472C4"/>
      </left>
      <right/>
      <top style="medium">
        <color rgb="FF4472C4"/>
      </top>
      <bottom style="medium">
        <color rgb="FF4472C4"/>
      </bottom>
      <diagonal/>
    </border>
    <border>
      <left/>
      <right style="medium">
        <color rgb="FF4472C4"/>
      </right>
      <top style="medium">
        <color rgb="FF4472C4"/>
      </top>
      <bottom style="medium">
        <color rgb="FF4472C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3" fillId="0" borderId="0" applyBorder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9" fontId="4" fillId="0" borderId="0" applyFont="0" applyFill="0" applyBorder="0" applyAlignment="0" applyProtection="0"/>
  </cellStyleXfs>
  <cellXfs count="102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left" wrapText="1"/>
    </xf>
    <xf numFmtId="0" fontId="0" fillId="0" borderId="0" xfId="0" applyAlignment="1">
      <alignment horizontal="left" vertical="top" wrapText="1"/>
    </xf>
    <xf numFmtId="0" fontId="1" fillId="0" borderId="0" xfId="0" applyFont="1" applyAlignment="1" applyProtection="1">
      <alignment wrapText="1"/>
      <protection locked="0"/>
    </xf>
    <xf numFmtId="0" fontId="5" fillId="0" borderId="0" xfId="0" applyFont="1" applyAlignment="1" applyProtection="1">
      <alignment vertical="center" wrapText="1"/>
      <protection locked="0"/>
    </xf>
    <xf numFmtId="0" fontId="5" fillId="0" borderId="0" xfId="0" applyFont="1" applyAlignment="1" applyProtection="1">
      <alignment horizontal="center" vertical="center" wrapText="1"/>
      <protection locked="0"/>
    </xf>
    <xf numFmtId="166" fontId="5" fillId="0" borderId="0" xfId="0" applyNumberFormat="1" applyFont="1" applyAlignment="1" applyProtection="1">
      <alignment horizontal="center" vertical="center" wrapText="1"/>
      <protection locked="0"/>
    </xf>
    <xf numFmtId="167" fontId="5" fillId="0" borderId="0" xfId="0" applyNumberFormat="1" applyFont="1" applyAlignment="1" applyProtection="1">
      <alignment horizontal="center" vertical="center" wrapText="1"/>
      <protection locked="0"/>
    </xf>
    <xf numFmtId="168" fontId="5" fillId="0" borderId="0" xfId="0" applyNumberFormat="1" applyFont="1" applyAlignment="1" applyProtection="1">
      <alignment horizontal="center" vertical="center" wrapText="1"/>
      <protection locked="0"/>
    </xf>
    <xf numFmtId="169" fontId="5" fillId="0" borderId="0" xfId="0" applyNumberFormat="1" applyFont="1" applyAlignment="1" applyProtection="1">
      <alignment horizontal="center" vertical="center" wrapText="1"/>
      <protection locked="0"/>
    </xf>
    <xf numFmtId="164" fontId="6" fillId="0" borderId="0" xfId="2" applyFont="1" applyAlignment="1" applyProtection="1">
      <alignment vertical="center" wrapText="1"/>
      <protection locked="0"/>
    </xf>
    <xf numFmtId="164" fontId="5" fillId="0" borderId="0" xfId="2" applyFont="1" applyAlignment="1" applyProtection="1">
      <alignment vertical="center" wrapText="1"/>
      <protection locked="0"/>
    </xf>
    <xf numFmtId="0" fontId="0" fillId="0" borderId="9" xfId="0" applyBorder="1"/>
    <xf numFmtId="0" fontId="0" fillId="0" borderId="0" xfId="0" applyAlignment="1">
      <alignment vertical="center"/>
    </xf>
    <xf numFmtId="0" fontId="0" fillId="0" borderId="10" xfId="0" applyBorder="1" applyAlignment="1">
      <alignment vertical="center"/>
    </xf>
    <xf numFmtId="0" fontId="0" fillId="12" borderId="0" xfId="0" applyFill="1"/>
    <xf numFmtId="0" fontId="0" fillId="12" borderId="0" xfId="0" applyFill="1" applyAlignment="1">
      <alignment wrapText="1"/>
    </xf>
    <xf numFmtId="0" fontId="0" fillId="0" borderId="0" xfId="0" applyAlignment="1">
      <alignment horizontal="right" vertical="center"/>
    </xf>
    <xf numFmtId="0" fontId="0" fillId="0" borderId="0" xfId="0" applyAlignment="1">
      <alignment horizontal="left" vertical="top"/>
    </xf>
    <xf numFmtId="166" fontId="0" fillId="0" borderId="0" xfId="0" applyNumberFormat="1"/>
    <xf numFmtId="167" fontId="0" fillId="0" borderId="0" xfId="0" applyNumberFormat="1"/>
    <xf numFmtId="0" fontId="0" fillId="0" borderId="0" xfId="0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12" xfId="0" applyFont="1" applyBorder="1" applyAlignment="1">
      <alignment vertical="center" wrapText="1"/>
    </xf>
    <xf numFmtId="0" fontId="0" fillId="0" borderId="11" xfId="0" applyBorder="1" applyAlignment="1">
      <alignment vertical="center" wrapText="1"/>
    </xf>
    <xf numFmtId="0" fontId="7" fillId="0" borderId="13" xfId="0" applyFont="1" applyBorder="1" applyAlignment="1">
      <alignment vertical="center" wrapText="1"/>
    </xf>
    <xf numFmtId="0" fontId="7" fillId="0" borderId="14" xfId="0" applyFont="1" applyBorder="1" applyAlignment="1">
      <alignment vertical="center" wrapText="1"/>
    </xf>
    <xf numFmtId="0" fontId="7" fillId="0" borderId="11" xfId="0" applyFont="1" applyBorder="1" applyAlignment="1">
      <alignment horizontal="left" vertical="top"/>
    </xf>
    <xf numFmtId="168" fontId="0" fillId="0" borderId="0" xfId="0" applyNumberFormat="1"/>
    <xf numFmtId="168" fontId="0" fillId="0" borderId="0" xfId="0" applyNumberFormat="1" applyAlignment="1">
      <alignment horizontal="right" vertical="center"/>
    </xf>
    <xf numFmtId="0" fontId="11" fillId="0" borderId="0" xfId="0" applyFont="1" applyAlignment="1" applyProtection="1">
      <alignment vertical="center" wrapText="1"/>
      <protection locked="0"/>
    </xf>
    <xf numFmtId="0" fontId="10" fillId="5" borderId="3" xfId="0" applyFont="1" applyFill="1" applyBorder="1" applyAlignment="1" applyProtection="1">
      <alignment horizontal="center" vertical="center" wrapText="1"/>
      <protection locked="0"/>
    </xf>
    <xf numFmtId="0" fontId="10" fillId="5" borderId="8" xfId="0" applyFont="1" applyFill="1" applyBorder="1" applyAlignment="1" applyProtection="1">
      <alignment horizontal="center" vertical="center" wrapText="1"/>
      <protection locked="0"/>
    </xf>
    <xf numFmtId="0" fontId="10" fillId="6" borderId="8" xfId="0" applyFont="1" applyFill="1" applyBorder="1" applyAlignment="1" applyProtection="1">
      <alignment horizontal="center" vertical="center" wrapText="1"/>
      <protection locked="0"/>
    </xf>
    <xf numFmtId="0" fontId="10" fillId="9" borderId="8" xfId="0" applyFont="1" applyFill="1" applyBorder="1" applyAlignment="1" applyProtection="1">
      <alignment horizontal="center" vertical="center" wrapText="1"/>
      <protection locked="0"/>
    </xf>
    <xf numFmtId="0" fontId="10" fillId="8" borderId="8" xfId="0" applyFont="1" applyFill="1" applyBorder="1" applyAlignment="1" applyProtection="1">
      <alignment horizontal="center" vertical="center" wrapText="1"/>
      <protection locked="0"/>
    </xf>
    <xf numFmtId="166" fontId="10" fillId="8" borderId="8" xfId="0" applyNumberFormat="1" applyFont="1" applyFill="1" applyBorder="1" applyAlignment="1" applyProtection="1">
      <alignment horizontal="center" vertical="center" wrapText="1"/>
      <protection locked="0"/>
    </xf>
    <xf numFmtId="167" fontId="10" fillId="8" borderId="8" xfId="0" applyNumberFormat="1" applyFont="1" applyFill="1" applyBorder="1" applyAlignment="1" applyProtection="1">
      <alignment horizontal="center" vertical="center" wrapText="1"/>
      <protection locked="0"/>
    </xf>
    <xf numFmtId="168" fontId="10" fillId="8" borderId="8" xfId="1" applyNumberFormat="1" applyFont="1" applyFill="1" applyBorder="1" applyAlignment="1" applyProtection="1">
      <alignment horizontal="center" vertical="center" wrapText="1"/>
      <protection locked="0"/>
    </xf>
    <xf numFmtId="168" fontId="10" fillId="8" borderId="8" xfId="0" applyNumberFormat="1" applyFont="1" applyFill="1" applyBorder="1" applyAlignment="1" applyProtection="1">
      <alignment horizontal="center" vertical="center" wrapText="1"/>
      <protection locked="0"/>
    </xf>
    <xf numFmtId="169" fontId="10" fillId="8" borderId="8" xfId="0" applyNumberFormat="1" applyFont="1" applyFill="1" applyBorder="1" applyAlignment="1" applyProtection="1">
      <alignment horizontal="center" vertical="center" wrapText="1"/>
      <protection locked="0"/>
    </xf>
    <xf numFmtId="2" fontId="10" fillId="8" borderId="8" xfId="1" applyNumberFormat="1" applyFont="1" applyFill="1" applyBorder="1" applyAlignment="1" applyProtection="1">
      <alignment horizontal="center" vertical="center" wrapText="1"/>
      <protection locked="0"/>
    </xf>
    <xf numFmtId="164" fontId="10" fillId="13" borderId="8" xfId="2" applyFont="1" applyFill="1" applyBorder="1" applyAlignment="1" applyProtection="1">
      <alignment horizontal="center" vertical="center" wrapText="1"/>
      <protection locked="0"/>
    </xf>
    <xf numFmtId="164" fontId="10" fillId="14" borderId="8" xfId="2" applyFont="1" applyFill="1" applyBorder="1" applyAlignment="1" applyProtection="1">
      <alignment horizontal="center" vertical="center" wrapText="1"/>
      <protection locked="0"/>
    </xf>
    <xf numFmtId="170" fontId="10" fillId="13" borderId="1" xfId="1" applyNumberFormat="1" applyFont="1" applyFill="1" applyBorder="1" applyAlignment="1" applyProtection="1">
      <alignment horizontal="center" vertical="center" wrapText="1"/>
      <protection locked="0"/>
    </xf>
    <xf numFmtId="164" fontId="9" fillId="15" borderId="8" xfId="2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horizontal="left" vertical="center" wrapText="1"/>
    </xf>
    <xf numFmtId="0" fontId="7" fillId="12" borderId="12" xfId="0" applyFont="1" applyFill="1" applyBorder="1" applyAlignment="1">
      <alignment vertical="center" wrapText="1"/>
    </xf>
    <xf numFmtId="0" fontId="7" fillId="12" borderId="14" xfId="0" applyFont="1" applyFill="1" applyBorder="1" applyAlignment="1">
      <alignment vertical="center" wrapText="1"/>
    </xf>
    <xf numFmtId="0" fontId="0" fillId="0" borderId="0" xfId="0" pivotButton="1"/>
    <xf numFmtId="4" fontId="0" fillId="0" borderId="0" xfId="0" applyNumberFormat="1"/>
    <xf numFmtId="0" fontId="0" fillId="0" borderId="0" xfId="0" applyAlignment="1">
      <alignment horizontal="left"/>
    </xf>
    <xf numFmtId="43" fontId="5" fillId="0" borderId="0" xfId="0" applyNumberFormat="1" applyFont="1" applyAlignment="1" applyProtection="1">
      <alignment vertical="center" wrapText="1"/>
      <protection locked="0"/>
    </xf>
    <xf numFmtId="164" fontId="9" fillId="16" borderId="8" xfId="2" applyFont="1" applyFill="1" applyBorder="1" applyAlignment="1" applyProtection="1">
      <alignment horizontal="center" vertical="center" wrapText="1"/>
      <protection locked="0"/>
    </xf>
    <xf numFmtId="164" fontId="13" fillId="7" borderId="4" xfId="2" applyFont="1" applyFill="1" applyBorder="1" applyAlignment="1" applyProtection="1">
      <alignment horizontal="right" vertical="center" wrapText="1"/>
      <protection locked="0"/>
    </xf>
    <xf numFmtId="0" fontId="14" fillId="0" borderId="0" xfId="0" applyFont="1" applyAlignment="1" applyProtection="1">
      <alignment horizontal="right" vertical="center" wrapText="1"/>
      <protection locked="0"/>
    </xf>
    <xf numFmtId="164" fontId="17" fillId="0" borderId="4" xfId="2" applyFont="1" applyFill="1" applyBorder="1" applyAlignment="1" applyProtection="1">
      <alignment vertical="center"/>
      <protection locked="0"/>
    </xf>
    <xf numFmtId="164" fontId="16" fillId="0" borderId="4" xfId="2" applyFont="1" applyFill="1" applyBorder="1" applyAlignment="1" applyProtection="1">
      <alignment vertical="center"/>
      <protection locked="0"/>
    </xf>
    <xf numFmtId="164" fontId="16" fillId="0" borderId="0" xfId="2" applyFont="1" applyFill="1" applyAlignment="1" applyProtection="1">
      <alignment horizontal="center" vertical="center"/>
      <protection locked="0"/>
    </xf>
    <xf numFmtId="164" fontId="16" fillId="0" borderId="8" xfId="2" applyFont="1" applyFill="1" applyBorder="1" applyAlignment="1" applyProtection="1">
      <alignment vertical="center"/>
      <protection locked="0"/>
    </xf>
    <xf numFmtId="164" fontId="16" fillId="0" borderId="15" xfId="2" applyFont="1" applyFill="1" applyBorder="1" applyAlignment="1" applyProtection="1">
      <alignment vertical="center"/>
      <protection locked="0"/>
    </xf>
    <xf numFmtId="0" fontId="8" fillId="0" borderId="5" xfId="0" applyFont="1" applyBorder="1" applyAlignment="1" applyProtection="1">
      <alignment vertical="center" wrapText="1"/>
      <protection locked="0"/>
    </xf>
    <xf numFmtId="0" fontId="8" fillId="0" borderId="4" xfId="0" applyFont="1" applyBorder="1" applyAlignment="1">
      <alignment vertical="center" wrapText="1"/>
    </xf>
    <xf numFmtId="0" fontId="8" fillId="0" borderId="4" xfId="0" applyFont="1" applyBorder="1" applyAlignment="1" applyProtection="1">
      <alignment vertical="center" wrapText="1"/>
      <protection locked="0"/>
    </xf>
    <xf numFmtId="0" fontId="8" fillId="0" borderId="4" xfId="0" applyFont="1" applyBorder="1" applyAlignment="1">
      <alignment horizontal="center" vertical="center" wrapText="1"/>
    </xf>
    <xf numFmtId="0" fontId="8" fillId="0" borderId="4" xfId="0" applyFont="1" applyBorder="1" applyAlignment="1" applyProtection="1">
      <alignment horizontal="center" vertical="center" wrapText="1"/>
      <protection locked="0"/>
    </xf>
    <xf numFmtId="0" fontId="16" fillId="0" borderId="4" xfId="0" applyFont="1" applyBorder="1" applyAlignment="1" applyProtection="1">
      <alignment horizontal="center" vertical="center" wrapText="1"/>
      <protection locked="0"/>
    </xf>
    <xf numFmtId="0" fontId="16" fillId="0" borderId="4" xfId="0" applyFont="1" applyBorder="1" applyAlignment="1">
      <alignment horizontal="center" vertical="center" wrapText="1"/>
    </xf>
    <xf numFmtId="166" fontId="8" fillId="0" borderId="4" xfId="0" applyNumberFormat="1" applyFont="1" applyBorder="1" applyAlignment="1">
      <alignment horizontal="center" vertical="center" wrapText="1"/>
    </xf>
    <xf numFmtId="167" fontId="8" fillId="0" borderId="4" xfId="0" applyNumberFormat="1" applyFont="1" applyBorder="1" applyAlignment="1">
      <alignment horizontal="center" vertical="center" wrapText="1"/>
    </xf>
    <xf numFmtId="167" fontId="8" fillId="0" borderId="4" xfId="0" applyNumberFormat="1" applyFont="1" applyBorder="1" applyAlignment="1" applyProtection="1">
      <alignment horizontal="center" vertical="center" wrapText="1"/>
      <protection locked="0"/>
    </xf>
    <xf numFmtId="168" fontId="8" fillId="0" borderId="4" xfId="0" applyNumberFormat="1" applyFont="1" applyBorder="1" applyAlignment="1" applyProtection="1">
      <alignment horizontal="center" vertical="center" wrapText="1"/>
      <protection locked="0"/>
    </xf>
    <xf numFmtId="168" fontId="8" fillId="0" borderId="4" xfId="0" applyNumberFormat="1" applyFont="1" applyBorder="1" applyAlignment="1">
      <alignment horizontal="center" vertical="center" wrapText="1"/>
    </xf>
    <xf numFmtId="49" fontId="8" fillId="0" borderId="4" xfId="0" applyNumberFormat="1" applyFont="1" applyBorder="1" applyAlignment="1" applyProtection="1">
      <alignment horizontal="center" vertical="center" wrapText="1"/>
      <protection locked="0"/>
    </xf>
    <xf numFmtId="164" fontId="18" fillId="0" borderId="4" xfId="2" applyFont="1" applyFill="1" applyBorder="1" applyAlignment="1" applyProtection="1">
      <alignment horizontal="center" vertical="center"/>
    </xf>
    <xf numFmtId="164" fontId="18" fillId="0" borderId="6" xfId="3" applyNumberFormat="1" applyFont="1" applyFill="1" applyBorder="1" applyAlignment="1" applyProtection="1">
      <alignment horizontal="center" vertical="center"/>
    </xf>
    <xf numFmtId="164" fontId="16" fillId="12" borderId="8" xfId="2" applyFont="1" applyFill="1" applyBorder="1" applyAlignment="1" applyProtection="1">
      <alignment vertical="center"/>
      <protection locked="0"/>
    </xf>
    <xf numFmtId="43" fontId="5" fillId="0" borderId="0" xfId="0" applyNumberFormat="1" applyFont="1" applyAlignment="1" applyProtection="1">
      <alignment horizontal="center" vertical="center" wrapText="1"/>
      <protection locked="0"/>
    </xf>
    <xf numFmtId="164" fontId="5" fillId="0" borderId="0" xfId="2" applyFont="1" applyFill="1" applyAlignment="1" applyProtection="1">
      <alignment vertical="center" wrapText="1"/>
      <protection locked="0"/>
    </xf>
    <xf numFmtId="10" fontId="0" fillId="0" borderId="0" xfId="4" applyNumberFormat="1" applyFont="1"/>
    <xf numFmtId="164" fontId="5" fillId="0" borderId="0" xfId="0" applyNumberFormat="1" applyFont="1" applyAlignment="1" applyProtection="1">
      <alignment vertical="center" wrapText="1"/>
      <protection locked="0"/>
    </xf>
    <xf numFmtId="0" fontId="0" fillId="0" borderId="0" xfId="0" applyAlignment="1">
      <alignment horizontal="left" indent="1"/>
    </xf>
    <xf numFmtId="49" fontId="0" fillId="0" borderId="0" xfId="0" applyNumberFormat="1" applyAlignment="1">
      <alignment horizontal="left" indent="2"/>
    </xf>
    <xf numFmtId="49" fontId="6" fillId="0" borderId="4" xfId="0" applyNumberFormat="1" applyFont="1" applyBorder="1" applyAlignment="1" applyProtection="1">
      <alignment horizontal="center" vertical="center" wrapText="1"/>
      <protection locked="0"/>
    </xf>
    <xf numFmtId="0" fontId="2" fillId="2" borderId="16" xfId="0" applyFont="1" applyFill="1" applyBorder="1" applyAlignment="1" applyProtection="1">
      <alignment horizontal="center" vertical="center" wrapText="1"/>
      <protection locked="0"/>
    </xf>
    <xf numFmtId="0" fontId="12" fillId="0" borderId="6" xfId="0" applyFont="1" applyBorder="1" applyAlignment="1" applyProtection="1">
      <alignment horizontal="center" vertical="center" wrapText="1"/>
      <protection locked="0"/>
    </xf>
    <xf numFmtId="0" fontId="12" fillId="0" borderId="7" xfId="0" applyFont="1" applyBorder="1" applyAlignment="1" applyProtection="1">
      <alignment horizontal="center" vertical="center" wrapText="1"/>
      <protection locked="0"/>
    </xf>
    <xf numFmtId="0" fontId="12" fillId="0" borderId="5" xfId="0" applyFont="1" applyBorder="1" applyAlignment="1" applyProtection="1">
      <alignment horizontal="center" vertical="center" wrapText="1"/>
      <protection locked="0"/>
    </xf>
    <xf numFmtId="164" fontId="10" fillId="13" borderId="6" xfId="2" applyFont="1" applyFill="1" applyBorder="1" applyAlignment="1" applyProtection="1">
      <alignment horizontal="center" vertical="center" wrapText="1"/>
      <protection locked="0"/>
    </xf>
    <xf numFmtId="164" fontId="10" fillId="13" borderId="7" xfId="2" applyFont="1" applyFill="1" applyBorder="1" applyAlignment="1" applyProtection="1">
      <alignment horizontal="center" vertical="center" wrapText="1"/>
      <protection locked="0"/>
    </xf>
    <xf numFmtId="164" fontId="10" fillId="13" borderId="5" xfId="2" applyFont="1" applyFill="1" applyBorder="1" applyAlignment="1" applyProtection="1">
      <alignment horizontal="center" vertical="center" wrapText="1"/>
      <protection locked="0"/>
    </xf>
    <xf numFmtId="0" fontId="10" fillId="3" borderId="1" xfId="0" applyFont="1" applyFill="1" applyBorder="1" applyAlignment="1" applyProtection="1">
      <alignment horizontal="center" vertical="center" wrapText="1"/>
      <protection locked="0"/>
    </xf>
    <xf numFmtId="0" fontId="10" fillId="3" borderId="2" xfId="0" applyFont="1" applyFill="1" applyBorder="1" applyAlignment="1" applyProtection="1">
      <alignment horizontal="center" vertical="center" wrapText="1"/>
      <protection locked="0"/>
    </xf>
    <xf numFmtId="0" fontId="10" fillId="4" borderId="2" xfId="0" applyFont="1" applyFill="1" applyBorder="1" applyAlignment="1" applyProtection="1">
      <alignment horizontal="center" vertical="center" wrapText="1"/>
      <protection locked="0"/>
    </xf>
    <xf numFmtId="0" fontId="10" fillId="4" borderId="3" xfId="0" applyFont="1" applyFill="1" applyBorder="1" applyAlignment="1" applyProtection="1">
      <alignment horizontal="center" vertical="center" wrapText="1"/>
      <protection locked="0"/>
    </xf>
    <xf numFmtId="0" fontId="10" fillId="10" borderId="1" xfId="0" applyFont="1" applyFill="1" applyBorder="1" applyAlignment="1" applyProtection="1">
      <alignment horizontal="center" vertical="center" wrapText="1"/>
      <protection locked="0"/>
    </xf>
    <xf numFmtId="0" fontId="10" fillId="10" borderId="2" xfId="0" applyFont="1" applyFill="1" applyBorder="1" applyAlignment="1" applyProtection="1">
      <alignment horizontal="center" vertical="center" wrapText="1"/>
      <protection locked="0"/>
    </xf>
    <xf numFmtId="0" fontId="10" fillId="11" borderId="2" xfId="0" applyFont="1" applyFill="1" applyBorder="1" applyAlignment="1" applyProtection="1">
      <alignment horizontal="center" vertical="center" wrapText="1"/>
      <protection locked="0"/>
    </xf>
    <xf numFmtId="0" fontId="10" fillId="11" borderId="3" xfId="0" applyFont="1" applyFill="1" applyBorder="1" applyAlignment="1" applyProtection="1">
      <alignment horizontal="center" vertical="center" wrapText="1"/>
      <protection locked="0"/>
    </xf>
    <xf numFmtId="0" fontId="5" fillId="0" borderId="4" xfId="0" applyFont="1" applyBorder="1" applyAlignment="1" applyProtection="1">
      <alignment horizontal="center" vertical="center" wrapText="1"/>
      <protection locked="0"/>
    </xf>
    <xf numFmtId="0" fontId="6" fillId="0" borderId="4" xfId="0" applyFont="1" applyBorder="1" applyAlignment="1" applyProtection="1">
      <alignment horizontal="center" vertical="center" wrapText="1"/>
      <protection locked="0"/>
    </xf>
  </cellXfs>
  <cellStyles count="5">
    <cellStyle name="Excel Built-in Normal 2" xfId="1" xr:uid="{00000000-0005-0000-0000-000000000000}"/>
    <cellStyle name="Millares" xfId="2" builtinId="3"/>
    <cellStyle name="Millares 2" xfId="3" xr:uid="{00000000-0005-0000-0000-000002000000}"/>
    <cellStyle name="Normal" xfId="0" builtinId="0"/>
    <cellStyle name="Porcentaje" xfId="4" builtinId="5"/>
  </cellStyles>
  <dxfs count="100"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numFmt numFmtId="168" formatCode="0000"/>
    </dxf>
    <dxf>
      <numFmt numFmtId="167" formatCode="000"/>
    </dxf>
    <dxf>
      <numFmt numFmtId="167" formatCode="0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 style="thin">
          <color theme="4"/>
        </left>
        <right/>
        <top style="thin">
          <color theme="4"/>
        </top>
        <bottom/>
        <vertical/>
        <horizontal/>
      </border>
    </dxf>
    <dxf>
      <border outline="0">
        <top style="thin">
          <color theme="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 style="thin">
          <color theme="4"/>
        </left>
        <right/>
        <top style="thin">
          <color theme="4"/>
        </top>
        <bottom/>
        <vertical/>
        <horizontal/>
      </border>
    </dxf>
    <dxf>
      <border outline="0">
        <top style="thin">
          <color theme="4"/>
        </top>
        <bottom style="thin">
          <color theme="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 style="thin">
          <color theme="4"/>
        </left>
        <right/>
        <top style="thin">
          <color theme="4"/>
        </top>
        <bottom/>
        <vertical/>
        <horizontal/>
      </border>
    </dxf>
    <dxf>
      <border outline="0">
        <top style="thin">
          <color theme="4"/>
        </top>
        <bottom style="thin">
          <color theme="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 style="thin">
          <color theme="4"/>
        </left>
        <right/>
        <top style="thin">
          <color theme="4"/>
        </top>
        <bottom/>
        <vertical/>
        <horizontal/>
      </border>
    </dxf>
    <dxf>
      <border outline="0">
        <top style="thin">
          <color theme="4"/>
        </top>
        <bottom style="thin">
          <color theme="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 style="thin">
          <color theme="4"/>
        </left>
        <right/>
        <top style="thin">
          <color theme="4"/>
        </top>
        <bottom/>
        <vertical/>
        <horizontal/>
      </border>
    </dxf>
    <dxf>
      <border outline="0">
        <top style="thin">
          <color theme="4"/>
        </top>
        <bottom style="thin">
          <color theme="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 style="thin">
          <color theme="4"/>
        </left>
        <right/>
        <top style="thin">
          <color theme="4"/>
        </top>
        <bottom/>
        <vertical/>
        <horizontal/>
      </border>
    </dxf>
    <dxf>
      <border outline="0">
        <top style="thin">
          <color theme="4"/>
        </top>
        <bottom style="thin">
          <color theme="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 style="thin">
          <color theme="4"/>
        </left>
        <right/>
        <top style="thin">
          <color theme="4"/>
        </top>
        <bottom/>
        <vertical/>
        <horizontal/>
      </border>
    </dxf>
    <dxf>
      <border outline="0">
        <top style="thin">
          <color theme="4"/>
        </top>
        <bottom style="thin">
          <color theme="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numFmt numFmtId="167" formatCode="000"/>
    </dxf>
    <dxf>
      <alignment horizontal="right" vertical="center" textRotation="0" wrapText="0" indent="0" justifyLastLine="0" shrinkToFit="0" readingOrder="0"/>
    </dxf>
    <dxf>
      <alignment horizontal="right" vertical="center" textRotation="0" wrapText="0" indent="0" justifyLastLine="0" shrinkToFit="0" readingOrder="0"/>
    </dxf>
    <dxf>
      <alignment horizontal="right" vertical="center" textRotation="0" wrapText="0" indent="0" justifyLastLine="0" shrinkToFit="0" readingOrder="0"/>
    </dxf>
    <dxf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Calibri"/>
        <scheme val="minor"/>
      </font>
      <alignment horizontal="general" vertical="center" textRotation="0" wrapText="0" indent="0" justifyLastLine="0" shrinkToFit="0" readingOrder="0"/>
    </dxf>
    <dxf>
      <font>
        <color rgb="FF000000"/>
      </font>
      <alignment horizontal="general" vertical="center" textRotation="0" wrapText="1" indent="0" justifyLastLine="0" shrinkToFit="0" readingOrder="0"/>
      <border diagonalUp="0" diagonalDown="0" outline="0">
        <left/>
        <right style="medium">
          <color rgb="FF4472C4"/>
        </right>
        <top style="medium">
          <color rgb="FF4472C4"/>
        </top>
        <bottom/>
      </border>
    </dxf>
    <dxf>
      <border outline="0">
        <top style="medium">
          <color rgb="FF4472C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minor"/>
      </font>
      <alignment horizontal="general" vertical="center" textRotation="0" wrapText="1" indent="0" justifyLastLine="0" shrinkToFit="0" readingOrder="0"/>
    </dxf>
    <dxf>
      <font>
        <color rgb="FF000000"/>
      </font>
      <alignment horizontal="general" vertical="center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left" vertical="top" textRotation="0" wrapText="0" indent="0" justifyLastLine="0" shrinkToFit="0" readingOrder="0"/>
    </dxf>
    <dxf>
      <alignment horizontal="left" vertical="top" textRotation="0" wrapText="0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numFmt numFmtId="164" formatCode="_(* #,##0.00_);_(* \(#,##0.00\);_(* &quot;-&quot;??_);_(@_)"/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numFmt numFmtId="164" formatCode="_(* #,##0.00_);_(* \(#,##0.00\);_(* &quot;-&quot;??_);_(@_)"/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  <numFmt numFmtId="164" formatCode="_(* #,##0.00_);_(* \(#,##0.00\);_(* &quot;-&quot;??_);_(@_)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  <numFmt numFmtId="164" formatCode="_(* #,##0.00_);_(* \(#,##0.00\);_(* &quot;-&quot;??_);_(@_)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  <numFmt numFmtId="168" formatCode="000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  <numFmt numFmtId="168" formatCode="000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  <numFmt numFmtId="167" formatCode="00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  <numFmt numFmtId="168" formatCode="000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  <numFmt numFmtId="168" formatCode="000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  <numFmt numFmtId="167" formatCode="00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  <numFmt numFmtId="167" formatCode="00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  <numFmt numFmtId="166" formatCode="0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  <protection locked="0" hidden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0"/>
        <name val="Arial"/>
        <scheme val="none"/>
      </font>
      <fill>
        <patternFill patternType="solid">
          <fgColor indexed="57"/>
          <bgColor theme="7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0" hidden="0"/>
    </dxf>
    <dxf>
      <numFmt numFmtId="4" formatCode="#,##0.00"/>
    </dxf>
    <dxf>
      <numFmt numFmtId="4" formatCode="#,##0.00"/>
    </dxf>
  </dxfs>
  <tableStyles count="0" defaultTableStyle="TableStyleMedium2" defaultPivotStyle="PivotStyleLight16"/>
  <colors>
    <mruColors>
      <color rgb="FFA162D0"/>
      <color rgb="FF421C5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onnections" Target="connection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1.xml"/><Relationship Id="rId11" Type="http://schemas.openxmlformats.org/officeDocument/2006/relationships/powerPivotData" Target="model/item.data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2610971</xdr:colOff>
      <xdr:row>0</xdr:row>
      <xdr:rowOff>168088</xdr:rowOff>
    </xdr:from>
    <xdr:to>
      <xdr:col>2</xdr:col>
      <xdr:colOff>1045509</xdr:colOff>
      <xdr:row>4</xdr:row>
      <xdr:rowOff>246529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8586F99-EE9A-4ACE-8B4C-B4F42B11A78A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10971" y="168088"/>
          <a:ext cx="2330823" cy="1243853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MARIA FERNANDA" refreshedDate="45247.408239814817" createdVersion="8" refreshedVersion="8" minRefreshableVersion="3" recordCount="1440" xr:uid="{00000000-000A-0000-FFFF-FFFF00000000}">
  <cacheSource type="worksheet">
    <worksheetSource name="Tabla6"/>
  </cacheSource>
  <cacheFields count="42">
    <cacheField name="OBJETIVOS PND" numFmtId="0">
      <sharedItems/>
    </cacheField>
    <cacheField name="POLÍTICAS PND" numFmtId="0">
      <sharedItems/>
    </cacheField>
    <cacheField name="OBJETIVOS ESTRATÉGICOS" numFmtId="0">
      <sharedItems/>
    </cacheField>
    <cacheField name="OBJETIVOS OPERATIVOS" numFmtId="0">
      <sharedItems longText="1"/>
    </cacheField>
    <cacheField name="PLANTA CENTRAL / ZONAS" numFmtId="0">
      <sharedItems/>
    </cacheField>
    <cacheField name="DIRECCIÓN GENERAL / COORDINACIÓN / SUBDIRECCIÓN" numFmtId="0">
      <sharedItems count="12">
        <s v="COORDINACIÓN_ZONAL_1"/>
        <s v="COORDINACIÓN_ZONAL_3"/>
        <s v="COORDINACIÓN_ZONAL_4"/>
        <s v="COORDINACIÓN_ZONAL_5_8"/>
        <s v="COORDINACIÓN_ZONAL_6"/>
        <s v="COORDINACIÓN_ZONAL_7"/>
        <s v="COORDINACIÓN_GENERAL_ADMINISTRATIVA_FINANCIERA"/>
        <s v="SUBDIRECCIÓN_TÉCNICA_DE_DOCTRINA"/>
        <s v="SUBDIRECCIÓN_TÉCNICA_DE_OPERACIONES"/>
        <s v="SUBDIRECCIÓN_TÉCNICA_DE_TECNOLOGÍA_E_INNOVACIÓN"/>
        <s v="DIRECCIÓN_GENERAL "/>
        <s v="COORDINACIÓN_ZONAL_2_9"/>
      </sharedItems>
    </cacheField>
    <cacheField name="DIRECCIÓN" numFmtId="0">
      <sharedItems count="19">
        <s v="GESTIÓN LOCAL ADMINISTRATIVA FINANCIERA Y DE ADMINISTRACIÓN DE RECURSOS HUMANOS"/>
        <s v="GESTIÓN LOCAL DE COMUNICACIÓN SOCIAL"/>
        <s v="GESTIÓN LOCAL DE SOPORTE TECNOLÓGICO"/>
        <s v="GESTIÓN ZONAL ADMINISTRATIVA FINANCIERA Y DE ADMINISTRACIÓN DE RECURSOS HUMANOS"/>
        <s v="GESTIÓN ZONAL DE OPERACIONES"/>
        <s v="GESTIÓN ZONAL DE TECNOLOGÍA Y SOPORTE"/>
        <s v="GESTIÓN ZONAL DE COMUNICACIÓN SOCIAL"/>
        <s v="GESTIÓN LOCAL DE OPERACIONES"/>
        <s v="DIRECCIÓN FINANCIERA"/>
        <s v="DIRECCIÓN NACIONAL ACADÉMICO PARA EMERGENCIAS"/>
        <s v="DIRECCIÓN NACIONAL REGULATORIO EN EMERGENCIAS"/>
        <s v="DIRECCIÓN NACIONAL DE ANÁLISIS DE DATOS"/>
        <s v="DIRECCIÓN NACIONAL DE GESTIÓN DE INFRAESTRUCTURA TECNOLOGÍCA PARA EMERGENCIA"/>
        <s v="DIRECCIÓN ADMINISTRATIVA"/>
        <s v="DIRECCIÓN DE GESTIÓN DOCUMENTAL Y ARCHIVO"/>
        <s v="DIRECCIÓN DE COMUNICACIÓN SOCIAL"/>
        <s v="DIRECCIÓN DE ADMINISTRACIÓN DE RECURSOS HUMANOS"/>
        <s v="DIRECCIÓN DE ASESORÍA JURÍDICA"/>
        <s v="DIRECCIÓN NACIONAL DE PROYECTOS E INNOVACIÓN TECNOLÓGICA"/>
      </sharedItems>
    </cacheField>
    <cacheField name="MACROACTIVIDAD" numFmtId="0">
      <sharedItems/>
    </cacheField>
    <cacheField name="ACTIVIDAD PAPP" numFmtId="0">
      <sharedItems longText="1"/>
    </cacheField>
    <cacheField name="PONDERACIÓN" numFmtId="0">
      <sharedItems containsSemiMixedTypes="0" containsString="0" containsNumber="1" containsInteger="1" minValue="1" maxValue="3"/>
    </cacheField>
    <cacheField name="EOD" numFmtId="0">
      <sharedItems count="7">
        <s v="266_0001"/>
        <s v="266_0003"/>
        <s v="266_0004"/>
        <s v="266_0005"/>
        <s v="266_0006"/>
        <s v="266_0007"/>
        <s v="266_9999"/>
      </sharedItems>
    </cacheField>
    <cacheField name="PG" numFmtId="166">
      <sharedItems containsSemiMixedTypes="0" containsString="0" containsNumber="1" containsInteger="1" minValue="1" maxValue="55"/>
    </cacheField>
    <cacheField name="PY" numFmtId="167">
      <sharedItems containsSemiMixedTypes="0" containsString="0" containsNumber="1" containsInteger="1" minValue="0" maxValue="0"/>
    </cacheField>
    <cacheField name="AC" numFmtId="167">
      <sharedItems containsMixedTypes="1" containsNumber="1" containsInteger="1" minValue="1" maxValue="3"/>
    </cacheField>
    <cacheField name="GEO" numFmtId="168">
      <sharedItems containsSemiMixedTypes="0" containsString="0" containsNumber="1" containsInteger="1" minValue="100" maxValue="2301"/>
    </cacheField>
    <cacheField name="NOMBRE GEO" numFmtId="168">
      <sharedItems/>
    </cacheField>
    <cacheField name="FTE" numFmtId="167">
      <sharedItems containsSemiMixedTypes="0" containsString="0" containsNumber="1" containsInteger="1" minValue="1" maxValue="998"/>
    </cacheField>
    <cacheField name="ORG" numFmtId="168">
      <sharedItems containsSemiMixedTypes="0" containsString="0" containsNumber="1" containsInteger="1" minValue="0" maxValue="0"/>
    </cacheField>
    <cacheField name="COR" numFmtId="168">
      <sharedItems containsSemiMixedTypes="0" containsString="0" containsNumber="1" containsInteger="1" minValue="0" maxValue="0"/>
    </cacheField>
    <cacheField name="TIPO DE GASTO" numFmtId="0">
      <sharedItems/>
    </cacheField>
    <cacheField name="GG" numFmtId="49">
      <sharedItems containsMixedTypes="1" containsNumber="1" containsInteger="1" minValue="51" maxValue="99" count="7">
        <n v="53"/>
        <n v="57"/>
        <s v="53"/>
        <n v="51"/>
        <n v="99"/>
        <n v="84"/>
        <s v="51"/>
      </sharedItems>
    </cacheField>
    <cacheField name="ÍTEM PRESUPUESTARIO" numFmtId="0">
      <sharedItems containsSemiMixedTypes="0" containsString="0" containsNumber="1" containsInteger="1" minValue="510105" maxValue="990102"/>
    </cacheField>
    <cacheField name="DESCRIPCIÓN ÍTEM PRESUPUESTARIO" numFmtId="0">
      <sharedItems/>
    </cacheField>
    <cacheField name="PRESUPUESTO INICIAL 2023" numFmtId="164">
      <sharedItems containsSemiMixedTypes="0" containsString="0" containsNumber="1" minValue="0" maxValue="1649652"/>
    </cacheField>
    <cacheField name="PRESUPUESTO VIGENTE" numFmtId="164">
      <sharedItems containsSemiMixedTypes="0" containsString="0" containsNumber="1" minValue="0" maxValue="1648014.98"/>
    </cacheField>
    <cacheField name="ENE" numFmtId="164">
      <sharedItems containsSemiMixedTypes="0" containsString="0" containsNumber="1" minValue="0" maxValue="137471"/>
    </cacheField>
    <cacheField name="FEB" numFmtId="164">
      <sharedItems containsSemiMixedTypes="0" containsString="0" containsNumber="1" minValue="0" maxValue="137471"/>
    </cacheField>
    <cacheField name="MAR" numFmtId="164">
      <sharedItems containsSemiMixedTypes="0" containsString="0" containsNumber="1" minValue="0" maxValue="137471"/>
    </cacheField>
    <cacheField name="ABR" numFmtId="164">
      <sharedItems containsSemiMixedTypes="0" containsString="0" containsNumber="1" minValue="0" maxValue="504475.54"/>
    </cacheField>
    <cacheField name="MAY" numFmtId="164">
      <sharedItems containsSemiMixedTypes="0" containsString="0" containsNumber="1" minValue="0" maxValue="137471"/>
    </cacheField>
    <cacheField name="JUN" numFmtId="164">
      <sharedItems containsMixedTypes="1" containsNumber="1" minValue="0" maxValue="137471"/>
    </cacheField>
    <cacheField name="JUL" numFmtId="164">
      <sharedItems containsSemiMixedTypes="0" containsString="0" containsNumber="1" minValue="0" maxValue="300283.98"/>
    </cacheField>
    <cacheField name="AGO" numFmtId="164">
      <sharedItems containsSemiMixedTypes="0" containsString="0" containsNumber="1" minValue="0" maxValue="137471"/>
    </cacheField>
    <cacheField name="SEP" numFmtId="164">
      <sharedItems containsMixedTypes="1" containsNumber="1" minValue="0" maxValue="137471"/>
    </cacheField>
    <cacheField name="OCT" numFmtId="164">
      <sharedItems containsSemiMixedTypes="0" containsString="0" containsNumber="1" minValue="0" maxValue="182820.04"/>
    </cacheField>
    <cacheField name="NOV" numFmtId="164">
      <sharedItems containsSemiMixedTypes="0" containsString="0" containsNumber="1" minValue="0" maxValue="137471"/>
    </cacheField>
    <cacheField name="DIC" numFmtId="164">
      <sharedItems containsSemiMixedTypes="0" containsString="0" containsNumber="1" minValue="0" maxValue="389229.32"/>
    </cacheField>
    <cacheField name="TOTAL PROGRAMADO" numFmtId="164">
      <sharedItems containsSemiMixedTypes="0" containsString="0" containsNumber="1" minValue="0" maxValue="1648014.98"/>
    </cacheField>
    <cacheField name="REVISIÓN DE SUMAS" numFmtId="164">
      <sharedItems/>
    </cacheField>
    <cacheField name="CERTIFICACIÓN PAPP" numFmtId="164">
      <sharedItems containsSemiMixedTypes="0" containsString="0" containsNumber="1" minValue="0" maxValue="745025.79999999993"/>
    </cacheField>
    <cacheField name="SALDO DSIPONIBLE" numFmtId="164">
      <sharedItems containsSemiMixedTypes="0" containsString="0" containsNumber="1" minValue="0" maxValue="1648014.98"/>
    </cacheField>
    <cacheField name="REPROGRAMACIONES" numFmtId="164">
      <sharedItems containsMixedTypes="1" containsNumber="1" containsInteger="1" minValue="0" maxValue="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440"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ARRASTRE: CANCELACIÓN POR CONSUMO DE SERVICIO DE AGUA POTABLE CORRESPONDIENTE A DICIEMBRE DEL 2022"/>
    <n v="1"/>
    <x v="0"/>
    <n v="1"/>
    <n v="0"/>
    <n v="1"/>
    <n v="401"/>
    <s v="TULCÁN"/>
    <n v="1"/>
    <n v="0"/>
    <n v="0"/>
    <s v="CORRIENTE"/>
    <x v="0"/>
    <n v="530101"/>
    <s v="AGUA POTABLE"/>
    <n v="100"/>
    <n v="43.43"/>
    <n v="43.43"/>
    <n v="0"/>
    <n v="0"/>
    <n v="0"/>
    <n v="0"/>
    <n v="0"/>
    <n v="0"/>
    <n v="0"/>
    <n v="0"/>
    <n v="0"/>
    <n v="0"/>
    <n v="0"/>
    <n v="43.43"/>
    <s v="OK"/>
    <n v="43.43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PROVISIÓN POR CONSUMO DE SERVICIO DE AGUA POTABLE PERÍODO ENERO A NOVIEMBRE 2023"/>
    <n v="1"/>
    <x v="0"/>
    <n v="1"/>
    <n v="0"/>
    <n v="1"/>
    <n v="401"/>
    <s v="TULCÁN"/>
    <n v="1"/>
    <n v="0"/>
    <n v="0"/>
    <s v="CORRIENTE"/>
    <x v="0"/>
    <n v="530101"/>
    <s v="AGUA POTABLE"/>
    <n v="600"/>
    <n v="700"/>
    <n v="0"/>
    <n v="63.63"/>
    <n v="63.63"/>
    <n v="63.63"/>
    <n v="63.63"/>
    <n v="63.63"/>
    <n v="63.63"/>
    <n v="63.63"/>
    <n v="63.63"/>
    <n v="63.63"/>
    <n v="63.63"/>
    <n v="63.7"/>
    <n v="700.00000000000011"/>
    <s v="OK"/>
    <n v="70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ARRASTRE: CANCELACIÓN POR CONSUMO DE SERVICIO DE ENERGÍA ELÉCTRICA CORRESPONDIENTE A DICIEMBRE DEL 2022"/>
    <n v="1"/>
    <x v="0"/>
    <n v="1"/>
    <n v="0"/>
    <n v="1"/>
    <n v="401"/>
    <s v="TULCÁN"/>
    <n v="1"/>
    <n v="0"/>
    <n v="0"/>
    <s v="CORRIENTE"/>
    <x v="0"/>
    <n v="530104"/>
    <s v="ENERGÍA ELÉCTRICA"/>
    <n v="1900"/>
    <n v="1890.1"/>
    <n v="1890.1"/>
    <n v="0"/>
    <n v="0"/>
    <n v="0"/>
    <n v="0"/>
    <n v="0"/>
    <n v="0"/>
    <n v="0"/>
    <n v="0"/>
    <n v="0"/>
    <n v="0"/>
    <n v="0"/>
    <n v="1890.1"/>
    <s v="OK"/>
    <n v="1890.1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PROVISIÓN POR CONSUMO DE SERVICIO DE ENERGÍA ELÉCTRICA PERÍODO ENERO A DICIEMBRE 2023"/>
    <n v="1"/>
    <x v="0"/>
    <n v="1"/>
    <n v="0"/>
    <n v="1"/>
    <n v="401"/>
    <s v="TULCÁN"/>
    <n v="1"/>
    <n v="0"/>
    <n v="0"/>
    <s v="CORRIENTE"/>
    <x v="0"/>
    <n v="530104"/>
    <s v="ENERGÍA ELÉCTRICA"/>
    <n v="11100"/>
    <n v="19687.03"/>
    <n v="0"/>
    <n v="1789.73"/>
    <n v="1789.73"/>
    <n v="1789.73"/>
    <n v="1789.73"/>
    <n v="1789.73"/>
    <n v="1789.73"/>
    <n v="1789.73"/>
    <n v="1789.73"/>
    <n v="1789.73"/>
    <n v="1789.73"/>
    <n v="1789.7299999999996"/>
    <n v="19687.03"/>
    <s v="OK"/>
    <n v="19687.03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ARRASTRE: CANCELACIÓN POR CONSUMO DE SERVICIO DE CORREO NACIONAL A DICIEMBRE DEL 2022"/>
    <n v="1"/>
    <x v="0"/>
    <n v="1"/>
    <n v="0"/>
    <n v="1"/>
    <n v="401"/>
    <s v="TULCÁN"/>
    <n v="1"/>
    <n v="0"/>
    <n v="0"/>
    <s v="CORRIENTE"/>
    <x v="0"/>
    <n v="530106"/>
    <s v="SERVICIO DE CORREO"/>
    <n v="100"/>
    <n v="21"/>
    <n v="21"/>
    <n v="0"/>
    <n v="0"/>
    <n v="0"/>
    <n v="0"/>
    <n v="0"/>
    <n v="0"/>
    <n v="0"/>
    <n v="0"/>
    <n v="0"/>
    <n v="0"/>
    <n v="0"/>
    <n v="21"/>
    <s v="OK"/>
    <n v="21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CONTRATACIÓN DEL SERVICIO DE CORREO NACIONAL PERÍODO ENERO A DICIEMBRE 2023"/>
    <n v="1"/>
    <x v="0"/>
    <n v="1"/>
    <n v="0"/>
    <n v="1"/>
    <n v="401"/>
    <s v="TULCÁN"/>
    <n v="1"/>
    <n v="0"/>
    <n v="0"/>
    <s v="CORRIENTE"/>
    <x v="0"/>
    <n v="530106"/>
    <s v="SERVICIO DE CORREO"/>
    <n v="350"/>
    <n v="300"/>
    <n v="0"/>
    <n v="0"/>
    <n v="30"/>
    <n v="30"/>
    <n v="30"/>
    <n v="30"/>
    <n v="30"/>
    <n v="30"/>
    <n v="30"/>
    <n v="30"/>
    <n v="30"/>
    <n v="30"/>
    <n v="300"/>
    <s v="OK"/>
    <n v="30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ARRASTRE: CANCELACIÓN POR EL SERVICIO DE TRANSPORTE PERSONAL OPERATIVO DICIEMBRE DEL 2022"/>
    <n v="1"/>
    <x v="0"/>
    <n v="1"/>
    <n v="0"/>
    <n v="1"/>
    <n v="401"/>
    <s v="TULCÁN"/>
    <n v="1"/>
    <n v="0"/>
    <n v="0"/>
    <s v="CORRIENTE"/>
    <x v="0"/>
    <n v="530201"/>
    <s v="TRANSPORTE DE PERSONAL"/>
    <n v="1500"/>
    <n v="1500"/>
    <n v="1500"/>
    <n v="0"/>
    <n v="0"/>
    <n v="0"/>
    <n v="0"/>
    <n v="0"/>
    <n v="0"/>
    <n v="0"/>
    <n v="0"/>
    <n v="0"/>
    <n v="0"/>
    <n v="0"/>
    <n v="1500"/>
    <s v="OK"/>
    <n v="150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CONTRATACIÓN DEL SERVICIO DE TRANSPORTE PARA SERVIDORES DEL ÁREA OPERATIVA DEL CENTRO OPERATIVO LOCAL ECU 911 TULCÁN PARA ENERO-DICIEMBRE 2023, SE PAGA A MES VENCIDO"/>
    <n v="1"/>
    <x v="0"/>
    <n v="1"/>
    <n v="0"/>
    <n v="1"/>
    <n v="401"/>
    <s v="TULCÁN"/>
    <n v="1"/>
    <n v="0"/>
    <n v="0"/>
    <s v="CORRIENTE"/>
    <x v="0"/>
    <n v="530201"/>
    <s v="TRANSPORTE DE PERSONAL"/>
    <n v="21000"/>
    <n v="21300"/>
    <n v="0"/>
    <n v="1030.6500000000001"/>
    <n v="1775"/>
    <n v="1775"/>
    <n v="1775"/>
    <n v="1775"/>
    <n v="1775"/>
    <n v="1775"/>
    <n v="1775"/>
    <n v="1775"/>
    <n v="1775"/>
    <n v="4294.3499999999985"/>
    <n v="21300"/>
    <s v="OK"/>
    <n v="2130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CONTRATACIÓN DEL SERVICIO DE RECARGA DE EXTINTORES DEL CENTRO"/>
    <n v="1"/>
    <x v="0"/>
    <n v="1"/>
    <n v="0"/>
    <n v="1"/>
    <n v="401"/>
    <s v="TULCÁN"/>
    <n v="1"/>
    <n v="0"/>
    <n v="0"/>
    <s v="CORRIENTE"/>
    <x v="0"/>
    <n v="530203"/>
    <s v="ALMACENAMIENTO, EMBALAJE, DESEMBALAJE, ENVASE, DESENVASE Y RECARGA DE EXTINTORES"/>
    <n v="340"/>
    <n v="170"/>
    <n v="0"/>
    <n v="0"/>
    <n v="0"/>
    <n v="0"/>
    <n v="0"/>
    <n v="0"/>
    <n v="0"/>
    <n v="0"/>
    <n v="0"/>
    <n v="0"/>
    <n v="170"/>
    <n v="0"/>
    <n v="170"/>
    <s v="OK"/>
    <n v="0"/>
    <n v="17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3 INCREMENTAR EL POSICIONAMIENTO DEL SERVICIO INTEGRADO DE SEGURIDAD ECU 911 A NIVEL NACIONAL E INTER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1"/>
    <s v="COMUNICACIÓN SOCIAL"/>
    <s v="SUSCRIPCIÓN CON SEMANARIOS Y MEDIOS DIGITALES DE CARCHI"/>
    <n v="2"/>
    <x v="0"/>
    <n v="1"/>
    <n v="0"/>
    <n v="1"/>
    <n v="401"/>
    <s v="TULCÁN"/>
    <n v="1"/>
    <n v="0"/>
    <n v="0"/>
    <s v="CORRIENTE"/>
    <x v="0"/>
    <n v="530204"/>
    <s v="EDICIÓN, IMPRESIÓN, REPRODUCCIÓN, PUBLICACIONES, SUSCRIPCIONES, FOTOCOPIADO, TRADUCCIÓN, EMPASTADO, ENMARCACIÓN, SERIGRAFÍA, FOTOGRAFÍA, CARNETIZACIÓN, FILMACIÓN E IMÁGENES SATELITALES"/>
    <n v="20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3 INCREMENTAR EL POSICIONAMIENTO DEL SERVICIO INTEGRADO DE SEGURIDAD ECU 911 A NIVEL NACIONAL E INTER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1"/>
    <s v="COMUNICACIÓN SOCIAL"/>
    <s v="ADQUISICIÓN DE TRÍPTICOS CON EL MODELO DE GESTIÓN DEL ECU 911 Y BUEN USO DEL 9-1-1"/>
    <n v="2"/>
    <x v="0"/>
    <n v="1"/>
    <n v="0"/>
    <n v="1"/>
    <n v="401"/>
    <s v="TULCÁN"/>
    <n v="1"/>
    <n v="0"/>
    <n v="0"/>
    <s v="CORRIENTE"/>
    <x v="0"/>
    <n v="530204"/>
    <s v="EDICIÓN, IMPRESIÓN, REPRODUCCIÓN, PUBLICACIONES, SUSCRIPCIONES, FOTOCOPIADO, TRADUCCIÓN, EMPASTADO, ENMARCACIÓN, SERIGRAFÍA, FOTOGRAFÍA, CARNETIZACIÓN, FILMACIÓN E IMÁGENES SATELITALES"/>
    <n v="10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3 INCREMENTAR EL POSICIONAMIENTO DEL SERVICIO INTEGRADO DE SEGURIDAD ECU 911 A NIVEL NACIONAL E INTER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1"/>
    <s v="COMUNICACIÓN SOCIAL"/>
    <s v="ADQUISICIÓN DE MATERIAL DE POSICIONAMIENTO E IDENTIDAD DEL ECU 911 PARA EL CENTRO OPERATIVO ECU 911 TULCÁN"/>
    <n v="2"/>
    <x v="0"/>
    <n v="1"/>
    <n v="0"/>
    <n v="1"/>
    <n v="401"/>
    <s v="TULCÁN"/>
    <n v="1"/>
    <n v="0"/>
    <n v="0"/>
    <s v="CORRIENTE"/>
    <x v="0"/>
    <n v="530204"/>
    <s v="EDICIÓN, IMPRESIÓN, REPRODUCCIÓN, PUBLICACIONES, SUSCRIPCIONES, FOTOCOPIADO, TRADUCCIÓN, EMPASTADO, ENMARCACIÓN, SERIGRAFÍA, FOTOGRAFÍA, CARNETIZACIÓN, FILMACIÓN E IMÁGENES SATELITALES"/>
    <n v="148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3 INCREMENTAR EL POSICIONAMIENTO DEL SERVICIO INTEGRADO DE SEGURIDAD ECU 911 A NIVEL NACIONAL E INTER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1"/>
    <s v="COMUNICACIÓN SOCIAL"/>
    <s v="ADQUISICIÓN DE PELOTAS ANTI ESTRES CON EL LOGO INSTITUCIONAL PARA VINCULACIÓN CON LA COMUNIDAD"/>
    <n v="3"/>
    <x v="0"/>
    <n v="1"/>
    <n v="0"/>
    <n v="1"/>
    <n v="401"/>
    <s v="TULCÁN"/>
    <n v="1"/>
    <n v="0"/>
    <n v="0"/>
    <s v="CORRIENTE"/>
    <x v="0"/>
    <n v="530204"/>
    <s v="EDICIÓN, IMPRESIÓN, REPRODUCCIÓN, PUBLICACIONES, SUSCRIPCIONES, FOTOCOPIADO, TRADUCCIÓN, EMPASTADO, ENMARCACIÓN, SERIGRAFÍA, FOTOGRAFÍA, CARNETIZACIÓN, FILMACIÓN E IMÁGENES SATELITALES"/>
    <n v="20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ADQUISICIÓN DE BIENES Y PAGO DE SERVICIOS NO PREVISIBLES, URGENTES Y DE VALOR REDUCIDO (CAJA CHICA)"/>
    <n v="1"/>
    <x v="0"/>
    <n v="1"/>
    <n v="0"/>
    <n v="1"/>
    <n v="401"/>
    <s v="TULCÁN"/>
    <n v="1"/>
    <n v="0"/>
    <n v="0"/>
    <s v="CORRIENTE"/>
    <x v="0"/>
    <n v="530204"/>
    <s v="EDICIÓN, IMPRESIÓN, REPRODUCCIÓN, PUBLICACIONES, SUSCRIPCIONES, FOTOCOPIADO, TRADUCCIÓN, EMPASTADO, ENMARCACIÓN, SERIGRAFÍA, FOTOGRAFÍA, CARNETIZACIÓN, FILMACIÓN E IMÁGENES SATELITALES"/>
    <n v="100"/>
    <n v="43.7"/>
    <n v="0"/>
    <n v="0"/>
    <n v="0"/>
    <n v="0"/>
    <n v="0"/>
    <n v="0"/>
    <n v="0"/>
    <n v="0"/>
    <n v="0"/>
    <n v="0"/>
    <n v="0"/>
    <n v="43.7"/>
    <n v="43.7"/>
    <s v="OK"/>
    <n v="43.7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ARRASTRE: CANCELACIÓN POR EL SERVICIO DE LIMPIEZA DEL CENTRO OPERATIVO LOCAL ECU 911 TULCÁN DICIEMBRE DEL 2022"/>
    <n v="1"/>
    <x v="0"/>
    <n v="1"/>
    <n v="0"/>
    <n v="1"/>
    <n v="401"/>
    <s v="TULCÁN"/>
    <n v="1"/>
    <n v="0"/>
    <n v="0"/>
    <s v="CORRIENTE"/>
    <x v="0"/>
    <n v="530209"/>
    <s v="SERVICIOS DE ASEO, LAVADO DE VESTIMENTA DE TRABAJO, FUMIGACIÓN, DESINFECCIÓN, LIMPIEZA DE INSTALACIONES, MANEJO DE DESECHOS CONTAMINADOS, RECUPERACIÓN Y CLASIFICACIÓN DE MATERIALES RECICLABLES"/>
    <n v="2956"/>
    <n v="2955.39"/>
    <n v="2955.39"/>
    <n v="0"/>
    <n v="0"/>
    <n v="0"/>
    <n v="0"/>
    <n v="0"/>
    <n v="0"/>
    <n v="0"/>
    <n v="0"/>
    <n v="0"/>
    <n v="0"/>
    <n v="0"/>
    <n v="2955.39"/>
    <s v="OK"/>
    <n v="2955.39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CONTRATACIÓN DEL SERVICIO DE LIMPIEZA PARA EL CENTRO OPERATIVO LOCAL ECU 911 TULCÁN PERÍODO 2023 SE PAGA A MES VENCIDO"/>
    <n v="1"/>
    <x v="0"/>
    <n v="1"/>
    <n v="0"/>
    <n v="1"/>
    <n v="401"/>
    <s v="TULCÁN"/>
    <n v="1"/>
    <n v="0"/>
    <n v="0"/>
    <s v="CORRIENTE"/>
    <x v="0"/>
    <n v="530209"/>
    <s v="SERVICIOS DE ASEO, LAVADO DE VESTIMENTA DE TRABAJO, FUMIGACIÓN, DESINFECCIÓN, LIMPIEZA DE INSTALACIONES, MANEJO DE DESECHOS CONTAMINADOS, RECUPERACIÓN Y CLASIFICACIÓN DE MATERIALES RECICLABLES"/>
    <n v="15000"/>
    <n v="33986.99"/>
    <n v="0"/>
    <n v="2955.39"/>
    <n v="2955.39"/>
    <n v="2955.39"/>
    <n v="2955.39"/>
    <n v="2955.39"/>
    <n v="2955.39"/>
    <n v="2955.39"/>
    <n v="2955.39"/>
    <n v="2955.39"/>
    <n v="2955.39"/>
    <n v="4433.09"/>
    <n v="33986.99"/>
    <s v="OK"/>
    <n v="32509.29"/>
    <n v="1477.6999999999971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CANCELACIÓN DE SERVICIOS DE GUARDERÍA DEL CENTRO OPERATIVO LOCAL SIS ECU 911 TULCÁN EN CUMPLIMIENTO AL ACUERDO MINISTERIAL Nro.  MDT-2023-085"/>
    <n v="2"/>
    <x v="0"/>
    <n v="1"/>
    <n v="0"/>
    <n v="1"/>
    <n v="401"/>
    <s v="TULCÁN"/>
    <n v="1"/>
    <n v="0"/>
    <n v="0"/>
    <s v="CORRIENTE"/>
    <x v="0"/>
    <n v="530210"/>
    <s v="SERVICIO DE GUARDERÍA"/>
    <n v="0"/>
    <n v="2511"/>
    <n v="0"/>
    <n v="0"/>
    <n v="0"/>
    <n v="0"/>
    <n v="0"/>
    <n v="0"/>
    <n v="0"/>
    <n v="0"/>
    <n v="0"/>
    <n v="0"/>
    <n v="1255.5"/>
    <n v="1255.5"/>
    <n v="2511"/>
    <s v="OK"/>
    <n v="0"/>
    <n v="2511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CONTRATACIÓN DEL SERVICIO DE RASTREO SATELITAL (GPS) INCLUYE EQUIPOS A PRÉSTAMO PARA LOS VEHÍCULOS DEL CENTRO OPERATIVO LOCAL ECU 911 TULCÁN"/>
    <n v="2"/>
    <x v="0"/>
    <n v="1"/>
    <n v="0"/>
    <n v="1"/>
    <n v="401"/>
    <s v="TULCÁN"/>
    <n v="1"/>
    <n v="0"/>
    <n v="0"/>
    <s v="CORRIENTE"/>
    <x v="0"/>
    <n v="530246"/>
    <s v="SERVICIOS DE IDENTIFICACIÓN, MARCACIÓN, AUTENTIFICACIÓN, RASTREO, MONITOREO, SEGUIMIENTO Y/O TRAZABILIDAD"/>
    <n v="0"/>
    <n v="250.72"/>
    <n v="0"/>
    <n v="0"/>
    <n v="0"/>
    <n v="0"/>
    <n v="250.72"/>
    <n v="0"/>
    <n v="0"/>
    <n v="0"/>
    <n v="0"/>
    <n v="0"/>
    <n v="0"/>
    <n v="0"/>
    <n v="250.72"/>
    <s v="OK"/>
    <n v="250.72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ADQUISICIÓN DE COMBUSTIBLES PARA MOVILIZACIÓN DE VEHÍCULOS DEL CENTRO PERÍODO 2023"/>
    <n v="1"/>
    <x v="0"/>
    <n v="1"/>
    <n v="0"/>
    <n v="1"/>
    <n v="401"/>
    <s v="TULCÁN"/>
    <n v="1"/>
    <n v="0"/>
    <n v="0"/>
    <s v="CORRIENTE"/>
    <x v="0"/>
    <n v="530255"/>
    <s v="COMBUSTIBLES"/>
    <n v="0"/>
    <n v="1146.8699999999999"/>
    <n v="0"/>
    <n v="0"/>
    <n v="0"/>
    <n v="0"/>
    <n v="0"/>
    <n v="300"/>
    <n v="0"/>
    <n v="300"/>
    <n v="0"/>
    <n v="300"/>
    <n v="0"/>
    <n v="246.86999999999989"/>
    <n v="1146.8699999999999"/>
    <s v="OK"/>
    <n v="1146.8699999999999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ADQUISICIÓN DE COMBUSTIBLES PERÍODO 2023 PARA ABASTECIMIENTO DE GENERADORES"/>
    <n v="1"/>
    <x v="0"/>
    <n v="1"/>
    <n v="0"/>
    <n v="1"/>
    <n v="401"/>
    <s v="TULCÁN"/>
    <n v="1"/>
    <n v="0"/>
    <n v="0"/>
    <s v="CORRIENTE"/>
    <x v="0"/>
    <n v="530255"/>
    <s v="COMBUSTIBLES"/>
    <n v="0"/>
    <n v="390.63"/>
    <n v="0"/>
    <n v="0"/>
    <n v="0"/>
    <n v="0"/>
    <n v="0"/>
    <n v="0"/>
    <n v="0"/>
    <n v="0"/>
    <n v="390.63"/>
    <n v="0"/>
    <n v="0"/>
    <n v="0"/>
    <n v="390.63"/>
    <s v="OK"/>
    <n v="390.63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PROVISIÓN PARA MOVILIZACIONES TERRESTRES DE FUNCIONARIOS DEL ECU 911  POR ACTIVIDADES INSTITUCIONALES AÑO 2023"/>
    <n v="1"/>
    <x v="0"/>
    <n v="1"/>
    <n v="0"/>
    <n v="1"/>
    <n v="401"/>
    <s v="TULCÁN"/>
    <n v="1"/>
    <n v="0"/>
    <n v="0"/>
    <s v="CORRIENTE"/>
    <x v="0"/>
    <n v="530301"/>
    <s v="PASAJES AL INTERIOR"/>
    <n v="10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PROVISIÓN PARA ALIMENTACIÓN Y ESTADÍA DE LOS FUNCIONARIOS DEL CENTRO OPERATIVO LOCAL ECU 911 TULCÁN POR COMISIÓN FUERA DE LA PROVINCIA EN EL AÑO 2023"/>
    <n v="1"/>
    <x v="0"/>
    <n v="1"/>
    <n v="0"/>
    <n v="1"/>
    <n v="401"/>
    <s v="TULCÁN"/>
    <n v="1"/>
    <n v="0"/>
    <n v="0"/>
    <s v="CORRIENTE"/>
    <x v="0"/>
    <n v="530303"/>
    <s v="VIÁTICOS Y SUBSISTENCIAS EN EL INTERIOR"/>
    <n v="1500"/>
    <n v="11038.96"/>
    <n v="0"/>
    <n v="0"/>
    <n v="0"/>
    <n v="0"/>
    <n v="0"/>
    <n v="0"/>
    <n v="0"/>
    <n v="0"/>
    <n v="0"/>
    <n v="0"/>
    <n v="0"/>
    <n v="11038.96"/>
    <n v="11038.96"/>
    <s v="OK"/>
    <n v="8288.9599999999991"/>
    <n v="275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CONTRATACIÓN DEL SERVICIO DE ADECUACIÓN DEL ÁREA DE RECEPCIÓN SEGUNDA PLANTA, DEL CENTRO LOCAL TULCÁN"/>
    <n v="1"/>
    <x v="0"/>
    <n v="1"/>
    <n v="0"/>
    <n v="1"/>
    <n v="401"/>
    <s v="TULCÁN"/>
    <n v="1"/>
    <n v="0"/>
    <n v="0"/>
    <s v="CORRIENTE"/>
    <x v="0"/>
    <n v="530402"/>
    <s v="EDIFICIOS, LOCALES, RESIDENCIAS Y CABLEADO ESTRUCTURADO (INSTALACIÓN, MANTENIMIENTO Y REPARACIÓN)"/>
    <n v="5500"/>
    <n v="2683.92"/>
    <n v="0"/>
    <n v="0"/>
    <n v="0"/>
    <n v="0"/>
    <n v="0"/>
    <n v="2683.92"/>
    <n v="0"/>
    <n v="0"/>
    <n v="0"/>
    <n v="0"/>
    <n v="0"/>
    <n v="0"/>
    <n v="2683.92"/>
    <s v="OK"/>
    <n v="2683.92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CONTRATACIÓN SERVICIO PARA MANTENIMIENTO DE ALUCUBON EXTERNO"/>
    <n v="1"/>
    <x v="0"/>
    <n v="1"/>
    <n v="0"/>
    <n v="1"/>
    <n v="401"/>
    <s v="TULCÁN"/>
    <n v="1"/>
    <n v="0"/>
    <n v="0"/>
    <s v="CORRIENTE"/>
    <x v="0"/>
    <n v="530402"/>
    <s v="EDIFICIOS, LOCALES, RESIDENCIAS Y CABLEADO ESTRUCTURADO (INSTALACIÓN, MANTENIMIENTO Y REPARACIÓN)"/>
    <n v="3000"/>
    <n v="1680"/>
    <n v="0"/>
    <n v="0"/>
    <n v="0"/>
    <n v="0"/>
    <n v="0"/>
    <n v="1680"/>
    <n v="0"/>
    <n v="0"/>
    <n v="0"/>
    <n v="0"/>
    <n v="0"/>
    <n v="0"/>
    <n v="1680"/>
    <s v="OK"/>
    <n v="168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CONTRATACIÓN SERVICIO DE MANTENIMIENTO RELOJ BIOMÉTRICO "/>
    <n v="1"/>
    <x v="0"/>
    <n v="1"/>
    <n v="0"/>
    <n v="1"/>
    <n v="401"/>
    <s v="TULCÁN"/>
    <n v="1"/>
    <n v="0"/>
    <n v="0"/>
    <s v="CORRIENTE"/>
    <x v="0"/>
    <n v="530404"/>
    <s v="MAQUINARIAS Y EQUIPOS (INSTALACIÓN, MANTENIMIENTO Y REPARACIÓN)"/>
    <n v="350"/>
    <n v="297.5"/>
    <n v="0"/>
    <n v="0"/>
    <n v="0"/>
    <n v="0"/>
    <n v="0"/>
    <n v="0"/>
    <n v="0"/>
    <n v="297.5"/>
    <n v="0"/>
    <n v="0"/>
    <n v="0"/>
    <n v="0"/>
    <n v="297.5"/>
    <s v="OK"/>
    <n v="105"/>
    <n v="192.5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CONTRATACIÓN DEL SERVICIO DE MANTENIMIENTO PREVENTIVO Y CORRECTIVO DEL ASCENSOR AÑO 2023"/>
    <n v="1"/>
    <x v="0"/>
    <n v="1"/>
    <n v="0"/>
    <n v="1"/>
    <n v="401"/>
    <s v="TULCÁN"/>
    <n v="1"/>
    <n v="0"/>
    <n v="0"/>
    <s v="CORRIENTE"/>
    <x v="0"/>
    <n v="530404"/>
    <s v="MAQUINARIAS Y EQUIPOS (INSTALACIÓN, MANTENIMIENTO Y REPARACIÓN)"/>
    <n v="2000"/>
    <n v="1927.75"/>
    <n v="0"/>
    <n v="0"/>
    <n v="192.78"/>
    <n v="192.78"/>
    <n v="192.78"/>
    <n v="192.78"/>
    <n v="192.78"/>
    <n v="192.78"/>
    <n v="192.78"/>
    <n v="192.78"/>
    <n v="192.78"/>
    <n v="192.73"/>
    <n v="1927.75"/>
    <s v="OK"/>
    <n v="1927.75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CONTRATACIÓN DEL SERVICIO DE MANTENIMIENTO PREVENTIVO Y CORRECTIVO DE ELECTRODOMÉSTICOS DEL CENTRO OPERATIVO LOCAL ECU 911 TULCÁN"/>
    <n v="1"/>
    <x v="0"/>
    <n v="1"/>
    <n v="0"/>
    <n v="1"/>
    <n v="401"/>
    <s v="TULCÁN"/>
    <n v="1"/>
    <n v="0"/>
    <n v="0"/>
    <s v="CORRIENTE"/>
    <x v="0"/>
    <n v="530404"/>
    <s v="MAQUINARIAS Y EQUIPOS (INSTALACIÓN, MANTENIMIENTO Y REPARACIÓN)"/>
    <n v="150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CANCELACIÓN POR CONTRATACIÓN DE MANO DE OBRA PARA MANTENIMIENTO DE VEHÍCULOS LIVIANOS DEL CENTRO OPERATIVO ECU 911 PARA GARANTIZAR OPERATIVIDAD"/>
    <n v="1"/>
    <x v="0"/>
    <n v="1"/>
    <n v="0"/>
    <n v="1"/>
    <n v="401"/>
    <s v="TULCÁN"/>
    <n v="1"/>
    <n v="0"/>
    <n v="0"/>
    <s v="CORRIENTE"/>
    <x v="0"/>
    <n v="530405"/>
    <s v="VEHÍCULOS (SERVICIO PARA MANTENIMIENTO Y REPARACIÓN)"/>
    <n v="650"/>
    <n v="601.91999999999996"/>
    <n v="0"/>
    <n v="0"/>
    <n v="163"/>
    <n v="0"/>
    <n v="0"/>
    <n v="163"/>
    <n v="0"/>
    <n v="0"/>
    <n v="163"/>
    <n v="0"/>
    <n v="0"/>
    <n v="112.91999999999996"/>
    <n v="601.91999999999996"/>
    <s v="OK"/>
    <n v="601.91999999999996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CONTRATACIÓN DEL SERVICIO DE MANTENIMIENTO PREVENTIVO Y CORRECTIVO DE IMPRESORAS DEL CENTRO OPERATIVO LOCAL ECU 911 TULCÁN"/>
    <n v="1"/>
    <x v="0"/>
    <n v="1"/>
    <n v="0"/>
    <n v="1"/>
    <n v="401"/>
    <s v="TULCÁN"/>
    <n v="1"/>
    <n v="0"/>
    <n v="0"/>
    <s v="CORRIENTE"/>
    <x v="0"/>
    <n v="530704"/>
    <s v="MANTENIMIENTO Y REPARACIÓN DE EQUIPOS Y SISTEMAS INFORMÁTICOS "/>
    <n v="500"/>
    <n v="50"/>
    <n v="0"/>
    <n v="0"/>
    <n v="0"/>
    <n v="0"/>
    <n v="0"/>
    <n v="0"/>
    <n v="0"/>
    <n v="0"/>
    <n v="50"/>
    <n v="0"/>
    <n v="0"/>
    <n v="0"/>
    <n v="50"/>
    <s v="OK"/>
    <n v="5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ADQUISICIÓN DE EQUIPOS DE PROTECCIÓN INDIVIDUAL Y ROPA DE TRABAJO"/>
    <n v="1"/>
    <x v="0"/>
    <n v="1"/>
    <n v="0"/>
    <n v="1"/>
    <n v="401"/>
    <s v="TULCÁN"/>
    <n v="1"/>
    <n v="0"/>
    <n v="0"/>
    <s v="CORRIENTE"/>
    <x v="0"/>
    <n v="530802"/>
    <s v="VESTUARIO, LENCERÍA, PRENDAS DE PROTECCIÓN Y ACCESORIOS PARA UNIFORMES DEL PERSONAL DE PROTECCIÓN, VIGILANCIA Y SEGURIDAD"/>
    <n v="1744"/>
    <n v="1313.73"/>
    <n v="0"/>
    <n v="0"/>
    <n v="0"/>
    <n v="0"/>
    <n v="0"/>
    <n v="0"/>
    <n v="0"/>
    <n v="1313.73"/>
    <n v="0"/>
    <n v="0"/>
    <n v="0"/>
    <n v="0"/>
    <n v="1313.73"/>
    <s v="OK"/>
    <n v="883.45999999999992"/>
    <n v="430.2700000000001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ADQUISICIÓN DE COMBUSTIBLES, LUBRICANTES, Y ADITIVOS EN GENERAL PARA MANTENIMIENTO DE LOS VEHÍCULOS DEL CENTRO OPERATIVO ECU 911 AÑO 2023"/>
    <n v="1"/>
    <x v="0"/>
    <n v="1"/>
    <n v="0"/>
    <n v="1"/>
    <n v="401"/>
    <s v="TULCÁN"/>
    <n v="1"/>
    <n v="0"/>
    <n v="0"/>
    <s v="CORRIENTE"/>
    <x v="0"/>
    <n v="530803"/>
    <s v="LUBRICANTES"/>
    <n v="350"/>
    <n v="288.24"/>
    <n v="0"/>
    <n v="0"/>
    <n v="88"/>
    <n v="0"/>
    <n v="0"/>
    <n v="88"/>
    <n v="0"/>
    <n v="0"/>
    <n v="88"/>
    <n v="0"/>
    <n v="0"/>
    <n v="24.240000000000009"/>
    <n v="288.24"/>
    <s v="OK"/>
    <n v="288.24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ADQUISICIÓN DE COMBUSTIBLES PARA MOVILIZACIÓN DE VEHÍCULOS DEL CENTRO PERÍODO 2023"/>
    <n v="1"/>
    <x v="0"/>
    <n v="1"/>
    <n v="0"/>
    <n v="1"/>
    <n v="401"/>
    <s v="TULCÁN"/>
    <n v="1"/>
    <n v="0"/>
    <n v="0"/>
    <s v="CORRIENTE"/>
    <x v="0"/>
    <n v="530803"/>
    <s v="LUBRICANTES"/>
    <n v="100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ADQUISICIÓN DE COMBUSTIBLES PERÍODO 2023 PARA ABASTECIMIENTO DE GENERADORES"/>
    <n v="1"/>
    <x v="0"/>
    <n v="1"/>
    <n v="0"/>
    <n v="1"/>
    <n v="401"/>
    <s v="TULCÁN"/>
    <n v="1"/>
    <n v="0"/>
    <n v="0"/>
    <s v="CORRIENTE"/>
    <x v="0"/>
    <n v="530803"/>
    <s v="LUBRICANTES"/>
    <n v="475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ADQUISICION DE LUBRICANTES PARA MANTENIMIENTO DE LA INFRAESTRUCTURA DEL CENTRO OPERATIVO LOCAL ECU 911 TULCÁN AÑO 2023"/>
    <n v="2"/>
    <x v="0"/>
    <n v="1"/>
    <n v="0"/>
    <n v="1"/>
    <n v="401"/>
    <s v="TULCÁN"/>
    <n v="1"/>
    <n v="0"/>
    <n v="0"/>
    <s v="CORRIENTE"/>
    <x v="0"/>
    <n v="530803"/>
    <s v="LUBRICANTES"/>
    <n v="0"/>
    <n v="70.25"/>
    <n v="0"/>
    <n v="0"/>
    <n v="0"/>
    <n v="0"/>
    <n v="0"/>
    <n v="0"/>
    <n v="70.25"/>
    <n v="0"/>
    <n v="0"/>
    <n v="0"/>
    <n v="0"/>
    <n v="0"/>
    <n v="70.25"/>
    <s v="OK"/>
    <n v="70.25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ELABORACIÓN DE FORMULARIOS PRE-IMPRESOS Y PRE-NUMERADOS PARA VALES DE CAJA CHICA, INGRESOS Y EGRESOS DE BODEGA, ÓRDENES DE COMBUSTIBLE, ÓRDENES DE MANTENIMIENTO, FORMULARIOS DE PERMISOS DE PERSONAL, SOLICITUD DE MOVILIZACIÓN"/>
    <n v="1"/>
    <x v="0"/>
    <n v="1"/>
    <n v="0"/>
    <n v="1"/>
    <n v="401"/>
    <s v="TULCÁN"/>
    <n v="1"/>
    <n v="0"/>
    <n v="0"/>
    <s v="CORRIENTE"/>
    <x v="0"/>
    <n v="530804"/>
    <s v="MATERIALES DE OFICINA"/>
    <n v="200"/>
    <n v="72.110000000000014"/>
    <n v="0"/>
    <n v="0"/>
    <n v="0"/>
    <n v="0"/>
    <n v="72.11"/>
    <n v="0"/>
    <n v="0"/>
    <n v="0"/>
    <n v="0"/>
    <n v="0"/>
    <n v="0"/>
    <n v="0"/>
    <n v="72.11"/>
    <s v="OK"/>
    <n v="72.11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ADQUISICIÓN DE MATERIALES DE OFICINA PARA EL CENTRO OPERATIVO LOCAL ECU 911 TULCÁN AÑO 2023"/>
    <n v="1"/>
    <x v="0"/>
    <n v="1"/>
    <n v="0"/>
    <n v="1"/>
    <n v="401"/>
    <s v="TULCÁN"/>
    <n v="1"/>
    <n v="0"/>
    <n v="0"/>
    <s v="CORRIENTE"/>
    <x v="0"/>
    <n v="530804"/>
    <s v="MATERIALES DE OFICINA"/>
    <n v="500"/>
    <n v="304.42"/>
    <n v="0"/>
    <n v="0"/>
    <n v="0"/>
    <n v="304.42"/>
    <n v="0"/>
    <n v="0"/>
    <n v="0"/>
    <n v="0"/>
    <n v="0"/>
    <n v="0"/>
    <n v="0"/>
    <n v="0"/>
    <n v="304.42"/>
    <s v="OK"/>
    <n v="304.42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3 INCREMENTAR EL POSICIONAMIENTO DEL SERVICIO INTEGRADO DE SEGURIDAD ECU 911 A NIVEL NACIONAL E INTER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1"/>
    <s v="COMUNICACIÓN SOCIAL"/>
    <s v="ADQUISICIÓN DE MATERIAL DE POSICIONAMIENTO E IDENTIDAD DEL ECU 911 PARA EL CENTRO OPERATIVO ECU 911 TULCÁN"/>
    <n v="2"/>
    <x v="0"/>
    <n v="1"/>
    <n v="0"/>
    <n v="1"/>
    <n v="401"/>
    <s v="TULCÁN"/>
    <n v="1"/>
    <n v="0"/>
    <n v="0"/>
    <s v="CORRIENTE"/>
    <x v="0"/>
    <n v="530804"/>
    <s v="MATERIALES DE OFICINA"/>
    <n v="0"/>
    <n v="510"/>
    <n v="0"/>
    <n v="0"/>
    <n v="0"/>
    <n v="0"/>
    <n v="510"/>
    <n v="0"/>
    <n v="0"/>
    <n v="0"/>
    <n v="0"/>
    <n v="0"/>
    <n v="0"/>
    <n v="0"/>
    <n v="510"/>
    <s v="OK"/>
    <n v="51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CONTRATACIÓN DEL SERVICIO DE IMPRESIÓN DE MATERIAL ACADÉMICO PARA LOS CURSOS PRESENCIALES DEL SISTEMA DE COMANDO DE INCIDENTES BÁSICO PARA EL CENTRO LOCAL TULCÁN"/>
    <n v="1"/>
    <x v="0"/>
    <n v="1"/>
    <n v="0"/>
    <n v="1"/>
    <n v="401"/>
    <s v="TULCÁN"/>
    <n v="1"/>
    <n v="0"/>
    <n v="0"/>
    <s v="CORRIENTE"/>
    <x v="0"/>
    <n v="530804"/>
    <s v="MATERIALES DE OFICINA"/>
    <n v="0"/>
    <n v="428.15"/>
    <n v="0"/>
    <n v="0"/>
    <n v="0"/>
    <n v="0"/>
    <n v="0"/>
    <n v="0"/>
    <n v="0"/>
    <n v="0"/>
    <n v="0"/>
    <n v="0"/>
    <n v="428.15"/>
    <n v="0"/>
    <n v="428.15"/>
    <s v="OK"/>
    <n v="0"/>
    <n v="428.15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ADQUISICIÓN DE MATERIALES DE ASEO PARA EL CENTRO OPERATIVO LOCAL ECU 911 TULCÁN AÑO 2023"/>
    <n v="1"/>
    <x v="0"/>
    <n v="1"/>
    <n v="0"/>
    <n v="1"/>
    <n v="401"/>
    <s v="TULCÁN"/>
    <n v="1"/>
    <n v="0"/>
    <n v="0"/>
    <s v="CORRIENTE"/>
    <x v="0"/>
    <n v="530805"/>
    <s v="MATERIALES DE ASEO"/>
    <n v="40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ADQUISICIÓN DE TONERS NEGRO Y DE COLOR PARA IMPRESORAS DEL CENTRO OPERATIVO LOCAL ECU 911 TULCÁN AÑO 2023"/>
    <n v="1"/>
    <x v="0"/>
    <n v="1"/>
    <n v="0"/>
    <n v="1"/>
    <n v="401"/>
    <s v="TULCÁN"/>
    <n v="1"/>
    <n v="0"/>
    <n v="0"/>
    <s v="CORRIENTE"/>
    <x v="0"/>
    <n v="530807"/>
    <s v="MATERIALES DE IMPRESIÓN, FOTOGRAFÍA, REPRODUCCIÓN Y PUBLICACIONES"/>
    <n v="2000"/>
    <n v="1649.1"/>
    <n v="0"/>
    <n v="0"/>
    <n v="0"/>
    <n v="0"/>
    <n v="0"/>
    <n v="0"/>
    <n v="1649.1"/>
    <n v="0"/>
    <n v="0"/>
    <n v="0"/>
    <n v="0"/>
    <n v="0"/>
    <n v="1649.1"/>
    <s v="OK"/>
    <n v="1649.1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CONTRATACIÓN DEL SERVICIO DE IMPRESIÓN DE MATERIAL ACADÉMICO PARA LOS CURSOS PRESENCIALES DEL SISTEMA DE COMANDO DE INCIDENTES BÁSICO PARA EL CENTRO LOCAL TULCÁN"/>
    <n v="1"/>
    <x v="0"/>
    <n v="1"/>
    <n v="0"/>
    <n v="1"/>
    <n v="401"/>
    <s v="TULCÁN"/>
    <n v="1"/>
    <n v="0"/>
    <n v="0"/>
    <s v="CORRIENTE"/>
    <x v="0"/>
    <n v="530807"/>
    <s v="MATERIALES DE IMPRESIÓN, FOTOGRAFÍA, REPRODUCCIÓN Y PUBLICACIONES"/>
    <n v="0"/>
    <n v="387.5"/>
    <n v="0"/>
    <n v="0"/>
    <n v="0"/>
    <n v="0"/>
    <n v="0"/>
    <n v="0"/>
    <n v="0"/>
    <n v="0"/>
    <n v="0"/>
    <n v="0"/>
    <n v="387.5"/>
    <n v="0"/>
    <n v="387.5"/>
    <s v="OK"/>
    <n v="0"/>
    <n v="387.5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ADQUISICIÓN DE BIENES Y PAGO DE SERVICIOS NO PREVISIBLES, URGENTES Y DE VALOR REDUCIDO (CAJA CHICA)"/>
    <n v="1"/>
    <x v="0"/>
    <n v="1"/>
    <n v="0"/>
    <n v="1"/>
    <n v="401"/>
    <s v="TULCÁN"/>
    <n v="1"/>
    <n v="0"/>
    <n v="0"/>
    <s v="CORRIENTE"/>
    <x v="0"/>
    <n v="530811"/>
    <s v="INSUMOS, MATERIALES Y SUMINISTROS PARA CONSTRUCCIÓN, ELECTRICIDAD, PLOMERÍA, CARPINTERÍA, SEÑALIZACIÓN VIAL, NAVEGACIÓN, CONTRA INCENDIOS Y PLACAS"/>
    <n v="300"/>
    <n v="185.6"/>
    <n v="0"/>
    <n v="0"/>
    <n v="0"/>
    <n v="0"/>
    <n v="0"/>
    <n v="0"/>
    <n v="0"/>
    <n v="0"/>
    <n v="0"/>
    <n v="0"/>
    <n v="0"/>
    <n v="185.6"/>
    <n v="185.6"/>
    <s v="OK"/>
    <n v="185.6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ADQUISICIÓN DE MATERIAL DE FERRETERÍA PARA EL CENTRO OPERATIVO LOCAL ECU 911 TULCÁN AÑO 2023"/>
    <n v="1"/>
    <x v="0"/>
    <n v="1"/>
    <n v="0"/>
    <n v="1"/>
    <n v="401"/>
    <s v="TULCÁN"/>
    <n v="1"/>
    <n v="0"/>
    <n v="0"/>
    <s v="CORRIENTE"/>
    <x v="0"/>
    <n v="530811"/>
    <s v="INSUMOS, MATERIALES Y SUMINISTROS PARA CONSTRUCCIÓN, ELECTRICIDAD, PLOMERÍA, CARPINTERÍA, SEÑALIZACIÓN VIAL, NAVEGACIÓN, CONTRA INCENDIOS Y PLACAS"/>
    <n v="3500"/>
    <n v="1441"/>
    <n v="0"/>
    <n v="0"/>
    <n v="0"/>
    <n v="0"/>
    <n v="0"/>
    <n v="0"/>
    <n v="1441"/>
    <n v="0"/>
    <n v="0"/>
    <n v="0"/>
    <n v="0"/>
    <n v="0"/>
    <n v="1441"/>
    <s v="OK"/>
    <n v="1441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ADQUISICIÓN DE MATERIALES PARA MANTENIMIENTO DEL SISTEMA HIDRÁULICO Y SANITARIOS DEL EDIFICIO DEL CENTRO OPERATIVO LOCAL ECU 911 TULCÁN"/>
    <n v="1"/>
    <x v="0"/>
    <n v="1"/>
    <n v="0"/>
    <n v="1"/>
    <n v="401"/>
    <s v="TULCÁN"/>
    <n v="1"/>
    <n v="0"/>
    <n v="0"/>
    <s v="CORRIENTE"/>
    <x v="0"/>
    <n v="530811"/>
    <s v="INSUMOS, MATERIALES Y SUMINISTROS PARA CONSTRUCCIÓN, ELECTRICIDAD, PLOMERÍA, CARPINTERÍA, SEÑALIZACIÓN VIAL, NAVEGACIÓN, CONTRA INCENDIOS Y PLACAS"/>
    <n v="390"/>
    <n v="0"/>
    <n v="0"/>
    <n v="0"/>
    <n v="0"/>
    <n v="0"/>
    <n v="0"/>
    <n v="0"/>
    <n v="0"/>
    <n v="0"/>
    <n v="0"/>
    <n v="0"/>
    <n v="0"/>
    <n v="0"/>
    <n v="0"/>
    <s v="OK"/>
    <n v="0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3 INCREMENTAR EL POSICIONAMIENTO DEL SERVICIO INTEGRADO DE SEGURIDAD ECU 911 A NIVEL NACIONAL E INTER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1"/>
    <s v="COMUNICACIÓN SOCIAL"/>
    <s v="ADQUISICIÓN DE MATERIAL DE POSICIONAMIENTO E IDENTIDAD DEL ECU 911 PARA EL CENTRO OPERATIVO ECU 911 TULCÁN"/>
    <n v="2"/>
    <x v="0"/>
    <n v="1"/>
    <n v="0"/>
    <n v="1"/>
    <n v="401"/>
    <s v="TULCÁN"/>
    <n v="1"/>
    <n v="0"/>
    <n v="0"/>
    <s v="CORRIENTE"/>
    <x v="0"/>
    <n v="530811"/>
    <s v="INSUMOS, MATERIALES Y SUMINISTROS PARA CONSTRUCCIÓN, ELECTRICIDAD, PLOMERÍA, CARPINTERÍA, SEÑALIZACIÓN VIAL, NAVEGACIÓN, CONTRA INCENDIOS Y PLACAS"/>
    <n v="0"/>
    <n v="470"/>
    <n v="0"/>
    <n v="0"/>
    <n v="0"/>
    <n v="0"/>
    <n v="470"/>
    <n v="0"/>
    <n v="0"/>
    <n v="0"/>
    <n v="0"/>
    <n v="0"/>
    <n v="0"/>
    <n v="0"/>
    <n v="470"/>
    <s v="OK"/>
    <n v="47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3 INCREMENTAR EL POSICIONAMIENTO DEL SERVICIO INTEGRADO DE SEGURIDAD ECU 911 A NIVEL NACIONAL E INTER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1"/>
    <s v="COMUNICACIÓN SOCIAL"/>
    <s v="ADQUISICIÓN DE PELOTAS ANTI ESTRÉS CON EL LOGO INSTITUCIONAL PARA VINCULACIÓN CON LA COMUNIDAD"/>
    <n v="3"/>
    <x v="0"/>
    <n v="1"/>
    <n v="0"/>
    <n v="1"/>
    <n v="401"/>
    <s v="TULCÁN"/>
    <n v="1"/>
    <n v="0"/>
    <n v="0"/>
    <s v="CORRIENTE"/>
    <x v="0"/>
    <n v="530812"/>
    <s v="MATERIALES DIDÁCTICOS"/>
    <n v="0"/>
    <n v="200"/>
    <n v="0"/>
    <n v="0"/>
    <n v="0"/>
    <n v="0"/>
    <n v="0"/>
    <n v="0"/>
    <n v="0"/>
    <n v="200"/>
    <n v="0"/>
    <n v="0"/>
    <n v="0"/>
    <n v="0"/>
    <n v="200"/>
    <s v="OK"/>
    <n v="199.5"/>
    <n v="0.5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ADQUISICIÓN DE REPUESTOS PARA MANTENIMIENTO DE VEHÍCULOS LIVIANOS DEL CENTRO OPERATIVO ECU 911 POR EL PERÍODO 2023"/>
    <n v="1"/>
    <x v="0"/>
    <n v="1"/>
    <n v="0"/>
    <n v="1"/>
    <n v="401"/>
    <s v="TULCÁN"/>
    <n v="1"/>
    <n v="0"/>
    <n v="0"/>
    <s v="CORRIENTE"/>
    <x v="0"/>
    <n v="530813"/>
    <s v="REPUESTOS Y ACCESORIOS"/>
    <n v="470"/>
    <n v="228.45"/>
    <n v="0"/>
    <n v="0"/>
    <n v="110.44999999999999"/>
    <n v="0"/>
    <n v="0"/>
    <n v="0"/>
    <n v="0"/>
    <n v="0"/>
    <n v="118"/>
    <n v="0"/>
    <n v="0"/>
    <n v="0"/>
    <n v="228.45"/>
    <s v="OK"/>
    <n v="228.45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ADQUISICIÓN DE REPUESTOS COMO FILTROS DE IMAGEN, MOTOR, CUCHILLAS, RODILLOS, PIÑONES, UÑETAS, COMPONENTES ELECTRÓNICOS INTERNOS DE IMPRESORAS"/>
    <n v="1"/>
    <x v="0"/>
    <n v="1"/>
    <n v="0"/>
    <n v="1"/>
    <n v="401"/>
    <s v="TULCÁN"/>
    <n v="1"/>
    <n v="0"/>
    <n v="0"/>
    <s v="CORRIENTE"/>
    <x v="0"/>
    <n v="530813"/>
    <s v="REPUESTOS Y ACCESORIOS"/>
    <n v="2000"/>
    <n v="715"/>
    <n v="0"/>
    <n v="0"/>
    <n v="0"/>
    <n v="0"/>
    <n v="0"/>
    <n v="0"/>
    <n v="0"/>
    <n v="0"/>
    <n v="715"/>
    <n v="0"/>
    <n v="0"/>
    <n v="0"/>
    <n v="715"/>
    <s v="OK"/>
    <n v="715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ADQUISICIÓN DE REPUESTOS PARA MANTENIMIENTO PREVENTIVO Y CORRECTIVO DE ELECTRODOMÉSTICOS DEL CENTRO OPERATIVO LOCAL ECU 911 TULCÁN"/>
    <n v="1"/>
    <x v="0"/>
    <n v="1"/>
    <n v="0"/>
    <n v="1"/>
    <n v="401"/>
    <s v="TULCÁN"/>
    <n v="1"/>
    <n v="0"/>
    <n v="0"/>
    <s v="CORRIENTE"/>
    <x v="0"/>
    <n v="530813"/>
    <s v="REPUESTOS Y ACCESORIOS"/>
    <n v="200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ADQUISICION DE REPUESTOS PARA MANTENIMIENTO DE LA INFRAESTRUCTURA DEL CENTRO OPERATIVO LOCAL ECU 911 TULCÁN AÑO 2023"/>
    <n v="2"/>
    <x v="0"/>
    <n v="1"/>
    <n v="0"/>
    <n v="1"/>
    <n v="401"/>
    <s v="TULCÁN"/>
    <n v="1"/>
    <n v="0"/>
    <n v="0"/>
    <s v="CORRIENTE"/>
    <x v="0"/>
    <n v="530813"/>
    <s v="REPUESTOS Y ACCESORIOS"/>
    <n v="0"/>
    <n v="665.4"/>
    <n v="0"/>
    <n v="0"/>
    <n v="0"/>
    <n v="0"/>
    <n v="0"/>
    <n v="0"/>
    <n v="665.4"/>
    <n v="0"/>
    <n v="0"/>
    <n v="0"/>
    <n v="0"/>
    <n v="0"/>
    <n v="665.4"/>
    <s v="OK"/>
    <n v="665.4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3 INCREMENTAR EL POSICIONAMIENTO DEL SERVICIO INTEGRADO DE SEGURIDAD ECU 911 A NIVEL NACIONAL E INTER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1"/>
    <s v="COMUNICACIÓN SOCIAL"/>
    <s v="ADQUISICIÓN DE MATERIAL DE POSICIONAMIENTO E IDENTIDAD DEL ECU 911 PARA EL CENTRO OPERATIVO ECU 911 TULCÁN"/>
    <n v="2"/>
    <x v="0"/>
    <n v="1"/>
    <n v="0"/>
    <n v="1"/>
    <n v="401"/>
    <s v="TULCÁN"/>
    <n v="1"/>
    <n v="0"/>
    <n v="0"/>
    <s v="CORRIENTE"/>
    <x v="0"/>
    <n v="530824"/>
    <s v="INSUMOS, BIENES Y MATERIALES PARA PRODUCCIÓN DE PROGRAMAS DE RADIO, TELEVISIÓN, EVENTOS CULTURALES, ARTÍSTICOS Y ENTRETENIMIENTO EN GENERAL"/>
    <n v="0"/>
    <n v="180"/>
    <n v="0"/>
    <n v="0"/>
    <n v="0"/>
    <n v="0"/>
    <n v="180"/>
    <n v="0"/>
    <n v="0"/>
    <n v="0"/>
    <n v="0"/>
    <n v="0"/>
    <n v="0"/>
    <n v="0"/>
    <n v="180"/>
    <s v="OK"/>
    <n v="18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3 INCREMENTAR EL POSICIONAMIENTO DEL SERVICIO INTEGRADO DE SEGURIDAD ECU 911 A NIVEL NACIONAL E INTER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1"/>
    <s v="COMUNICACIÓN SOCIAL"/>
    <s v="ADQUISICIÓN DE MATERIAL DE POSICIONAMIENTO E IDENTIDAD DEL ECU 911 PARA EL CENTRO OPERATIVO ECU 911 TULCÁN"/>
    <n v="2"/>
    <x v="0"/>
    <n v="1"/>
    <n v="0"/>
    <n v="1"/>
    <n v="401"/>
    <s v="TULCÁN"/>
    <n v="1"/>
    <n v="0"/>
    <n v="0"/>
    <s v="CORRIENTE"/>
    <x v="0"/>
    <n v="531403"/>
    <s v="MOBILIARIO "/>
    <n v="0"/>
    <n v="140"/>
    <n v="0"/>
    <n v="0"/>
    <n v="0"/>
    <n v="0"/>
    <n v="140"/>
    <n v="0"/>
    <n v="0"/>
    <n v="0"/>
    <n v="0"/>
    <n v="0"/>
    <n v="0"/>
    <n v="0"/>
    <n v="140"/>
    <s v="OK"/>
    <n v="14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ADQUISICIÓN DE MAQUINARIA Y EQUIPOS MENORES PARA EL CENTRO OPERATIVO LOCAL ECU 911 TULCAN"/>
    <n v="2"/>
    <x v="0"/>
    <n v="1"/>
    <n v="0"/>
    <n v="1"/>
    <n v="401"/>
    <s v="TULCÁN"/>
    <n v="1"/>
    <n v="0"/>
    <n v="0"/>
    <s v="CORRIENTE"/>
    <x v="0"/>
    <n v="531404"/>
    <s v="MAQUINARIAS Y EQUIPOS"/>
    <n v="0"/>
    <n v="200"/>
    <n v="0"/>
    <n v="0"/>
    <n v="0"/>
    <n v="0"/>
    <n v="0"/>
    <n v="0"/>
    <n v="0"/>
    <n v="0"/>
    <n v="0"/>
    <n v="200"/>
    <n v="0"/>
    <n v="0"/>
    <n v="200"/>
    <s v="OK"/>
    <n v="0"/>
    <n v="20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ADQUISICIÓN DE HERRAMIENTAS Y EQUIPOS MENORES"/>
    <n v="1"/>
    <x v="0"/>
    <n v="1"/>
    <n v="0"/>
    <n v="1"/>
    <n v="401"/>
    <s v="TULCÁN"/>
    <n v="1"/>
    <n v="0"/>
    <n v="0"/>
    <s v="CORRIENTE"/>
    <x v="0"/>
    <n v="531406"/>
    <s v="HERRAMIENTAS Y EQUIPOS MENORES"/>
    <n v="200"/>
    <n v="1700"/>
    <n v="0"/>
    <n v="0"/>
    <n v="0"/>
    <n v="0"/>
    <n v="0"/>
    <n v="0"/>
    <n v="0"/>
    <n v="0"/>
    <n v="0"/>
    <n v="1700"/>
    <n v="0"/>
    <n v="0"/>
    <n v="1700"/>
    <s v="OK"/>
    <n v="0"/>
    <n v="170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MATRICULACIÓN Y REVISIÓN VEHICULAR DE LOS VEHÍCULOS DEL CENTRO OPERATIVO LOCAL ECU 911 TULCÁN AÑO 2023"/>
    <n v="1"/>
    <x v="0"/>
    <n v="1"/>
    <n v="0"/>
    <n v="1"/>
    <n v="401"/>
    <s v="TULCÁN"/>
    <n v="1"/>
    <n v="0"/>
    <n v="0"/>
    <s v="CORRIENTE"/>
    <x v="1"/>
    <n v="570102"/>
    <s v="TASAS GENERALES, IMPUESTOS, CONTRIBUCIONES, PERMISOS, LICENCIAS Y PATENTES"/>
    <n v="30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CANCELACIÓN DEL PERMISO DE FUNCIONAMIENTO DEL CUERPO DE BOMBEROS AÑO 2023"/>
    <n v="1"/>
    <x v="0"/>
    <n v="1"/>
    <n v="0"/>
    <n v="1"/>
    <n v="401"/>
    <s v="TULCÁN"/>
    <n v="1"/>
    <n v="0"/>
    <n v="0"/>
    <s v="CORRIENTE"/>
    <x v="1"/>
    <n v="570102"/>
    <s v="TASAS GENERALES, IMPUESTOS, CONTRIBUCIONES, PERMISOS, LICENCIAS Y PATENTES"/>
    <n v="150"/>
    <n v="169"/>
    <n v="0"/>
    <n v="0"/>
    <n v="169"/>
    <n v="0"/>
    <n v="0"/>
    <n v="0"/>
    <n v="0"/>
    <n v="0"/>
    <n v="0"/>
    <n v="0"/>
    <n v="0"/>
    <n v="0"/>
    <n v="169"/>
    <s v="OK"/>
    <n v="169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CANCELACIÓN POR TASA DE MEJORAS EN EL MUNICIPIO AÑO 2023"/>
    <n v="1"/>
    <x v="0"/>
    <n v="1"/>
    <n v="0"/>
    <n v="1"/>
    <n v="401"/>
    <s v="TULCÁN"/>
    <n v="1"/>
    <n v="0"/>
    <n v="0"/>
    <s v="CORRIENTE"/>
    <x v="1"/>
    <n v="570102"/>
    <s v="TASAS GENERALES, IMPUESTOS, CONTRIBUCIONES, PERMISOS, LICENCIAS Y PATENTES"/>
    <n v="1193"/>
    <n v="958.45"/>
    <n v="0"/>
    <n v="0"/>
    <n v="958.45"/>
    <n v="0"/>
    <n v="0"/>
    <n v="0"/>
    <n v="0"/>
    <n v="0"/>
    <n v="0"/>
    <n v="0"/>
    <n v="0"/>
    <n v="0"/>
    <n v="958.45"/>
    <s v="OK"/>
    <n v="958.45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ADQUISICIÓN DE BIENES Y PAGO DE SERVICIOS NO PREVISIBLES, URGENTES Y DE VALOR REDUCIDO (CAJA CHICA)"/>
    <n v="1"/>
    <x v="0"/>
    <n v="1"/>
    <n v="0"/>
    <n v="1"/>
    <n v="401"/>
    <s v="TULCÁN"/>
    <n v="1"/>
    <n v="0"/>
    <n v="0"/>
    <s v="CORRIENTE"/>
    <x v="1"/>
    <n v="570102"/>
    <s v="TASAS GENERALES, IMPUESTOS, CONTRIBUCIONES, PERMISOS, LICENCIAS Y PATENTES"/>
    <n v="100"/>
    <n v="150"/>
    <n v="0"/>
    <n v="0"/>
    <n v="0"/>
    <n v="0"/>
    <n v="0"/>
    <n v="0"/>
    <n v="0"/>
    <n v="0"/>
    <n v="0"/>
    <n v="0"/>
    <n v="0"/>
    <n v="150"/>
    <n v="150"/>
    <s v="OK"/>
    <n v="150"/>
    <n v="0"/>
    <s v="R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2"/>
    <s v="TECNOLOGÍA"/>
    <s v="ARRASTRE: PAGOS POR CONSUMO DE SERVICIOS DE TELECOMUNICACIONES CORRESPONDIENTE A DICIEMBRE DEL 2022"/>
    <n v="1"/>
    <x v="0"/>
    <n v="55"/>
    <n v="0"/>
    <n v="3"/>
    <n v="401"/>
    <s v="TULCÁN"/>
    <n v="1"/>
    <n v="0"/>
    <n v="0"/>
    <s v="CORRIENTE"/>
    <x v="0"/>
    <n v="530105"/>
    <s v="TELECOMUNICACIONES"/>
    <n v="10300"/>
    <n v="5407.93"/>
    <n v="5407.93"/>
    <n v="0"/>
    <n v="0"/>
    <n v="0"/>
    <n v="0"/>
    <n v="0"/>
    <n v="0"/>
    <n v="0"/>
    <n v="0"/>
    <n v="0"/>
    <n v="0"/>
    <n v="0"/>
    <n v="5407.93"/>
    <s v="OK"/>
    <n v="5407.93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2"/>
    <s v="TECNOLOGÍA"/>
    <s v="PAGO POR CONSUMO DE SERVICIOS DE TELECOMUNICACIONES CORRESPONDIENTE AL CONTRATO ENERO-DICIEMBRE 2023"/>
    <n v="1"/>
    <x v="0"/>
    <n v="55"/>
    <n v="0"/>
    <n v="3"/>
    <n v="401"/>
    <s v="TULCÁN"/>
    <n v="1"/>
    <n v="0"/>
    <n v="0"/>
    <s v="CORRIENTE"/>
    <x v="0"/>
    <n v="530105"/>
    <s v="TELECOMUNICACIONES"/>
    <n v="85500"/>
    <n v="59626"/>
    <n v="0"/>
    <n v="5420.55"/>
    <n v="5420.55"/>
    <n v="5420.55"/>
    <n v="5420.55"/>
    <n v="5420.55"/>
    <n v="5420.55"/>
    <n v="5420.55"/>
    <n v="5420.55"/>
    <n v="5420.55"/>
    <n v="5420.55"/>
    <n v="5420.5"/>
    <n v="59626.000000000007"/>
    <s v="OK"/>
    <n v="59626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2"/>
    <s v="TECNOLOGÍA"/>
    <s v="PAGO POR LICENCIAMIENTO DE LA SOLUCIÓN ANTIVIRUS PARA CONSOLAS OPERATIVAS Y ADMINISTRATIVAS DEL CENTRO"/>
    <n v="2"/>
    <x v="0"/>
    <n v="55"/>
    <n v="0"/>
    <n v="3"/>
    <n v="401"/>
    <s v="TULCÁN"/>
    <n v="1"/>
    <n v="0"/>
    <n v="0"/>
    <s v="CORRIENTE"/>
    <x v="0"/>
    <n v="530702"/>
    <s v="ARRENDAMIENTO Y LICENCIAS DE USO DE PAQUETES INFORMÁTICOS"/>
    <n v="2929"/>
    <n v="2882.54"/>
    <n v="0"/>
    <n v="0"/>
    <n v="2882.54"/>
    <n v="0"/>
    <n v="0"/>
    <n v="0"/>
    <n v="0"/>
    <n v="0"/>
    <n v="0"/>
    <n v="0"/>
    <n v="0"/>
    <n v="0"/>
    <n v="2882.54"/>
    <s v="OK"/>
    <n v="2882.54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2"/>
    <s v="TECNOLOGÍA"/>
    <s v="ADQUISICIÓN, INSTALACIÓN, CONFIGURACIÓN Y PUESTA A PUNTOS DE CUATRO DISCOS DUROS PARA STORAGE HP EVA P6500 DEL CENTRO OPERATIVO LOCAL ECU 911 TULCÁN"/>
    <n v="2"/>
    <x v="0"/>
    <n v="55"/>
    <n v="0"/>
    <n v="3"/>
    <n v="401"/>
    <s v="TULCÁN"/>
    <n v="1"/>
    <n v="0"/>
    <n v="0"/>
    <s v="CORRIENTE"/>
    <x v="0"/>
    <n v="530704"/>
    <s v="MANTENIMIENTO Y REPARACIÓN DE EQUIPOS Y SISTEMAS INFORMÁTICOS "/>
    <n v="0"/>
    <n v="100"/>
    <n v="0"/>
    <n v="0"/>
    <n v="0"/>
    <n v="0"/>
    <n v="0"/>
    <n v="100"/>
    <n v="0"/>
    <n v="0"/>
    <n v="0"/>
    <n v="0"/>
    <n v="0"/>
    <n v="0"/>
    <n v="100"/>
    <s v="OK"/>
    <n v="100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2"/>
    <s v="TECNOLOGÍA"/>
    <s v="PAGO POR ADQUISICIÓN DE MATERIALES E INSUMOS PARA MANTENIMIENTOS E INSTALACIONES TECNOLÓGICAS DEL CENTRO"/>
    <n v="2"/>
    <x v="0"/>
    <n v="55"/>
    <n v="0"/>
    <n v="3"/>
    <n v="401"/>
    <s v="TULCÁN"/>
    <n v="1"/>
    <n v="0"/>
    <n v="0"/>
    <s v="CORRIENTE"/>
    <x v="0"/>
    <n v="530811"/>
    <s v="INSUMOS, MATERIALES Y SUMINISTROS PARA CONSTRUCCIÓN, ELECTRICIDAD, PLOMERÍA, CARPINTERÍA, SEÑALIZACIÓN VIAL, NAVEGACIÓN, CONTRA INCENDIOS Y PLACAS"/>
    <n v="1200"/>
    <n v="1196.25"/>
    <n v="0"/>
    <n v="0"/>
    <n v="0"/>
    <n v="0"/>
    <n v="1196.25"/>
    <n v="0"/>
    <n v="0"/>
    <n v="0"/>
    <n v="0"/>
    <n v="0"/>
    <n v="0"/>
    <n v="0"/>
    <n v="1196.25"/>
    <s v="OK"/>
    <n v="1196.25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2"/>
    <s v="TECNOLOGÍA"/>
    <s v="ADQUISICIÓN DE BIENES Y PAGO DE SERVICIOS NO PREVISIBLES, URGENTES Y DE VALOR REDUCIDO (CAJA CHICA)"/>
    <n v="2"/>
    <x v="0"/>
    <n v="55"/>
    <n v="0"/>
    <n v="3"/>
    <n v="401"/>
    <s v="TULCÁN"/>
    <n v="1"/>
    <n v="0"/>
    <n v="0"/>
    <s v="CORRIENTE"/>
    <x v="0"/>
    <n v="530811"/>
    <s v="INSUMOS, MATERIALES Y SUMINISTROS PARA CONSTRUCCIÓN, ELECTRICIDAD, PLOMERÍA, CARPINTERÍA, SEÑALIZACIÓN VIAL, NAVEGACIÓN, CONTRA INCENDIOS Y PLACAS"/>
    <n v="150"/>
    <n v="125"/>
    <n v="0"/>
    <n v="0"/>
    <n v="0"/>
    <n v="0"/>
    <n v="0"/>
    <n v="0"/>
    <n v="0"/>
    <n v="0"/>
    <n v="0"/>
    <n v="0"/>
    <n v="0"/>
    <n v="125"/>
    <n v="125"/>
    <s v="OK"/>
    <n v="125"/>
    <n v="0"/>
    <s v="R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2"/>
    <s v="TECNOLOGÍA"/>
    <s v="ADQUISICIÓN DE BIENES Y PAGO DE SERVICIOS NO PREVISIBLES, URGENTES Y DE VALOR REDUCIDO (CAJA CHICA)"/>
    <n v="2"/>
    <x v="0"/>
    <n v="55"/>
    <n v="0"/>
    <n v="3"/>
    <n v="401"/>
    <s v="TULCÁN"/>
    <n v="1"/>
    <n v="0"/>
    <n v="0"/>
    <s v="CORRIENTE"/>
    <x v="0"/>
    <n v="530813"/>
    <s v="REPUESTOS Y ACCESORIOS"/>
    <n v="152"/>
    <n v="73.92"/>
    <n v="0"/>
    <n v="0"/>
    <n v="0"/>
    <n v="0"/>
    <n v="0"/>
    <n v="0"/>
    <n v="0"/>
    <n v="0"/>
    <n v="0"/>
    <n v="0"/>
    <n v="0"/>
    <n v="73.92"/>
    <n v="73.92"/>
    <s v="OK"/>
    <n v="73.92"/>
    <n v="0"/>
    <s v="R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2"/>
    <s v="TECNOLOGÍA"/>
    <s v=" ADQUISICIÓN DE REPUESTOS Y ACCESORIOS TECNOLÓGICOS PARA MAQUINARIAS, PLANTAS ELÉCTRICAS, EQUIPOS Y OTROS"/>
    <n v="2"/>
    <x v="0"/>
    <n v="55"/>
    <n v="0"/>
    <n v="3"/>
    <n v="401"/>
    <s v="TULCÁN"/>
    <n v="1"/>
    <n v="0"/>
    <n v="0"/>
    <s v="CORRIENTE"/>
    <x v="0"/>
    <n v="530813"/>
    <s v="REPUESTOS Y ACCESORIOS"/>
    <n v="520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2"/>
    <s v="TECNOLOGÍA"/>
    <s v="PAGO POR ADQUISICIÓN DE REPUESTOS Y ACCESORIOS PARA RADIOS APX 2000 DEL CENTRO OPERATIVO"/>
    <n v="2"/>
    <x v="0"/>
    <n v="55"/>
    <n v="0"/>
    <n v="3"/>
    <n v="401"/>
    <s v="TULCÁN"/>
    <n v="1"/>
    <n v="0"/>
    <n v="0"/>
    <s v="CORRIENTE"/>
    <x v="0"/>
    <n v="530813"/>
    <s v="REPUESTOS Y ACCESORIOS"/>
    <n v="560"/>
    <n v="0"/>
    <n v="0"/>
    <n v="0"/>
    <n v="0"/>
    <n v="0"/>
    <n v="0"/>
    <n v="0"/>
    <n v="0"/>
    <n v="0"/>
    <n v="0"/>
    <n v="0"/>
    <n v="0"/>
    <n v="0"/>
    <n v="0"/>
    <s v="OK"/>
    <n v="0"/>
    <n v="0"/>
    <s v="R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2"/>
    <s v="TECNOLOGÍA"/>
    <s v="ADQUISICIÓN DE BIENES, REPUESTOS Y ACCESORIOS PARA MANTENIMIENTO DE EQUIPOS INFORMÁTICOS Y DE RED DE LOS CENTROS OPERATIVOS ECU911"/>
    <n v="2"/>
    <x v="0"/>
    <n v="55"/>
    <n v="0"/>
    <n v="3"/>
    <n v="401"/>
    <s v="TULCÁN"/>
    <n v="1"/>
    <n v="0"/>
    <n v="0"/>
    <s v="CORRIENTE"/>
    <x v="0"/>
    <n v="530813"/>
    <s v="REPUESTOS Y ACCESORIOS"/>
    <n v="0"/>
    <n v="4042.56"/>
    <n v="0"/>
    <n v="0"/>
    <n v="0"/>
    <n v="0"/>
    <n v="0"/>
    <n v="4042.56"/>
    <n v="0"/>
    <n v="0"/>
    <n v="0"/>
    <n v="0"/>
    <n v="0"/>
    <n v="0"/>
    <n v="4042.56"/>
    <s v="OK"/>
    <n v="4042.56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2"/>
    <s v="TECNOLOGÍA"/>
    <s v="ADQUISICIÓN, INSTALACIÓN, CONFIGURACIÓN Y PUESTA A PUNTOS DE CUATRO DISCOS DUROS PARA STORAGE HP EVA P6500 DEL CENTRO OPERATIVO LOCAL ECU 911 TULCÁN"/>
    <n v="2"/>
    <x v="0"/>
    <n v="55"/>
    <n v="0"/>
    <n v="3"/>
    <n v="401"/>
    <s v="TULCÁN"/>
    <n v="1"/>
    <n v="0"/>
    <n v="0"/>
    <s v="CORRIENTE"/>
    <x v="0"/>
    <n v="530813"/>
    <s v="REPUESTOS Y ACCESORIOS"/>
    <n v="0"/>
    <n v="380"/>
    <n v="0"/>
    <n v="0"/>
    <n v="0"/>
    <n v="0"/>
    <n v="0"/>
    <n v="380"/>
    <n v="0"/>
    <n v="0"/>
    <n v="0"/>
    <n v="0"/>
    <n v="0"/>
    <n v="0"/>
    <n v="380"/>
    <s v="OK"/>
    <n v="300"/>
    <n v="8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2"/>
    <s v="TECNOLOGÍA"/>
    <s v="ADQUISICIÓN DE BIENES, REPUESTOS Y ACCESORIOS PARA MANTENIMIENTO DE EQUIPOS INFORMÁTICOS Y DE RED DE LOS CENTROS OPERATIVOS ECU911"/>
    <n v="2"/>
    <x v="0"/>
    <n v="55"/>
    <n v="0"/>
    <n v="3"/>
    <n v="401"/>
    <s v="TULCÁN"/>
    <n v="1"/>
    <n v="0"/>
    <n v="0"/>
    <s v="CORRIENTE"/>
    <x v="0"/>
    <n v="531404"/>
    <s v="MAQUINARIAS Y EQUIPOS"/>
    <n v="0"/>
    <n v="77.92"/>
    <n v="0"/>
    <n v="0"/>
    <n v="0"/>
    <n v="0"/>
    <n v="0"/>
    <n v="77.92"/>
    <n v="0"/>
    <n v="0"/>
    <n v="0"/>
    <n v="0"/>
    <n v="0"/>
    <n v="0"/>
    <n v="77.92"/>
    <s v="OK"/>
    <n v="77.92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2"/>
    <s v="TECNOLOGÍA"/>
    <s v="ADQUISICIÓN DE BIENES, REPUESTOS Y ACCESORIOS PARA MANTENIMIENTO DE EQUIPOS INFORMÁTICOS Y DE RED DE LOS CENTROS OPERATIVOS ECU911"/>
    <n v="2"/>
    <x v="0"/>
    <n v="55"/>
    <n v="0"/>
    <n v="3"/>
    <n v="401"/>
    <s v="TULCÁN"/>
    <n v="1"/>
    <n v="0"/>
    <n v="0"/>
    <s v="CORRIENTE"/>
    <x v="0"/>
    <n v="531406"/>
    <s v="HERRAMIENTAS Y EQUIPOS MENORES"/>
    <n v="0"/>
    <n v="140.59"/>
    <n v="0"/>
    <n v="0"/>
    <n v="0"/>
    <n v="0"/>
    <n v="0"/>
    <n v="140.59"/>
    <n v="0"/>
    <n v="0"/>
    <n v="0"/>
    <n v="0"/>
    <n v="0"/>
    <n v="0"/>
    <n v="140.59"/>
    <s v="OK"/>
    <n v="140.59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2"/>
    <s v="TECNOLOGÍA"/>
    <s v="ADQUISICIÓN DE BIENES, REPUESTOS Y ACCESORIOS PARA MANTENIMIENTO DE EQUIPOS INFORMÁTICOS Y DE RED DE LOS CENTROS OPERATIVOS ECU911"/>
    <n v="2"/>
    <x v="0"/>
    <n v="55"/>
    <n v="0"/>
    <n v="3"/>
    <n v="401"/>
    <s v="TULCÁN"/>
    <n v="1"/>
    <n v="0"/>
    <n v="0"/>
    <s v="CORRIENTE"/>
    <x v="0"/>
    <n v="531407"/>
    <s v="EQUIPOS, SISTEMAS Y PAQUETES INFORMÁTICOS"/>
    <n v="0"/>
    <n v="29.88"/>
    <n v="0"/>
    <n v="0"/>
    <n v="0"/>
    <n v="0"/>
    <n v="0"/>
    <n v="29.88"/>
    <n v="0"/>
    <n v="0"/>
    <n v="0"/>
    <n v="0"/>
    <n v="0"/>
    <n v="0"/>
    <n v="29.88"/>
    <s v="OK"/>
    <n v="29.88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ARRASTRE: CANCELACIÓN POR CONSUMO DE SERVICIO DE AGUA POTABLE CORRESPONDIENTE A DICIEMBRE DEL 2022"/>
    <n v="1"/>
    <x v="0"/>
    <n v="1"/>
    <n v="0"/>
    <n v="1"/>
    <n v="801"/>
    <s v="ESMERALDAS"/>
    <n v="1"/>
    <n v="0"/>
    <n v="0"/>
    <s v="CORRIENTE"/>
    <x v="0"/>
    <n v="530101"/>
    <s v="AGUA POTABLE"/>
    <n v="100"/>
    <n v="77.63"/>
    <n v="77.63"/>
    <n v="0"/>
    <n v="0"/>
    <n v="0"/>
    <n v="0"/>
    <n v="0"/>
    <n v="0"/>
    <n v="0"/>
    <n v="0"/>
    <n v="0"/>
    <n v="0"/>
    <n v="0"/>
    <n v="77.63"/>
    <s v="OK"/>
    <n v="77.63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PROVISIÓN POR CONSUMO DE SERVICIO DE AGUA POTABLE PERÍODO ENERO A NOVIEMBRE 2023"/>
    <n v="1"/>
    <x v="0"/>
    <n v="1"/>
    <n v="0"/>
    <n v="1"/>
    <n v="801"/>
    <s v="ESMERALDAS"/>
    <n v="1"/>
    <n v="0"/>
    <n v="0"/>
    <s v="CORRIENTE"/>
    <x v="0"/>
    <n v="530101"/>
    <s v="AGUA POTABLE"/>
    <n v="660"/>
    <n v="1249"/>
    <n v="0"/>
    <n v="60"/>
    <n v="60"/>
    <n v="60"/>
    <n v="60"/>
    <n v="60"/>
    <n v="60"/>
    <n v="60"/>
    <n v="60"/>
    <n v="60"/>
    <n v="60"/>
    <n v="649"/>
    <n v="1249"/>
    <s v="OK"/>
    <n v="925"/>
    <n v="324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ARRASTRE: CANCELACIÓN POR CONSUMO DE SERVICIO DE ENERGÍA ELÉCTRICA CORRESPONDIENTE A DICIEMBRE DEL 2022"/>
    <n v="1"/>
    <x v="0"/>
    <n v="1"/>
    <n v="0"/>
    <n v="1"/>
    <n v="801"/>
    <s v="ESMERALDAS"/>
    <n v="1"/>
    <n v="0"/>
    <n v="0"/>
    <s v="CORRIENTE"/>
    <x v="0"/>
    <n v="530104"/>
    <s v="ENERGÍA ELÉCTRICA"/>
    <n v="6500"/>
    <n v="5468.11"/>
    <n v="5468.11"/>
    <n v="0"/>
    <n v="0"/>
    <n v="0"/>
    <n v="0"/>
    <n v="0"/>
    <n v="0"/>
    <n v="0"/>
    <n v="0"/>
    <n v="0"/>
    <n v="0"/>
    <n v="0"/>
    <n v="5468.11"/>
    <s v="OK"/>
    <n v="5468.11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PROVISIÓN POR CONSUMO DE SERVICIO DE ENERGÍA ELÉCTRICA PERÍODO ENERO A DICIEMBRE 2023"/>
    <n v="1"/>
    <x v="0"/>
    <n v="1"/>
    <n v="0"/>
    <n v="1"/>
    <n v="801"/>
    <s v="ESMERALDAS"/>
    <n v="1"/>
    <n v="0"/>
    <n v="0"/>
    <s v="CORRIENTE"/>
    <x v="0"/>
    <n v="530104"/>
    <s v="ENERGÍA ELÉCTRICA"/>
    <n v="36000"/>
    <n v="73900"/>
    <n v="0"/>
    <n v="5500"/>
    <n v="5500"/>
    <n v="5500"/>
    <n v="5500"/>
    <n v="5500"/>
    <n v="5500"/>
    <n v="5500"/>
    <n v="5500"/>
    <n v="5500"/>
    <n v="5500"/>
    <n v="18900"/>
    <n v="73900"/>
    <s v="OK"/>
    <n v="60500"/>
    <n v="1340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ARRASTRE: CANCELACIÓN POR CONSUMO DE SERVICIO DE CORREO NACIONAL A DICIEMBRE DEL 2022"/>
    <n v="1"/>
    <x v="0"/>
    <n v="1"/>
    <n v="0"/>
    <n v="1"/>
    <n v="801"/>
    <s v="ESMERALDAS"/>
    <n v="1"/>
    <n v="0"/>
    <n v="0"/>
    <s v="CORRIENTE"/>
    <x v="0"/>
    <n v="530106"/>
    <s v="SERVICIO DE CORREO"/>
    <n v="100"/>
    <n v="6"/>
    <n v="6"/>
    <n v="0"/>
    <n v="0"/>
    <n v="0"/>
    <n v="0"/>
    <n v="0"/>
    <n v="0"/>
    <n v="0"/>
    <n v="0"/>
    <n v="0"/>
    <n v="0"/>
    <n v="0"/>
    <n v="6"/>
    <s v="OK"/>
    <n v="6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CONTRATACIÓN DEL SERVICIO DE CORREO NACIONAL PERÍODO ENERO A DICIEMBRE 2023"/>
    <n v="1"/>
    <x v="0"/>
    <n v="1"/>
    <n v="0"/>
    <n v="1"/>
    <n v="801"/>
    <s v="ESMERALDAS"/>
    <n v="1"/>
    <n v="0"/>
    <n v="0"/>
    <s v="CORRIENTE"/>
    <x v="0"/>
    <n v="530106"/>
    <s v="SERVICIO DE CORREO"/>
    <n v="495"/>
    <n v="350"/>
    <n v="0"/>
    <n v="0"/>
    <n v="35"/>
    <n v="35"/>
    <n v="35"/>
    <n v="35"/>
    <n v="35"/>
    <n v="35"/>
    <n v="35"/>
    <n v="35"/>
    <n v="35"/>
    <n v="35"/>
    <n v="350"/>
    <s v="OK"/>
    <n v="35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ARRASTRE: CANCELACIÓN POR EL SERVICIO DE TRANSPORTE PERSONAL OPERATIVO DICIEMBRE DEL 2022"/>
    <n v="1"/>
    <x v="0"/>
    <n v="1"/>
    <n v="0"/>
    <n v="1"/>
    <n v="801"/>
    <s v="ESMERALDAS"/>
    <n v="1"/>
    <n v="0"/>
    <n v="0"/>
    <s v="CORRIENTE"/>
    <x v="0"/>
    <n v="530201"/>
    <s v="TRANSPORTE DE PERSONAL"/>
    <n v="4267"/>
    <n v="4266.5"/>
    <n v="4266.5"/>
    <n v="0"/>
    <n v="0"/>
    <n v="0"/>
    <n v="0"/>
    <n v="0"/>
    <n v="0"/>
    <n v="0"/>
    <n v="0"/>
    <n v="0"/>
    <n v="0"/>
    <n v="0"/>
    <n v="4266.5"/>
    <s v="OK"/>
    <n v="4266.5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CONTRATACIÓN DEL SERVICIO DE TRANSPORTE PARA SERVIDORES DEL ÁREA OPERATIVA DEL CENTRO OPERATIVO LOCAL ECU 911 ESMERALDAS PARA ENERO-DICIEMBRE 2023, SE PAGA A MES VENCIDO"/>
    <n v="1"/>
    <x v="0"/>
    <n v="1"/>
    <n v="0"/>
    <n v="1"/>
    <n v="801"/>
    <s v="ESMERALDAS"/>
    <n v="1"/>
    <n v="0"/>
    <n v="0"/>
    <s v="CORRIENTE"/>
    <x v="0"/>
    <n v="530201"/>
    <s v="TRANSPORTE DE PERSONAL"/>
    <n v="56400"/>
    <n v="45000"/>
    <n v="0"/>
    <n v="3750"/>
    <n v="3750"/>
    <n v="3750"/>
    <n v="3750"/>
    <n v="3750"/>
    <n v="3750"/>
    <n v="3750"/>
    <n v="3750"/>
    <n v="3750"/>
    <n v="3750"/>
    <n v="7500"/>
    <n v="45000"/>
    <s v="OK"/>
    <n v="4500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CONTRATACIÓN DEL SERVICIO DE RECARGA DE EXTINTORES DEL CENTRO"/>
    <n v="1"/>
    <x v="0"/>
    <n v="1"/>
    <n v="0"/>
    <n v="1"/>
    <n v="801"/>
    <s v="ESMERALDAS"/>
    <n v="1"/>
    <n v="0"/>
    <n v="0"/>
    <s v="CORRIENTE"/>
    <x v="0"/>
    <n v="530203"/>
    <s v="ALMACENAMIENTO, EMBALAJE, DESEMBALAJE, ENVASE, DESENVASE Y RECARGA DE EXTINTORES"/>
    <n v="550"/>
    <n v="431"/>
    <n v="0"/>
    <n v="0"/>
    <n v="0"/>
    <n v="0"/>
    <n v="0"/>
    <n v="0"/>
    <n v="0"/>
    <n v="431"/>
    <n v="0"/>
    <n v="0"/>
    <n v="0"/>
    <n v="0"/>
    <n v="431"/>
    <s v="OK"/>
    <n v="312"/>
    <n v="119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3 INCREMENTAR EL POSICIONAMIENTO DEL SERVICIO INTEGRADO DE SEGURIDAD ECU 911 A NIVEL NACIONAL E INTER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1"/>
    <s v="COMUNICACIÓN SOCIAL"/>
    <s v="ADQUISICIÓN DE MATERIAL DE POSICIONAMIENTO E IDENTIDAD DEL ECU 911 PARA EL CENTRO OPERATIVO ECU 911 ESMERALDAS"/>
    <n v="2"/>
    <x v="0"/>
    <n v="1"/>
    <n v="0"/>
    <n v="1"/>
    <n v="801"/>
    <s v="ESMERALDAS"/>
    <n v="1"/>
    <n v="0"/>
    <n v="0"/>
    <s v="CORRIENTE"/>
    <x v="0"/>
    <n v="530204"/>
    <s v="EDICIÓN, IMPRESIÓN, REPRODUCCIÓN, PUBLICACIONES, SUSCRIPCIONES, FOTOCOPIADO, TRADUCCIÓN, EMPASTADO, ENMARCACIÓN, SERIGRAFÍA, FOTOGRAFÍA, CARNETIZACIÓN, FILMACIÓN E IMÁGENES SATELITALES"/>
    <n v="148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3 INCREMENTAR EL POSICIONAMIENTO DEL SERVICIO INTEGRADO DE SEGURIDAD ECU 911 A NIVEL NACIONAL E INTER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1"/>
    <s v="COMUNICACIÓN SOCIAL"/>
    <s v="ADMINISTRACIÓN Y GESTIÓN PARA ADQUISICIÓN DE SEÑALÉTICAS PARA EL EXTERIOR DEL CENTRO LOCAL ECU 911 ESMERALDAS"/>
    <n v="1"/>
    <x v="0"/>
    <n v="1"/>
    <n v="0"/>
    <n v="1"/>
    <n v="801"/>
    <s v="ESMERALDAS"/>
    <n v="1"/>
    <n v="0"/>
    <n v="0"/>
    <s v="CORRIENTE"/>
    <x v="0"/>
    <n v="530204"/>
    <s v="EDICIÓN, IMPRESIÓN, REPRODUCCIÓN, PUBLICACIONES, SUSCRIPCIONES, FOTOCOPIADO, TRADUCCIÓN, EMPASTADO, ENMARCACIÓN, SERIGRAFÍA, FOTOGRAFÍA, CARNETIZACIÓN, FILMACIÓN E IMÁGENES SATELITALES"/>
    <n v="807"/>
    <n v="0"/>
    <n v="0"/>
    <n v="0"/>
    <n v="0"/>
    <n v="0"/>
    <n v="0"/>
    <n v="0"/>
    <n v="0"/>
    <n v="0"/>
    <n v="0"/>
    <n v="0"/>
    <n v="0"/>
    <n v="0"/>
    <n v="0"/>
    <s v="OK"/>
    <n v="0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ARRASTRE: CANCELACIÓN POR EL SERVICIO DE LIMPIEZA DEL CENTRO OPERATIVO LOCAL ECU 911 ESMERALDAS DICIEMBRE DEL 2022"/>
    <n v="1"/>
    <x v="0"/>
    <n v="1"/>
    <n v="0"/>
    <n v="1"/>
    <n v="801"/>
    <s v="ESMERALDAS"/>
    <n v="1"/>
    <n v="0"/>
    <n v="0"/>
    <s v="CORRIENTE"/>
    <x v="0"/>
    <n v="530209"/>
    <s v="SERVICIOS DE ASEO, LAVADO DE VESTIMENTA DE TRABAJO, FUMIGACIÓN, DESINFECCIÓN, LIMPIEZA DE INSTALACIONES, MANEJO DE DESECHOS CONTAMINADOS, RECUPERACIÓN Y CLASIFICACIÓN DE MATERIALES RECICLABLES"/>
    <n v="3328"/>
    <n v="2970.87"/>
    <n v="2970.87"/>
    <n v="0"/>
    <n v="0"/>
    <n v="0"/>
    <n v="0"/>
    <n v="0"/>
    <n v="0"/>
    <n v="0"/>
    <n v="0"/>
    <n v="0"/>
    <n v="0"/>
    <n v="0"/>
    <n v="2970.87"/>
    <s v="OK"/>
    <n v="2970.87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CONTRATACIÓN DEL SERVICIO DE LIMPIEZA PARA EL CENTRO OPERATIVO LOCAL ECU 911 ESMERALDAS PERÍODO 2023 SE PAGA A MES VENCIDO"/>
    <n v="1"/>
    <x v="0"/>
    <n v="1"/>
    <n v="0"/>
    <n v="1"/>
    <n v="801"/>
    <s v="ESMERALDAS"/>
    <n v="1"/>
    <n v="0"/>
    <n v="0"/>
    <s v="CORRIENTE"/>
    <x v="0"/>
    <n v="530209"/>
    <s v="SERVICIOS DE ASEO, LAVADO DE VESTIMENTA DE TRABAJO, FUMIGACIÓN, DESINFECCIÓN, LIMPIEZA DE INSTALACIONES, MANEJO DE DESECHOS CONTAMINADOS, RECUPERACIÓN Y CLASIFICACIÓN DE MATERIALES RECICLABLES"/>
    <n v="16640"/>
    <n v="34165.01"/>
    <n v="0"/>
    <n v="2970.87"/>
    <n v="2970.87"/>
    <n v="2970.87"/>
    <n v="2970.87"/>
    <n v="2970.87"/>
    <n v="2970.87"/>
    <n v="2970.87"/>
    <n v="2970.87"/>
    <n v="2970.87"/>
    <n v="2970.87"/>
    <n v="4456.3100000000004"/>
    <n v="34165.009999999995"/>
    <s v="OK"/>
    <n v="32679.570000000003"/>
    <n v="1485.4399999999987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CONTRATACIÓN DEL SERVICIO DE LAVANDERÍA PARA EL CENTRO OPERATIVO LOCAL  "/>
    <n v="1"/>
    <x v="0"/>
    <n v="1"/>
    <n v="0"/>
    <n v="1"/>
    <n v="801"/>
    <s v="ESMERALDAS"/>
    <n v="1"/>
    <n v="0"/>
    <n v="0"/>
    <s v="CORRIENTE"/>
    <x v="0"/>
    <n v="530209"/>
    <s v="SERVICIOS DE ASEO, LAVADO DE VESTIMENTA DE TRABAJO, FUMIGACIÓN, DESINFECCIÓN, LIMPIEZA DE INSTALACIONES, MANEJO DE DESECHOS CONTAMINADOS, RECUPERACIÓN Y CLASIFICACIÓN DE MATERIALES RECICLABLES"/>
    <n v="240"/>
    <n v="480"/>
    <n v="0"/>
    <n v="0"/>
    <n v="0"/>
    <n v="0"/>
    <n v="120"/>
    <n v="120"/>
    <n v="0"/>
    <n v="0"/>
    <n v="120"/>
    <n v="0"/>
    <n v="0"/>
    <n v="120"/>
    <n v="480"/>
    <s v="OK"/>
    <n v="480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CANCELACIÓN DE SERVICIOS DE GUARDERÍA DEL CENTRO OPERATIVO LOCAL SIS ECU 911 ESMERALDAS EN CUMPLIMIENTO AL ACUERDO MINISTERIAL Nro.  MDT-2023-085"/>
    <n v="2"/>
    <x v="0"/>
    <n v="1"/>
    <n v="0"/>
    <n v="1"/>
    <n v="801"/>
    <s v="ESMERALDAS"/>
    <n v="1"/>
    <n v="0"/>
    <n v="0"/>
    <s v="CORRIENTE"/>
    <x v="0"/>
    <n v="530210"/>
    <s v="SERVICIO DE GUARDERÍA"/>
    <n v="0"/>
    <n v="3348"/>
    <n v="0"/>
    <n v="0"/>
    <n v="0"/>
    <n v="0"/>
    <n v="0"/>
    <n v="0"/>
    <n v="0"/>
    <n v="0"/>
    <n v="0"/>
    <n v="0"/>
    <n v="1674"/>
    <n v="1674"/>
    <n v="3348"/>
    <s v="OK"/>
    <n v="0"/>
    <n v="3348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CONTRATACIÓN DEL SERVICIO DE RASTREO SATELITAL (GPS) INCLUYE EQUIPOS A PRÉSTAMO PARA LOS VEHÍCULOS DEL CENTRO OPERATIVO LOCAL ECU 911 ESMERALDAS"/>
    <n v="2"/>
    <x v="0"/>
    <n v="1"/>
    <n v="0"/>
    <n v="1"/>
    <n v="801"/>
    <s v="ESMERALDAS"/>
    <n v="1"/>
    <n v="0"/>
    <n v="0"/>
    <s v="CORRIENTE"/>
    <x v="0"/>
    <n v="530246"/>
    <s v="SERVICIOS DE IDENTIFICACIÓN, MARCACIÓN, AUTENTIFICACIÓN, RASTREO, MONITOREO, SEGUIMIENTO Y/O TRAZABILIDAD"/>
    <n v="0"/>
    <n v="376.08"/>
    <n v="0"/>
    <n v="0"/>
    <n v="0"/>
    <n v="0"/>
    <n v="376.08"/>
    <n v="0"/>
    <n v="0"/>
    <n v="0"/>
    <n v="0"/>
    <n v="0"/>
    <n v="0"/>
    <n v="0"/>
    <n v="376.08"/>
    <s v="OK"/>
    <n v="376.08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REPOSICIÓN DE ADQUISICIÓN DE COMBUSTIBLES EN CUMPLIMIENTO DE COMISIÓN DE SERVICIOS AL INTERIOR DE LOS SERVIDORES DEL CENTRO "/>
    <n v="1"/>
    <x v="0"/>
    <n v="1"/>
    <n v="0"/>
    <n v="1"/>
    <n v="801"/>
    <s v="ESMERALDAS"/>
    <n v="1"/>
    <n v="0"/>
    <n v="0"/>
    <s v="CORRIENTE"/>
    <x v="0"/>
    <n v="530255"/>
    <s v="COMBUSTIBLES"/>
    <n v="0"/>
    <n v="100"/>
    <n v="0"/>
    <n v="0"/>
    <n v="0"/>
    <n v="0"/>
    <n v="0"/>
    <n v="0"/>
    <n v="0"/>
    <n v="0"/>
    <n v="0"/>
    <n v="0"/>
    <n v="0"/>
    <n v="100"/>
    <n v="100"/>
    <s v="OK"/>
    <n v="10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 CONTRATACIÓN DE SERVICIO PARA ADQUISICIÓN DE COMBUSTIBLES PARA MOVILIZACIÓN DE VEHÍCULOS Y GENERADORES "/>
    <n v="1"/>
    <x v="0"/>
    <n v="1"/>
    <n v="0"/>
    <n v="1"/>
    <n v="801"/>
    <s v="ESMERALDAS"/>
    <n v="1"/>
    <n v="0"/>
    <n v="0"/>
    <s v="CORRIENTE"/>
    <x v="0"/>
    <n v="530255"/>
    <s v="COMBUSTIBLES"/>
    <n v="0"/>
    <n v="3312.5"/>
    <n v="0"/>
    <n v="0"/>
    <n v="350"/>
    <n v="350"/>
    <n v="350"/>
    <n v="350"/>
    <n v="350"/>
    <n v="350"/>
    <n v="350"/>
    <n v="350"/>
    <n v="350"/>
    <n v="162.5"/>
    <n v="3312.5"/>
    <s v="OK"/>
    <n v="3312.5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PROVISIÓN PARA MOVILIZACIONES TERRESTRES DE FUNCIONARIOS DEL ECU 911  POR ACTIVIDADES INSTITUCIONALES AÑO 2023"/>
    <n v="1"/>
    <x v="0"/>
    <n v="1"/>
    <n v="0"/>
    <n v="1"/>
    <n v="801"/>
    <s v="ESMERALDAS"/>
    <n v="1"/>
    <n v="0"/>
    <n v="0"/>
    <s v="CORRIENTE"/>
    <x v="0"/>
    <n v="530301"/>
    <s v="PASAJES AL INTERIOR"/>
    <n v="150"/>
    <n v="210"/>
    <n v="0"/>
    <n v="0"/>
    <n v="0"/>
    <n v="0"/>
    <n v="0"/>
    <n v="0"/>
    <n v="0"/>
    <n v="0"/>
    <n v="0"/>
    <n v="0"/>
    <n v="0"/>
    <n v="210"/>
    <n v="210"/>
    <s v="OK"/>
    <n v="150"/>
    <n v="6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PROVISIÓN PARA ALIMENTACIÓN Y ESTADÍA DE LOS FUNCIONARIOS DEL CENTRO OPERATIVO LOCAL ECU 911 ESMERALDAS POR COMISIÓN FUERA DE LA PROVINCIA EN EL AÑO 2023"/>
    <n v="1"/>
    <x v="0"/>
    <n v="1"/>
    <n v="0"/>
    <n v="1"/>
    <n v="801"/>
    <s v="ESMERALDAS"/>
    <n v="1"/>
    <n v="0"/>
    <n v="0"/>
    <s v="CORRIENTE"/>
    <x v="0"/>
    <n v="530303"/>
    <s v="VIÁTICOS Y SUBSISTENCIAS EN EL INTERIOR"/>
    <n v="1500"/>
    <n v="4257.1900000000005"/>
    <n v="0"/>
    <n v="0"/>
    <n v="0"/>
    <n v="0"/>
    <n v="0"/>
    <n v="0"/>
    <n v="0"/>
    <n v="0"/>
    <n v="0"/>
    <n v="0"/>
    <n v="0"/>
    <n v="4257.1900000000005"/>
    <n v="4257.1900000000005"/>
    <s v="OK"/>
    <n v="3757.19"/>
    <n v="500.00000000000045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CONTRATACIÓN PARA MANTENIMIENTO DE INFRAESTRUCTURA DEL CENTRO OPERATIVO LOCAL ECU 911 ESMERALDAS PARA EL 2023"/>
    <n v="1"/>
    <x v="0"/>
    <n v="1"/>
    <n v="0"/>
    <n v="1"/>
    <n v="801"/>
    <s v="ESMERALDAS"/>
    <n v="1"/>
    <n v="0"/>
    <n v="0"/>
    <s v="CORRIENTE"/>
    <x v="0"/>
    <n v="530402"/>
    <s v="EDIFICIOS, LOCALES, RESIDENCIAS Y CABLEADO ESTRUCTURADO (INSTALACIÓN, MANTENIMIENTO Y REPARACIÓN)"/>
    <n v="6000"/>
    <n v="2041.6"/>
    <n v="0"/>
    <n v="0"/>
    <n v="0"/>
    <n v="0"/>
    <n v="0"/>
    <n v="0"/>
    <n v="0"/>
    <n v="0"/>
    <n v="2041.6"/>
    <n v="0"/>
    <n v="0"/>
    <n v="0"/>
    <n v="2041.6"/>
    <s v="OK"/>
    <n v="2041.6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ADECUACIÓN Y MEJORAMIENTO DEL CERRAMIENTO AL INGRESO AL PARQUEADERO "/>
    <n v="1"/>
    <x v="0"/>
    <n v="1"/>
    <n v="0"/>
    <n v="1"/>
    <n v="801"/>
    <s v="ESMERALDAS"/>
    <n v="1"/>
    <n v="0"/>
    <n v="0"/>
    <s v="CORRIENTE"/>
    <x v="0"/>
    <n v="530402"/>
    <s v="EDIFICIOS, LOCALES, RESIDENCIAS Y CABLEADO ESTRUCTURADO (INSTALACIÓN, MANTENIMIENTO Y REPARACIÓN)"/>
    <n v="20000"/>
    <n v="0"/>
    <n v="0"/>
    <n v="0"/>
    <n v="0"/>
    <n v="0"/>
    <n v="0"/>
    <n v="0"/>
    <n v="0"/>
    <n v="0"/>
    <n v="0"/>
    <n v="0"/>
    <n v="0"/>
    <n v="0"/>
    <n v="0"/>
    <s v="OK"/>
    <n v="0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ADQUISICIÓN DE PUERTAS METÁLICAS PARA SEGURIDAD DEL CENTRO OPERATIVO LOCAL ECU 911 ESMERALDAS, INCLUYE INSTALACIÓN"/>
    <n v="2"/>
    <x v="0"/>
    <n v="1"/>
    <n v="0"/>
    <n v="1"/>
    <n v="801"/>
    <s v="ESMERALDAS"/>
    <n v="1"/>
    <n v="0"/>
    <n v="0"/>
    <s v="CORRIENTE"/>
    <x v="0"/>
    <n v="530402"/>
    <s v="EDIFICIOS, LOCALES, RESIDENCIAS Y CABLEADO ESTRUCTURADO (INSTALACIÓN, MANTENIMIENTO Y REPARACIÓN)"/>
    <n v="0"/>
    <n v="2200"/>
    <n v="0"/>
    <n v="0"/>
    <n v="0"/>
    <n v="0"/>
    <n v="0"/>
    <n v="0"/>
    <n v="0"/>
    <n v="2200"/>
    <n v="0"/>
    <n v="0"/>
    <n v="0"/>
    <n v="0"/>
    <n v="2200"/>
    <s v="OK"/>
    <n v="2183.19"/>
    <n v="16.809999999999945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CONTRATACIÓN SERVICIO DE MANTENIMIENTO ASCENSOR HYUNDAI"/>
    <n v="1"/>
    <x v="0"/>
    <n v="1"/>
    <n v="0"/>
    <n v="1"/>
    <n v="801"/>
    <s v="ESMERALDAS"/>
    <n v="1"/>
    <n v="0"/>
    <n v="0"/>
    <s v="CORRIENTE"/>
    <x v="0"/>
    <n v="530404"/>
    <s v="MAQUINARIAS Y EQUIPOS (INSTALACIÓN, MANTENIMIENTO Y REPARACIÓN)"/>
    <n v="4524"/>
    <n v="1294.5"/>
    <n v="0"/>
    <n v="0"/>
    <n v="0"/>
    <n v="0"/>
    <n v="200"/>
    <n v="200"/>
    <n v="0"/>
    <n v="200"/>
    <n v="0"/>
    <n v="200"/>
    <n v="0"/>
    <n v="494.5"/>
    <n v="1294.5"/>
    <s v="OK"/>
    <n v="1000"/>
    <n v="294.5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CONTRATACIÓN DE MANO DE OBRA PARA MANTENIMIENTO DE VEHÍCULOS LIVIANOS Y VEHÍCULO PESADO DEL CENTRO OPERATIVO LOCAL ECU 911 ESMERALDAS PARA GARANTIZAR OPERATIVIDAD"/>
    <n v="1"/>
    <x v="0"/>
    <n v="1"/>
    <n v="0"/>
    <n v="1"/>
    <n v="801"/>
    <s v="ESMERALDAS"/>
    <n v="1"/>
    <n v="0"/>
    <n v="0"/>
    <s v="CORRIENTE"/>
    <x v="0"/>
    <n v="530405"/>
    <s v="VEHÍCULOS (SERVICIO PARA MANTENIMIENTO Y REPARACIÓN)"/>
    <n v="3246"/>
    <n v="2180.5"/>
    <n v="0"/>
    <n v="0"/>
    <n v="0"/>
    <n v="437.1"/>
    <n v="0"/>
    <n v="437.1"/>
    <n v="0"/>
    <n v="437.1"/>
    <n v="0"/>
    <n v="437.1"/>
    <n v="0"/>
    <n v="432.09999999999991"/>
    <n v="2180.5"/>
    <s v="OK"/>
    <n v="2180.5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CONTRATACIÓN DEL SERVICIO DE REENCAUCHE DE LLANTAS DE LOS VEHÍCULOS DEL CENTRO OPERATIVO LOCAL ECU 911 ESMERALDAS AÑO 2023 A FIN DE CUMPLIR EN LO ESTABLECIDO EN LA NORMATIVA PARA INSTITUCIONES DEL ESTADO"/>
    <n v="1"/>
    <x v="0"/>
    <n v="1"/>
    <n v="0"/>
    <n v="1"/>
    <n v="801"/>
    <s v="ESMERALDAS"/>
    <n v="1"/>
    <n v="0"/>
    <n v="0"/>
    <s v="CORRIENTE"/>
    <x v="0"/>
    <n v="530405"/>
    <s v="VEHÍCULOS (SERVICIO PARA MANTENIMIENTO Y REPARACIÓN)"/>
    <n v="100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MANTENIMIENTO PREVENTIVO Y CORRECTIVO DE IMPRESORAS DEL CENTRO OPERATIVO LOCAL ECU 911 ESMERALDAS"/>
    <n v="1"/>
    <x v="0"/>
    <n v="1"/>
    <n v="0"/>
    <n v="1"/>
    <n v="801"/>
    <s v="ESMERALDAS"/>
    <n v="1"/>
    <n v="0"/>
    <n v="0"/>
    <s v="CORRIENTE"/>
    <x v="2"/>
    <n v="530704"/>
    <s v="MANTENIMIENTO Y REPARACIÓN DE EQUIPOS Y SISTEMAS INFORMÁTICOS "/>
    <n v="0"/>
    <n v="355"/>
    <n v="0"/>
    <n v="0"/>
    <n v="0"/>
    <n v="0"/>
    <n v="0"/>
    <n v="0"/>
    <n v="0"/>
    <n v="355"/>
    <n v="0"/>
    <n v="0"/>
    <n v="0"/>
    <n v="0"/>
    <n v="355"/>
    <s v="OK"/>
    <n v="210"/>
    <n v="145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ADQUISICIÓN DE EQUIPOS DE PROTECCIÓN INDIVIDUAL Y ROPA DE TRABAJO"/>
    <n v="1"/>
    <x v="0"/>
    <n v="1"/>
    <n v="0"/>
    <n v="1"/>
    <n v="801"/>
    <s v="ESMERALDAS"/>
    <n v="1"/>
    <n v="0"/>
    <n v="0"/>
    <s v="CORRIENTE"/>
    <x v="0"/>
    <n v="530802"/>
    <s v="VESTUARIO, LENCERÍA, PRENDAS DE PROTECCIÓN Y ACCESORIOS PARA UNIFORMES DEL PERSONAL DE PROTECCIÓN, VIGILANCIA Y SEGURIDAD"/>
    <n v="1608"/>
    <n v="1367.24"/>
    <n v="0"/>
    <n v="0"/>
    <n v="0"/>
    <n v="0"/>
    <n v="0"/>
    <n v="0"/>
    <n v="0"/>
    <n v="1367.24"/>
    <n v="0"/>
    <n v="0"/>
    <n v="0"/>
    <n v="0"/>
    <n v="1367.24"/>
    <s v="OK"/>
    <n v="1126.47"/>
    <n v="240.76999999999998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REPOSICIÓN DE ADQUISICIÓN DE COMBUSTIBLES EN CUMPLIMIENTO DE COMISIÓN DE SERVICIOS AL INTERIOR DE LOS SERVIDORES DEL CENTRO "/>
    <n v="1"/>
    <x v="0"/>
    <n v="1"/>
    <n v="0"/>
    <n v="1"/>
    <n v="801"/>
    <s v="ESMERALDAS"/>
    <n v="1"/>
    <n v="0"/>
    <n v="0"/>
    <s v="CORRIENTE"/>
    <x v="0"/>
    <n v="530803"/>
    <s v="LUBRICANTES"/>
    <n v="10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ADQUISICIÓN DE COMBUSTIBLES, LUBRICANTES, Y ADITIVOS EN GENERAL PARA MANTENIMIENTO DE LOS VEHÍCULOS LIVIANOS Y VEHÍCULO INSTITUCIONAL DEL CENTRO OPERATIVO LOCAL ECU 911 ESMERALDAS AÑO 2023"/>
    <n v="1"/>
    <x v="0"/>
    <n v="1"/>
    <n v="0"/>
    <n v="1"/>
    <n v="801"/>
    <s v="ESMERALDAS"/>
    <n v="1"/>
    <n v="0"/>
    <n v="0"/>
    <s v="CORRIENTE"/>
    <x v="0"/>
    <n v="530803"/>
    <s v="LUBRICANTES"/>
    <n v="497"/>
    <n v="496"/>
    <n v="0"/>
    <n v="0"/>
    <n v="0"/>
    <n v="99"/>
    <n v="0"/>
    <n v="99"/>
    <n v="0"/>
    <n v="99"/>
    <n v="0"/>
    <n v="99"/>
    <n v="0"/>
    <n v="100"/>
    <n v="496"/>
    <s v="OK"/>
    <n v="495"/>
    <n v="1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 CONTRATACIÓN DE SERVICIO PARA ADQUISICIÓN DE COMBUSTIBLES PARA MOVILIZACIÓN DE VEHÍCULOS Y GENERADORES "/>
    <n v="1"/>
    <x v="0"/>
    <n v="1"/>
    <n v="0"/>
    <n v="1"/>
    <n v="801"/>
    <s v="ESMERALDAS"/>
    <n v="1"/>
    <n v="0"/>
    <n v="0"/>
    <s v="CORRIENTE"/>
    <x v="0"/>
    <n v="530803"/>
    <s v="LUBRICANTES"/>
    <n v="350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ADQUISICIÓN DE LUBRICANTES PARA MANTENIMIENTO CORRECTIVO DE ASCENSOR HYUNDAI"/>
    <n v="2"/>
    <x v="0"/>
    <n v="1"/>
    <n v="0"/>
    <n v="1"/>
    <n v="801"/>
    <s v="ESMERALDAS"/>
    <n v="1"/>
    <n v="0"/>
    <n v="0"/>
    <s v="CORRIENTE"/>
    <x v="0"/>
    <n v="530803"/>
    <s v="LUBRICANTES"/>
    <n v="0"/>
    <n v="405"/>
    <n v="0"/>
    <n v="0"/>
    <n v="0"/>
    <n v="0"/>
    <n v="405"/>
    <n v="0"/>
    <n v="0"/>
    <n v="0"/>
    <n v="0"/>
    <n v="0"/>
    <n v="0"/>
    <n v="0"/>
    <n v="405"/>
    <s v="OK"/>
    <n v="405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ADQUISICION DE LUBRICANTES PARA MANTENIMIENTO DE LA INFRAESTRUCTURA DEL CENTRO OPERATIVO LOCAL ECU 911 ESMERALDAS AÑO 2023"/>
    <n v="2"/>
    <x v="0"/>
    <n v="1"/>
    <n v="0"/>
    <n v="1"/>
    <n v="801"/>
    <s v="ESMERALDAS"/>
    <n v="1"/>
    <n v="0"/>
    <n v="0"/>
    <s v="CORRIENTE"/>
    <x v="0"/>
    <n v="530803"/>
    <s v="LUBRICANTES"/>
    <n v="0"/>
    <n v="35.72999999999999"/>
    <n v="0"/>
    <n v="0"/>
    <n v="0"/>
    <n v="0"/>
    <n v="0"/>
    <n v="0"/>
    <n v="35.72999999999999"/>
    <n v="0"/>
    <n v="0"/>
    <n v="0"/>
    <n v="0"/>
    <n v="0"/>
    <n v="35.72999999999999"/>
    <s v="OK"/>
    <n v="35.729999999999997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ADQUISICIÓN DE MATERIALES DE OFICINA PARA EL CENTRO OPERATIVO LOCAL ECU 911 ESMERALDAS AÑO 2023"/>
    <n v="1"/>
    <x v="0"/>
    <n v="1"/>
    <n v="0"/>
    <n v="1"/>
    <n v="801"/>
    <s v="ESMERALDAS"/>
    <n v="1"/>
    <n v="0"/>
    <n v="0"/>
    <s v="CORRIENTE"/>
    <x v="0"/>
    <n v="530804"/>
    <s v="MATERIALES DE OFICINA"/>
    <n v="1000"/>
    <n v="568.81999999999994"/>
    <n v="0"/>
    <n v="0"/>
    <n v="0"/>
    <n v="266.25"/>
    <n v="0"/>
    <n v="0"/>
    <n v="0"/>
    <n v="302.57"/>
    <n v="0"/>
    <n v="0"/>
    <n v="0"/>
    <n v="0"/>
    <n v="568.81999999999994"/>
    <s v="OK"/>
    <n v="568.81999999999994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ELABORACIÓN DE FORMULARIOS PRE-IMPRESOS Y PRE-NUMERADOS PARA VALES DE CAJA CHICA, INGRESOS Y EGRESOS DE BODEGA, ÓRDENES DE COMBUSTIBLE, ÓRDENES DE MANTENIMIENTO, FORMULARIOS DE PERMISOS DE PERSONAL, SOLICITUD DE MOVILIZACIÓN"/>
    <n v="1"/>
    <x v="0"/>
    <n v="1"/>
    <n v="0"/>
    <n v="1"/>
    <n v="801"/>
    <s v="ESMERALDAS"/>
    <n v="1"/>
    <n v="0"/>
    <n v="0"/>
    <s v="CORRIENTE"/>
    <x v="0"/>
    <n v="530804"/>
    <s v="MATERIALES DE OFICINA"/>
    <n v="150"/>
    <n v="63.120000000000005"/>
    <n v="0"/>
    <n v="0"/>
    <n v="0"/>
    <n v="0"/>
    <n v="63.12"/>
    <n v="0"/>
    <n v="0"/>
    <n v="0"/>
    <n v="0"/>
    <n v="0"/>
    <n v="0"/>
    <n v="0"/>
    <n v="63.12"/>
    <s v="OK"/>
    <n v="63.12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3 INCREMENTAR EL POSICIONAMIENTO DEL SERVICIO INTEGRADO DE SEGURIDAD ECU 911 A NIVEL NACIONAL E INTER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1"/>
    <s v="COMUNICACIÓN SOCIAL"/>
    <s v="ADQUISICIÓN DE MATERIAL DE POSICIONAMIENTO E IDENTIDAD DEL ECU 911 PARA EL CENTRO OPERATIVO ECU 911 ESMERALDAS"/>
    <n v="2"/>
    <x v="0"/>
    <n v="1"/>
    <n v="0"/>
    <n v="1"/>
    <n v="801"/>
    <s v="ESMERALDAS"/>
    <n v="1"/>
    <n v="0"/>
    <n v="0"/>
    <s v="CORRIENTE"/>
    <x v="0"/>
    <n v="530804"/>
    <s v="MATERIALES DE OFICINA"/>
    <n v="0"/>
    <n v="510"/>
    <n v="0"/>
    <n v="0"/>
    <n v="0"/>
    <n v="0"/>
    <n v="510"/>
    <n v="0"/>
    <n v="0"/>
    <n v="0"/>
    <n v="0"/>
    <n v="0"/>
    <n v="0"/>
    <n v="0"/>
    <n v="510"/>
    <s v="OK"/>
    <n v="51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CONTRATACIÓN DEL SERVICIO DE IMPRESIÓN DE MATERIAL ACADÉMICO PARA LOS CURSOS PRESENCIALES DEL SISTEMA DE COMANDO DE INCIDENTES BÁSICO PARA EL CENTRO LOCAL ESMERALDAS"/>
    <n v="1"/>
    <x v="0"/>
    <n v="1"/>
    <n v="0"/>
    <n v="1"/>
    <n v="801"/>
    <s v="ESMERALDAS"/>
    <n v="1"/>
    <n v="0"/>
    <n v="0"/>
    <s v="CORRIENTE"/>
    <x v="0"/>
    <n v="530804"/>
    <s v="MATERIALES DE OFICINA"/>
    <n v="0"/>
    <n v="712.85"/>
    <n v="0"/>
    <n v="0"/>
    <n v="0"/>
    <n v="0"/>
    <n v="0"/>
    <n v="0"/>
    <n v="0"/>
    <n v="0"/>
    <n v="0"/>
    <n v="0"/>
    <n v="712.85"/>
    <n v="0"/>
    <n v="712.85"/>
    <s v="OK"/>
    <n v="0"/>
    <n v="712.85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ADQUISICIÓN DE MATERIALES DE ASEO PARA EL CENTRO OPERATIVO LOCAL ECU 911 ESMERALDAS AÑO 2023"/>
    <n v="1"/>
    <x v="0"/>
    <n v="1"/>
    <n v="0"/>
    <n v="1"/>
    <n v="801"/>
    <s v="ESMERALDAS"/>
    <n v="1"/>
    <n v="0"/>
    <n v="0"/>
    <s v="CORRIENTE"/>
    <x v="0"/>
    <n v="530805"/>
    <s v="MATERIALES DE ASEO"/>
    <n v="600"/>
    <n v="391.73"/>
    <n v="0"/>
    <n v="0"/>
    <n v="0"/>
    <n v="0"/>
    <n v="0"/>
    <n v="0"/>
    <n v="0"/>
    <n v="391.73"/>
    <n v="0"/>
    <n v="0"/>
    <n v="0"/>
    <n v="0"/>
    <n v="391.73"/>
    <s v="OK"/>
    <n v="391.73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ADQUISICIÓN DE TONERS NEGRO Y DE COLOR PARA IMPRESORAS DEL CENTRO OPERATIVO LOCAL ECU 911 ESMERALDAS AÑO 2023"/>
    <n v="1"/>
    <x v="0"/>
    <n v="1"/>
    <n v="0"/>
    <n v="1"/>
    <n v="801"/>
    <s v="ESMERALDAS"/>
    <n v="1"/>
    <n v="0"/>
    <n v="0"/>
    <s v="CORRIENTE"/>
    <x v="0"/>
    <n v="530807"/>
    <s v="MATERIALES DE IMPRESIÓN, FOTOGRAFÍA, REPRODUCCIÓN Y PUBLICACIONES"/>
    <n v="3000"/>
    <n v="3000"/>
    <n v="0"/>
    <n v="0"/>
    <n v="0"/>
    <n v="0"/>
    <n v="0"/>
    <n v="0"/>
    <n v="0"/>
    <n v="250"/>
    <n v="2750"/>
    <n v="0"/>
    <n v="0"/>
    <n v="0"/>
    <n v="3000"/>
    <s v="OK"/>
    <n v="2986.5"/>
    <n v="13.5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CONTRATACIÓN DEL SERVICIO DE IMPRESIÓN DE MATERIAL ACADÉMICO PARA LOS CURSOS PRESENCIALES DEL SISTEMA DE COMANDO DE INCIDENTES BÁSICO PARA EL CENTRO LOCAL ESMERALDAS"/>
    <n v="1"/>
    <x v="0"/>
    <n v="1"/>
    <n v="0"/>
    <n v="1"/>
    <n v="801"/>
    <s v="ESMERALDAS"/>
    <n v="1"/>
    <n v="0"/>
    <n v="0"/>
    <s v="CORRIENTE"/>
    <x v="0"/>
    <n v="530807"/>
    <s v="MATERIALES DE IMPRESIÓN, FOTOGRAFÍA, REPRODUCCIÓN Y PUBLICACIONES"/>
    <n v="0"/>
    <n v="632.5"/>
    <n v="0"/>
    <n v="0"/>
    <n v="0"/>
    <n v="0"/>
    <n v="0"/>
    <n v="0"/>
    <n v="0"/>
    <n v="0"/>
    <n v="0"/>
    <n v="0"/>
    <n v="632.5"/>
    <n v="0"/>
    <n v="632.5"/>
    <s v="OK"/>
    <n v="0"/>
    <n v="632.5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 ADMINISTRACIÓN Y GESTIÓN PARA ADQUISICIÓN DE BIENES Y PAGO DE SERVICIOS NO PREVISIBLES, URGENTES Y DE VALOR REDUCIDO (CAJA CHICA)"/>
    <n v="1"/>
    <x v="0"/>
    <n v="1"/>
    <n v="0"/>
    <n v="1"/>
    <n v="801"/>
    <s v="ESMERALDAS"/>
    <n v="1"/>
    <n v="0"/>
    <n v="0"/>
    <s v="CORRIENTE"/>
    <x v="0"/>
    <n v="530811"/>
    <s v="INSUMOS, MATERIALES Y SUMINISTROS PARA CONSTRUCCIÓN, ELECTRICIDAD, PLOMERÍA, CARPINTERÍA, SEÑALIZACIÓN VIAL, NAVEGACIÓN, CONTRA INCENDIOS Y PLACAS"/>
    <n v="300"/>
    <n v="0"/>
    <n v="0"/>
    <n v="0"/>
    <n v="0"/>
    <n v="0"/>
    <n v="0"/>
    <n v="0"/>
    <n v="0"/>
    <n v="0"/>
    <n v="0"/>
    <n v="0"/>
    <n v="0"/>
    <n v="0"/>
    <n v="0"/>
    <s v="OK"/>
    <n v="0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ADQUISICIÓN DE MATERIAL DE FERRETERÍA PARA EL CENTRO OPERATIVO LOCAL ECU 911 ESMERALDAS AÑO 2023"/>
    <n v="1"/>
    <x v="0"/>
    <n v="1"/>
    <n v="0"/>
    <n v="1"/>
    <n v="801"/>
    <s v="ESMERALDAS"/>
    <n v="1"/>
    <n v="0"/>
    <n v="0"/>
    <s v="CORRIENTE"/>
    <x v="0"/>
    <n v="530811"/>
    <s v="INSUMOS, MATERIALES Y SUMINISTROS PARA CONSTRUCCIÓN, ELECTRICIDAD, PLOMERÍA, CARPINTERÍA, SEÑALIZACIÓN VIAL, NAVEGACIÓN, CONTRA INCENDIOS Y PLACAS"/>
    <n v="3500"/>
    <n v="2810.81"/>
    <n v="0"/>
    <n v="0"/>
    <n v="0"/>
    <n v="0"/>
    <n v="0"/>
    <n v="0"/>
    <n v="0"/>
    <n v="2810.81"/>
    <n v="0"/>
    <n v="0"/>
    <n v="0"/>
    <n v="0"/>
    <n v="2810.81"/>
    <s v="OK"/>
    <n v="2810.81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3 INCREMENTAR EL POSICIONAMIENTO DEL SERVICIO INTEGRADO DE SEGURIDAD ECU 911 A NIVEL NACIONAL E INTER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1"/>
    <s v="COMUNICACIÓN SOCIAL"/>
    <s v="ADQUISICIÓN DE MATERIAL DE POSICIONAMIENTO E IDENTIDAD DEL ECU 911 PARA EL CENTRO OPERATIVO ECU 911 ESMERALDAS"/>
    <n v="2"/>
    <x v="0"/>
    <n v="1"/>
    <n v="0"/>
    <n v="1"/>
    <n v="801"/>
    <s v="ESMERALDAS"/>
    <n v="1"/>
    <n v="0"/>
    <n v="0"/>
    <s v="CORRIENTE"/>
    <x v="0"/>
    <n v="530811"/>
    <s v="INSUMOS, MATERIALES Y SUMINISTROS PARA CONSTRUCCIÓN, ELECTRICIDAD, PLOMERÍA, CARPINTERÍA, SEÑALIZACIÓN VIAL, NAVEGACIÓN, CONTRA INCENDIOS Y PLACAS"/>
    <n v="0"/>
    <n v="470"/>
    <n v="0"/>
    <n v="0"/>
    <n v="0"/>
    <n v="0"/>
    <n v="470"/>
    <n v="0"/>
    <n v="0"/>
    <n v="0"/>
    <n v="0"/>
    <n v="0"/>
    <n v="0"/>
    <n v="0"/>
    <n v="470"/>
    <s v="OK"/>
    <n v="47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3 INCREMENTAR EL POSICIONAMIENTO DEL SERVICIO INTEGRADO DE SEGURIDAD ECU 911 A NIVEL NACIONAL E INTER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1"/>
    <s v="COMUNICACIÓN SOCIAL"/>
    <s v="ADQUISICIÓN DE MATERIAL DIDÁCTICO TÍTERES PARA VINCULACIÓN DEL SIS ECU 911 "/>
    <n v="1"/>
    <x v="0"/>
    <n v="1"/>
    <n v="0"/>
    <n v="1"/>
    <n v="801"/>
    <s v="ESMERALDAS"/>
    <n v="1"/>
    <n v="0"/>
    <n v="0"/>
    <s v="CORRIENTE"/>
    <x v="0"/>
    <n v="530812"/>
    <s v="MATERIALES DIDÁCTICOS"/>
    <n v="1295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3 INCREMENTAR EL POSICIONAMIENTO DEL SERVICIO INTEGRADO DE SEGURIDAD ECU 911 A NIVEL NACIONAL E INTER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1"/>
    <s v="COMUNICACIÓN SOCIAL"/>
    <s v="ADQUISICIÓN DE MATERIAL DIDÁCTICO INFLABLES PARA VINCULACIÓN DEL SIS ECU 911 "/>
    <n v="1"/>
    <x v="0"/>
    <n v="1"/>
    <n v="0"/>
    <n v="1"/>
    <n v="801"/>
    <s v="ESMERALDAS"/>
    <n v="1"/>
    <n v="0"/>
    <n v="0"/>
    <s v="CORRIENTE"/>
    <x v="0"/>
    <n v="530812"/>
    <s v="MATERIALES DIDÁCTICOS"/>
    <n v="6508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ADQUISICIÓN DE REPUESTOS PARA MANTENIMIENTO DE VEHÍCULOS LIVIANOS Y VEHÍCULO PESADO DEL CENTRO OPERATIVO LOCAL ECU 911 ESMERALDAS POR EL PERÍODO 2023"/>
    <n v="1"/>
    <x v="0"/>
    <n v="1"/>
    <n v="0"/>
    <n v="1"/>
    <n v="801"/>
    <s v="ESMERALDAS"/>
    <n v="1"/>
    <n v="0"/>
    <n v="0"/>
    <s v="CORRIENTE"/>
    <x v="0"/>
    <n v="530813"/>
    <s v="REPUESTOS Y ACCESORIOS"/>
    <n v="1321"/>
    <n v="2371.9699999999998"/>
    <n v="0"/>
    <n v="0"/>
    <n v="0"/>
    <n v="476.3"/>
    <n v="0"/>
    <n v="476.3"/>
    <n v="0"/>
    <n v="476.3"/>
    <n v="0"/>
    <n v="476.3"/>
    <n v="0"/>
    <n v="466.76999999999975"/>
    <n v="2371.9699999999998"/>
    <s v="OK"/>
    <n v="2311"/>
    <n v="60.9699999999998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ADMINISTRACIÓN Y GESTIÓN PARA ADQUISICIÓN DE BIENES Y PAGO DE SERVICIOS NO PREVISIBLES, URGENTES Y DE VALOR REDUCIDO (CAJA CHICA)"/>
    <n v="1"/>
    <x v="0"/>
    <n v="1"/>
    <n v="0"/>
    <n v="1"/>
    <n v="801"/>
    <s v="ESMERALDAS"/>
    <n v="1"/>
    <n v="0"/>
    <n v="0"/>
    <s v="CORRIENTE"/>
    <x v="0"/>
    <n v="530813"/>
    <s v="REPUESTOS Y ACCESORIOS"/>
    <n v="200"/>
    <n v="0"/>
    <n v="0"/>
    <n v="0"/>
    <n v="0"/>
    <n v="0"/>
    <n v="0"/>
    <n v="0"/>
    <n v="0"/>
    <n v="0"/>
    <n v="0"/>
    <n v="0"/>
    <n v="0"/>
    <n v="0"/>
    <n v="0"/>
    <s v="OK"/>
    <n v="0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ADMINISTRACIÓN Y GESTIÓN PARA ADQUISICIÓN DE LLANTAS PARA LOS VEHÍCULOS DEL CENTRO OPERATIVO  EU 911  AÑO 2023"/>
    <n v="1"/>
    <x v="0"/>
    <n v="1"/>
    <n v="0"/>
    <n v="1"/>
    <n v="801"/>
    <s v="ESMERALDAS"/>
    <n v="1"/>
    <n v="0"/>
    <n v="0"/>
    <s v="CORRIENTE"/>
    <x v="0"/>
    <n v="530813"/>
    <s v="REPUESTOS Y ACCESORIOS"/>
    <n v="3284"/>
    <n v="3019"/>
    <n v="0"/>
    <n v="0"/>
    <n v="0"/>
    <n v="0"/>
    <n v="0"/>
    <n v="0"/>
    <n v="0"/>
    <n v="0"/>
    <n v="3019"/>
    <n v="0"/>
    <n v="0"/>
    <n v="0"/>
    <n v="3019"/>
    <s v="OK"/>
    <n v="1280.44"/>
    <n v="1738.56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ADQUISICIÓN DE REPUESTOS PARA MANTENIMIENTO CORRECTIVO DE ASCENSOR HYUNDAI"/>
    <n v="2"/>
    <x v="0"/>
    <n v="1"/>
    <n v="0"/>
    <n v="1"/>
    <n v="801"/>
    <s v="ESMERALDAS"/>
    <n v="1"/>
    <n v="0"/>
    <n v="0"/>
    <s v="CORRIENTE"/>
    <x v="0"/>
    <n v="530813"/>
    <s v="REPUESTOS Y ACCESORIOS"/>
    <n v="0"/>
    <n v="2290"/>
    <n v="0"/>
    <n v="0"/>
    <n v="0"/>
    <n v="0"/>
    <n v="2290"/>
    <n v="0"/>
    <n v="0"/>
    <n v="0"/>
    <n v="0"/>
    <n v="0"/>
    <n v="0"/>
    <n v="0"/>
    <n v="2290"/>
    <s v="OK"/>
    <n v="2290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ADQUISICIÓN DE REPUESTOS PARA MANTENIMIENTO PREVENTIVO Y CORRECTIVO DE IMPRESORAS DEL CENTRO OPERATIVO LOCAL ECU 911 ESMERALDAS"/>
    <n v="1"/>
    <x v="0"/>
    <n v="1"/>
    <n v="0"/>
    <n v="1"/>
    <n v="801"/>
    <s v="ESMERALDAS"/>
    <n v="1"/>
    <n v="0"/>
    <n v="0"/>
    <s v="CORRIENTE"/>
    <x v="2"/>
    <n v="530813"/>
    <s v="REPUESTOS Y ACCESORIOS"/>
    <n v="0"/>
    <n v="1210"/>
    <n v="0"/>
    <n v="0"/>
    <n v="0"/>
    <n v="0"/>
    <n v="0"/>
    <n v="0"/>
    <n v="0"/>
    <n v="1210"/>
    <n v="0"/>
    <n v="0"/>
    <n v="0"/>
    <n v="0"/>
    <n v="1210"/>
    <s v="OK"/>
    <n v="121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ADQUISICION DE REPUESTOS PARA MANTENIMIENTO DE LA INFRAESTRUCTURA DEL CENTRO OPERATIVO LOCAL ECU 911 ESMERALDAS AÑO 2023"/>
    <n v="2"/>
    <x v="0"/>
    <n v="1"/>
    <n v="0"/>
    <n v="1"/>
    <n v="801"/>
    <s v="ESMERALDAS"/>
    <n v="1"/>
    <n v="0"/>
    <n v="0"/>
    <s v="CORRIENTE"/>
    <x v="0"/>
    <n v="530813"/>
    <s v="REPUESTOS Y ACCESORIOS"/>
    <n v="0"/>
    <n v="21"/>
    <n v="0"/>
    <n v="0"/>
    <n v="0"/>
    <n v="0"/>
    <n v="0"/>
    <n v="0"/>
    <n v="21"/>
    <n v="0"/>
    <n v="0"/>
    <n v="0"/>
    <n v="0"/>
    <n v="0"/>
    <n v="21"/>
    <s v="OK"/>
    <n v="21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3 INCREMENTAR EL POSICIONAMIENTO DEL SERVICIO INTEGRADO DE SEGURIDAD ECU 911 A NIVEL NACIONAL E INTER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1"/>
    <s v="COMUNICACIÓN SOCIAL"/>
    <s v="ADQUISICIÓN DE MATERIAL DE POSICIONAMIENTO E IDENTIDAD DEL ECU 911 PARA EL CENTRO OPERATIVO ECU 911 ESMERALDAS"/>
    <n v="2"/>
    <x v="0"/>
    <n v="1"/>
    <n v="0"/>
    <n v="1"/>
    <n v="801"/>
    <s v="ESMERALDAS"/>
    <n v="1"/>
    <n v="0"/>
    <n v="0"/>
    <s v="CORRIENTE"/>
    <x v="0"/>
    <n v="530824"/>
    <s v="INSUMOS, BIENES Y MATERIALES PARA PRODUCCIÓN DE PROGRAMAS DE RADIO, TELEVISIÓN, EVENTOS CULTURALES, ARTÍSTICOS Y ENTRETENIMIENTO EN GENERAL"/>
    <n v="0"/>
    <n v="180"/>
    <n v="0"/>
    <n v="0"/>
    <n v="0"/>
    <n v="0"/>
    <n v="180"/>
    <n v="0"/>
    <n v="0"/>
    <n v="0"/>
    <n v="0"/>
    <n v="0"/>
    <n v="0"/>
    <n v="0"/>
    <n v="180"/>
    <s v="OK"/>
    <n v="18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3 INCREMENTAR EL POSICIONAMIENTO DEL SERVICIO INTEGRADO DE SEGURIDAD ECU 911 A NIVEL NACIONAL E INTER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1"/>
    <s v="COMUNICACIÓN SOCIAL"/>
    <s v="ADQUISICIÓN DE MATERIAL DE POSICIONAMIENTO E IDENTIDAD DEL ECU 911 PARA EL CENTRO OPERATIVO ECU 911 ESMERALDAS"/>
    <n v="2"/>
    <x v="0"/>
    <n v="1"/>
    <n v="0"/>
    <n v="1"/>
    <n v="801"/>
    <s v="ESMERALDAS"/>
    <n v="1"/>
    <n v="0"/>
    <n v="0"/>
    <s v="CORRIENTE"/>
    <x v="0"/>
    <n v="531403"/>
    <s v="MOBILIARIO "/>
    <n v="0"/>
    <n v="140"/>
    <n v="0"/>
    <n v="0"/>
    <n v="0"/>
    <n v="0"/>
    <n v="140"/>
    <n v="0"/>
    <n v="0"/>
    <n v="0"/>
    <n v="0"/>
    <n v="0"/>
    <n v="0"/>
    <n v="0"/>
    <n v="140"/>
    <s v="OK"/>
    <n v="14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CANCELACIÓN DEL PERMISO DE FUNCIONAMIENTO DEL CUERPO DE BOMBEROS AÑO 2023"/>
    <n v="1"/>
    <x v="0"/>
    <n v="1"/>
    <n v="0"/>
    <n v="1"/>
    <n v="801"/>
    <s v="ESMERALDAS"/>
    <n v="1"/>
    <n v="0"/>
    <n v="0"/>
    <s v="CORRIENTE"/>
    <x v="1"/>
    <n v="570102"/>
    <s v="TASAS GENERALES, IMPUESTOS, CONTRIBUCIONES, PERMISOS, LICENCIAS Y PATENTES"/>
    <n v="1750"/>
    <n v="1807.22"/>
    <n v="0"/>
    <n v="0"/>
    <n v="1807.22"/>
    <n v="0"/>
    <n v="0"/>
    <n v="0"/>
    <n v="0"/>
    <n v="0"/>
    <n v="0"/>
    <n v="0"/>
    <n v="0"/>
    <n v="0"/>
    <n v="1807.22"/>
    <s v="OK"/>
    <n v="1807.22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MATRICULACIÓN Y REVISIÓN VEHICULAR DE LOS VEHÍCULOS DEL CENTRO OPERATIVO LOCAL ECU 911 ESMERALDAS AÑO 2023"/>
    <n v="1"/>
    <x v="0"/>
    <n v="1"/>
    <n v="0"/>
    <n v="1"/>
    <n v="801"/>
    <s v="ESMERALDAS"/>
    <n v="1"/>
    <n v="0"/>
    <n v="0"/>
    <s v="CORRIENTE"/>
    <x v="1"/>
    <n v="570102"/>
    <s v="TASAS GENERALES, IMPUESTOS, CONTRIBUCIONES, PERMISOS, LICENCIAS Y PATENTES"/>
    <n v="450"/>
    <n v="130.38999999999999"/>
    <n v="0"/>
    <n v="0"/>
    <n v="130.38999999999999"/>
    <n v="0"/>
    <n v="0"/>
    <n v="0"/>
    <n v="0"/>
    <n v="0"/>
    <n v="0"/>
    <n v="0"/>
    <n v="0"/>
    <n v="0"/>
    <n v="130.38999999999999"/>
    <s v="OK"/>
    <n v="130.38999999999999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CANCELACIÓN POR TASA DE MEJORAS EN EL MUNICIPIO AÑO 2023"/>
    <n v="1"/>
    <x v="0"/>
    <n v="1"/>
    <n v="0"/>
    <n v="1"/>
    <n v="801"/>
    <s v="ESMERALDAS"/>
    <n v="1"/>
    <n v="0"/>
    <n v="0"/>
    <s v="CORRIENTE"/>
    <x v="1"/>
    <n v="570102"/>
    <s v="TASAS GENERALES, IMPUESTOS, CONTRIBUCIONES, PERMISOS, LICENCIAS Y PATENTES"/>
    <n v="810"/>
    <n v="389.79999999999995"/>
    <n v="0"/>
    <n v="0"/>
    <n v="389.8"/>
    <n v="0"/>
    <n v="0"/>
    <n v="0"/>
    <n v="0"/>
    <n v="0"/>
    <n v="0"/>
    <n v="0"/>
    <n v="0"/>
    <n v="0"/>
    <n v="389.8"/>
    <s v="OK"/>
    <n v="389.8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ADQUISICIÓN DE BIENES Y PAGO DE SERVICIOS NO PREVISIBLES, URGENTES Y DE VALOR REDUCIDO (CAJA CHICA)"/>
    <n v="1"/>
    <x v="0"/>
    <n v="1"/>
    <n v="0"/>
    <n v="1"/>
    <n v="801"/>
    <s v="ESMERALDAS"/>
    <n v="1"/>
    <n v="0"/>
    <n v="0"/>
    <s v="CORRIENTE"/>
    <x v="1"/>
    <n v="570102"/>
    <s v="TASAS GENERALES, IMPUESTOS, CONTRIBUCIONES, PERMISOS, LICENCIAS Y PATENTES"/>
    <n v="100"/>
    <n v="100"/>
    <n v="0"/>
    <n v="0"/>
    <n v="0"/>
    <n v="0"/>
    <n v="0"/>
    <n v="0"/>
    <n v="0"/>
    <n v="0"/>
    <n v="0"/>
    <n v="0"/>
    <n v="0"/>
    <n v="100"/>
    <n v="100"/>
    <s v="OK"/>
    <n v="100"/>
    <n v="0"/>
    <s v="R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2"/>
    <s v="TECNOLOGÍA"/>
    <s v="ARRASTRE: PAGOS POR CONSUMO DE SERVICIOS DE TELECOMUNICACIONES CORRESPONDIENTE A DICIEMBRE DEL 2022"/>
    <n v="1"/>
    <x v="0"/>
    <n v="55"/>
    <n v="0"/>
    <n v="3"/>
    <n v="801"/>
    <s v="ESMERALDAS"/>
    <n v="1"/>
    <n v="0"/>
    <n v="0"/>
    <s v="CORRIENTE"/>
    <x v="0"/>
    <n v="530105"/>
    <s v="TELECOMUNICACIONES"/>
    <n v="13900"/>
    <n v="13351.15"/>
    <n v="13351.15"/>
    <n v="0"/>
    <n v="0"/>
    <n v="0"/>
    <n v="0"/>
    <n v="0"/>
    <n v="0"/>
    <n v="0"/>
    <n v="0"/>
    <n v="0"/>
    <n v="0"/>
    <n v="0"/>
    <n v="13351.15"/>
    <s v="OK"/>
    <n v="13351.15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2"/>
    <s v="TECNOLOGÍA"/>
    <s v="PAGO POR CONSUMO DE SERVICIOS DE TELECOMUNICACIONES CORRESPONDIENTE AL CONTRATO ENERO-DICIEMBRE 2023"/>
    <n v="1"/>
    <x v="0"/>
    <n v="55"/>
    <n v="0"/>
    <n v="3"/>
    <n v="801"/>
    <s v="ESMERALDAS"/>
    <n v="1"/>
    <n v="0"/>
    <n v="0"/>
    <s v="CORRIENTE"/>
    <x v="0"/>
    <n v="530105"/>
    <s v="TELECOMUNICACIONES"/>
    <n v="197298"/>
    <n v="113057.51"/>
    <n v="0"/>
    <n v="9421.4599999999991"/>
    <n v="9421.4599999999991"/>
    <n v="9421.4599999999991"/>
    <n v="9421.4599999999991"/>
    <n v="9421.4599999999991"/>
    <n v="9421.4599999999991"/>
    <n v="9421.4599999999991"/>
    <n v="9421.4599999999991"/>
    <n v="9421.4599999999991"/>
    <n v="9421.4599999999991"/>
    <n v="18842.91"/>
    <n v="113057.50999999998"/>
    <s v="OK"/>
    <n v="113057.51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2"/>
    <s v="TECNOLOGÍA"/>
    <s v="PAGO POR LICENCIAMIENTO DE LA SOLUCIÓN ANTIVIRUS PARA CONSOLAS OPERATIVAS Y ADMINISTRATIVAS DEL CENTRO"/>
    <n v="2"/>
    <x v="0"/>
    <n v="55"/>
    <n v="0"/>
    <n v="3"/>
    <n v="801"/>
    <s v="ESMERALDAS"/>
    <n v="1"/>
    <n v="0"/>
    <n v="0"/>
    <s v="CORRIENTE"/>
    <x v="0"/>
    <n v="530702"/>
    <s v="ARRENDAMIENTO Y LICENCIAS DE USO DE PAQUETES INFORMÁTICOS"/>
    <n v="3369"/>
    <n v="3291.23"/>
    <n v="0"/>
    <n v="0"/>
    <n v="3291.23"/>
    <n v="0"/>
    <n v="0"/>
    <n v="0"/>
    <n v="0"/>
    <n v="0"/>
    <n v="0"/>
    <n v="0"/>
    <n v="0"/>
    <n v="0"/>
    <n v="3291.23"/>
    <s v="OK"/>
    <n v="3291.23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2"/>
    <s v="TECNOLOGÍA"/>
    <s v="MANTENIMIENTO TECNOLÓGICO CORRECTIVO DE LOS PUNTOS DE ALERTA TEMPRANA Y CENTRO DE CONTROL, QUE FORMAN PARTE DEL SISTEMA NACIONAL DE ALERTA TEMPRANA FRENTE A EVENTOS ADVERSOS DE TSUNAMI Y DESBORDAMIENTO DE REPRESAS DEL CENTRO OPERATIVO ECU 911 ESMERALDAS"/>
    <n v="1"/>
    <x v="0"/>
    <n v="55"/>
    <n v="0"/>
    <n v="3"/>
    <n v="801"/>
    <s v="ESMERALDAS"/>
    <n v="1"/>
    <n v="0"/>
    <n v="0"/>
    <s v="CORRIENTE"/>
    <x v="0"/>
    <n v="530704"/>
    <s v="MANTENIMIENTO Y REPARACIÓN DE EQUIPOS Y SISTEMAS INFORMÁTICOS "/>
    <n v="0"/>
    <n v="21916.79"/>
    <n v="0"/>
    <n v="0"/>
    <n v="0"/>
    <n v="0"/>
    <n v="0"/>
    <n v="0"/>
    <n v="0"/>
    <n v="0"/>
    <n v="0"/>
    <n v="0"/>
    <n v="21916.79"/>
    <n v="0"/>
    <n v="21916.79"/>
    <s v="OK"/>
    <n v="21916.79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2"/>
    <s v="TECNOLOGÍA"/>
    <s v="PAGO POR ADQUISICIÓN DE MATERIALES E INSUMOS PARA MANTENIMIENTOS E INSTALACIONES TECNOLÓGICAS DEL CENTRO"/>
    <n v="2"/>
    <x v="0"/>
    <n v="55"/>
    <n v="0"/>
    <n v="3"/>
    <n v="801"/>
    <s v="ESMERALDAS"/>
    <n v="1"/>
    <n v="0"/>
    <n v="0"/>
    <s v="CORRIENTE"/>
    <x v="0"/>
    <n v="530811"/>
    <s v="INSUMOS, MATERIALES Y SUMINISTROS PARA CONSTRUCCIÓN, ELECTRICIDAD, PLOMERÍA, CARPINTERÍA, SEÑALIZACIÓN VIAL, NAVEGACIÓN, CONTRA INCENDIOS Y PLACAS"/>
    <n v="2000"/>
    <n v="1996.55"/>
    <n v="0"/>
    <n v="0"/>
    <n v="0"/>
    <n v="0"/>
    <n v="1996.55"/>
    <n v="0"/>
    <n v="0"/>
    <n v="0"/>
    <n v="0"/>
    <n v="0"/>
    <n v="0"/>
    <n v="0"/>
    <n v="1996.55"/>
    <s v="OK"/>
    <n v="1996.55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2"/>
    <s v="TECNOLOGÍA"/>
    <s v="PAGO POR ADQUISICIÓN DE MATERIALES E INSUMOS PARA MANTENIMIENTOS E INSTALACIONES TECNOLÓGICAS DEL CENTRO (CAJA CHICA)"/>
    <n v="2"/>
    <x v="0"/>
    <n v="55"/>
    <n v="0"/>
    <n v="3"/>
    <n v="801"/>
    <s v="ESMERALDAS"/>
    <n v="1"/>
    <n v="0"/>
    <n v="0"/>
    <s v="CORRIENTE"/>
    <x v="0"/>
    <n v="530811"/>
    <s v="INSUMOS, MATERIALES Y SUMINISTROS PARA CONSTRUCCIÓN, ELECTRICIDAD, PLOMERÍA, CARPINTERÍA, SEÑALIZACIÓN VIAL, NAVEGACIÓN, CONTRA INCENDIOS Y PLACAS"/>
    <n v="300"/>
    <n v="0"/>
    <n v="0"/>
    <n v="0"/>
    <n v="0"/>
    <n v="0"/>
    <n v="0"/>
    <n v="0"/>
    <n v="0"/>
    <n v="0"/>
    <n v="0"/>
    <n v="0"/>
    <n v="0"/>
    <n v="0"/>
    <n v="0"/>
    <s v="OK"/>
    <n v="0"/>
    <n v="0"/>
    <s v="R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2"/>
    <s v="TECNOLOGÍA"/>
    <s v="PAGOS POR ADQUISICIÓN DE REPUESTOS Y ACCESORIOS TECNOLÓGICOS PARA MAQUINARIAS, PLANTAS ELÉCTRICAS, EQUIPOS Y OTROS"/>
    <n v="2"/>
    <x v="0"/>
    <n v="55"/>
    <n v="0"/>
    <n v="3"/>
    <n v="801"/>
    <s v="ESMERALDAS"/>
    <n v="1"/>
    <n v="0"/>
    <n v="0"/>
    <s v="CORRIENTE"/>
    <x v="0"/>
    <n v="530813"/>
    <s v="REPUESTOS Y ACCESORIOS"/>
    <n v="467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2"/>
    <s v="TECNOLOGÍA"/>
    <s v="ADQUISICIÓN DE BIENES Y PAGO DE SERVICIOS NO PREVISIBLES, URGENTES Y DE VALOR REDUCIDO (CAJA CHICA)"/>
    <n v="2"/>
    <x v="0"/>
    <n v="55"/>
    <n v="0"/>
    <n v="3"/>
    <n v="801"/>
    <s v="ESMERALDAS"/>
    <n v="1"/>
    <n v="0"/>
    <n v="0"/>
    <s v="CORRIENTE"/>
    <x v="0"/>
    <n v="530813"/>
    <s v="REPUESTOS Y ACCESORIOS"/>
    <n v="204"/>
    <n v="0"/>
    <n v="0"/>
    <n v="0"/>
    <n v="0"/>
    <n v="0"/>
    <n v="0"/>
    <n v="0"/>
    <n v="0"/>
    <n v="0"/>
    <n v="0"/>
    <n v="0"/>
    <n v="0"/>
    <n v="0"/>
    <n v="0"/>
    <s v="OK"/>
    <n v="0"/>
    <n v="0"/>
    <s v="R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2"/>
    <s v="TECNOLOGÍA"/>
    <s v="PAGO POR ADQUISICIÓN DE REPUESTOS Y ACCESORIOS PARA RADIOS APX 2000 DEL CENTRO OPERATIVO"/>
    <n v="2"/>
    <x v="0"/>
    <n v="55"/>
    <n v="0"/>
    <n v="3"/>
    <n v="801"/>
    <s v="ESMERALDAS"/>
    <n v="1"/>
    <n v="0"/>
    <n v="0"/>
    <s v="CORRIENTE"/>
    <x v="0"/>
    <n v="530813"/>
    <s v="REPUESTOS Y ACCESORIOS"/>
    <n v="6022"/>
    <n v="0"/>
    <n v="0"/>
    <n v="0"/>
    <n v="0"/>
    <n v="0"/>
    <n v="0"/>
    <n v="0"/>
    <n v="0"/>
    <n v="0"/>
    <n v="0"/>
    <n v="0"/>
    <n v="0"/>
    <n v="0"/>
    <n v="0"/>
    <s v="OK"/>
    <n v="0"/>
    <n v="0"/>
    <s v="R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2"/>
    <s v="TECNOLOGÍA"/>
    <s v="ADQUISICIÓN DE BIENES, REPUESTOS Y ACCESORIOS PARA MANTENIMIENTO DE EQUIPOS INFORMÁTICOS Y DE RED DE LOS CENTROS OPERATIVOS ECU911"/>
    <n v="2"/>
    <x v="0"/>
    <n v="55"/>
    <n v="0"/>
    <n v="3"/>
    <n v="801"/>
    <s v="ESMERALDAS"/>
    <n v="1"/>
    <n v="0"/>
    <n v="0"/>
    <s v="CORRIENTE"/>
    <x v="0"/>
    <n v="530813"/>
    <s v="REPUESTOS Y ACCESORIOS"/>
    <n v="0"/>
    <n v="6088.25"/>
    <n v="0"/>
    <n v="0"/>
    <n v="0"/>
    <n v="0"/>
    <n v="0"/>
    <n v="6088.25"/>
    <n v="0"/>
    <n v="0"/>
    <n v="0"/>
    <n v="0"/>
    <n v="0"/>
    <n v="0"/>
    <n v="6088.25"/>
    <s v="OK"/>
    <n v="6088.25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2"/>
    <s v="TECNOLOGÍA"/>
    <s v="MANTENIMIENTO TECNOLÓGICO CORRECTIVO DE LOS PUNTOS DE ALERTA TEMPRANA Y CENTRO DE CONTROL, QUE FORMAN PARTE DEL SISTEMA NACIONAL DE ALERTA TEMPRANA FRENTE A EVENTOS ADVERSOS DE TSUNAMI Y DESBORDAMIENTO DE REPRESAS DEL CENTRO OPERATIVO ECU 911 ESMERALDAS"/>
    <n v="1"/>
    <x v="0"/>
    <n v="55"/>
    <n v="0"/>
    <n v="3"/>
    <n v="801"/>
    <s v="ESMERALDAS"/>
    <n v="1"/>
    <n v="0"/>
    <n v="0"/>
    <s v="CORRIENTE"/>
    <x v="0"/>
    <n v="530813"/>
    <s v="REPUESTOS Y ACCESORIOS"/>
    <n v="0"/>
    <n v="39460.340000000004"/>
    <n v="0"/>
    <n v="0"/>
    <n v="0"/>
    <n v="0"/>
    <n v="0"/>
    <n v="0"/>
    <n v="0"/>
    <n v="0"/>
    <n v="0"/>
    <n v="0"/>
    <n v="39460.339999999997"/>
    <n v="0"/>
    <n v="39460.339999999997"/>
    <s v="OK"/>
    <n v="39460.339999999997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2"/>
    <s v="TECNOLOGÍA"/>
    <s v="ADQUISICIÓN DE BIENES, REPUESTOS Y ACCESORIOS PARA MANTENIMIENTO DE EQUIPOS INFORMÁTICOS Y DE RED DE LOS CENTROS OPERATIVOS ECU911"/>
    <n v="2"/>
    <x v="0"/>
    <n v="55"/>
    <n v="0"/>
    <n v="3"/>
    <n v="801"/>
    <s v="ESMERALDAS"/>
    <n v="1"/>
    <n v="0"/>
    <n v="0"/>
    <s v="CORRIENTE"/>
    <x v="0"/>
    <n v="531404"/>
    <s v="MAQUINARIAS Y EQUIPOS"/>
    <n v="0"/>
    <n v="16.920000000000002"/>
    <n v="0"/>
    <n v="0"/>
    <n v="0"/>
    <n v="0"/>
    <n v="0"/>
    <n v="16.920000000000002"/>
    <n v="0"/>
    <n v="0"/>
    <n v="0"/>
    <n v="0"/>
    <n v="0"/>
    <n v="0"/>
    <n v="16.920000000000002"/>
    <s v="OK"/>
    <n v="16.920000000000002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2"/>
    <s v="TECNOLOGÍA"/>
    <s v="ADQUISICIÓN DE BIENES, REPUESTOS Y ACCESORIOS PARA MANTENIMIENTO DE EQUIPOS INFORMÁTICOS Y DE RED DE LOS CENTROS OPERATIVOS ECU911"/>
    <n v="2"/>
    <x v="0"/>
    <n v="55"/>
    <n v="0"/>
    <n v="3"/>
    <n v="801"/>
    <s v="ESMERALDAS"/>
    <n v="1"/>
    <n v="0"/>
    <n v="0"/>
    <s v="CORRIENTE"/>
    <x v="0"/>
    <n v="531406"/>
    <s v="HERRAMIENTAS Y EQUIPOS MENORES"/>
    <n v="0"/>
    <n v="110.56"/>
    <n v="0"/>
    <n v="0"/>
    <n v="0"/>
    <n v="0"/>
    <n v="0"/>
    <n v="110.56"/>
    <n v="0"/>
    <n v="0"/>
    <n v="0"/>
    <n v="0"/>
    <n v="0"/>
    <n v="0"/>
    <n v="110.56"/>
    <s v="OK"/>
    <n v="110.56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2"/>
    <s v="TECNOLOGÍA"/>
    <s v="ADQUISICIÓN DE BIENES, REPUESTOS Y ACCESORIOS PARA MANTENIMIENTO DE EQUIPOS INFORMÁTICOS Y DE RED DE LOS CENTROS OPERATIVOS ECU911"/>
    <n v="2"/>
    <x v="0"/>
    <n v="55"/>
    <n v="0"/>
    <n v="3"/>
    <n v="801"/>
    <s v="ESMERALDAS"/>
    <n v="1"/>
    <n v="0"/>
    <n v="0"/>
    <s v="CORRIENTE"/>
    <x v="0"/>
    <n v="531407"/>
    <s v="EQUIPOS, SISTEMAS Y PAQUETES INFORMÁTICOS"/>
    <n v="0"/>
    <n v="225.09"/>
    <n v="0"/>
    <n v="0"/>
    <n v="0"/>
    <n v="0"/>
    <n v="0"/>
    <n v="225.09"/>
    <n v="0"/>
    <n v="0"/>
    <n v="0"/>
    <n v="0"/>
    <n v="0"/>
    <n v="0"/>
    <n v="225.09"/>
    <s v="OK"/>
    <n v="225.09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2"/>
    <s v="TECNOLOGÍA"/>
    <s v="MANTENIMIENTO TECNOLÓGICO CORRECTIVO DE LOS PUNTOS DE ALERTA TEMPRANA Y CENTRO DE CONTROL, QUE FORMAN PARTE DEL SISTEMA NACIONAL DE ALERTA TEMPRANA FRENTE A EVENTOS ADVERSOS DE TSUNAMI Y DESBORDAMIENTO DE REPRESAS DEL CENTRO OPERATIVO ECU 911 ESMERALDAS"/>
    <n v="1"/>
    <x v="0"/>
    <n v="55"/>
    <n v="0"/>
    <n v="3"/>
    <n v="801"/>
    <s v="ESMERALDAS"/>
    <n v="1"/>
    <n v="0"/>
    <n v="0"/>
    <s v="CORRIENTE"/>
    <x v="0"/>
    <n v="531407"/>
    <s v="EQUIPOS, SISTEMAS Y PAQUETES INFORMÁTICOS"/>
    <n v="0"/>
    <n v="2956.42"/>
    <n v="0"/>
    <n v="0"/>
    <n v="0"/>
    <n v="0"/>
    <n v="0"/>
    <n v="0"/>
    <n v="0"/>
    <n v="0"/>
    <n v="0"/>
    <n v="0"/>
    <n v="2956.42"/>
    <n v="0"/>
    <n v="2956.42"/>
    <s v="OK"/>
    <n v="2956.42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3"/>
    <s v="ADMINISTRACIÓN CENTRAL"/>
    <s v="CANCELACIÓN DE REMUNERACIONES Y BENEFICIOS SOCIALES"/>
    <n v="1"/>
    <x v="0"/>
    <n v="1"/>
    <n v="0"/>
    <n v="1"/>
    <n v="1000"/>
    <s v="IMBABURA"/>
    <n v="1"/>
    <n v="0"/>
    <n v="0"/>
    <s v="CORRIENTE"/>
    <x v="3"/>
    <n v="510105"/>
    <s v="REMUNERACIONES UNIFICADAS"/>
    <n v="769920"/>
    <n v="756028.9"/>
    <n v="64244"/>
    <n v="64244"/>
    <n v="64244"/>
    <n v="64244"/>
    <n v="64244"/>
    <n v="64244"/>
    <n v="64244"/>
    <n v="64244"/>
    <n v="64244"/>
    <n v="64244"/>
    <n v="64244"/>
    <n v="49344.900000000023"/>
    <n v="756028.9"/>
    <s v="OK"/>
    <n v="0"/>
    <n v="756028.9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3"/>
    <s v="ADMINISTRACIÓN CENTRAL"/>
    <s v="CANCELACIÓN DE REMUNERACIONES Y BENEFICIOS SOCIALES"/>
    <n v="1"/>
    <x v="0"/>
    <n v="1"/>
    <n v="0"/>
    <n v="1"/>
    <n v="1000"/>
    <s v="IMBABURA"/>
    <n v="1"/>
    <n v="0"/>
    <n v="0"/>
    <s v="CORRIENTE"/>
    <x v="3"/>
    <n v="510106"/>
    <s v="SALARIOS UNIFICADOS"/>
    <n v="95688"/>
    <n v="102840"/>
    <n v="7974"/>
    <n v="7974"/>
    <n v="7974"/>
    <n v="7974"/>
    <n v="7974"/>
    <n v="7974"/>
    <n v="7974"/>
    <n v="7974"/>
    <n v="7974"/>
    <n v="7974"/>
    <n v="7974"/>
    <n v="15126"/>
    <n v="102840"/>
    <s v="OK"/>
    <n v="0"/>
    <n v="10284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3"/>
    <s v="ADMINISTRACIÓN CENTRAL"/>
    <s v="CANCELACIÓN DE REMUNERACIONES Y BENEFICIOS SOCIALES"/>
    <n v="1"/>
    <x v="0"/>
    <n v="1"/>
    <n v="0"/>
    <n v="1"/>
    <n v="1000"/>
    <s v="IMBABURA"/>
    <n v="1"/>
    <n v="0"/>
    <n v="0"/>
    <s v="CORRIENTE"/>
    <x v="3"/>
    <n v="510203"/>
    <s v="DÉCIMO TERCER SUELDO"/>
    <n v="72134"/>
    <n v="73081.91"/>
    <n v="0"/>
    <n v="0"/>
    <n v="0"/>
    <n v="0"/>
    <n v="0"/>
    <n v="0"/>
    <n v="0"/>
    <n v="0"/>
    <n v="0"/>
    <n v="0"/>
    <n v="0"/>
    <n v="73081.91"/>
    <n v="73081.91"/>
    <s v="OK"/>
    <n v="0"/>
    <n v="73081.91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3"/>
    <s v="ADMINISTRACIÓN CENTRAL"/>
    <s v="CANCELACIÓN DE REMUNERACIONES Y BENEFICIOS SOCIALES"/>
    <n v="1"/>
    <x v="0"/>
    <n v="1"/>
    <n v="0"/>
    <n v="1"/>
    <n v="1000"/>
    <s v="IMBABURA"/>
    <n v="1"/>
    <n v="0"/>
    <n v="0"/>
    <s v="CORRIENTE"/>
    <x v="3"/>
    <n v="510204"/>
    <s v="DÉCIMO CUARTO SUELDO"/>
    <n v="27625"/>
    <n v="30013.3"/>
    <n v="0"/>
    <n v="0"/>
    <n v="0"/>
    <n v="13000"/>
    <n v="0"/>
    <n v="0"/>
    <n v="0"/>
    <n v="14625"/>
    <n v="0"/>
    <n v="0"/>
    <n v="0"/>
    <n v="2388.2999999999993"/>
    <n v="30013.3"/>
    <s v="OK"/>
    <n v="0"/>
    <n v="30013.3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3"/>
    <s v="ADMINISTRACIÓN CENTRAL"/>
    <s v="CANCELACIÓN DE REMUNERACIONES Y BENEFICIOS SOCIALES"/>
    <n v="1"/>
    <x v="0"/>
    <n v="1"/>
    <n v="0"/>
    <n v="1"/>
    <n v="1000"/>
    <s v="IMBABURA"/>
    <n v="1"/>
    <n v="0"/>
    <n v="0"/>
    <s v="CORRIENTE"/>
    <x v="3"/>
    <n v="510509"/>
    <s v="HORAS EXTRAORDINARIAS Y SUPLEMENTARIAS"/>
    <n v="4000"/>
    <n v="10731.36"/>
    <n v="330"/>
    <n v="330"/>
    <n v="330"/>
    <n v="330"/>
    <n v="330"/>
    <n v="330"/>
    <n v="330"/>
    <n v="330"/>
    <n v="330"/>
    <n v="330"/>
    <n v="330"/>
    <n v="7101.3600000000006"/>
    <n v="10731.36"/>
    <s v="OK"/>
    <n v="0"/>
    <n v="10731.36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3"/>
    <s v="ADMINISTRACIÓN CENTRAL"/>
    <s v="CANCELACIÓN DE REMUNERACIONES Y BENEFICIOS SOCIALES"/>
    <n v="1"/>
    <x v="0"/>
    <n v="1"/>
    <n v="0"/>
    <n v="1"/>
    <n v="1000"/>
    <s v="IMBABURA"/>
    <n v="1"/>
    <n v="0"/>
    <n v="0"/>
    <s v="CORRIENTE"/>
    <x v="3"/>
    <n v="510512"/>
    <s v="SUBROGACIÓN "/>
    <n v="0"/>
    <n v="150"/>
    <n v="0"/>
    <n v="0"/>
    <n v="0"/>
    <n v="0"/>
    <n v="0"/>
    <n v="0"/>
    <n v="0"/>
    <n v="0"/>
    <n v="0"/>
    <n v="0"/>
    <n v="0"/>
    <n v="150"/>
    <n v="150"/>
    <s v="OK"/>
    <n v="0"/>
    <n v="15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3"/>
    <s v="ADMINISTRACIÓN CENTRAL"/>
    <s v="CANCELACIÓN DE REMUNERACIONES Y BENEFICIOS SOCIALES"/>
    <n v="1"/>
    <x v="0"/>
    <n v="1"/>
    <n v="0"/>
    <n v="1"/>
    <n v="1000"/>
    <s v="IMBABURA"/>
    <n v="1"/>
    <n v="0"/>
    <n v="0"/>
    <s v="CORRIENTE"/>
    <x v="3"/>
    <n v="510601"/>
    <s v="APORTE PATRONAL"/>
    <n v="85924"/>
    <n v="86287.900000000009"/>
    <n v="7160"/>
    <n v="7160"/>
    <n v="7160"/>
    <n v="7160"/>
    <n v="7160"/>
    <n v="7160"/>
    <n v="7160"/>
    <n v="7160"/>
    <n v="7160"/>
    <n v="7160"/>
    <n v="7160"/>
    <n v="7527.9"/>
    <n v="86287.9"/>
    <s v="OK"/>
    <n v="0"/>
    <n v="86287.900000000009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3"/>
    <s v="ADMINISTRACIÓN CENTRAL"/>
    <s v="CANCELACIÓN DE REMUNERACIONES Y BENEFICIOS SOCIALES"/>
    <n v="1"/>
    <x v="0"/>
    <n v="1"/>
    <n v="0"/>
    <n v="1"/>
    <n v="1000"/>
    <s v="IMBABURA"/>
    <n v="1"/>
    <n v="0"/>
    <n v="0"/>
    <s v="CORRIENTE"/>
    <x v="3"/>
    <n v="510602"/>
    <s v="FONDO DE RESERVA"/>
    <n v="72134"/>
    <n v="69838.83"/>
    <n v="6011"/>
    <n v="6011"/>
    <n v="6011"/>
    <n v="6011"/>
    <n v="6011"/>
    <n v="6011"/>
    <n v="6011"/>
    <n v="6011"/>
    <n v="6011"/>
    <n v="6011"/>
    <n v="6011"/>
    <n v="3717.8300000000017"/>
    <n v="69838.83"/>
    <s v="OK"/>
    <n v="0"/>
    <n v="69838.83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3"/>
    <s v="ADMINISTRACIÓN CENTRAL"/>
    <s v="CANCELACIÓN DE REMUNERACIONES Y BENEFICIOS SOCIALES"/>
    <n v="1"/>
    <x v="0"/>
    <n v="1"/>
    <n v="0"/>
    <n v="1"/>
    <n v="1000"/>
    <s v="IMBABURA"/>
    <n v="1"/>
    <n v="0"/>
    <n v="0"/>
    <s v="CORRIENTE"/>
    <x v="3"/>
    <n v="510707"/>
    <s v="COMPENSACIÓN POR VACACIONES NO GOZADAS POR CESACIÓN DE FUNCIONES"/>
    <n v="0"/>
    <n v="1000"/>
    <n v="0"/>
    <n v="0"/>
    <n v="0"/>
    <n v="0"/>
    <n v="0"/>
    <n v="121.2"/>
    <n v="0"/>
    <n v="0"/>
    <n v="0"/>
    <n v="0"/>
    <n v="0"/>
    <n v="878.8"/>
    <n v="1000"/>
    <s v="OK"/>
    <n v="0"/>
    <n v="100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4"/>
    <s v="OPERACIONES"/>
    <s v="CANCELACIÓN DE REMUNERACIONES Y BENEFICIOS SOCIALES"/>
    <n v="1"/>
    <x v="0"/>
    <n v="55"/>
    <n v="0"/>
    <n v="2"/>
    <n v="1000"/>
    <s v="IMBABURA"/>
    <n v="1"/>
    <n v="0"/>
    <n v="0"/>
    <s v="CORRIENTE"/>
    <x v="3"/>
    <n v="510105"/>
    <s v="REMUNERACIONES UNIFICADAS"/>
    <n v="1649652"/>
    <n v="1648014.98"/>
    <n v="137471"/>
    <n v="137471"/>
    <n v="137471"/>
    <n v="137471"/>
    <n v="137471"/>
    <n v="137471"/>
    <n v="137471"/>
    <n v="137471"/>
    <n v="137471"/>
    <n v="137471"/>
    <n v="137471"/>
    <n v="135833.97999999998"/>
    <n v="1648014.98"/>
    <s v="OK"/>
    <n v="0"/>
    <n v="1648014.98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4"/>
    <s v="OPERACIONES"/>
    <s v="CANCELACIÓN DE REMUNERACIONES Y BENEFICIOS SOCIALES"/>
    <n v="1"/>
    <x v="0"/>
    <n v="55"/>
    <n v="0"/>
    <n v="2"/>
    <n v="1000"/>
    <s v="IMBABURA"/>
    <n v="1"/>
    <n v="0"/>
    <n v="0"/>
    <s v="CORRIENTE"/>
    <x v="3"/>
    <n v="510203"/>
    <s v="DÉCIMO TERCER SUELDO"/>
    <n v="112141"/>
    <n v="144974.85"/>
    <n v="0"/>
    <n v="0"/>
    <n v="0"/>
    <n v="0"/>
    <n v="0"/>
    <n v="0"/>
    <n v="0"/>
    <n v="0"/>
    <n v="0"/>
    <n v="0"/>
    <n v="0"/>
    <n v="144974.85"/>
    <n v="144974.85"/>
    <s v="OK"/>
    <n v="0"/>
    <n v="144974.85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4"/>
    <s v="OPERACIONES"/>
    <s v="CANCELACIÓN DE REMUNERACIONES Y BENEFICIOS SOCIALES"/>
    <n v="1"/>
    <x v="0"/>
    <n v="55"/>
    <n v="0"/>
    <n v="2"/>
    <n v="1000"/>
    <s v="IMBABURA"/>
    <n v="1"/>
    <n v="0"/>
    <n v="0"/>
    <s v="CORRIENTE"/>
    <x v="3"/>
    <n v="510204"/>
    <s v="DÉCIMO CUARTO SUELDO"/>
    <n v="75650"/>
    <n v="81299.33"/>
    <n v="0"/>
    <n v="0"/>
    <n v="0"/>
    <n v="30000"/>
    <n v="0"/>
    <n v="0"/>
    <n v="0"/>
    <n v="45650"/>
    <n v="0"/>
    <n v="0"/>
    <n v="0"/>
    <n v="5649.3300000000017"/>
    <n v="81299.33"/>
    <s v="OK"/>
    <n v="0"/>
    <n v="81299.33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4"/>
    <s v="OPERACIONES"/>
    <s v="CANCELACIÓN DE REMUNERACIONES Y BENEFICIOS SOCIALES"/>
    <n v="1"/>
    <x v="0"/>
    <n v="55"/>
    <n v="0"/>
    <n v="2"/>
    <n v="1000"/>
    <s v="IMBABURA"/>
    <n v="1"/>
    <n v="0"/>
    <n v="0"/>
    <s v="CORRIENTE"/>
    <x v="3"/>
    <n v="510304"/>
    <s v="COMPENSACION POR TRANSPORTE"/>
    <n v="0"/>
    <n v="462"/>
    <n v="0"/>
    <n v="0"/>
    <n v="0"/>
    <n v="0"/>
    <n v="0"/>
    <n v="0"/>
    <n v="0"/>
    <n v="0"/>
    <n v="0"/>
    <n v="0"/>
    <n v="0"/>
    <n v="462"/>
    <n v="462"/>
    <s v="OK"/>
    <n v="0"/>
    <n v="462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4"/>
    <s v="OPERACIONES"/>
    <s v="CANCELACIÓN DE REMUNERACIONES Y BENEFICIOS SOCIALES"/>
    <n v="1"/>
    <x v="0"/>
    <n v="55"/>
    <n v="0"/>
    <n v="2"/>
    <n v="1000"/>
    <s v="IMBABURA"/>
    <n v="1"/>
    <n v="0"/>
    <n v="0"/>
    <s v="CORRIENTE"/>
    <x v="3"/>
    <n v="510306"/>
    <s v="ALIMENTACION"/>
    <n v="0"/>
    <n v="1349.25"/>
    <n v="0"/>
    <n v="0"/>
    <n v="0"/>
    <n v="0"/>
    <n v="0"/>
    <n v="0"/>
    <n v="0"/>
    <n v="0"/>
    <n v="0"/>
    <n v="0"/>
    <n v="0"/>
    <n v="1349.25"/>
    <n v="1349.25"/>
    <s v="OK"/>
    <n v="0"/>
    <n v="1349.25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4"/>
    <s v="OPERACIONES"/>
    <s v="CANCELACIÓN DE REMUNERACIONES Y BENEFICIOS SOCIALES"/>
    <n v="1"/>
    <x v="0"/>
    <n v="55"/>
    <n v="0"/>
    <n v="2"/>
    <n v="1000"/>
    <s v="IMBABURA"/>
    <n v="1"/>
    <n v="0"/>
    <n v="0"/>
    <s v="CORRIENTE"/>
    <x v="3"/>
    <n v="510401"/>
    <s v="POR CARGAS FAMILIARES"/>
    <n v="0"/>
    <n v="421"/>
    <n v="0"/>
    <n v="0"/>
    <n v="0"/>
    <n v="0"/>
    <n v="0"/>
    <n v="0"/>
    <n v="0"/>
    <n v="0"/>
    <n v="0"/>
    <n v="0"/>
    <n v="0"/>
    <n v="421"/>
    <n v="421"/>
    <s v="OK"/>
    <n v="0"/>
    <n v="421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4"/>
    <s v="OPERACIONES"/>
    <s v="CANCELACIÓN DE REMUNERACIONES Y BENEFICIOS SOCIALES"/>
    <n v="1"/>
    <x v="0"/>
    <n v="55"/>
    <n v="0"/>
    <n v="2"/>
    <n v="1000"/>
    <s v="IMBABURA"/>
    <n v="1"/>
    <n v="0"/>
    <n v="0"/>
    <s v="CORRIENTE"/>
    <x v="3"/>
    <n v="510408"/>
    <s v="SUBSIDIO DE ANTIGUEDAD"/>
    <n v="0"/>
    <n v="400"/>
    <n v="0"/>
    <n v="0"/>
    <n v="0"/>
    <n v="0"/>
    <n v="0"/>
    <n v="0"/>
    <n v="0"/>
    <n v="0"/>
    <n v="0"/>
    <n v="0"/>
    <n v="0"/>
    <n v="400"/>
    <n v="400"/>
    <s v="OK"/>
    <n v="0"/>
    <n v="40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4"/>
    <s v="OPERACIONES"/>
    <s v="CANCELACIÓN DE REMUNERACIONES Y BENEFICIOS SOCIALES"/>
    <n v="1"/>
    <x v="0"/>
    <n v="55"/>
    <n v="0"/>
    <n v="2"/>
    <n v="1000"/>
    <s v="IMBABURA"/>
    <n v="1"/>
    <n v="0"/>
    <n v="0"/>
    <s v="CORRIENTE"/>
    <x v="3"/>
    <n v="510510"/>
    <s v="SERVICIOS PERSONALES POR CONTRATO"/>
    <n v="87960"/>
    <n v="79164"/>
    <n v="7330"/>
    <n v="7330"/>
    <n v="7330"/>
    <n v="7330"/>
    <n v="7330"/>
    <n v="7330"/>
    <n v="7330"/>
    <n v="7330"/>
    <n v="7330"/>
    <n v="7330"/>
    <n v="0"/>
    <n v="5864"/>
    <n v="79164"/>
    <s v="OK"/>
    <n v="0"/>
    <n v="79164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4"/>
    <s v="OPERACIONES"/>
    <s v="CANCELACIÓN DE REMUNERACIONES Y BENEFICIOS SOCIALES"/>
    <n v="1"/>
    <x v="0"/>
    <n v="55"/>
    <n v="0"/>
    <n v="2"/>
    <n v="1000"/>
    <s v="IMBABURA"/>
    <n v="1"/>
    <n v="0"/>
    <n v="0"/>
    <s v="CORRIENTE"/>
    <x v="3"/>
    <n v="510512"/>
    <s v="SUBROGACIÓN "/>
    <n v="2400"/>
    <n v="2867"/>
    <n v="0"/>
    <n v="0"/>
    <n v="692"/>
    <n v="0"/>
    <n v="692"/>
    <n v="0"/>
    <n v="0"/>
    <n v="0"/>
    <n v="692"/>
    <n v="0"/>
    <n v="324"/>
    <n v="467"/>
    <n v="2867"/>
    <s v="OK"/>
    <n v="0"/>
    <n v="2867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4"/>
    <s v="OPERACIONES"/>
    <s v="CANCELACIÓN DE REMUNERACIONES Y BENEFICIOS SOCIALES"/>
    <n v="1"/>
    <x v="0"/>
    <n v="55"/>
    <n v="0"/>
    <n v="2"/>
    <n v="1000"/>
    <s v="IMBABURA"/>
    <n v="1"/>
    <n v="0"/>
    <n v="0"/>
    <s v="CORRIENTE"/>
    <x v="3"/>
    <n v="510513"/>
    <s v="ENCARGOS"/>
    <n v="0"/>
    <n v="2722"/>
    <n v="0"/>
    <n v="0"/>
    <n v="0"/>
    <n v="0"/>
    <n v="0"/>
    <n v="0"/>
    <n v="0"/>
    <n v="0"/>
    <n v="0"/>
    <n v="0"/>
    <n v="0"/>
    <n v="2722"/>
    <n v="2722"/>
    <s v="OK"/>
    <n v="0"/>
    <n v="2722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4"/>
    <s v="OPERACIONES"/>
    <s v="CANCELACIÓN DE REMUNERACIONES Y BENEFICIOS SOCIALES"/>
    <n v="1"/>
    <x v="0"/>
    <n v="55"/>
    <n v="0"/>
    <n v="2"/>
    <n v="1000"/>
    <s v="IMBABURA"/>
    <n v="1"/>
    <n v="0"/>
    <n v="0"/>
    <s v="CORRIENTE"/>
    <x v="3"/>
    <n v="510601"/>
    <s v="APORTE PATRONAL"/>
    <n v="167680"/>
    <n v="166951.16"/>
    <n v="13973"/>
    <n v="13973"/>
    <n v="13973"/>
    <n v="13973"/>
    <n v="13973"/>
    <n v="13973"/>
    <n v="13973"/>
    <n v="13973"/>
    <n v="13973"/>
    <n v="13973"/>
    <n v="13973"/>
    <n v="13248.160000000003"/>
    <n v="166951.16"/>
    <s v="OK"/>
    <n v="0"/>
    <n v="166951.16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4"/>
    <s v="OPERACIONES"/>
    <s v="CANCELACIÓN DE REMUNERACIONES Y BENEFICIOS SOCIALES"/>
    <n v="1"/>
    <x v="0"/>
    <n v="55"/>
    <n v="0"/>
    <n v="2"/>
    <n v="1000"/>
    <s v="IMBABURA"/>
    <n v="1"/>
    <n v="0"/>
    <n v="0"/>
    <s v="CORRIENTE"/>
    <x v="3"/>
    <n v="510602"/>
    <s v="FONDO DE RESERVA"/>
    <n v="144801"/>
    <n v="141389.70000000001"/>
    <n v="12067"/>
    <n v="12067"/>
    <n v="12067"/>
    <n v="12067"/>
    <n v="12067"/>
    <n v="12067"/>
    <n v="12067"/>
    <n v="12067"/>
    <n v="12067"/>
    <n v="12067"/>
    <n v="12067"/>
    <n v="8652.7000000000007"/>
    <n v="141389.70000000001"/>
    <s v="OK"/>
    <n v="0"/>
    <n v="141389.70000000001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4"/>
    <s v="OPERACIONES"/>
    <s v="CANCELACIÓN DE REMUNERACIONES Y BENEFICIOS SOCIALES"/>
    <n v="1"/>
    <x v="0"/>
    <n v="55"/>
    <n v="0"/>
    <n v="2"/>
    <n v="1000"/>
    <s v="IMBABURA"/>
    <n v="1"/>
    <n v="0"/>
    <n v="0"/>
    <s v="CORRIENTE"/>
    <x v="3"/>
    <n v="510707"/>
    <s v="COMPENSACIÓN POR VACACIONES NO GOZADAS POR CESACIÓN DE FUNCIONES"/>
    <n v="0"/>
    <n v="1000"/>
    <n v="0"/>
    <n v="0"/>
    <n v="0"/>
    <n v="0"/>
    <n v="0"/>
    <n v="0"/>
    <n v="0"/>
    <n v="0"/>
    <n v="0"/>
    <n v="0"/>
    <n v="0"/>
    <n v="1000"/>
    <n v="1000"/>
    <s v="OK"/>
    <n v="0"/>
    <n v="100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4"/>
    <s v="OPERACIONES"/>
    <s v="CANCELACIÓN DE REMUNERACIONES Y BENEFICIOS SOCIALES"/>
    <n v="2"/>
    <x v="0"/>
    <n v="55"/>
    <n v="0"/>
    <n v="2"/>
    <n v="1000"/>
    <s v="IMBABURA"/>
    <n v="1"/>
    <n v="0"/>
    <n v="0"/>
    <s v="CORRIENTE"/>
    <x v="3"/>
    <n v="510709"/>
    <s v="POR RENUNCIA VOLUNTARIA"/>
    <n v="0"/>
    <n v="351.05"/>
    <n v="0"/>
    <n v="0"/>
    <n v="0"/>
    <n v="0"/>
    <n v="0"/>
    <n v="0"/>
    <n v="0"/>
    <n v="0"/>
    <n v="0"/>
    <n v="0"/>
    <n v="0"/>
    <n v="351.05"/>
    <n v="351.05"/>
    <s v="OK"/>
    <n v="0"/>
    <n v="351.05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4"/>
    <s v="OPERACIONES"/>
    <s v="CANCELACIÓN DE REMUNERACIONES Y BENEFICIOS SOCIALES"/>
    <n v="1"/>
    <x v="0"/>
    <n v="55"/>
    <n v="0"/>
    <n v="2"/>
    <n v="1000"/>
    <s v="IMBABURA"/>
    <n v="1"/>
    <n v="0"/>
    <n v="0"/>
    <s v="CORRIENTE"/>
    <x v="4"/>
    <n v="990101"/>
    <s v="OBLIGACIONES DE EJERCICIOS ANTERIORES POR EGRESOS DE PERSONAL"/>
    <n v="0"/>
    <n v="624.16"/>
    <n v="0"/>
    <n v="0"/>
    <n v="0"/>
    <n v="0"/>
    <n v="0"/>
    <n v="0"/>
    <n v="0"/>
    <n v="0"/>
    <n v="0"/>
    <n v="0"/>
    <n v="0"/>
    <n v="624.16"/>
    <n v="624.16"/>
    <s v="OK"/>
    <n v="0"/>
    <n v="624.16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5"/>
    <s v="TECNOLOGÍA"/>
    <s v="CANCELACIÓN DE REMUNERACIONES Y BENEFICIOS SOCIALES"/>
    <n v="1"/>
    <x v="0"/>
    <n v="55"/>
    <n v="0"/>
    <n v="3"/>
    <n v="1000"/>
    <s v="IMBABURA"/>
    <n v="1"/>
    <n v="0"/>
    <n v="0"/>
    <s v="CORRIENTE"/>
    <x v="3"/>
    <n v="510105"/>
    <s v="REMUNERACIONES UNIFICADAS"/>
    <n v="225888"/>
    <n v="225888"/>
    <n v="18824"/>
    <n v="18824"/>
    <n v="18824"/>
    <n v="18824"/>
    <n v="18824"/>
    <n v="18824"/>
    <n v="18824"/>
    <n v="18824"/>
    <n v="18824"/>
    <n v="18824"/>
    <n v="18824"/>
    <n v="18824"/>
    <n v="225888"/>
    <s v="OK"/>
    <n v="0"/>
    <n v="225888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5"/>
    <s v="TECNOLOGÍA"/>
    <s v="CANCELACIÓN DE REMUNERACIONES Y BENEFICIOS SOCIALES"/>
    <n v="1"/>
    <x v="0"/>
    <n v="55"/>
    <n v="0"/>
    <n v="3"/>
    <n v="1000"/>
    <s v="IMBABURA"/>
    <n v="1"/>
    <n v="0"/>
    <n v="0"/>
    <s v="CORRIENTE"/>
    <x v="3"/>
    <n v="510203"/>
    <s v="DÉCIMO TERCER SUELDO"/>
    <n v="22460"/>
    <n v="22965"/>
    <n v="0"/>
    <n v="0"/>
    <n v="0"/>
    <n v="0"/>
    <n v="0"/>
    <n v="0"/>
    <n v="0"/>
    <n v="0"/>
    <n v="0"/>
    <n v="0"/>
    <n v="0"/>
    <n v="22965"/>
    <n v="22965"/>
    <s v="OK"/>
    <n v="0"/>
    <n v="22965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5"/>
    <s v="TECNOLOGÍA"/>
    <s v="CANCELACIÓN DE REMUNERACIONES Y BENEFICIOS SOCIALES"/>
    <n v="1"/>
    <x v="0"/>
    <n v="55"/>
    <n v="0"/>
    <n v="3"/>
    <n v="1000"/>
    <s v="IMBABURA"/>
    <n v="1"/>
    <n v="0"/>
    <n v="0"/>
    <s v="CORRIENTE"/>
    <x v="3"/>
    <n v="510204"/>
    <s v="DÉCIMO CUARTO SUELDO"/>
    <n v="7225"/>
    <n v="8004.03"/>
    <n v="0"/>
    <n v="0"/>
    <n v="0"/>
    <n v="0"/>
    <n v="0"/>
    <n v="0"/>
    <n v="0"/>
    <n v="7225"/>
    <n v="0"/>
    <n v="0"/>
    <n v="0"/>
    <n v="779.02999999999975"/>
    <n v="8004.03"/>
    <s v="OK"/>
    <n v="0"/>
    <n v="8004.03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5"/>
    <s v="TECNOLOGÍA"/>
    <s v="CANCELACIÓN DE REMUNERACIONES Y BENEFICIOS SOCIALES"/>
    <n v="1"/>
    <x v="0"/>
    <n v="55"/>
    <n v="0"/>
    <n v="3"/>
    <n v="1000"/>
    <s v="IMBABURA"/>
    <n v="1"/>
    <n v="0"/>
    <n v="0"/>
    <s v="CORRIENTE"/>
    <x v="3"/>
    <n v="510510"/>
    <s v="SERVICIOS PERSONALES POR CONTRATO"/>
    <n v="43632"/>
    <n v="43632"/>
    <n v="3636"/>
    <n v="3636"/>
    <n v="3636"/>
    <n v="3636"/>
    <n v="3636"/>
    <n v="3636"/>
    <n v="3636"/>
    <n v="3636"/>
    <n v="3636"/>
    <n v="3636"/>
    <n v="3636"/>
    <n v="3636"/>
    <n v="43632"/>
    <s v="OK"/>
    <n v="0"/>
    <n v="43632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5"/>
    <s v="TECNOLOGÍA"/>
    <s v="CANCELACIÓN DE REMUNERACIONES Y BENEFICIOS SOCIALES"/>
    <n v="1"/>
    <x v="0"/>
    <n v="55"/>
    <n v="0"/>
    <n v="3"/>
    <n v="1000"/>
    <s v="IMBABURA"/>
    <n v="1"/>
    <n v="0"/>
    <n v="0"/>
    <s v="CORRIENTE"/>
    <x v="3"/>
    <n v="510512"/>
    <s v="SUBROGACIÓN "/>
    <n v="0"/>
    <n v="922.67"/>
    <n v="0"/>
    <n v="0"/>
    <n v="0"/>
    <n v="0"/>
    <n v="0"/>
    <n v="0"/>
    <n v="0"/>
    <n v="0"/>
    <n v="0"/>
    <n v="0"/>
    <n v="0"/>
    <n v="922.67"/>
    <n v="922.67"/>
    <s v="OK"/>
    <n v="0"/>
    <n v="922.67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5"/>
    <s v="TECNOLOGÍA"/>
    <s v="CANCELACIÓN DE REMUNERACIONES Y BENEFICIOS SOCIALES"/>
    <n v="1"/>
    <x v="0"/>
    <n v="55"/>
    <n v="0"/>
    <n v="3"/>
    <n v="1000"/>
    <s v="IMBABURA"/>
    <n v="1"/>
    <n v="0"/>
    <n v="0"/>
    <s v="CORRIENTE"/>
    <x v="3"/>
    <n v="510601"/>
    <s v="APORTE PATRONAL"/>
    <n v="26009"/>
    <n v="26069"/>
    <n v="2167"/>
    <n v="2167"/>
    <n v="2167"/>
    <n v="2167"/>
    <n v="2167"/>
    <n v="2167"/>
    <n v="2167"/>
    <n v="2168"/>
    <n v="2168"/>
    <n v="2168"/>
    <n v="2168"/>
    <n v="2228"/>
    <n v="26069"/>
    <s v="OK"/>
    <n v="0"/>
    <n v="26069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5"/>
    <s v="TECNOLOGÍA"/>
    <s v="CANCELACIÓN DE REMUNERACIONES Y BENEFICIOS SOCIALES"/>
    <n v="1"/>
    <x v="0"/>
    <n v="55"/>
    <n v="0"/>
    <n v="3"/>
    <n v="1000"/>
    <s v="IMBABURA"/>
    <n v="1"/>
    <n v="0"/>
    <n v="0"/>
    <s v="CORRIENTE"/>
    <x v="3"/>
    <n v="510602"/>
    <s v="FONDO DE RESERVA"/>
    <n v="22460"/>
    <n v="22520"/>
    <n v="1871"/>
    <n v="1871"/>
    <n v="1871"/>
    <n v="1871"/>
    <n v="1872"/>
    <n v="1872"/>
    <n v="1872"/>
    <n v="1872"/>
    <n v="1872"/>
    <n v="1872"/>
    <n v="1872"/>
    <n v="1932"/>
    <n v="22520"/>
    <s v="OK"/>
    <n v="0"/>
    <n v="2252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5"/>
    <s v="TECNOLOGÍA"/>
    <s v="CANCELACIÓN DE REMUNERACIONES Y BENEFICIOS SOCIALES"/>
    <n v="1"/>
    <x v="0"/>
    <n v="55"/>
    <n v="0"/>
    <n v="3"/>
    <n v="1000"/>
    <s v="IMBABURA"/>
    <n v="1"/>
    <n v="0"/>
    <n v="0"/>
    <s v="CORRIENTE"/>
    <x v="3"/>
    <n v="510707"/>
    <s v="COMPENSACIÓN POR VACACIONES NO GOZADAS POR CESACIÓN DE FUNCIONES"/>
    <n v="0"/>
    <n v="151.9"/>
    <n v="0"/>
    <n v="0"/>
    <n v="0"/>
    <n v="0"/>
    <n v="0"/>
    <n v="151.9"/>
    <n v="0"/>
    <n v="0"/>
    <n v="0"/>
    <n v="0"/>
    <n v="0"/>
    <n v="0"/>
    <n v="151.9"/>
    <s v="OK"/>
    <n v="0"/>
    <n v="151.9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3"/>
    <s v="ADMINISTRACIÓN CENTRAL"/>
    <s v="ARRASTRE: CANCELACIÓN POR CONSUMO DE SERVICIO DE AGUA POTABLE CORRESPONDIENTE A DICIEMBRE DEL 2022"/>
    <n v="1"/>
    <x v="0"/>
    <n v="1"/>
    <n v="0"/>
    <n v="1"/>
    <n v="1001"/>
    <s v="IBARRA"/>
    <n v="1"/>
    <n v="0"/>
    <n v="0"/>
    <s v="CORRIENTE"/>
    <x v="0"/>
    <n v="530101"/>
    <s v="AGUA POTABLE"/>
    <n v="125"/>
    <n v="89.09"/>
    <n v="89.09"/>
    <n v="0"/>
    <n v="0"/>
    <n v="0"/>
    <n v="0"/>
    <n v="0"/>
    <n v="0"/>
    <n v="0"/>
    <n v="0"/>
    <n v="0"/>
    <n v="0"/>
    <n v="0"/>
    <n v="89.09"/>
    <s v="OK"/>
    <n v="89.09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3"/>
    <s v="ADMINISTRACIÓN CENTRAL"/>
    <s v="PROVISIÓN POR CONSUMO DE SERVICIO DE AGUA POTABLE PERÍODO ENERO A NOVIEMBRE 2023"/>
    <n v="1"/>
    <x v="0"/>
    <n v="1"/>
    <n v="0"/>
    <n v="1"/>
    <n v="1001"/>
    <s v="IBARRA"/>
    <n v="1"/>
    <n v="0"/>
    <n v="0"/>
    <s v="CORRIENTE"/>
    <x v="0"/>
    <n v="530101"/>
    <s v="AGUA POTABLE"/>
    <n v="1200"/>
    <n v="1365"/>
    <n v="0"/>
    <n v="100"/>
    <n v="100"/>
    <n v="100"/>
    <n v="100"/>
    <n v="100"/>
    <n v="100"/>
    <n v="100"/>
    <n v="100"/>
    <n v="100"/>
    <n v="100"/>
    <n v="365"/>
    <n v="1365"/>
    <s v="OK"/>
    <n v="1200"/>
    <n v="165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3"/>
    <s v="ADMINISTRACIÓN CENTRAL"/>
    <s v="ARRASTRE: CANCELACIÓN POR CONSUMO DE SERVICIO DE ENERGÍA ELÉCTRICA CORRESPONDIENTE A DICIEMBRE DEL 2022"/>
    <n v="1"/>
    <x v="0"/>
    <n v="1"/>
    <n v="0"/>
    <n v="1"/>
    <n v="1001"/>
    <s v="IBARRA"/>
    <n v="1"/>
    <n v="0"/>
    <n v="0"/>
    <s v="CORRIENTE"/>
    <x v="0"/>
    <n v="530104"/>
    <s v="ENERGÍA ELÉCTRICA"/>
    <n v="1200"/>
    <n v="2329.17"/>
    <n v="2329.17"/>
    <n v="0"/>
    <n v="0"/>
    <n v="0"/>
    <n v="0"/>
    <n v="0"/>
    <n v="0"/>
    <n v="0"/>
    <n v="0"/>
    <n v="0"/>
    <n v="0"/>
    <n v="0"/>
    <n v="2329.17"/>
    <s v="OK"/>
    <n v="2329.17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3"/>
    <s v="ADMINISTRACIÓN CENTRAL"/>
    <s v="PROVISIÓN POR CONSUMO DE SERVICIO DE ENERGÍA ELÉCTRICA PERÍODO ENERO A DICIEMBRE 2023"/>
    <n v="1"/>
    <x v="0"/>
    <n v="1"/>
    <n v="0"/>
    <n v="1"/>
    <n v="1001"/>
    <s v="IBARRA"/>
    <n v="1"/>
    <n v="0"/>
    <n v="0"/>
    <s v="CORRIENTE"/>
    <x v="0"/>
    <n v="530104"/>
    <s v="ENERGÍA ELÉCTRICA"/>
    <n v="6400"/>
    <n v="30700"/>
    <n v="0"/>
    <n v="1200"/>
    <n v="1200"/>
    <n v="1200"/>
    <n v="1200"/>
    <n v="1200"/>
    <n v="1200"/>
    <n v="1200"/>
    <n v="1200"/>
    <n v="1200"/>
    <n v="1200"/>
    <n v="18700"/>
    <n v="30700"/>
    <s v="OK"/>
    <n v="3070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3"/>
    <s v="ADMINISTRACIÓN CENTRAL"/>
    <s v="ARRASTRE: CANCELACIÓN POR CONSUMO DE SERVICIO DE CORREO NACIONAL A DICIEMBRE DEL 2022"/>
    <n v="1"/>
    <x v="0"/>
    <n v="1"/>
    <n v="0"/>
    <n v="1"/>
    <n v="1001"/>
    <s v="IBARRA"/>
    <n v="1"/>
    <n v="0"/>
    <n v="0"/>
    <s v="CORRIENTE"/>
    <x v="0"/>
    <n v="530106"/>
    <s v="SERVICIO DE CORREO"/>
    <n v="100"/>
    <n v="9"/>
    <n v="9"/>
    <n v="0"/>
    <n v="0"/>
    <n v="0"/>
    <n v="0"/>
    <n v="0"/>
    <n v="0"/>
    <n v="0"/>
    <n v="0"/>
    <n v="0"/>
    <n v="0"/>
    <n v="0"/>
    <n v="9"/>
    <s v="OK"/>
    <n v="9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3"/>
    <s v="ADMINISTRACIÓN CENTRAL"/>
    <s v="CONTRATACIÓN DEL SERVICIO DE CORREO NACIONAL PERÍODO ENERO A DICIEMBRE 2023"/>
    <n v="1"/>
    <x v="0"/>
    <n v="1"/>
    <n v="0"/>
    <n v="1"/>
    <n v="1001"/>
    <s v="IBARRA"/>
    <n v="1"/>
    <n v="0"/>
    <n v="0"/>
    <s v="CORRIENTE"/>
    <x v="0"/>
    <n v="530106"/>
    <s v="SERVICIO DE CORREO"/>
    <n v="500"/>
    <n v="250"/>
    <n v="0"/>
    <n v="0"/>
    <n v="25"/>
    <n v="25"/>
    <n v="25"/>
    <n v="25"/>
    <n v="25"/>
    <n v="25"/>
    <n v="25"/>
    <n v="25"/>
    <n v="25"/>
    <n v="25"/>
    <n v="250"/>
    <s v="OK"/>
    <n v="25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3"/>
    <s v="ADMINISTRACIÓN CENTRAL"/>
    <s v="ARRASTRE: CANCELACIÓN POR EL SERVICIO DE TRANSPORTE PERSONAL OPERATIVO DICIEMBRE DEL 2022"/>
    <n v="1"/>
    <x v="0"/>
    <n v="1"/>
    <n v="0"/>
    <n v="1"/>
    <n v="1001"/>
    <s v="IBARRA"/>
    <n v="1"/>
    <n v="0"/>
    <n v="0"/>
    <s v="CORRIENTE"/>
    <x v="0"/>
    <n v="530201"/>
    <s v="TRANSPORTE DE PERSONAL"/>
    <n v="6821"/>
    <n v="6820.37"/>
    <n v="6820.37"/>
    <n v="0"/>
    <n v="0"/>
    <n v="0"/>
    <n v="0"/>
    <n v="0"/>
    <n v="0"/>
    <n v="0"/>
    <n v="0"/>
    <n v="0"/>
    <n v="0"/>
    <n v="0"/>
    <n v="6820.37"/>
    <s v="OK"/>
    <n v="6820.37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3"/>
    <s v="ADMINISTRACIÓN CENTRAL"/>
    <s v="CONTRATACIÓN DEL SERVICIO DE TRANSPORTE PARA SERVIDORES DEL ÁREA OPERATIVA DEL CENTRO OPERATIVO ZONAL ECU 911 IBARRA PARA ENERO-DICIEMBRE 2023, SE PAGA A MES VENCIDO"/>
    <n v="1"/>
    <x v="0"/>
    <n v="1"/>
    <n v="0"/>
    <n v="1"/>
    <n v="1001"/>
    <s v="IBARRA"/>
    <n v="1"/>
    <n v="0"/>
    <n v="0"/>
    <s v="CORRIENTE"/>
    <x v="0"/>
    <n v="530201"/>
    <s v="TRANSPORTE DE PERSONAL"/>
    <n v="72000"/>
    <n v="65865"/>
    <n v="0"/>
    <n v="5987.73"/>
    <n v="5987.73"/>
    <n v="5987.73"/>
    <n v="5987.73"/>
    <n v="5987.73"/>
    <n v="5987.73"/>
    <n v="5987.73"/>
    <n v="5987.73"/>
    <n v="5987.73"/>
    <n v="5987.73"/>
    <n v="5987.7"/>
    <n v="65864.999999999985"/>
    <s v="OK"/>
    <n v="65865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3"/>
    <s v="ADMINISTRACIÓN CENTRAL"/>
    <s v="ADQUISICIÓN DE BIENES Y CANCELACIÓN DE SERVICIOS NO PREVISIBLES, URGENTES Y DE VALOR REDUCIDO (CAJA CHICA)"/>
    <n v="2"/>
    <x v="0"/>
    <n v="1"/>
    <n v="0"/>
    <n v="1"/>
    <n v="1001"/>
    <s v="IBARRA"/>
    <n v="1"/>
    <n v="0"/>
    <n v="0"/>
    <s v="CORRIENTE"/>
    <x v="0"/>
    <n v="530202"/>
    <s v="FLETES Y MANIOBRAS"/>
    <n v="10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3"/>
    <s v="ADMINISTRACIÓN CENTRAL"/>
    <s v="CONTRATACIÓN DEL SERVICIO DE RECARGA DE EXTINTORES DEL CENTRO"/>
    <n v="1"/>
    <x v="0"/>
    <n v="1"/>
    <n v="0"/>
    <n v="1"/>
    <n v="1001"/>
    <s v="IBARRA"/>
    <n v="1"/>
    <n v="0"/>
    <n v="0"/>
    <s v="CORRIENTE"/>
    <x v="0"/>
    <n v="530203"/>
    <s v="ALMACENAMIENTO, EMBALAJE, DESEMBALAJE, ENVASE, DESENVASE Y RECARGA DE EXTINTORES"/>
    <n v="300"/>
    <n v="253.54"/>
    <n v="0"/>
    <n v="0"/>
    <n v="0"/>
    <n v="0"/>
    <n v="0"/>
    <n v="0"/>
    <n v="0"/>
    <n v="253.54"/>
    <n v="0"/>
    <n v="0"/>
    <n v="0"/>
    <n v="0"/>
    <n v="253.54"/>
    <s v="OK"/>
    <n v="253.54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3 INCREMENTAR EL POSICIONAMIENTO DEL SERVICIO INTEGRADO DE SEGURIDAD ECU 911 A NIVEL NACIONAL E INTER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6"/>
    <s v="COMUNICACIÓN SOCIAL"/>
    <s v="SUSCRIPCIÓN CON DIARIO EL NORTE PARA PROVISIÓN DE DIARIOS EN FORMATO DIGITAL DURANTE UN AÑO"/>
    <n v="2"/>
    <x v="0"/>
    <n v="1"/>
    <n v="0"/>
    <n v="1"/>
    <n v="1001"/>
    <s v="IBARRA"/>
    <n v="1"/>
    <n v="0"/>
    <n v="0"/>
    <s v="CORRIENTE"/>
    <x v="0"/>
    <n v="530204"/>
    <s v="EDICIÓN, IMPRESIÓN, REPRODUCCIÓN, PUBLICACIONES, SUSCRIPCIONES, FOTOCOPIADO, TRADUCCIÓN, EMPASTADO, ENMARCACIÓN, SERIGRAFÍA, FOTOGRAFÍA, CARNETIZACIÓN, FILMACIÓN E IMÁGENES SATELITALES"/>
    <n v="10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3 INCREMENTAR EL POSICIONAMIENTO DEL SERVICIO INTEGRADO DE SEGURIDAD ECU 911 A NIVEL NACIONAL E INTER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6"/>
    <s v="COMUNICACIÓN SOCIAL"/>
    <s v="ADQUISICIÓN DE MATERIAL DE POSICIONAMIENTO E IDENTIDAD DEL ECU 911 PARA EL CENTRO OPERATIVO ECU 911 IBARRA"/>
    <n v="2"/>
    <x v="0"/>
    <n v="1"/>
    <n v="0"/>
    <n v="1"/>
    <n v="1001"/>
    <s v="IBARRA"/>
    <n v="1"/>
    <n v="0"/>
    <n v="0"/>
    <s v="CORRIENTE"/>
    <x v="0"/>
    <n v="530204"/>
    <s v="EDICIÓN, IMPRESIÓN, REPRODUCCIÓN, PUBLICACIONES, SUSCRIPCIONES, FOTOCOPIADO, TRADUCCIÓN, EMPASTADO, ENMARCACIÓN, SERIGRAFÍA, FOTOGRAFÍA, CARNETIZACIÓN, FILMACIÓN E IMÁGENES SATELITALES"/>
    <n v="196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3"/>
    <s v="ADMINISTRACIÓN CENTRAL"/>
    <s v="ADQUISICIÓN DE BIENES Y PAGO DE SERVICIOS NO PREVISIBLES, URGENTES Y DE VALOR REDUCIDO (CAJA CHICA)"/>
    <n v="2"/>
    <x v="0"/>
    <n v="1"/>
    <n v="0"/>
    <n v="1"/>
    <n v="1001"/>
    <s v="IBARRA"/>
    <n v="1"/>
    <n v="0"/>
    <n v="0"/>
    <s v="CORRIENTE"/>
    <x v="0"/>
    <n v="530204"/>
    <s v="EDICIÓN, IMPRESIÓN, REPRODUCCIÓN, PUBLICACIONES, SUSCRIPCIONES, FOTOCOPIADO, TRADUCCIÓN, EMPASTADO, ENMARCACIÓN, SERIGRAFÍA, FOTOGRAFÍA, CARNETIZACIÓN, FILMACIÓN E IMÁGENES SATELITALES"/>
    <n v="100"/>
    <n v="50"/>
    <n v="0"/>
    <n v="0"/>
    <n v="0"/>
    <n v="0"/>
    <n v="0"/>
    <n v="0"/>
    <n v="0"/>
    <n v="0"/>
    <n v="0"/>
    <n v="0"/>
    <n v="0"/>
    <n v="50"/>
    <n v="50"/>
    <s v="OK"/>
    <n v="50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3"/>
    <s v="ADMINISTRACIÓN CENTRAL"/>
    <s v="ARRASTRE CANCELACIÓN POR EL SERVICIO DE SEGURIDAD Y VIGILANCIA DE LOS CENTROS OPERATIVOS QUE CONFORMAN LA ZONA 1  DICIEMBRE 2022, SE PAGA A MES VENCIDO"/>
    <n v="1"/>
    <x v="0"/>
    <n v="1"/>
    <n v="0"/>
    <n v="1"/>
    <n v="1001"/>
    <s v="IBARRA"/>
    <n v="1"/>
    <n v="0"/>
    <n v="0"/>
    <s v="CORRIENTE"/>
    <x v="0"/>
    <n v="530208"/>
    <s v="SERVICIO DE SEGURIDAD Y VIGILANCIA"/>
    <n v="23126"/>
    <n v="23125.7"/>
    <n v="23125.7"/>
    <n v="0"/>
    <n v="0"/>
    <n v="0"/>
    <n v="0"/>
    <n v="0"/>
    <n v="0"/>
    <n v="0"/>
    <n v="0"/>
    <n v="0"/>
    <n v="0"/>
    <n v="0"/>
    <n v="23125.7"/>
    <s v="OK"/>
    <n v="23125.7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3"/>
    <s v="ADMINISTRACIÓN CENTRAL"/>
    <s v="CONTRATACIÓN DEL SERVICIO DE SEGURIDAD Y VIGILANCIA DE LOS CENTROS OPERATIVOS QUE CONFORMAN LA ZONA 1, AÑO 2023 SE PAGA A MES VENCIDO"/>
    <n v="1"/>
    <x v="0"/>
    <n v="1"/>
    <n v="0"/>
    <n v="1"/>
    <n v="1001"/>
    <s v="IBARRA"/>
    <n v="1"/>
    <n v="0"/>
    <n v="0"/>
    <s v="CORRIENTE"/>
    <x v="0"/>
    <n v="530208"/>
    <s v="SERVICIO DE SEGURIDAD Y VIGILANCIA"/>
    <n v="343000"/>
    <n v="343575.36"/>
    <n v="0"/>
    <n v="31234.12"/>
    <n v="31234.12"/>
    <n v="31234.12"/>
    <n v="31234.12"/>
    <n v="31234.12"/>
    <n v="31234.12"/>
    <n v="31234.12"/>
    <n v="31234.12"/>
    <n v="31234.12"/>
    <n v="31234.12"/>
    <n v="31234.159999999974"/>
    <n v="343575.36"/>
    <s v="OK"/>
    <n v="343575.36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3"/>
    <s v="ADMINISTRACIÓN CENTRAL"/>
    <s v="ARRASTRE: CANCELACIÓN POR EL SERVICIO DE LIMPIEZA DEL CENTRO OPERATIVO ZONAL ECU 911 IBARRA DICIEMBRE DEL 2022"/>
    <n v="1"/>
    <x v="0"/>
    <n v="1"/>
    <n v="0"/>
    <n v="1"/>
    <n v="1001"/>
    <s v="IBARRA"/>
    <n v="1"/>
    <n v="0"/>
    <n v="0"/>
    <s v="CORRIENTE"/>
    <x v="0"/>
    <n v="530209"/>
    <s v="SERVICIOS DE ASEO, LAVADO DE VESTIMENTA DE TRABAJO, FUMIGACIÓN, DESINFECCIÓN, LIMPIEZA DE INSTALACIONES, MANEJO DE DESECHOS CONTAMINADOS, RECUPERACIÓN Y CLASIFICACIÓN DE MATERIALES RECICLABLES"/>
    <n v="2967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3"/>
    <s v="ADMINISTRACIÓN CENTRAL"/>
    <s v="CONTRATACIÓN DEL SERVICIO DE LIMPIEZA PARA EL CENTRO OPERATIVO ZONAL ECU 911 IBARRA PERÍODO 2023 SE PAGA A MES VENCIDO"/>
    <n v="1"/>
    <x v="0"/>
    <n v="1"/>
    <n v="0"/>
    <n v="1"/>
    <n v="1001"/>
    <s v="IBARRA"/>
    <n v="1"/>
    <n v="0"/>
    <n v="0"/>
    <s v="CORRIENTE"/>
    <x v="0"/>
    <n v="530209"/>
    <s v="SERVICIOS DE ASEO, LAVADO DE VESTIMENTA DE TRABAJO, FUMIGACIÓN, DESINFECCIÓN, LIMPIEZA DE INSTALACIONES, MANEJO DE DESECHOS CONTAMINADOS, RECUPERACIÓN Y CLASIFICACIÓN DE MATERIALES RECICLABLES"/>
    <n v="14835"/>
    <n v="35604"/>
    <n v="0"/>
    <n v="3236.73"/>
    <n v="3236.73"/>
    <n v="3236.73"/>
    <n v="3236.73"/>
    <n v="3236.73"/>
    <n v="3236.73"/>
    <n v="3236.73"/>
    <n v="3236.73"/>
    <n v="3236.73"/>
    <n v="3236.73"/>
    <n v="3236.7000000000007"/>
    <n v="35604"/>
    <s v="OK"/>
    <n v="35604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3"/>
    <s v="ADMINISTRACIÓN CENTRAL"/>
    <s v="CANCELACIÓN DE SERVICIOS DE GUARDERÍA DE LA COORDINACIÓN ZONAL 1 SIS ECU 911 IBARRA EN CUMPLIMIENTO AL ACUERDO MINISTERIAL Nro.  MDT-2023-085"/>
    <n v="2"/>
    <x v="0"/>
    <n v="1"/>
    <n v="0"/>
    <n v="1"/>
    <n v="1001"/>
    <s v="IBARRA"/>
    <n v="1"/>
    <n v="0"/>
    <n v="0"/>
    <s v="CORRIENTE"/>
    <x v="0"/>
    <n v="530210"/>
    <s v="SERVICIO DE GUARDERÍA"/>
    <n v="0"/>
    <n v="3162"/>
    <n v="0"/>
    <n v="0"/>
    <n v="0"/>
    <n v="0"/>
    <n v="0"/>
    <n v="0"/>
    <n v="0"/>
    <n v="0"/>
    <n v="0"/>
    <n v="0"/>
    <n v="1581"/>
    <n v="1581"/>
    <n v="3162"/>
    <s v="OK"/>
    <n v="0"/>
    <n v="3162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3"/>
    <s v="ADMINISTRACIÓN CENTRAL"/>
    <s v="REEMBOLSO DE GASTOS POR RENOVACION DE FIRMA ELECTRONICA PARA EMISION DE COMPROBANTES DE RETENCION ELECTRONICOS ESIGEF"/>
    <n v="2"/>
    <x v="0"/>
    <n v="1"/>
    <n v="0"/>
    <n v="1"/>
    <n v="1001"/>
    <s v="IBARRA"/>
    <n v="1"/>
    <n v="0"/>
    <n v="0"/>
    <s v="CORRIENTE"/>
    <x v="2"/>
    <n v="530228"/>
    <s v="SERVICIOS DE PROVISIÓN DE DISPOSITIVOS ELECTRONICOS Y CERTIFICACION PARA REGISTRO DE FIRMAS DIGITALES"/>
    <n v="0"/>
    <n v="40.32"/>
    <n v="0"/>
    <n v="0"/>
    <n v="0"/>
    <n v="0"/>
    <n v="0"/>
    <n v="0"/>
    <n v="0"/>
    <n v="0"/>
    <n v="0"/>
    <n v="0"/>
    <n v="0"/>
    <n v="40.32"/>
    <n v="40.32"/>
    <s v="OK"/>
    <n v="0"/>
    <n v="40.32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3"/>
    <s v="ADMINISTRACIÓN CENTRAL"/>
    <s v="CONTRATACIÓN DEL SERVICIO DE RASTREO SATELITAL (GPS) INCLUYE EQUIPOS A PRÉSTAMO PARA LOS VEHÍCULOS DEL CENTRO OPERATIVO ZONAL ECU 911 IBARRA"/>
    <n v="2"/>
    <x v="0"/>
    <n v="1"/>
    <n v="0"/>
    <n v="1"/>
    <n v="1001"/>
    <s v="IBARRA"/>
    <n v="1"/>
    <n v="0"/>
    <n v="0"/>
    <s v="CORRIENTE"/>
    <x v="0"/>
    <n v="530246"/>
    <s v="SERVICIOS DE IDENTIFICACIÓN, MARCACIÓN, AUTENTIFICACIÓN, RASTREO, MONITOREO, SEGUIMIENTO Y/O TRAZABILIDAD"/>
    <n v="0"/>
    <n v="376.08"/>
    <n v="0"/>
    <n v="0"/>
    <n v="0"/>
    <n v="0"/>
    <n v="376.08"/>
    <n v="0"/>
    <n v="0"/>
    <n v="0"/>
    <n v="0"/>
    <n v="0"/>
    <n v="0"/>
    <n v="0"/>
    <n v="376.08"/>
    <s v="OK"/>
    <n v="376.08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3"/>
    <s v="ADMINISTRACIÓN CENTRAL"/>
    <s v="ARRASTRE CANCELACIÓN POR ADQUISICIÓN DE COMBUSTIBLES PARA MOVILIZACIÓN DE VEHÍCULOS DEL CENTRO OPERATIVO ZONAL ECU 911 IBARRA DICIEMBRE 2022"/>
    <n v="1"/>
    <x v="0"/>
    <n v="1"/>
    <n v="0"/>
    <n v="1"/>
    <n v="1001"/>
    <s v="IBARRA"/>
    <n v="1"/>
    <n v="0"/>
    <n v="0"/>
    <s v="CORRIENTE"/>
    <x v="0"/>
    <n v="530255"/>
    <s v="COMBUSTIBLES"/>
    <n v="0"/>
    <n v="196.46"/>
    <n v="196.46"/>
    <n v="0"/>
    <n v="0"/>
    <n v="0"/>
    <n v="0"/>
    <n v="0"/>
    <n v="0"/>
    <n v="0"/>
    <n v="0"/>
    <n v="0"/>
    <n v="0"/>
    <n v="0"/>
    <n v="196.46"/>
    <s v="OK"/>
    <n v="196.46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3"/>
    <s v="ADMINISTRACIÓN CENTRAL"/>
    <s v="ADQUISICIÓN DE COMBUSTIBLES PARA MOVILIZACIÓN DE VEHÍCULOS DEL CENTRO OPERATIVO ZONAL ECU 911 IBARRA PERÍODO 2023"/>
    <n v="1"/>
    <x v="0"/>
    <n v="1"/>
    <n v="0"/>
    <n v="1"/>
    <n v="1001"/>
    <s v="IBARRA"/>
    <n v="1"/>
    <n v="0"/>
    <n v="0"/>
    <s v="CORRIENTE"/>
    <x v="0"/>
    <n v="530255"/>
    <s v="COMBUSTIBLES"/>
    <n v="0"/>
    <n v="2243.33"/>
    <n v="0"/>
    <n v="203.94"/>
    <n v="203.94"/>
    <n v="203.94"/>
    <n v="203.94"/>
    <n v="203.94"/>
    <n v="203.94"/>
    <n v="203.94"/>
    <n v="203.94"/>
    <n v="203.94"/>
    <n v="203.94"/>
    <n v="203.93"/>
    <n v="2243.3300000000004"/>
    <s v="OK"/>
    <n v="2243.33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3"/>
    <s v="ADMINISTRACIÓN CENTRAL"/>
    <s v="REPOSICIÓN DE ADQUISICIÓN DE COMBUSTIBLES EN CUMPLIMIENTO DE COMISIÓN DE SERVICIOS AL INTERIOR DE LOS SERVIDORES DEL CENTRO OPERATIVO ZONAL ECU 911 IBARRA PERÍODO 2023"/>
    <n v="1"/>
    <x v="0"/>
    <n v="1"/>
    <n v="0"/>
    <n v="1"/>
    <n v="1001"/>
    <s v="IBARRA"/>
    <n v="1"/>
    <n v="0"/>
    <n v="0"/>
    <s v="CORRIENTE"/>
    <x v="0"/>
    <n v="530255"/>
    <s v="COMBUSTIBLES"/>
    <n v="0"/>
    <n v="400"/>
    <n v="0"/>
    <n v="0"/>
    <n v="0"/>
    <n v="0"/>
    <n v="0"/>
    <n v="0"/>
    <n v="0"/>
    <n v="0"/>
    <n v="0"/>
    <n v="0"/>
    <n v="0"/>
    <n v="400"/>
    <n v="400"/>
    <s v="OK"/>
    <n v="400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3"/>
    <s v="ADMINISTRACIÓN CENTRAL"/>
    <s v="PROVISIÓN PARA MOVILIZACIONES TERRESTRES DE FUNCIONARIOS DEL ECU 911  POR ACTIVIDADES INSTITUCIONALES AÑO 2023"/>
    <n v="1"/>
    <x v="0"/>
    <n v="1"/>
    <n v="0"/>
    <n v="1"/>
    <n v="1001"/>
    <s v="IBARRA"/>
    <n v="1"/>
    <n v="0"/>
    <n v="0"/>
    <s v="CORRIENTE"/>
    <x v="0"/>
    <n v="530301"/>
    <s v="PASAJES AL INTERIOR"/>
    <n v="100"/>
    <n v="1100"/>
    <n v="0"/>
    <n v="0"/>
    <n v="0"/>
    <n v="0"/>
    <n v="0"/>
    <n v="0"/>
    <n v="0"/>
    <n v="0"/>
    <n v="0"/>
    <n v="0"/>
    <n v="0"/>
    <n v="1100"/>
    <n v="1100"/>
    <s v="OK"/>
    <n v="1100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3"/>
    <s v="ADMINISTRACIÓN CENTRAL"/>
    <s v="PROVISIÓN PARA ALIMENTACIÓN Y ESTADÍA DE LOS FUNCIONARIOS DEL CENTRO OPERATIVO ZONAL ECU 911 IBARRA POR COMISIÓN FUERA DE LA PROVINCIA EN EL AÑO 2023"/>
    <n v="1"/>
    <x v="0"/>
    <n v="1"/>
    <n v="0"/>
    <n v="1"/>
    <n v="1001"/>
    <s v="IBARRA"/>
    <n v="1"/>
    <n v="0"/>
    <n v="0"/>
    <s v="CORRIENTE"/>
    <x v="0"/>
    <n v="530303"/>
    <s v="VIÁTICOS Y SUBSISTENCIAS EN EL INTERIOR"/>
    <n v="4000"/>
    <n v="11370"/>
    <n v="0"/>
    <n v="0"/>
    <n v="0"/>
    <n v="0"/>
    <n v="0"/>
    <n v="0"/>
    <n v="0"/>
    <n v="0"/>
    <n v="0"/>
    <n v="0"/>
    <n v="0"/>
    <n v="11370"/>
    <n v="11370"/>
    <s v="OK"/>
    <n v="6000"/>
    <n v="537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3"/>
    <s v="ADMINISTRACIÓN CENTRAL"/>
    <s v="CONTRATACIÓN PARA MANTENIMIENTO DE INFRAESTRUCTURA DEL CENTRO OPERATIVO ZONAL ECU 911 IBARRA PARA EL 2023"/>
    <n v="2"/>
    <x v="0"/>
    <n v="1"/>
    <n v="0"/>
    <n v="1"/>
    <n v="1001"/>
    <s v="IBARRA"/>
    <n v="1"/>
    <n v="0"/>
    <n v="0"/>
    <s v="CORRIENTE"/>
    <x v="0"/>
    <n v="530402"/>
    <s v="EDIFICIOS, LOCALES, RESIDENCIAS Y CABLEADO ESTRUCTURADO (INSTALACIÓN, MANTENIMIENTO Y REPARACIÓN)"/>
    <n v="1000"/>
    <n v="34830.820000000007"/>
    <n v="0"/>
    <n v="0"/>
    <n v="0"/>
    <n v="0"/>
    <n v="0"/>
    <n v="0"/>
    <n v="0"/>
    <n v="0"/>
    <n v="6300"/>
    <n v="0"/>
    <n v="0"/>
    <n v="28530.820000000007"/>
    <n v="34830.820000000007"/>
    <s v="OK"/>
    <n v="0"/>
    <n v="34830.820000000007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3"/>
    <s v="ADMINISTRACIÓN CENTRAL"/>
    <s v="CONTRATACIÓN DEL SERVICIO DE MANTENIMIENTO DEL SISTEMA ELÉCTRICO DE LOS CENTROS OPERATIVOS ECU 911 IBARRA, TULCÁN, NUEVA LOJA Y ESMERALDAS AÑO 2023"/>
    <n v="1"/>
    <x v="0"/>
    <n v="1"/>
    <n v="0"/>
    <n v="1"/>
    <n v="1001"/>
    <s v="IBARRA"/>
    <n v="1"/>
    <n v="0"/>
    <n v="0"/>
    <s v="CORRIENTE"/>
    <x v="0"/>
    <n v="530402"/>
    <s v="EDIFICIOS, LOCALES, RESIDENCIAS Y CABLEADO ESTRUCTURADO (INSTALACIÓN, MANTENIMIENTO Y REPARACIÓN)"/>
    <n v="175000"/>
    <n v="100707.93000000002"/>
    <n v="0"/>
    <n v="0"/>
    <n v="0"/>
    <n v="0"/>
    <n v="0"/>
    <n v="16784.66"/>
    <n v="16784.66"/>
    <n v="16784.66"/>
    <n v="16784.66"/>
    <n v="16784.66"/>
    <n v="16784.63"/>
    <n v="0"/>
    <n v="100707.93000000001"/>
    <s v="OK"/>
    <n v="100707.93000000001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3"/>
    <s v="ADMINISTRACIÓN CENTRAL"/>
    <s v="CONTRATACIÓN DEL SERVICIO DE MANTENIMIENTO PREVENTIVO Y CORRECTIVO DEL SISTEMA CONTRAINCENDIOS PARA LOS CENTROS OPERATIVOS ECU 911 IBARRA, TULCÁN, ESMERALDAS Y NUEVA LOJA AÑO 2023"/>
    <n v="1"/>
    <x v="0"/>
    <n v="1"/>
    <n v="0"/>
    <n v="1"/>
    <n v="1001"/>
    <s v="IBARRA"/>
    <n v="1"/>
    <n v="0"/>
    <n v="0"/>
    <s v="CORRIENTE"/>
    <x v="0"/>
    <n v="530402"/>
    <s v="EDIFICIOS, LOCALES, RESIDENCIAS Y CABLEADO ESTRUCTURADO (INSTALACIÓN, MANTENIMIENTO Y REPARACIÓN)"/>
    <n v="40038"/>
    <n v="86724.82"/>
    <n v="0"/>
    <n v="0"/>
    <n v="0"/>
    <n v="0"/>
    <n v="0"/>
    <n v="0"/>
    <n v="0"/>
    <n v="86724.82"/>
    <n v="0"/>
    <n v="0"/>
    <n v="0"/>
    <n v="0"/>
    <n v="86724.82"/>
    <s v="OK"/>
    <n v="86724.82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3"/>
    <s v="ADMINISTRACIÓN CENTRAL"/>
    <s v="CONTRATACIÓN DEL SERVICIO DE MANTENIMIENTO Y REPARACIÓN DE MOBILIARIO DEL CENTRO AÑO 2023"/>
    <n v="2"/>
    <x v="0"/>
    <n v="1"/>
    <n v="0"/>
    <n v="1"/>
    <n v="1001"/>
    <s v="IBARRA"/>
    <n v="1"/>
    <n v="0"/>
    <n v="0"/>
    <s v="CORRIENTE"/>
    <x v="0"/>
    <n v="530403"/>
    <s v="MOBILIARIOS (INSTALACIÓN, MANTENIMIENTO Y REPARACIÓN)"/>
    <n v="2000"/>
    <n v="3284.75"/>
    <n v="0"/>
    <n v="0"/>
    <n v="0"/>
    <n v="0"/>
    <n v="0"/>
    <n v="0"/>
    <n v="0"/>
    <n v="0"/>
    <n v="3284.75"/>
    <n v="0"/>
    <n v="0"/>
    <n v="0"/>
    <n v="3284.75"/>
    <s v="OK"/>
    <n v="3284.75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3"/>
    <s v="ADMINISTRACIÓN CENTRAL"/>
    <s v="CONTRATACIÓN DEL SERVICIO DE MANTENIMIENTO PREVENTIVO Y CORRECTIVO PARA EL SOSTENIMIENTO TECNOLÓGICO DEL SISTEMA DE CLIMATIZACIÓN DE LOS CENTROS OPERATIVOS  ECU 911 IBARRA, ESMERALDAS, TULCÁN Y NUEVA LOJA AÑO 2023"/>
    <n v="1"/>
    <x v="0"/>
    <n v="1"/>
    <n v="0"/>
    <n v="1"/>
    <n v="1001"/>
    <s v="IBARRA"/>
    <n v="1"/>
    <n v="0"/>
    <n v="0"/>
    <s v="CORRIENTE"/>
    <x v="0"/>
    <n v="530404"/>
    <s v="MAQUINARIAS Y EQUIPOS (INSTALACIÓN, MANTENIMIENTO Y REPARACIÓN)"/>
    <n v="160000"/>
    <n v="97000"/>
    <n v="0"/>
    <n v="8818.18"/>
    <n v="8818.18"/>
    <n v="8818.18"/>
    <n v="8818.18"/>
    <n v="8818.18"/>
    <n v="8818.18"/>
    <n v="8818.18"/>
    <n v="8818.18"/>
    <n v="8818.18"/>
    <n v="8818.18"/>
    <n v="8818.2000000000007"/>
    <n v="96999.999999999985"/>
    <s v="OK"/>
    <n v="9700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3"/>
    <s v="ADMINISTRACIÓN CENTRAL"/>
    <s v="CONTRATACIÓN DEL SERVICIO DE MANTENIMIENTO PREVENTIVO Y CORRECTIVO DEL ASCENSOR AÑO 2023"/>
    <n v="2"/>
    <x v="0"/>
    <n v="1"/>
    <n v="0"/>
    <n v="1"/>
    <n v="1001"/>
    <s v="IBARRA"/>
    <n v="1"/>
    <n v="0"/>
    <n v="0"/>
    <s v="CORRIENTE"/>
    <x v="0"/>
    <n v="530404"/>
    <s v="MAQUINARIAS Y EQUIPOS (INSTALACIÓN, MANTENIMIENTO Y REPARACIÓN)"/>
    <n v="2160"/>
    <n v="1927.75"/>
    <n v="0"/>
    <n v="0"/>
    <n v="192.78"/>
    <n v="192.78"/>
    <n v="192.78"/>
    <n v="192.78"/>
    <n v="192.78"/>
    <n v="192.78"/>
    <n v="192.78"/>
    <n v="192.78"/>
    <n v="192.78"/>
    <n v="192.73"/>
    <n v="1927.75"/>
    <s v="OK"/>
    <n v="1927.75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3"/>
    <s v="ADMINISTRACIÓN CENTRAL"/>
    <s v="CONTRATACIÓN DEL SERVICIO DE MANTENIMIENTO PREVENTIVO Y CORRECTIVO DE ELECTRODOMÉSTICOS DEL CENTRO OPERATIVO ZONAL ECU 911 IBARRA"/>
    <n v="3"/>
    <x v="0"/>
    <n v="1"/>
    <n v="0"/>
    <n v="1"/>
    <n v="1001"/>
    <s v="IBARRA"/>
    <n v="1"/>
    <n v="0"/>
    <n v="0"/>
    <s v="CORRIENTE"/>
    <x v="0"/>
    <n v="530404"/>
    <s v="MAQUINARIAS Y EQUIPOS (INSTALACIÓN, MANTENIMIENTO Y REPARACIÓN)"/>
    <n v="1000"/>
    <n v="682.5"/>
    <n v="0"/>
    <n v="0"/>
    <n v="0"/>
    <n v="0"/>
    <n v="0"/>
    <n v="500"/>
    <n v="0"/>
    <n v="0"/>
    <n v="182.5"/>
    <n v="0"/>
    <n v="0"/>
    <n v="0"/>
    <n v="682.5"/>
    <s v="OK"/>
    <n v="505"/>
    <n v="177.5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3"/>
    <s v="ADMINISTRACIÓN CENTRAL"/>
    <s v="CONTRATACIÓN POR MANTENIMIENTO PREVENTIVO Y CORRECTIVO DE FILTROS DE AGUA CON TECNOLOGÍA DE OSMOSIS INVERSA DEL CENTRO OPERATIVO ZONAL ECU 911 IBARRA"/>
    <n v="3"/>
    <x v="0"/>
    <n v="1"/>
    <n v="0"/>
    <n v="1"/>
    <n v="1001"/>
    <s v="IBARRA"/>
    <n v="1"/>
    <n v="0"/>
    <n v="0"/>
    <s v="CORRIENTE"/>
    <x v="0"/>
    <n v="530404"/>
    <s v="MAQUINARIAS Y EQUIPOS (INSTALACIÓN, MANTENIMIENTO Y REPARACIÓN)"/>
    <n v="1000"/>
    <n v="290"/>
    <n v="0"/>
    <n v="0"/>
    <n v="0"/>
    <n v="290"/>
    <n v="0"/>
    <n v="0"/>
    <n v="0"/>
    <n v="0"/>
    <n v="0"/>
    <n v="0"/>
    <n v="0"/>
    <n v="0"/>
    <n v="290"/>
    <s v="OK"/>
    <n v="29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3"/>
    <s v="ADMINISTRACIÓN CENTRAL"/>
    <s v="ADQUISICIÓN DE BIENES Y PAGO DE SERVICIOS NO PREVISIBLES, URGENTES Y DE VALOR REDUCIDO (CAJA CHICA)"/>
    <n v="2"/>
    <x v="0"/>
    <n v="1"/>
    <n v="0"/>
    <n v="1"/>
    <n v="1001"/>
    <s v="IBARRA"/>
    <n v="1"/>
    <n v="0"/>
    <n v="0"/>
    <s v="CORRIENTE"/>
    <x v="0"/>
    <n v="530404"/>
    <s v="MAQUINARIAS Y EQUIPOS (INSTALACIÓN, MANTENIMIENTO Y REPARACIÓN)"/>
    <n v="100"/>
    <n v="100"/>
    <n v="0"/>
    <n v="0"/>
    <n v="0"/>
    <n v="0"/>
    <n v="0"/>
    <n v="0"/>
    <n v="0"/>
    <n v="0"/>
    <n v="0"/>
    <n v="0"/>
    <n v="0"/>
    <n v="100"/>
    <n v="100"/>
    <s v="OK"/>
    <n v="100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3"/>
    <s v="ADMINISTRACIÓN CENTRAL"/>
    <s v="CONTRATACIÓN DE MANO DE OBRA PARA MANTENIMIENTO DE VEHÍCULOS LIVIANOS Y VEHÍCULO PESADO DEL CENTRO OPERATIVO ZONAL ECU 911 IBARRA PARA GARANTIZAR OPERATIVIDAD"/>
    <n v="1"/>
    <x v="0"/>
    <n v="1"/>
    <n v="0"/>
    <n v="1"/>
    <n v="1001"/>
    <s v="IBARRA"/>
    <n v="1"/>
    <n v="0"/>
    <n v="0"/>
    <s v="CORRIENTE"/>
    <x v="0"/>
    <n v="530405"/>
    <s v="VEHÍCULOS (SERVICIO PARA MANTENIMIENTO Y REPARACIÓN)"/>
    <n v="2580"/>
    <n v="1467"/>
    <n v="0"/>
    <n v="0"/>
    <n v="0"/>
    <n v="500"/>
    <n v="0"/>
    <n v="800"/>
    <n v="0"/>
    <n v="167"/>
    <n v="0"/>
    <n v="0"/>
    <n v="0"/>
    <n v="0"/>
    <n v="1467"/>
    <s v="OK"/>
    <n v="1467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3"/>
    <s v="ADMINISTRACIÓN CENTRAL"/>
    <s v="CONTRATACIÓN DEL SERVICIO DE REENCAUCHE DE LLANTAS DE LOS VEHÍCULOS DEL CENTRO OPERATIVO ZONAL ECU 911 IBARRA  AÑO 2023 A FIN DE CUMPLIR EN LO ESTABLECIDO EN LA NORMATIVA PARA INSTITUCIONES DEL ESTADO"/>
    <n v="1"/>
    <x v="0"/>
    <n v="1"/>
    <n v="0"/>
    <n v="1"/>
    <n v="1001"/>
    <s v="IBARRA"/>
    <n v="1"/>
    <n v="0"/>
    <n v="0"/>
    <s v="CORRIENTE"/>
    <x v="0"/>
    <n v="530405"/>
    <s v="VEHÍCULOS (SERVICIO PARA MANTENIMIENTO Y REPARACIÓN)"/>
    <n v="80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3"/>
    <s v="ADMINISTRACIÓN CENTRAL"/>
    <s v="ADQUISICIÓN DE BIENES Y PAGO DE SERVICIOS NO PREVISIBLES, URGENTES Y DE VALOR REDUCIDO (CAJA CHICA)"/>
    <n v="2"/>
    <x v="0"/>
    <n v="1"/>
    <n v="0"/>
    <n v="1"/>
    <n v="1001"/>
    <s v="IBARRA"/>
    <n v="1"/>
    <n v="0"/>
    <n v="0"/>
    <s v="CORRIENTE"/>
    <x v="0"/>
    <n v="530405"/>
    <s v="VEHÍCULOS (SERVICIO PARA MANTENIMIENTO Y REPARACIÓN)"/>
    <n v="100"/>
    <n v="50"/>
    <n v="0"/>
    <n v="0"/>
    <n v="0"/>
    <n v="0"/>
    <n v="0"/>
    <n v="0"/>
    <n v="0"/>
    <n v="0"/>
    <n v="0"/>
    <n v="0"/>
    <n v="0"/>
    <n v="50"/>
    <n v="50"/>
    <s v="OK"/>
    <n v="50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3"/>
    <s v="ADMINISTRACIÓN CENTRAL"/>
    <s v="CONTRATACIÓN DEL SERVICIO DE MANTENIMIENTO PREVENTIVO Y CORRECTIVO DE IMPRESORAS DEL CENTRO OPERATIVO ZONAL ECU 911  IBARRA"/>
    <n v="2"/>
    <x v="0"/>
    <n v="1"/>
    <n v="0"/>
    <n v="1"/>
    <n v="1001"/>
    <s v="IBARRA"/>
    <n v="1"/>
    <n v="0"/>
    <n v="0"/>
    <s v="CORRIENTE"/>
    <x v="0"/>
    <n v="530704"/>
    <s v="MANTENIMIENTO Y REPARACIÓN DE EQUIPOS Y SISTEMAS INFORMÁTICOS "/>
    <n v="800"/>
    <n v="107.13"/>
    <n v="0"/>
    <n v="0"/>
    <n v="0"/>
    <n v="0"/>
    <n v="107.13"/>
    <n v="0"/>
    <n v="0"/>
    <n v="0"/>
    <n v="0"/>
    <n v="0"/>
    <n v="0"/>
    <n v="0"/>
    <n v="107.13"/>
    <s v="OK"/>
    <n v="107.13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3"/>
    <s v="ADMINISTRACIÓN CENTRAL"/>
    <s v="ADQUISICIÓN DE EQUIPOS DE PROTECCIÓN INDIVIDUAL Y ROPA DE TRABAJO"/>
    <n v="1"/>
    <x v="0"/>
    <n v="1"/>
    <n v="0"/>
    <n v="1"/>
    <n v="1001"/>
    <s v="IBARRA"/>
    <n v="1"/>
    <n v="0"/>
    <n v="0"/>
    <s v="CORRIENTE"/>
    <x v="0"/>
    <n v="530802"/>
    <s v="VESTUARIO, LENCERÍA, PRENDAS DE PROTECCIÓN Y ACCESORIOS PARA UNIFORMES DEL PERSONAL DE PROTECCIÓN, VIGILANCIA Y SEGURIDAD"/>
    <n v="1362"/>
    <n v="1246.21"/>
    <n v="0"/>
    <n v="0"/>
    <n v="0"/>
    <n v="0"/>
    <n v="0"/>
    <n v="0"/>
    <n v="0"/>
    <n v="1246.21"/>
    <n v="0"/>
    <n v="0"/>
    <n v="0"/>
    <n v="0"/>
    <n v="1246.21"/>
    <s v="OK"/>
    <n v="1130.4199999999998"/>
    <n v="115.79000000000019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3"/>
    <s v="ADMINISTRACIÓN CENTRAL"/>
    <s v="ADQUISICIÓN DE COMBUSTIBLES, LUBRICANTES, Y ADITIVOS EN GENERAL PARA MANTENIMIENTO DE LOS VEHÍCULOS LIVIANOS Y VEHÍCULO INSTITUCIONAL DEL CENTRO OPERATIVO ZONAL ECU 911 IBARRA AÑO 2023"/>
    <n v="1"/>
    <x v="0"/>
    <n v="1"/>
    <n v="0"/>
    <n v="1"/>
    <n v="1001"/>
    <s v="IBARRA"/>
    <n v="1"/>
    <n v="0"/>
    <n v="0"/>
    <s v="CORRIENTE"/>
    <x v="0"/>
    <n v="530803"/>
    <s v="LUBRICANTES"/>
    <n v="1200"/>
    <n v="902"/>
    <n v="0"/>
    <n v="0"/>
    <n v="0"/>
    <n v="100"/>
    <n v="0"/>
    <n v="250"/>
    <n v="0"/>
    <n v="300"/>
    <n v="0"/>
    <n v="100"/>
    <n v="0"/>
    <n v="152"/>
    <n v="902"/>
    <s v="OK"/>
    <n v="902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3"/>
    <s v="ADMINISTRACIÓN CENTRAL"/>
    <s v="ARRASTRE CANCELACIÓN POR ADQUISICIÓN DE COMBUSTIBLES PARA MOVILIZACIÓN DE VEHÍCULOS DEL CENTRO OPERATIVO ZONAL ECU 911 IBARRA DICIEMBRE 2022"/>
    <n v="1"/>
    <x v="0"/>
    <n v="1"/>
    <n v="0"/>
    <n v="1"/>
    <n v="1001"/>
    <s v="IBARRA"/>
    <n v="1"/>
    <n v="0"/>
    <n v="0"/>
    <s v="CORRIENTE"/>
    <x v="0"/>
    <n v="530803"/>
    <s v="LUBRICANTES"/>
    <n v="25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3"/>
    <s v="ADMINISTRACIÓN CENTRAL"/>
    <s v="ADQUISICIÓN DE COMBUSTIBLES PARA MOVILIZACIÓN DE VEHÍCULOS DEL CENTRO OPERATIVO ZONAL ECU 911 IBARRA PERÍODO 2023"/>
    <n v="1"/>
    <x v="0"/>
    <n v="1"/>
    <n v="0"/>
    <n v="1"/>
    <n v="1001"/>
    <s v="IBARRA"/>
    <n v="1"/>
    <n v="0"/>
    <n v="0"/>
    <s v="CORRIENTE"/>
    <x v="0"/>
    <n v="530803"/>
    <s v="LUBRICANTES"/>
    <n v="230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3"/>
    <s v="ADMINISTRACIÓN CENTRAL"/>
    <s v="ADQUISICIÓN DE COMBUSTIBLES PERÍODO 2023 PARA ABASTECIMIENTO DE GENERADORES DEL CENTRO OPERATIVO ZONAL ECU 911 IBARRA"/>
    <n v="1"/>
    <x v="0"/>
    <n v="1"/>
    <n v="0"/>
    <n v="1"/>
    <n v="1001"/>
    <s v="IBARRA"/>
    <n v="1"/>
    <n v="0"/>
    <n v="0"/>
    <s v="CORRIENTE"/>
    <x v="0"/>
    <n v="530803"/>
    <s v="LUBRICANTES"/>
    <n v="50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3"/>
    <s v="ADMINISTRACIÓN CENTRAL"/>
    <s v="REPOSICIÓN DE ADQUISICIÓN DE COMBUSTIBLES EN CUMPLIMIENTO DE COMISIÓN DE SERVICIOS AL INTERIOR DE LOS SERVIDORES DEL CENTRO OPERATIVO ZONAL ECU 911 IBARRA PERÍODO 2023"/>
    <n v="1"/>
    <x v="0"/>
    <n v="1"/>
    <n v="0"/>
    <n v="1"/>
    <n v="1001"/>
    <s v="IBARRA"/>
    <n v="1"/>
    <n v="0"/>
    <n v="0"/>
    <s v="CORRIENTE"/>
    <x v="0"/>
    <n v="530803"/>
    <s v="LUBRICANTES"/>
    <n v="10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3"/>
    <s v="ADMINISTRACIÓN CENTRAL"/>
    <s v="ADQUISICION DE LUBRICANTES PARA MANTENIMIENTO DE LA INFRAESTRUCTURA DEL CENTRO OPERATIVO ZONAL ECU 911 IBARRA AÑO 2023"/>
    <n v="2"/>
    <x v="0"/>
    <n v="1"/>
    <n v="0"/>
    <n v="1"/>
    <n v="1001"/>
    <s v="IBARRA"/>
    <n v="1"/>
    <n v="0"/>
    <n v="0"/>
    <s v="CORRIENTE"/>
    <x v="0"/>
    <n v="530803"/>
    <s v="LUBRICANTES"/>
    <n v="0"/>
    <n v="39.259999999999991"/>
    <n v="0"/>
    <n v="0"/>
    <n v="0"/>
    <n v="0"/>
    <n v="0"/>
    <n v="0"/>
    <n v="39.259999999999991"/>
    <n v="0"/>
    <n v="0"/>
    <n v="0"/>
    <n v="0"/>
    <n v="0"/>
    <n v="39.259999999999991"/>
    <s v="OK"/>
    <n v="39.26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3"/>
    <s v="ADMINISTRACIÓN CENTRAL"/>
    <s v="ELABORACIÓN DE FORMULARIOS PRE-IMPRESOS Y PRE-NUMERADOS PARA VALES DE CAJA CHICA, INGRESOS Y EGRESOS DE BODEGA, ÓRDENES DE COMBUSTIBLE, ÓRDENES DE MANTENIMIENTO, FORMULARIOS DE PERMISOS DE PERSONAL, SOLICITUD DE MOVILIZACIÓN"/>
    <n v="2"/>
    <x v="0"/>
    <n v="1"/>
    <n v="0"/>
    <n v="1"/>
    <n v="1001"/>
    <s v="IBARRA"/>
    <n v="1"/>
    <n v="0"/>
    <n v="0"/>
    <s v="CORRIENTE"/>
    <x v="0"/>
    <n v="530804"/>
    <s v="MATERIALES DE OFICINA"/>
    <n v="100"/>
    <n v="104.57999999999998"/>
    <n v="0"/>
    <n v="0"/>
    <n v="0"/>
    <n v="0"/>
    <n v="104.58"/>
    <n v="0"/>
    <n v="0"/>
    <n v="0"/>
    <n v="0"/>
    <n v="0"/>
    <n v="0"/>
    <n v="0"/>
    <n v="104.58"/>
    <s v="OK"/>
    <n v="104.58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3"/>
    <s v="ADMINISTRACIÓN CENTRAL"/>
    <s v="ADQUISICIÓN DE MATERIALES DE OFICINA PARA EL CENTRO OPERATIVO ZONAL ECU 911 IBARRA AÑO 2023"/>
    <n v="3"/>
    <x v="0"/>
    <n v="1"/>
    <n v="0"/>
    <n v="1"/>
    <n v="1001"/>
    <s v="IBARRA"/>
    <n v="1"/>
    <n v="0"/>
    <n v="0"/>
    <s v="CORRIENTE"/>
    <x v="0"/>
    <n v="530804"/>
    <s v="MATERIALES DE OFICINA"/>
    <n v="1200"/>
    <n v="352.72"/>
    <n v="0"/>
    <n v="0"/>
    <n v="0"/>
    <n v="352.72"/>
    <n v="0"/>
    <n v="0"/>
    <n v="0"/>
    <n v="0"/>
    <n v="0"/>
    <n v="0"/>
    <n v="0"/>
    <n v="0"/>
    <n v="352.72"/>
    <s v="OK"/>
    <n v="352.72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3 INCREMENTAR EL POSICIONAMIENTO DEL SERVICIO INTEGRADO DE SEGURIDAD ECU 911 A NIVEL NACIONAL E INTER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6"/>
    <s v="COMUNICACIÓN SOCIAL"/>
    <s v="ADQUISICIÓN DE MATERIAL DE POSICIONAMIENTO E IDENTIDAD DEL ECU 911 PARA EL CENTRO OPERATIVO ECU 911 IBARRA"/>
    <n v="2"/>
    <x v="0"/>
    <n v="1"/>
    <n v="0"/>
    <n v="1"/>
    <n v="1001"/>
    <s v="IBARRA"/>
    <n v="1"/>
    <n v="0"/>
    <n v="0"/>
    <s v="CORRIENTE"/>
    <x v="0"/>
    <n v="530804"/>
    <s v="MATERIALES DE OFICINA"/>
    <n v="0"/>
    <n v="510"/>
    <n v="0"/>
    <n v="0"/>
    <n v="0"/>
    <n v="0"/>
    <n v="510"/>
    <n v="0"/>
    <n v="0"/>
    <n v="0"/>
    <n v="0"/>
    <n v="0"/>
    <n v="0"/>
    <n v="0"/>
    <n v="510"/>
    <s v="OK"/>
    <n v="51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3"/>
    <s v="ADMINISTRACIÓN CENTRAL"/>
    <s v="CONTRATACIÓN DEL SERVICIO DE IMPRESIÓN DE MATERIAL ACADÉMICO PARA LOS CURSOS PRESENCIALES DEL SISTEMA DE COMANDO DE INCIDENTES BÁSICO PARA EL CENTRO ZONAL ECU 911 IBARRA"/>
    <n v="1"/>
    <x v="0"/>
    <n v="1"/>
    <n v="0"/>
    <n v="1"/>
    <n v="1001"/>
    <s v="IBARRA"/>
    <n v="1"/>
    <n v="0"/>
    <n v="0"/>
    <s v="CORRIENTE"/>
    <x v="0"/>
    <n v="530804"/>
    <s v="MATERIALES DE OFICINA"/>
    <n v="0"/>
    <n v="712.85"/>
    <n v="0"/>
    <n v="0"/>
    <n v="0"/>
    <n v="0"/>
    <n v="0"/>
    <n v="0"/>
    <n v="0"/>
    <n v="0"/>
    <n v="0"/>
    <n v="0"/>
    <n v="712.85"/>
    <n v="0"/>
    <n v="712.85"/>
    <s v="OK"/>
    <n v="0"/>
    <n v="712.85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3"/>
    <s v="ADMINISTRACIÓN CENTRAL"/>
    <s v="ADQUISICIÓN DE MATERIALES DE ASEO PARA EL CENTRO OPERATIVO ZONAL ECU 911 IBARRA AÑO 2023"/>
    <n v="3"/>
    <x v="0"/>
    <n v="1"/>
    <n v="0"/>
    <n v="1"/>
    <n v="1001"/>
    <s v="IBARRA"/>
    <n v="1"/>
    <n v="0"/>
    <n v="0"/>
    <s v="CORRIENTE"/>
    <x v="0"/>
    <n v="530805"/>
    <s v="MATERIALES DE ASEO"/>
    <n v="400"/>
    <n v="1117.96"/>
    <n v="0"/>
    <n v="0"/>
    <n v="0"/>
    <n v="0"/>
    <n v="517.96"/>
    <n v="0"/>
    <n v="0"/>
    <n v="0"/>
    <n v="0"/>
    <n v="600"/>
    <n v="0"/>
    <n v="0"/>
    <n v="1117.96"/>
    <s v="OK"/>
    <n v="517.96"/>
    <n v="60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3"/>
    <s v="ADMINISTRACIÓN CENTRAL"/>
    <s v="ADQUISICIÓN DE TONERS NEGRO Y DE COLOR PARA IMPRESORAS DEL CENTRO OPERATIVO ZONAL ECU 911 IBARRA AÑO 2023"/>
    <n v="1"/>
    <x v="0"/>
    <n v="1"/>
    <n v="0"/>
    <n v="1"/>
    <n v="1001"/>
    <s v="IBARRA"/>
    <n v="1"/>
    <n v="0"/>
    <n v="0"/>
    <s v="CORRIENTE"/>
    <x v="0"/>
    <n v="530807"/>
    <s v="MATERIALES DE IMPRESIÓN, FOTOGRAFÍA, REPRODUCCIÓN Y PUBLICACIONES"/>
    <n v="6200"/>
    <n v="8683.2000000000007"/>
    <n v="0"/>
    <n v="0"/>
    <n v="0"/>
    <n v="0"/>
    <n v="0"/>
    <n v="0"/>
    <n v="8683.2000000000007"/>
    <n v="0"/>
    <n v="0"/>
    <n v="0"/>
    <n v="0"/>
    <n v="0"/>
    <n v="8683.2000000000007"/>
    <s v="OK"/>
    <n v="8683.2000000000007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3"/>
    <s v="ADMINISTRACIÓN CENTRAL"/>
    <s v="CONTRATACIÓN DEL SERVICIO DE IMPRESIÓN DE MATERIAL ACADÉMICO PARA LOS CURSOS PRESENCIALES DEL SISTEMA DE COMANDO DE INCIDENTES BÁSICO PARA EL CENTRO ZONAL ECU 911 IBARRA"/>
    <n v="1"/>
    <x v="0"/>
    <n v="1"/>
    <n v="0"/>
    <n v="1"/>
    <n v="1001"/>
    <s v="IBARRA"/>
    <n v="1"/>
    <n v="0"/>
    <n v="0"/>
    <s v="CORRIENTE"/>
    <x v="0"/>
    <n v="530807"/>
    <s v="MATERIALES DE IMPRESIÓN, FOTOGRAFÍA, REPRODUCCIÓN Y PUBLICACIONES"/>
    <n v="0"/>
    <n v="632.5"/>
    <n v="0"/>
    <n v="0"/>
    <n v="0"/>
    <n v="0"/>
    <n v="0"/>
    <n v="0"/>
    <n v="0"/>
    <n v="0"/>
    <n v="0"/>
    <n v="0"/>
    <n v="632.5"/>
    <n v="0"/>
    <n v="632.5"/>
    <s v="OK"/>
    <n v="0"/>
    <n v="632.5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3"/>
    <s v="ADMINISTRACIÓN CENTRAL"/>
    <s v="ADQUISICIÓN DE MATERIAL DE FERRETERÍA PARA EL CENTRO OPERATIVO ZONAL ECU 911 IBARRA AÑO 2023"/>
    <n v="1"/>
    <x v="0"/>
    <n v="1"/>
    <n v="0"/>
    <n v="1"/>
    <n v="1001"/>
    <s v="IBARRA"/>
    <n v="1"/>
    <n v="0"/>
    <n v="0"/>
    <s v="CORRIENTE"/>
    <x v="0"/>
    <n v="530811"/>
    <s v="INSUMOS, MATERIALES Y SUMINISTROS PARA CONSTRUCCIÓN, ELECTRICIDAD, PLOMERÍA, CARPINTERÍA, SEÑALIZACIÓN VIAL, NAVEGACIÓN, CONTRA INCENDIOS Y PLACAS"/>
    <n v="1500"/>
    <n v="2867.02"/>
    <n v="0"/>
    <n v="0"/>
    <n v="0"/>
    <n v="0"/>
    <n v="0"/>
    <n v="0"/>
    <n v="2867.02"/>
    <n v="0"/>
    <n v="0"/>
    <n v="0"/>
    <n v="0"/>
    <n v="0"/>
    <n v="2867.02"/>
    <s v="OK"/>
    <n v="2867.02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3"/>
    <s v="ADMINISTRACIÓN CENTRAL"/>
    <s v="ADQUISICIÓN DE BIENES Y PAGO DE SERVICIOS NO PREVISIBLES, URGENTES Y DE VALOR REDUCIDO (CAJA CHICA)"/>
    <n v="2"/>
    <x v="0"/>
    <n v="1"/>
    <n v="0"/>
    <n v="1"/>
    <n v="1001"/>
    <s v="IBARRA"/>
    <n v="1"/>
    <n v="0"/>
    <n v="0"/>
    <s v="CORRIENTE"/>
    <x v="0"/>
    <n v="530811"/>
    <s v="INSUMOS, MATERIALES Y SUMINISTROS PARA CONSTRUCCIÓN, ELECTRICIDAD, PLOMERÍA, CARPINTERÍA, SEÑALIZACIÓN VIAL, NAVEGACIÓN, CONTRA INCENDIOS Y PLACAS"/>
    <n v="500"/>
    <n v="700"/>
    <n v="0"/>
    <n v="0"/>
    <n v="0"/>
    <n v="0"/>
    <n v="0"/>
    <n v="0"/>
    <n v="0"/>
    <n v="0"/>
    <n v="0"/>
    <n v="0"/>
    <n v="0"/>
    <n v="700"/>
    <n v="700"/>
    <s v="OK"/>
    <n v="700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3"/>
    <s v="ADMINISTRACIÓN CENTRAL"/>
    <s v="ADQUISICIÓN DE MATERIALES PARA MANTENIMIENTO DEL SISTEMA HIDRÁULICO Y SANITARIOS DEL EDIFICIO DEL CENTRO OPERATIVO ZONAL ECU 911 IBARRA"/>
    <n v="1"/>
    <x v="0"/>
    <n v="1"/>
    <n v="0"/>
    <n v="1"/>
    <n v="1001"/>
    <s v="IBARRA"/>
    <n v="1"/>
    <n v="0"/>
    <n v="0"/>
    <s v="CORRIENTE"/>
    <x v="0"/>
    <n v="530811"/>
    <s v="INSUMOS, MATERIALES Y SUMINISTROS PARA CONSTRUCCIÓN, ELECTRICIDAD, PLOMERÍA, CARPINTERÍA, SEÑALIZACIÓN VIAL, NAVEGACIÓN, CONTRA INCENDIOS Y PLACAS"/>
    <n v="100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3"/>
    <s v="ADMINISTRACIÓN CENTRAL"/>
    <s v="ADQUISICIÓN DE MATERIALES ELECTRICOS Y ELECTRONICOS PARA EL MANTENIMIENTO DEL SISTEMA ELÉCTRICO DE LOS CENTROS OPERATIVOS ECU 911 IBARRA, TULCÁN, NUEVA LOJA Y ESMERALDAS AÑO 2023"/>
    <n v="1"/>
    <x v="0"/>
    <n v="1"/>
    <n v="0"/>
    <n v="1"/>
    <n v="1001"/>
    <s v="IBARRA"/>
    <n v="1"/>
    <n v="0"/>
    <n v="0"/>
    <s v="CORRIENTE"/>
    <x v="0"/>
    <n v="530811"/>
    <s v="INSUMOS, MATERIALES Y SUMINISTROS PARA CONSTRUCCIÓN, ELECTRICIDAD, PLOMERÍA, CARPINTERÍA, SEÑALIZACIÓN VIAL, NAVEGACIÓN, CONTRA INCENDIOS Y PLACAS"/>
    <n v="0"/>
    <n v="37679.4"/>
    <n v="0"/>
    <n v="0"/>
    <n v="0"/>
    <n v="0"/>
    <n v="0"/>
    <n v="0"/>
    <n v="0"/>
    <n v="37679.4"/>
    <n v="0"/>
    <n v="0"/>
    <n v="0"/>
    <n v="0"/>
    <n v="37679.4"/>
    <s v="OK"/>
    <n v="37679.4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3 INCREMENTAR EL POSICIONAMIENTO DEL SERVICIO INTEGRADO DE SEGURIDAD ECU 911 A NIVEL NACIONAL E INTER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6"/>
    <s v="COMUNICACIÓN SOCIAL"/>
    <s v="ADQUISICIÓN DE MATERIAL DE POSICIONAMIENTO E IDENTIDAD DEL ECU 911 PARA EL CENTRO OPERATIVO ECU 911 IBARRA"/>
    <n v="2"/>
    <x v="0"/>
    <n v="1"/>
    <n v="0"/>
    <n v="1"/>
    <n v="1001"/>
    <s v="IBARRA"/>
    <n v="1"/>
    <n v="0"/>
    <n v="0"/>
    <s v="CORRIENTE"/>
    <x v="0"/>
    <n v="530811"/>
    <s v="INSUMOS, MATERIALES Y SUMINISTROS PARA CONSTRUCCIÓN, ELECTRICIDAD, PLOMERÍA, CARPINTERÍA, SEÑALIZACIÓN VIAL, NAVEGACIÓN, CONTRA INCENDIOS Y PLACAS"/>
    <n v="0"/>
    <n v="470"/>
    <n v="0"/>
    <n v="0"/>
    <n v="0"/>
    <n v="0"/>
    <n v="470"/>
    <n v="0"/>
    <n v="0"/>
    <n v="0"/>
    <n v="0"/>
    <n v="0"/>
    <n v="0"/>
    <n v="0"/>
    <n v="470"/>
    <s v="OK"/>
    <n v="47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3"/>
    <s v="ADMINISTRACIÓN CENTRAL"/>
    <s v="ADQUISICION DE MATERIALES PARA EL SISTEMA CONTRAINCENDIOS PARA LOS CENTROS OPERATIVOS ECU 911 IBARRA, TULCÁN, ESMERALDAS Y NUEVA LOJA AÑO 2023"/>
    <n v="2"/>
    <x v="0"/>
    <n v="1"/>
    <n v="0"/>
    <n v="1"/>
    <n v="1001"/>
    <s v="IBARRA"/>
    <n v="1"/>
    <n v="0"/>
    <n v="0"/>
    <s v="CORRIENTE"/>
    <x v="0"/>
    <n v="530811"/>
    <s v="INSUMOS, MATERIALES Y SUMINISTROS PARA CONSTRUCCIÓN, ELECTRICIDAD, PLOMERÍA, CARPINTERÍA, SEÑALIZACIÓN VIAL, NAVEGACIÓN, CONTRA INCENDIOS Y PLACAS"/>
    <n v="0"/>
    <n v="6830.58"/>
    <n v="0"/>
    <n v="0"/>
    <n v="0"/>
    <n v="0"/>
    <n v="0"/>
    <n v="0"/>
    <n v="0"/>
    <n v="0"/>
    <n v="0"/>
    <n v="0"/>
    <n v="6830.58"/>
    <n v="0"/>
    <n v="6830.58"/>
    <s v="OK"/>
    <n v="6830.58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3"/>
    <s v="ADMINISTRACIÓN CENTRAL"/>
    <s v="ADQUISICIÓN DE REPUESTOS PARA MANTENIMIENTO DE VEHÍCULOS LIVIANOS Y VEHÍCULO PESADO DEL CENTRO OPERATIVO ZONAL ECU 911 IBARRA POR EL PERÍODO 2023"/>
    <n v="1"/>
    <x v="0"/>
    <n v="1"/>
    <n v="0"/>
    <n v="1"/>
    <n v="1001"/>
    <s v="IBARRA"/>
    <n v="1"/>
    <n v="0"/>
    <n v="0"/>
    <s v="CORRIENTE"/>
    <x v="0"/>
    <n v="530813"/>
    <s v="REPUESTOS Y ACCESORIOS"/>
    <n v="1570"/>
    <n v="3220"/>
    <n v="0"/>
    <n v="0"/>
    <n v="0"/>
    <n v="644"/>
    <n v="0"/>
    <n v="644"/>
    <n v="0"/>
    <n v="644"/>
    <n v="0"/>
    <n v="644"/>
    <n v="0"/>
    <n v="644"/>
    <n v="3220"/>
    <s v="OK"/>
    <n v="2974"/>
    <n v="246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3"/>
    <s v="ADMINISTRACIÓN CENTRAL"/>
    <s v="ADQUISICIÓN DE LLANTAS PARAS LOS VEHÍCULOS DEL CENTRO OPERATIVO ZONAL ECU 911 IBARRA AÑO 2023"/>
    <n v="1"/>
    <x v="0"/>
    <n v="1"/>
    <n v="0"/>
    <n v="1"/>
    <n v="1001"/>
    <s v="IBARRA"/>
    <n v="1"/>
    <n v="0"/>
    <n v="0"/>
    <s v="CORRIENTE"/>
    <x v="0"/>
    <n v="530813"/>
    <s v="REPUESTOS Y ACCESORIOS"/>
    <n v="120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3"/>
    <s v="ADMINISTRACIÓN CENTRAL"/>
    <s v="ADQUISICIÓN DE REPUESTOS PARA MANTENIMIENTO PREVENTIVO Y CORRECTIVO DE IMPRESORAS DEL CENTRO OPERATIVO ZONAL ECU 911 IBARRA"/>
    <n v="2"/>
    <x v="0"/>
    <n v="1"/>
    <n v="0"/>
    <n v="1"/>
    <n v="1001"/>
    <s v="IBARRA"/>
    <n v="1"/>
    <n v="0"/>
    <n v="0"/>
    <s v="CORRIENTE"/>
    <x v="0"/>
    <n v="530813"/>
    <s v="REPUESTOS Y ACCESORIOS"/>
    <n v="1000"/>
    <n v="1167.8699999999999"/>
    <n v="0"/>
    <n v="0"/>
    <n v="0"/>
    <n v="0"/>
    <n v="1167.8699999999999"/>
    <n v="0"/>
    <n v="0"/>
    <n v="0"/>
    <n v="0"/>
    <n v="0"/>
    <n v="0"/>
    <n v="0"/>
    <n v="1167.8699999999999"/>
    <s v="OK"/>
    <n v="1167.8699999999999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3"/>
    <s v="ADMINISTRACIÓN CENTRAL"/>
    <s v="ADQUISICIÓN DE REPUESTOS PARA EL MANTENIMIENTO DEL SISTEMA ELÉCTRICO DE LOS CENTROS OPERATIVOS ECU 911 IBARRA, TULCÁN, NUEVA LOJA Y ESMERALDAS AÑO 2023"/>
    <n v="1"/>
    <x v="0"/>
    <n v="1"/>
    <n v="0"/>
    <n v="1"/>
    <n v="1001"/>
    <s v="IBARRA"/>
    <n v="1"/>
    <n v="0"/>
    <n v="0"/>
    <s v="CORRIENTE"/>
    <x v="0"/>
    <n v="530813"/>
    <s v="REPUESTOS Y ACCESORIOS"/>
    <n v="30000"/>
    <n v="8612.6699999999983"/>
    <n v="0"/>
    <n v="0"/>
    <n v="0"/>
    <n v="0"/>
    <n v="0"/>
    <n v="0"/>
    <n v="0"/>
    <n v="0"/>
    <n v="0"/>
    <n v="8612.67"/>
    <n v="0"/>
    <n v="0"/>
    <n v="8612.67"/>
    <s v="OK"/>
    <n v="8612.67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3"/>
    <s v="ADMINISTRACIÓN CENTRAL"/>
    <s v="ADQUISICIÓN DE BIENES Y PAGO DE SERVICIOS NO PREVISIBLES, URGENTES Y DE VALOR REDUCIDO (CAJA CHICA)"/>
    <n v="2"/>
    <x v="0"/>
    <n v="1"/>
    <n v="0"/>
    <n v="1"/>
    <n v="1001"/>
    <s v="IBARRA"/>
    <n v="1"/>
    <n v="0"/>
    <n v="0"/>
    <s v="CORRIENTE"/>
    <x v="0"/>
    <n v="530813"/>
    <s v="REPUESTOS Y ACCESORIOS"/>
    <n v="100"/>
    <n v="100"/>
    <n v="0"/>
    <n v="0"/>
    <n v="0"/>
    <n v="0"/>
    <n v="0"/>
    <n v="0"/>
    <n v="0"/>
    <n v="0"/>
    <n v="0"/>
    <n v="0"/>
    <n v="0"/>
    <n v="100"/>
    <n v="100"/>
    <s v="OK"/>
    <n v="100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3"/>
    <s v="ADMINISTRACIÓN CENTRAL"/>
    <s v="ADQUISICIÓN DE REPUESTOS PARA FILTROS DE AGUA CON TECNOLOGÍA DE OSMOSIS INVERSA DEL CENTRO OPERATIVO ZONAL ECU 911 IBARRA"/>
    <n v="3"/>
    <x v="0"/>
    <n v="1"/>
    <n v="0"/>
    <n v="1"/>
    <n v="1001"/>
    <s v="IBARRA"/>
    <n v="1"/>
    <n v="0"/>
    <n v="0"/>
    <s v="CORRIENTE"/>
    <x v="0"/>
    <n v="530813"/>
    <s v="REPUESTOS Y ACCESORIOS"/>
    <n v="800"/>
    <n v="185"/>
    <n v="0"/>
    <n v="0"/>
    <n v="0"/>
    <n v="185"/>
    <n v="0"/>
    <n v="0"/>
    <n v="0"/>
    <n v="0"/>
    <n v="0"/>
    <n v="0"/>
    <n v="0"/>
    <n v="0"/>
    <n v="185"/>
    <s v="OK"/>
    <n v="185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3"/>
    <s v="ADMINISTRACIÓN CENTRAL"/>
    <s v="ADQUISICIÓN DE REPUESTOS PARA MANTENIMIENTO PREVENTIVO Y CORRECTIVO DE ELECTRODOMÉSTICOS DEL CENTRO OPERATIVO ZONAL ECU 911 IBARRA"/>
    <n v="3"/>
    <x v="0"/>
    <n v="1"/>
    <n v="0"/>
    <n v="1"/>
    <n v="1001"/>
    <s v="IBARRA"/>
    <n v="1"/>
    <n v="0"/>
    <n v="0"/>
    <s v="CORRIENTE"/>
    <x v="0"/>
    <n v="530813"/>
    <s v="REPUESTOS Y ACCESORIOS"/>
    <n v="1500"/>
    <n v="235.66000000000008"/>
    <n v="0"/>
    <n v="0"/>
    <n v="0"/>
    <n v="0"/>
    <n v="0"/>
    <n v="235.66000000000008"/>
    <n v="0"/>
    <n v="0"/>
    <n v="0"/>
    <n v="0"/>
    <n v="0"/>
    <n v="0"/>
    <n v="235.66000000000008"/>
    <s v="OK"/>
    <n v="140"/>
    <n v="95.660000000000082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3"/>
    <s v="ADMINISTRACIÓN CENTRAL"/>
    <s v="ADQUISICION DE REPUESTOS PARA MANTENIMIENTO DE LA INFRAESTRUCTURA DEL CENTRO OPERATIVO ZONAL ECU 911 IBARRA AÑO 2023"/>
    <n v="2"/>
    <x v="0"/>
    <n v="1"/>
    <n v="0"/>
    <n v="1"/>
    <n v="1001"/>
    <s v="IBARRA"/>
    <n v="1"/>
    <n v="0"/>
    <n v="0"/>
    <s v="CORRIENTE"/>
    <x v="0"/>
    <n v="530813"/>
    <s v="REPUESTOS Y ACCESORIOS"/>
    <n v="0"/>
    <n v="152.63999999999999"/>
    <n v="0"/>
    <n v="0"/>
    <n v="0"/>
    <n v="0"/>
    <n v="0"/>
    <n v="0"/>
    <n v="152.63999999999999"/>
    <n v="0"/>
    <n v="0"/>
    <n v="0"/>
    <n v="0"/>
    <n v="0"/>
    <n v="152.63999999999999"/>
    <s v="OK"/>
    <n v="152.63999999999999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3"/>
    <s v="ADMINISTRACIÓN CENTRAL"/>
    <s v="ADQUISICION DE REPUESTOS PARA MANTENIMIENTO PREVENTIVO Y CORRECTIVO DEL SISTEMA CONTRAINCENDIOS PARA LOS CENTROS OPERATIVOS ECU 911 IBARRA, TULCÁN, ESMERALDAS Y NUEVA LOJA AÑO 2023"/>
    <n v="2"/>
    <x v="0"/>
    <n v="1"/>
    <n v="0"/>
    <n v="1"/>
    <n v="1001"/>
    <s v="IBARRA"/>
    <n v="1"/>
    <n v="0"/>
    <n v="0"/>
    <s v="CORRIENTE"/>
    <x v="0"/>
    <n v="530813"/>
    <s v="REPUESTOS Y ACCESORIOS"/>
    <n v="0"/>
    <n v="3444.6"/>
    <n v="0"/>
    <n v="0"/>
    <n v="0"/>
    <n v="0"/>
    <n v="0"/>
    <n v="0"/>
    <n v="0"/>
    <n v="0"/>
    <n v="0"/>
    <n v="3444.6"/>
    <n v="0"/>
    <n v="0"/>
    <n v="3444.6"/>
    <s v="OK"/>
    <n v="3444.6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3"/>
    <s v="ADMINISTRACIÓN CENTRAL"/>
    <s v="ADQUISICION DE BOMBAS CIERRA PUERTAS PARA PISO PARA PUERTAS ABATIBLES DE LA PLANTA BAJA DEL CENTRO OPERATIVO ZONAL ECU 911 IBARRA AÑO 2023"/>
    <n v="2"/>
    <x v="0"/>
    <n v="1"/>
    <n v="0"/>
    <n v="1"/>
    <n v="1001"/>
    <s v="IBARRA"/>
    <n v="1"/>
    <n v="0"/>
    <n v="0"/>
    <s v="CORRIENTE"/>
    <x v="2"/>
    <n v="530813"/>
    <s v="REPUESTOS Y ACCESORIOS"/>
    <n v="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3"/>
    <s v="ADMINISTRACIÓN CENTRAL"/>
    <s v="ADQUISICIÓN DE MENAJE DE HOGAR, SÁBANAS, COBERTORES, FUNDAS DE ALMOHADAS, TOALLAS PARA EL ÁREA DE DORMITORIOS DEL CENTRO OPERATIVO ZONAL ECU 911 IBARRA"/>
    <n v="3"/>
    <x v="0"/>
    <n v="1"/>
    <n v="0"/>
    <n v="1"/>
    <n v="1001"/>
    <s v="IBARRA"/>
    <n v="1"/>
    <n v="0"/>
    <n v="0"/>
    <s v="CORRIENTE"/>
    <x v="0"/>
    <n v="530820"/>
    <s v="MENAJE Y ACCESORIOS DESCARTABLES"/>
    <n v="800"/>
    <n v="116"/>
    <n v="0"/>
    <n v="0"/>
    <n v="0"/>
    <n v="0"/>
    <n v="0"/>
    <n v="0"/>
    <n v="0"/>
    <n v="116"/>
    <n v="0"/>
    <n v="0"/>
    <n v="0"/>
    <n v="0"/>
    <n v="116"/>
    <s v="OK"/>
    <n v="116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3 INCREMENTAR EL POSICIONAMIENTO DEL SERVICIO INTEGRADO DE SEGURIDAD ECU 911 A NIVEL NACIONAL E INTER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6"/>
    <s v="COMUNICACIÓN SOCIAL"/>
    <s v="ADQUISICIÓN DE MATERIAL DE POSICIONAMIENTO E IDENTIDAD DEL ECU 911 PARA EL CENTRO OPERATIVO ECU 911 IBARRA"/>
    <n v="2"/>
    <x v="0"/>
    <n v="1"/>
    <n v="0"/>
    <n v="1"/>
    <n v="1001"/>
    <s v="IBARRA"/>
    <n v="1"/>
    <n v="0"/>
    <n v="0"/>
    <s v="CORRIENTE"/>
    <x v="0"/>
    <n v="530824"/>
    <s v="INSUMOS, BIENES Y MATERIALES PARA PRODUCCIÓN DE PROGRAMAS DE RADIO, TELEVISIÓN, EVENTOS CULTURALES, ARTÍSTICOS Y ENTRETENIMIENTO EN GENERAL"/>
    <n v="0"/>
    <n v="180"/>
    <n v="0"/>
    <n v="0"/>
    <n v="0"/>
    <n v="0"/>
    <n v="180"/>
    <n v="0"/>
    <n v="0"/>
    <n v="0"/>
    <n v="0"/>
    <n v="0"/>
    <n v="0"/>
    <n v="0"/>
    <n v="180"/>
    <s v="OK"/>
    <n v="18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3 INCREMENTAR EL POSICIONAMIENTO DEL SERVICIO INTEGRADO DE SEGURIDAD ECU 911 A NIVEL NACIONAL E INTER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6"/>
    <s v="COMUNICACIÓN SOCIAL"/>
    <s v="ADQUISICIÓN DE MATERIAL DE POSICIONAMIENTO E IDENTIDAD DEL ECU 911 PARA EL CENTRO OPERATIVO ECU 911 IBARRA"/>
    <n v="2"/>
    <x v="0"/>
    <n v="1"/>
    <n v="0"/>
    <n v="1"/>
    <n v="1001"/>
    <s v="IBARRA"/>
    <n v="1"/>
    <n v="0"/>
    <n v="0"/>
    <s v="CORRIENTE"/>
    <x v="0"/>
    <n v="531403"/>
    <s v="MOBILIARIO "/>
    <n v="0"/>
    <n v="140"/>
    <n v="0"/>
    <n v="0"/>
    <n v="0"/>
    <n v="0"/>
    <n v="140"/>
    <n v="0"/>
    <n v="0"/>
    <n v="0"/>
    <n v="0"/>
    <n v="0"/>
    <n v="0"/>
    <n v="0"/>
    <n v="140"/>
    <s v="OK"/>
    <n v="14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3"/>
    <s v="ADMINISTRACIÓN CENTRAL"/>
    <s v="ADQUISICIÓN DE MAQUINARIA Y EQUIPOS MENORES PARA EL CENTRO OPERATIVO ZONAL ECU 911 IBARRA"/>
    <n v="2"/>
    <x v="0"/>
    <n v="1"/>
    <n v="0"/>
    <n v="1"/>
    <n v="1001"/>
    <s v="IBARRA"/>
    <n v="1"/>
    <n v="0"/>
    <n v="0"/>
    <s v="CORRIENTE"/>
    <x v="0"/>
    <n v="531404"/>
    <s v="MAQUINARIAS Y EQUIPOS"/>
    <n v="0"/>
    <n v="200"/>
    <n v="0"/>
    <n v="0"/>
    <n v="0"/>
    <n v="0"/>
    <n v="0"/>
    <n v="0"/>
    <n v="0"/>
    <n v="0"/>
    <n v="0"/>
    <n v="200"/>
    <n v="0"/>
    <n v="0"/>
    <n v="200"/>
    <s v="OK"/>
    <n v="0"/>
    <n v="20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3"/>
    <s v="ADMINISTRACIÓN CENTRAL"/>
    <s v="ADQUISICIÓN DE HERRAMIENTAS PARA MANTENIMIENTO DE LA INFRAESTRUCTURA DEL CENTRO OPERATIVO ZONAL ECU 911 IBARRA"/>
    <n v="2"/>
    <x v="0"/>
    <n v="1"/>
    <n v="0"/>
    <n v="1"/>
    <n v="1001"/>
    <s v="IBARRA"/>
    <n v="1"/>
    <n v="0"/>
    <n v="0"/>
    <s v="CORRIENTE"/>
    <x v="0"/>
    <n v="531406"/>
    <s v="HERRAMIENTAS Y EQUIPOS MENORES"/>
    <n v="0"/>
    <n v="2100"/>
    <n v="0"/>
    <n v="0"/>
    <n v="0"/>
    <n v="0"/>
    <n v="0"/>
    <n v="0"/>
    <n v="0"/>
    <n v="0"/>
    <n v="0"/>
    <n v="2100"/>
    <n v="0"/>
    <n v="0"/>
    <n v="2100"/>
    <s v="OK"/>
    <n v="0"/>
    <n v="210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3"/>
    <s v="ADMINISTRACIÓN CENTRAL"/>
    <s v="MATRICULACIÓN Y REVISIÓN VEHICULAR DE LOS VEHÍCULOS DEL CENTRO OPERATIVO ZONAL ECU 911 IBARRA AÑO 2023"/>
    <n v="1"/>
    <x v="0"/>
    <n v="1"/>
    <n v="0"/>
    <n v="1"/>
    <n v="1001"/>
    <s v="IBARRA"/>
    <n v="1"/>
    <n v="0"/>
    <n v="0"/>
    <s v="CORRIENTE"/>
    <x v="1"/>
    <n v="570102"/>
    <s v="TASAS GENERALES, IMPUESTOS, CONTRIBUCIONES, PERMISOS, LICENCIAS Y PATENTES"/>
    <n v="1200"/>
    <n v="1084.19"/>
    <n v="1084.19"/>
    <n v="0"/>
    <n v="0"/>
    <n v="0"/>
    <n v="0"/>
    <n v="0"/>
    <n v="0"/>
    <n v="0"/>
    <n v="0"/>
    <n v="0"/>
    <n v="0"/>
    <n v="0"/>
    <n v="1084.19"/>
    <s v="OK"/>
    <n v="1084.19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3"/>
    <s v="ADMINISTRACIÓN CENTRAL"/>
    <s v="CANCELACIÓN DEL PERMISO DE FUNCIONAMIENTO DEL CUERPO DE BOMBEROS AÑO 2023"/>
    <n v="1"/>
    <x v="0"/>
    <n v="1"/>
    <n v="0"/>
    <n v="1"/>
    <n v="1001"/>
    <s v="IBARRA"/>
    <n v="1"/>
    <n v="0"/>
    <n v="0"/>
    <s v="CORRIENTE"/>
    <x v="1"/>
    <n v="570102"/>
    <s v="TASAS GENERALES, IMPUESTOS, CONTRIBUCIONES, PERMISOS, LICENCIAS Y PATENTES"/>
    <n v="110"/>
    <n v="112.5"/>
    <n v="0"/>
    <n v="0"/>
    <n v="112.5"/>
    <n v="0"/>
    <n v="0"/>
    <n v="0"/>
    <n v="0"/>
    <n v="0"/>
    <n v="0"/>
    <n v="0"/>
    <n v="0"/>
    <n v="0"/>
    <n v="112.5"/>
    <s v="OK"/>
    <n v="112.5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3"/>
    <s v="ADMINISTRACIÓN CENTRAL"/>
    <s v="CANCELACIÓN POR TASA DE MEJORAS EN EL MUNICIPIO AÑO 2023"/>
    <n v="3"/>
    <x v="0"/>
    <n v="1"/>
    <n v="0"/>
    <n v="1"/>
    <n v="1001"/>
    <s v="IBARRA"/>
    <n v="1"/>
    <n v="0"/>
    <n v="0"/>
    <s v="CORRIENTE"/>
    <x v="1"/>
    <n v="570102"/>
    <s v="TASAS GENERALES, IMPUESTOS, CONTRIBUCIONES, PERMISOS, LICENCIAS Y PATENTES"/>
    <n v="100"/>
    <n v="50.5"/>
    <n v="50.5"/>
    <n v="0"/>
    <n v="0"/>
    <n v="0"/>
    <n v="0"/>
    <n v="0"/>
    <n v="0"/>
    <n v="0"/>
    <n v="0"/>
    <n v="0"/>
    <n v="0"/>
    <n v="0"/>
    <n v="50.5"/>
    <s v="OK"/>
    <n v="50.5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3"/>
    <s v="ADMINISTRACIÓN CENTRAL"/>
    <s v="CONTRATACIÓN DEL SERVICIO DE TELEPASS PARA LOS VEHICULOS INSTITUCIONALES DE LA COORDINACION ZONAL -1 SERVICIO INTEGRADO DE SEGURIDAD ECU 911"/>
    <n v="2"/>
    <x v="0"/>
    <n v="1"/>
    <n v="0"/>
    <n v="1"/>
    <n v="1001"/>
    <s v="IBARRA"/>
    <n v="1"/>
    <n v="0"/>
    <n v="0"/>
    <s v="CORRIENTE"/>
    <x v="1"/>
    <n v="570102"/>
    <s v="TASAS GENERALES, IMPUESTOS, CONTRIBUCIONES, PERMISOS, LICENCIAS Y PATENTES"/>
    <n v="0"/>
    <n v="850"/>
    <n v="0"/>
    <n v="0"/>
    <n v="0"/>
    <n v="0"/>
    <n v="850"/>
    <n v="0"/>
    <n v="0"/>
    <n v="0"/>
    <n v="0"/>
    <n v="0"/>
    <n v="0"/>
    <n v="0"/>
    <n v="850"/>
    <s v="OK"/>
    <n v="500"/>
    <n v="350"/>
    <s v="R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5"/>
    <s v="TECNOLOGÍA"/>
    <s v="ARRASTRE: PAGOS POR CONSUMO DE SERVICIOS DE TELECOMUNICACIONES CORRESPONDIENTE A DICIEMBRE DEL 2022"/>
    <n v="1"/>
    <x v="0"/>
    <n v="55"/>
    <n v="0"/>
    <n v="3"/>
    <n v="1001"/>
    <s v="IBARRA"/>
    <n v="1"/>
    <n v="0"/>
    <n v="0"/>
    <s v="CORRIENTE"/>
    <x v="0"/>
    <n v="530105"/>
    <s v="TELECOMUNICACIONES"/>
    <n v="9775"/>
    <n v="7217.73"/>
    <n v="7217.73"/>
    <n v="0"/>
    <n v="0"/>
    <n v="0"/>
    <n v="0"/>
    <n v="0"/>
    <n v="0"/>
    <n v="0"/>
    <n v="0"/>
    <n v="0"/>
    <n v="0"/>
    <n v="0"/>
    <n v="7217.73"/>
    <s v="OK"/>
    <n v="7217.73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5"/>
    <s v="TECNOLOGÍA"/>
    <s v="PAGO POR CONSUMO DE SERVICIOS DE TELECOMUNICACIONES CORRESPONDIENTE AL CONTRATO ENERO-DICIEMBRE 2023"/>
    <n v="1"/>
    <x v="0"/>
    <n v="55"/>
    <n v="0"/>
    <n v="3"/>
    <n v="1001"/>
    <s v="IBARRA"/>
    <n v="1"/>
    <n v="0"/>
    <n v="0"/>
    <s v="CORRIENTE"/>
    <x v="0"/>
    <n v="530105"/>
    <s v="TELECOMUNICACIONES"/>
    <n v="129627"/>
    <n v="63920.639999999999"/>
    <n v="0"/>
    <n v="5810.97"/>
    <n v="5810.97"/>
    <n v="5810.97"/>
    <n v="5810.97"/>
    <n v="5810.97"/>
    <n v="5810.97"/>
    <n v="5810.97"/>
    <n v="5810.97"/>
    <n v="5810.97"/>
    <n v="5810.97"/>
    <n v="5810.9399999999951"/>
    <n v="63920.639999999999"/>
    <s v="OK"/>
    <n v="63920.639999999999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5"/>
    <s v="TECNOLOGÍA"/>
    <s v="PAGO POR LICENCIAMIENTO DE LA SOLUCIÓN ANTIVIRUS PARA CONSOLAS OPERATIVAS Y ADMINISTRATIVAS DEL CENTRO"/>
    <n v="2"/>
    <x v="0"/>
    <n v="55"/>
    <n v="0"/>
    <n v="3"/>
    <n v="1001"/>
    <s v="IBARRA"/>
    <n v="1"/>
    <n v="0"/>
    <n v="0"/>
    <s v="CORRIENTE"/>
    <x v="0"/>
    <n v="530702"/>
    <s v="ARRENDAMIENTO Y LICENCIAS DE USO DE PAQUETES INFORMÁTICOS"/>
    <n v="4336"/>
    <n v="3819.31"/>
    <n v="0"/>
    <n v="0"/>
    <n v="3819.31"/>
    <n v="0"/>
    <n v="0"/>
    <n v="0"/>
    <n v="0"/>
    <n v="0"/>
    <n v="0"/>
    <n v="0"/>
    <n v="0"/>
    <n v="0"/>
    <n v="3819.31"/>
    <s v="OK"/>
    <n v="3819.31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5"/>
    <s v="TECNOLOGÍA"/>
    <s v="PAGO POR SOSTENIMIENTO TECNOLÓGICO DE SITIOS DE VIDEO MONITOREO DE LOS CENTROS OPERATIVOS ECU 911 PERTENECIENTES A LA COORDINACIÓN ZONAL 1"/>
    <n v="1"/>
    <x v="0"/>
    <n v="55"/>
    <n v="0"/>
    <n v="3"/>
    <n v="1001"/>
    <s v="IBARRA"/>
    <n v="1"/>
    <n v="0"/>
    <n v="0"/>
    <s v="CORRIENTE"/>
    <x v="0"/>
    <n v="530704"/>
    <s v="MANTENIMIENTO Y REPARACIÓN DE EQUIPOS Y SISTEMAS INFORMÁTICOS "/>
    <n v="115000"/>
    <n v="109089.42"/>
    <n v="0"/>
    <n v="0"/>
    <n v="0"/>
    <n v="10000"/>
    <n v="15000"/>
    <n v="15000"/>
    <n v="15000"/>
    <n v="15000"/>
    <n v="15000"/>
    <n v="15000"/>
    <n v="9089.4199999999983"/>
    <n v="0"/>
    <n v="109089.42"/>
    <s v="OK"/>
    <n v="106490"/>
    <n v="2599.4199999999983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5"/>
    <s v="TECNOLOGÍA"/>
    <s v="ADQUISICIÓN, INSTALACIÓN, CONFIGURACIÓN Y PUESTA A PUNTOS DE CUATRO DISCOS DUROS PARA STORAGE HP EVA P6500 DEL CENTRO OPERATIVO ZONAL ECU 911 IBARRA"/>
    <n v="1"/>
    <x v="0"/>
    <n v="55"/>
    <n v="0"/>
    <n v="3"/>
    <n v="1001"/>
    <s v="IBARRA"/>
    <n v="1"/>
    <n v="0"/>
    <n v="0"/>
    <s v="CORRIENTE"/>
    <x v="0"/>
    <n v="530704"/>
    <s v="MANTENIMIENTO Y REPARACIÓN DE EQUIPOS Y SISTEMAS INFORMÁTICOS "/>
    <n v="0"/>
    <n v="400"/>
    <n v="0"/>
    <n v="0"/>
    <n v="0"/>
    <n v="0"/>
    <n v="0"/>
    <n v="400"/>
    <n v="0"/>
    <n v="0"/>
    <n v="0"/>
    <n v="0"/>
    <n v="0"/>
    <n v="0"/>
    <n v="400"/>
    <s v="OK"/>
    <n v="400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5"/>
    <s v="TECNOLOGÍA"/>
    <s v="PAGO POR ADQUISICIÓN DE BIENES Y PAGO DE SERVICIOS NO PREVISIBLES, URGENTES Y DE VALOR REDUCIDO (CAJA CHICA)"/>
    <n v="2"/>
    <x v="0"/>
    <n v="55"/>
    <n v="0"/>
    <n v="3"/>
    <n v="1001"/>
    <s v="IBARRA"/>
    <n v="1"/>
    <n v="0"/>
    <n v="0"/>
    <s v="CORRIENTE"/>
    <x v="0"/>
    <n v="530811"/>
    <s v="INSUMOS, MATERIALES Y SUMINISTROS PARA CONSTRUCCIÓN, ELECTRICIDAD, PLOMERÍA, CARPINTERÍA, SEÑALIZACIÓN VIAL, NAVEGACIÓN, CONTRA INCENDIOS Y PLACAS"/>
    <n v="150"/>
    <n v="150"/>
    <n v="0"/>
    <n v="0"/>
    <n v="0"/>
    <n v="0"/>
    <n v="0"/>
    <n v="0"/>
    <n v="0"/>
    <n v="0"/>
    <n v="0"/>
    <n v="0"/>
    <n v="0"/>
    <n v="150"/>
    <n v="150"/>
    <s v="OK"/>
    <n v="150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5"/>
    <s v="TECNOLOGÍA"/>
    <s v="PAGO POR ADQUISICIÓN DE MATERIALES E INSUMOS PARA MANTENIMIENTOS E INSTALACIONES TECNOLÓGICAS DEL CENTRO"/>
    <n v="2"/>
    <x v="0"/>
    <n v="55"/>
    <n v="0"/>
    <n v="3"/>
    <n v="1001"/>
    <s v="IBARRA"/>
    <n v="1"/>
    <n v="0"/>
    <n v="0"/>
    <s v="CORRIENTE"/>
    <x v="0"/>
    <n v="530811"/>
    <s v="INSUMOS, MATERIALES Y SUMINISTROS PARA CONSTRUCCIÓN, ELECTRICIDAD, PLOMERÍA, CARPINTERÍA, SEÑALIZACIÓN VIAL, NAVEGACIÓN, CONTRA INCENDIOS Y PLACAS"/>
    <n v="1000"/>
    <n v="605.37"/>
    <n v="0"/>
    <n v="0"/>
    <n v="0"/>
    <n v="0"/>
    <n v="0"/>
    <n v="0"/>
    <n v="0"/>
    <n v="0"/>
    <n v="0"/>
    <n v="0"/>
    <n v="0"/>
    <n v="605.37"/>
    <n v="605.37"/>
    <s v="OK"/>
    <n v="605.37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5"/>
    <s v="TECNOLOGÍA"/>
    <s v="PAGOS POR ADQUISICIÓN DE REPUESTOS Y ACCESORIOS TECNOLÓGICOS PARA MAQUINARIAS, PLANTAS ELÉCTRICAS, EQUIPOS Y OTROS"/>
    <n v="2"/>
    <x v="0"/>
    <n v="55"/>
    <n v="0"/>
    <n v="3"/>
    <n v="1001"/>
    <s v="IBARRA"/>
    <n v="1"/>
    <n v="0"/>
    <n v="0"/>
    <s v="CORRIENTE"/>
    <x v="0"/>
    <n v="530813"/>
    <s v="REPUESTOS Y ACCESORIOS"/>
    <n v="500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5"/>
    <s v="TECNOLOGÍA"/>
    <s v="PAGO POR ADQUISICIÓN DE BIENES Y PAGO DE SERVICIOS NO PREVISIBLES, URGENTES Y DE VALOR REDUCIDO (CAJA CHICA)"/>
    <n v="2"/>
    <x v="0"/>
    <n v="55"/>
    <n v="0"/>
    <n v="3"/>
    <n v="1001"/>
    <s v="IBARRA"/>
    <n v="1"/>
    <n v="0"/>
    <n v="0"/>
    <s v="CORRIENTE"/>
    <x v="0"/>
    <n v="530813"/>
    <s v="REPUESTOS Y ACCESORIOS"/>
    <n v="190"/>
    <n v="190"/>
    <n v="0"/>
    <n v="0"/>
    <n v="0"/>
    <n v="0"/>
    <n v="0"/>
    <n v="100"/>
    <n v="0"/>
    <n v="0"/>
    <n v="0"/>
    <n v="0"/>
    <n v="90"/>
    <n v="0"/>
    <n v="190"/>
    <s v="OK"/>
    <n v="190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5"/>
    <s v="TECNOLOGÍA"/>
    <s v="PAGO POR ADQUISICIÓN DE REPUESTOS Y ACCESORIOS PARA RADIOS APX 2000 DEL CENTRO OPERATIVO"/>
    <n v="2"/>
    <x v="0"/>
    <n v="55"/>
    <n v="0"/>
    <n v="3"/>
    <n v="1001"/>
    <s v="IBARRA"/>
    <n v="1"/>
    <n v="0"/>
    <n v="0"/>
    <s v="CORRIENTE"/>
    <x v="0"/>
    <n v="530813"/>
    <s v="REPUESTOS Y ACCESORIOS"/>
    <n v="1300"/>
    <n v="0"/>
    <n v="0"/>
    <n v="0"/>
    <n v="0"/>
    <n v="0"/>
    <n v="0"/>
    <n v="0"/>
    <n v="0"/>
    <n v="0"/>
    <n v="0"/>
    <n v="0"/>
    <n v="0"/>
    <n v="0"/>
    <n v="0"/>
    <s v="OK"/>
    <n v="0"/>
    <n v="0"/>
    <s v="R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5"/>
    <s v="TECNOLOGÍA"/>
    <s v="ADQUISICIÓN DE BIENES, REPUESTOS Y ACCESORIOS PARA MANTENIMIENTO DE EQUIPOS INFORMÁTICOS Y DE RED DE LOS CENTROS OPERATIVOS ECU911"/>
    <n v="2"/>
    <x v="0"/>
    <n v="55"/>
    <n v="0"/>
    <n v="3"/>
    <n v="1001"/>
    <s v="IBARRA"/>
    <n v="1"/>
    <n v="0"/>
    <n v="0"/>
    <s v="CORRIENTE"/>
    <x v="0"/>
    <n v="530813"/>
    <s v="REPUESTOS Y ACCESORIOS"/>
    <n v="0"/>
    <n v="4727.5"/>
    <n v="0"/>
    <n v="0"/>
    <n v="0"/>
    <n v="0"/>
    <n v="0"/>
    <n v="4727.5"/>
    <n v="0"/>
    <n v="0"/>
    <n v="0"/>
    <n v="0"/>
    <n v="0"/>
    <n v="0"/>
    <n v="4727.5"/>
    <s v="OK"/>
    <n v="4727.5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5"/>
    <s v="TECNOLOGÍA"/>
    <s v="ADQUISICIÓN, INSTALACIÓN, CONFIGURACIÓN Y PUESTA A PUNTOS DE CUATRO DISCOS DUROS PARA STORAGE HP EVA P6500 DEL CENTRO OPERATIVO ZONAL ECU 911 IBARRA"/>
    <n v="1"/>
    <x v="0"/>
    <n v="55"/>
    <n v="0"/>
    <n v="3"/>
    <n v="1001"/>
    <s v="IBARRA"/>
    <n v="1"/>
    <n v="0"/>
    <n v="0"/>
    <s v="CORRIENTE"/>
    <x v="0"/>
    <n v="530813"/>
    <s v="REPUESTOS Y ACCESORIOS"/>
    <n v="0"/>
    <n v="1518"/>
    <n v="0"/>
    <n v="0"/>
    <n v="0"/>
    <n v="0"/>
    <n v="0"/>
    <n v="1518"/>
    <n v="0"/>
    <n v="0"/>
    <n v="0"/>
    <n v="0"/>
    <n v="0"/>
    <n v="0"/>
    <n v="1518"/>
    <s v="OK"/>
    <n v="1518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5"/>
    <s v="TECNOLOGÍA"/>
    <s v="ADQUISICIÓN DE DOS FUENTES DE PODER PARA MATRIZ DE VIDEO WALL Y DOS FUENTES DE PODER PARA SERVIDOR DEL CENTRO OPERATIVO ZONAL ECU 911 IBARRA"/>
    <n v="2"/>
    <x v="0"/>
    <n v="55"/>
    <n v="0"/>
    <n v="3"/>
    <n v="1001"/>
    <s v="IBARRA"/>
    <n v="1"/>
    <n v="0"/>
    <n v="0"/>
    <s v="CORRIENTE"/>
    <x v="0"/>
    <n v="530813"/>
    <s v="REPUESTOS Y ACCESORIOS"/>
    <n v="0"/>
    <n v="2416"/>
    <n v="0"/>
    <n v="0"/>
    <n v="0"/>
    <n v="0"/>
    <n v="0"/>
    <n v="0"/>
    <n v="0"/>
    <n v="0"/>
    <n v="0"/>
    <n v="2416"/>
    <n v="0"/>
    <n v="0"/>
    <n v="2416"/>
    <s v="OK"/>
    <n v="2416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5"/>
    <s v="TECNOLOGÍA"/>
    <s v="ADQUISICIÓN DE BIENES, REPUESTOS Y ACCESORIOS PARA MANTENIMIENTO DE EQUIPOS INFORMÁTICOS Y DE RED DE LOS CENTROS OPERATIVOS ECU911"/>
    <n v="2"/>
    <x v="0"/>
    <n v="55"/>
    <n v="0"/>
    <n v="3"/>
    <n v="1001"/>
    <s v="IBARRA"/>
    <n v="1"/>
    <n v="0"/>
    <n v="0"/>
    <s v="CORRIENTE"/>
    <x v="0"/>
    <n v="531404"/>
    <s v="MAQUINARIAS Y EQUIPOS"/>
    <n v="0"/>
    <n v="77.92"/>
    <n v="0"/>
    <n v="0"/>
    <n v="0"/>
    <n v="0"/>
    <n v="0"/>
    <n v="77.92"/>
    <n v="0"/>
    <n v="0"/>
    <n v="0"/>
    <n v="0"/>
    <n v="0"/>
    <n v="0"/>
    <n v="77.92"/>
    <s v="OK"/>
    <n v="77.92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5"/>
    <s v="TECNOLOGÍA"/>
    <s v="ADQUISICIÓN DE BIENES, REPUESTOS Y ACCESORIOS PARA MANTENIMIENTO DE EQUIPOS INFORMÁTICOS Y DE RED DE LOS CENTROS OPERATIVOS ECU911"/>
    <n v="2"/>
    <x v="0"/>
    <n v="55"/>
    <n v="0"/>
    <n v="3"/>
    <n v="1001"/>
    <s v="IBARRA"/>
    <n v="1"/>
    <n v="0"/>
    <n v="0"/>
    <s v="CORRIENTE"/>
    <x v="0"/>
    <n v="531407"/>
    <s v="EQUIPOS, SISTEMAS Y PAQUETES INFORMÁTICOS"/>
    <n v="0"/>
    <n v="1454.03"/>
    <n v="0"/>
    <n v="0"/>
    <n v="0"/>
    <n v="0"/>
    <n v="0"/>
    <n v="1454.03"/>
    <n v="0"/>
    <n v="0"/>
    <n v="0"/>
    <n v="0"/>
    <n v="0"/>
    <n v="0"/>
    <n v="1454.03"/>
    <s v="OK"/>
    <n v="1454.03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5"/>
    <s v="TECNOLOGÍA"/>
    <s v="ADQUISICIÓN DE EQUIPOS PORTÁTILES PARA LA COORDINACIÓN ZONAL 1 DEL ECU 911"/>
    <n v="1"/>
    <x v="0"/>
    <n v="55"/>
    <n v="0"/>
    <n v="3"/>
    <n v="1001"/>
    <s v="IBARRA"/>
    <n v="1"/>
    <n v="0"/>
    <n v="0"/>
    <s v="CAPITAL"/>
    <x v="5"/>
    <n v="840107"/>
    <s v="EQUIPOS SISTEMAS Y PAQUETES INFORMÁTICOS"/>
    <n v="0"/>
    <n v="44605"/>
    <n v="0"/>
    <n v="0"/>
    <n v="0"/>
    <n v="0"/>
    <n v="0"/>
    <n v="0"/>
    <n v="0"/>
    <n v="0"/>
    <n v="0"/>
    <n v="0"/>
    <n v="44605"/>
    <n v="0"/>
    <n v="44605"/>
    <s v="OK"/>
    <n v="44424.6"/>
    <n v="180.40000000000146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5"/>
    <s v="TECNOLOGÍA"/>
    <s v="ADQUISICIÓN DE COMPUTADORAS DE ESCRITORIO Y PORTÁTILES PARA LOS CENTROS OPERATIVOS ECU 911 DE LA ZONA 1"/>
    <n v="1"/>
    <x v="0"/>
    <n v="55"/>
    <n v="0"/>
    <n v="3"/>
    <n v="1001"/>
    <s v="IBARRA"/>
    <n v="1"/>
    <n v="0"/>
    <n v="0"/>
    <s v="CAPITAL"/>
    <x v="5"/>
    <n v="840107"/>
    <s v="EQUIPOS SISTEMAS Y PAQUETES INFORMÁTICOS"/>
    <n v="0"/>
    <n v="31874"/>
    <n v="0"/>
    <n v="0"/>
    <n v="0"/>
    <n v="0"/>
    <n v="0"/>
    <n v="0"/>
    <n v="0"/>
    <n v="0"/>
    <n v="0"/>
    <n v="0"/>
    <n v="31874"/>
    <n v="0"/>
    <n v="31874"/>
    <s v="OK"/>
    <n v="0"/>
    <n v="31874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ARRASTRE: CANCELACIÓN POR CONSUMO DE SERVICIO DE AGUA POTABLE CORRESPONDIENTE A DICIEMBRE DEL 2022"/>
    <n v="1"/>
    <x v="0"/>
    <n v="1"/>
    <n v="0"/>
    <n v="1"/>
    <n v="2101"/>
    <s v="LAGO AGRIO"/>
    <n v="1"/>
    <n v="0"/>
    <n v="0"/>
    <s v="CORRIENTE"/>
    <x v="0"/>
    <n v="530101"/>
    <s v="AGUA POTABLE"/>
    <n v="100"/>
    <n v="100"/>
    <n v="100"/>
    <n v="0"/>
    <n v="0"/>
    <n v="0"/>
    <n v="0"/>
    <n v="0"/>
    <n v="0"/>
    <n v="0"/>
    <n v="0"/>
    <n v="0"/>
    <n v="0"/>
    <n v="0"/>
    <n v="100"/>
    <s v="OK"/>
    <n v="74.680000000000007"/>
    <n v="25.319999999999993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PROVISIÓN POR CONSUMO DE SERVICIO DE AGUA POTABLE PERÍODO ENERO A NOVIEMBRE 2023"/>
    <n v="1"/>
    <x v="0"/>
    <n v="1"/>
    <n v="0"/>
    <n v="1"/>
    <n v="2101"/>
    <s v="LAGO AGRIO"/>
    <n v="1"/>
    <n v="0"/>
    <n v="0"/>
    <s v="CORRIENTE"/>
    <x v="0"/>
    <n v="530101"/>
    <s v="AGUA POTABLE"/>
    <n v="540"/>
    <n v="690"/>
    <n v="0"/>
    <n v="45"/>
    <n v="45"/>
    <n v="45"/>
    <n v="45"/>
    <n v="45"/>
    <n v="45"/>
    <n v="45"/>
    <n v="45"/>
    <n v="45"/>
    <n v="45"/>
    <n v="240"/>
    <n v="690"/>
    <s v="OK"/>
    <n v="540"/>
    <n v="15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ARRASTRE: CANCELACIÓN POR CONSUMO DE SERVICIO DE ENERGÍA ELÉCTRICA CORRESPONDIENTE A DICIEMBRE DEL 2022"/>
    <n v="1"/>
    <x v="0"/>
    <n v="1"/>
    <n v="0"/>
    <n v="1"/>
    <n v="2101"/>
    <s v="LAGO AGRIO"/>
    <n v="1"/>
    <n v="0"/>
    <n v="0"/>
    <s v="CORRIENTE"/>
    <x v="0"/>
    <n v="530104"/>
    <s v="ENERGÍA ELÉCTRICA"/>
    <n v="7300"/>
    <n v="7565.58"/>
    <n v="7565.58"/>
    <n v="0"/>
    <n v="0"/>
    <n v="0"/>
    <n v="0"/>
    <n v="0"/>
    <n v="0"/>
    <n v="0"/>
    <n v="0"/>
    <n v="0"/>
    <n v="0"/>
    <n v="0"/>
    <n v="7565.58"/>
    <s v="OK"/>
    <n v="7565.58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PROVISIÓN POR CONSUMO DE SERVICIO DE ENERGÍA ELÉCTRICA PERÍODO ENERO A DICIEMBRE 2023"/>
    <n v="1"/>
    <x v="0"/>
    <n v="1"/>
    <n v="0"/>
    <n v="1"/>
    <n v="2101"/>
    <s v="LAGO AGRIO"/>
    <n v="1"/>
    <n v="0"/>
    <n v="0"/>
    <s v="CORRIENTE"/>
    <x v="0"/>
    <n v="530104"/>
    <s v="ENERGÍA ELÉCTRICA"/>
    <n v="43800"/>
    <n v="90000"/>
    <n v="0"/>
    <n v="8181.82"/>
    <n v="8181.82"/>
    <n v="8181.82"/>
    <n v="8181.82"/>
    <n v="8181.82"/>
    <n v="8181.82"/>
    <n v="8181.82"/>
    <n v="8181.82"/>
    <n v="8181.82"/>
    <n v="8181.82"/>
    <n v="8181.7999999999884"/>
    <n v="90000"/>
    <s v="OK"/>
    <n v="9000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ARRASTRE: CANCELACIÓN POR CONSUMO DE SERVICIO DE CORREO NACIONAL A DICIEMBRE DEL 2022"/>
    <n v="1"/>
    <x v="0"/>
    <n v="1"/>
    <n v="0"/>
    <n v="1"/>
    <n v="2101"/>
    <s v="LAGO AGRIO"/>
    <n v="1"/>
    <n v="0"/>
    <n v="0"/>
    <s v="CORRIENTE"/>
    <x v="0"/>
    <n v="530106"/>
    <s v="SERVICIO DE CORREO"/>
    <n v="100"/>
    <n v="15"/>
    <n v="15"/>
    <n v="0"/>
    <n v="0"/>
    <n v="0"/>
    <n v="0"/>
    <n v="0"/>
    <n v="0"/>
    <n v="0"/>
    <n v="0"/>
    <n v="0"/>
    <n v="0"/>
    <n v="0"/>
    <n v="15"/>
    <s v="OK"/>
    <n v="15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CONTRATACIÓN DEL SERVICIO DE CORREO NACIONAL PERÍODO ENERO A DICIEMBRE 2023"/>
    <n v="1"/>
    <x v="0"/>
    <n v="1"/>
    <n v="0"/>
    <n v="1"/>
    <n v="2101"/>
    <s v="LAGO AGRIO"/>
    <n v="1"/>
    <n v="0"/>
    <n v="0"/>
    <s v="CORRIENTE"/>
    <x v="0"/>
    <n v="530106"/>
    <s v="SERVICIO DE CORREO"/>
    <n v="300"/>
    <n v="350"/>
    <n v="0"/>
    <n v="0"/>
    <n v="35"/>
    <n v="35"/>
    <n v="35"/>
    <n v="35"/>
    <n v="35"/>
    <n v="35"/>
    <n v="35"/>
    <n v="35"/>
    <n v="35"/>
    <n v="35"/>
    <n v="350"/>
    <s v="OK"/>
    <n v="35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ARRASTRE: CANCELACIÓN POR EL SERVICIO DE TRANSPORTE PERSONAL OPERATIVO DICIEMBRE DEL 2022"/>
    <n v="1"/>
    <x v="0"/>
    <n v="1"/>
    <n v="0"/>
    <n v="1"/>
    <n v="2101"/>
    <s v="LAGO AGRIO"/>
    <n v="1"/>
    <n v="0"/>
    <n v="0"/>
    <s v="CORRIENTE"/>
    <x v="0"/>
    <n v="530201"/>
    <s v="TRANSPORTE DE PERSONAL"/>
    <n v="9775"/>
    <n v="9774.89"/>
    <n v="9774.89"/>
    <n v="0"/>
    <n v="0"/>
    <n v="0"/>
    <n v="0"/>
    <n v="0"/>
    <n v="0"/>
    <n v="0"/>
    <n v="0"/>
    <n v="0"/>
    <n v="0"/>
    <n v="0"/>
    <n v="9774.89"/>
    <s v="OK"/>
    <n v="9774.89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CONTRATACIÓN DEL SERVICIO DE TRANSPORTE PARA SERVIDORES DEL ÁREA OPERATIVA DEL CENTRO OPERATIVO LOCAL ECU 911 NUEVA LOJA PARA ENERO-DICIEMBRE 2023, SE PAGA A MES VENCIDO"/>
    <n v="1"/>
    <x v="0"/>
    <n v="1"/>
    <n v="0"/>
    <n v="1"/>
    <n v="2101"/>
    <s v="LAGO AGRIO"/>
    <n v="1"/>
    <n v="0"/>
    <n v="0"/>
    <s v="CORRIENTE"/>
    <x v="0"/>
    <n v="530201"/>
    <s v="TRANSPORTE DE PERSONAL"/>
    <n v="73200"/>
    <n v="68264.53"/>
    <n v="0"/>
    <n v="6100"/>
    <n v="6100"/>
    <n v="6100"/>
    <n v="6072.38"/>
    <n v="6072.38"/>
    <n v="6072.38"/>
    <n v="6072.38"/>
    <n v="6072.38"/>
    <n v="6072.38"/>
    <n v="6072.38"/>
    <n v="7457.87"/>
    <n v="68264.529999999984"/>
    <s v="OK"/>
    <n v="68264.53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CONTRATACIÓN DEL SERVICIO DE RECARGA DE EXTINTORES DEL CENTRO"/>
    <n v="1"/>
    <x v="0"/>
    <n v="1"/>
    <n v="0"/>
    <n v="1"/>
    <n v="2101"/>
    <s v="LAGO AGRIO"/>
    <n v="1"/>
    <n v="0"/>
    <n v="0"/>
    <s v="CORRIENTE"/>
    <x v="0"/>
    <n v="530203"/>
    <s v="ALMACENAMIENTO, EMBALAJE, DESEMBALAJE, ENVASE, DESENVASE Y RECARGA DE EXTINTORES"/>
    <n v="714"/>
    <n v="501"/>
    <n v="0"/>
    <n v="0"/>
    <n v="0"/>
    <n v="0"/>
    <n v="0"/>
    <n v="0"/>
    <n v="0"/>
    <n v="501"/>
    <n v="0"/>
    <n v="0"/>
    <n v="0"/>
    <n v="0"/>
    <n v="501"/>
    <s v="OK"/>
    <n v="501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3 INCREMENTAR EL POSICIONAMIENTO DEL SERVICIO INTEGRADO DE SEGURIDAD ECU 911 A NIVEL NACIONAL E INTER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1"/>
    <s v="COMUNICACIÓN SOCIAL"/>
    <s v="ADQUISICIÓN DE BIENES Y CANCELACIÓN DE SERVICIOS NO PREVISIBLES, URGENTES Y DE VALOR REDUCIDO (CAJA CHICA)"/>
    <n v="2"/>
    <x v="0"/>
    <n v="1"/>
    <n v="0"/>
    <n v="1"/>
    <n v="2101"/>
    <s v="LAGO AGRIO"/>
    <n v="1"/>
    <n v="0"/>
    <n v="0"/>
    <s v="CORRIENTE"/>
    <x v="0"/>
    <n v="530204"/>
    <s v="EDICIÓN, IMPRESIÓN, REPRODUCCIÓN, PUBLICACIONES, SUSCRIPCIONES, FOTOCOPIADO, TRADUCCIÓN, EMPASTADO, ENMARCACIÓN, SERIGRAFÍA, FOTOGRAFÍA, CARNETIZACIÓN, FILMACIÓN E IMÁGENES SATELITALES"/>
    <n v="100"/>
    <n v="100"/>
    <n v="0"/>
    <n v="0"/>
    <n v="0"/>
    <n v="0"/>
    <n v="0"/>
    <n v="0"/>
    <n v="0"/>
    <n v="0"/>
    <n v="0"/>
    <n v="0"/>
    <n v="0"/>
    <n v="100"/>
    <n v="100"/>
    <s v="OK"/>
    <n v="100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3 INCREMENTAR EL POSICIONAMIENTO DEL SERVICIO INTEGRADO DE SEGURIDAD ECU 911 A NIVEL NACIONAL E INTER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1"/>
    <s v="COMUNICACIÓN SOCIAL"/>
    <s v="ADQUISICIÓN DE MATERIAL DE POSICIONAMIENTO E IDENTIDAD DEL ECU 911 PARA EL CENTRO OPERATIVO ECU 911 LAGO AGRIO"/>
    <n v="2"/>
    <x v="0"/>
    <n v="1"/>
    <n v="0"/>
    <n v="1"/>
    <n v="2101"/>
    <s v="LAGO AGRIO"/>
    <n v="1"/>
    <n v="0"/>
    <n v="0"/>
    <s v="CORRIENTE"/>
    <x v="0"/>
    <n v="530204"/>
    <s v="EDICIÓN, IMPRESIÓN, REPRODUCCIÓN, PUBLICACIONES, SUSCRIPCIONES, FOTOCOPIADO, TRADUCCIÓN, EMPASTADO, ENMARCACIÓN, SERIGRAFÍA, FOTOGRAFÍA, CARNETIZACIÓN, FILMACIÓN E IMÁGENES SATELITALES"/>
    <n v="148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ARRASTRE: CANCELACIÓN POR EL SERVICIO DE LIMPIEZA DEL CENTRO OPERATIVO LOCAL ECU 911 NUEVA LOJA DICIEMBRE DEL 2022"/>
    <n v="1"/>
    <x v="0"/>
    <n v="1"/>
    <n v="0"/>
    <n v="1"/>
    <n v="2101"/>
    <s v="LAGO AGRIO"/>
    <n v="1"/>
    <n v="0"/>
    <n v="0"/>
    <s v="CORRIENTE"/>
    <x v="0"/>
    <n v="530209"/>
    <s v="SERVICIOS DE ASEO, LAVADO DE VESTIMENTA DE TRABAJO, FUMIGACIÓN, DESINFECCIÓN, LIMPIEZA DE INSTALACIONES, MANEJO DE DESECHOS CONTAMINADOS, RECUPERACIÓN Y CLASIFICACIÓN DE MATERIALES RECICLABLES"/>
    <n v="3411"/>
    <n v="3410.76"/>
    <n v="3410.76"/>
    <n v="0"/>
    <n v="0"/>
    <n v="0"/>
    <n v="0"/>
    <n v="0"/>
    <n v="0"/>
    <n v="0"/>
    <n v="0"/>
    <n v="0"/>
    <n v="0"/>
    <n v="0"/>
    <n v="3410.76"/>
    <s v="OK"/>
    <n v="3410.76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CONTRATACIÓN DEL SERVICIO DE LIMPIEZA PARA EL CENTRO OPERATIVO LOCAL ECU 911 LAGO AGRIO PERÍODO 2023 SE PAGA A MES VENCIDO"/>
    <n v="1"/>
    <x v="0"/>
    <n v="1"/>
    <n v="0"/>
    <n v="1"/>
    <n v="2101"/>
    <s v="LAGO AGRIO"/>
    <n v="1"/>
    <n v="0"/>
    <n v="0"/>
    <s v="CORRIENTE"/>
    <x v="0"/>
    <n v="530209"/>
    <s v="SERVICIOS DE ASEO, LAVADO DE VESTIMENTA DE TRABAJO, FUMIGACIÓN, DESINFECCIÓN, LIMPIEZA DE INSTALACIONES, MANEJO DE DESECHOS CONTAMINADOS, RECUPERACIÓN Y CLASIFICACIÓN DE MATERIALES RECICLABLES"/>
    <n v="17055"/>
    <n v="37518.360000000008"/>
    <n v="0"/>
    <n v="3721.09"/>
    <n v="3721.09"/>
    <n v="3721.09"/>
    <n v="3721.09"/>
    <n v="3721.09"/>
    <n v="3721.09"/>
    <n v="3721.09"/>
    <n v="3721.09"/>
    <n v="3721.09"/>
    <n v="3721.09"/>
    <n v="307.46000000001368"/>
    <n v="37518.360000000008"/>
    <s v="OK"/>
    <n v="37518.36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CANCELACIÓN DE SERVICIOS DE GUARDERÍA DEL CENTRO OPERATIVO LOCAL SIS ECU 911 NUEVA LOJA CUMPLIMIENTO AL ACUERDO MINISTERIAL Nro.  MDT-2023-085"/>
    <n v="2"/>
    <x v="0"/>
    <n v="1"/>
    <n v="0"/>
    <n v="1"/>
    <n v="2101"/>
    <s v="LAGO AGRIO"/>
    <n v="1"/>
    <n v="0"/>
    <n v="0"/>
    <s v="CORRIENTE"/>
    <x v="0"/>
    <n v="530210"/>
    <s v="SERVICIO DE GUARDERÍA"/>
    <n v="0"/>
    <n v="3348"/>
    <n v="0"/>
    <n v="0"/>
    <n v="0"/>
    <n v="0"/>
    <n v="0"/>
    <n v="0"/>
    <n v="0"/>
    <n v="0"/>
    <n v="0"/>
    <n v="0"/>
    <n v="1674"/>
    <n v="1674"/>
    <n v="3348"/>
    <s v="OK"/>
    <n v="0"/>
    <n v="3348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CONTRATACIÓN DEL SERVICIO DE RASTREO SATELITAL (GPS) INCLUYE EQUIPOS A PRÉSTAMO PARA LOS VEHÍCULOS DEL CENTRO OPERATIVO LOCAL ECU 911 NUEVA LOJA"/>
    <n v="2"/>
    <x v="0"/>
    <n v="1"/>
    <n v="0"/>
    <n v="1"/>
    <n v="2101"/>
    <s v="LAGO AGRIO"/>
    <n v="1"/>
    <n v="0"/>
    <n v="0"/>
    <s v="CORRIENTE"/>
    <x v="0"/>
    <n v="530246"/>
    <s v="SERVICIOS DE IDENTIFICACIÓN, MARCACIÓN, AUTENTIFICACIÓN, RASTREO, MONITOREO, SEGUIMIENTO Y/O TRAZABILIDAD"/>
    <n v="0"/>
    <n v="250.72"/>
    <n v="0"/>
    <n v="0"/>
    <n v="0"/>
    <n v="0"/>
    <n v="250.72"/>
    <n v="0"/>
    <n v="0"/>
    <n v="0"/>
    <n v="0"/>
    <n v="0"/>
    <n v="0"/>
    <n v="0"/>
    <n v="250.72"/>
    <s v="OK"/>
    <n v="250.72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ADQUISICIÓN DE COMBUSTIBLE PARA EL PARQUE AUTOMOTOR DEL SERVICIO INTEGRADO DE SEGURIDAD ECU 911  Y GENERADORES DEL CENTRO OPERATIVO LOCAL ECU 911 NUEVA LOJA"/>
    <n v="1"/>
    <x v="0"/>
    <n v="1"/>
    <n v="0"/>
    <n v="1"/>
    <n v="2101"/>
    <s v="LAGO AGRIO"/>
    <n v="1"/>
    <n v="0"/>
    <n v="0"/>
    <s v="CORRIENTE"/>
    <x v="0"/>
    <n v="530255"/>
    <s v="COMBUSTIBLES"/>
    <n v="0"/>
    <n v="3200"/>
    <n v="0"/>
    <n v="0"/>
    <n v="540"/>
    <n v="0"/>
    <n v="540"/>
    <n v="0"/>
    <n v="1040"/>
    <n v="0"/>
    <n v="0"/>
    <n v="0"/>
    <n v="0"/>
    <n v="1080"/>
    <n v="3200"/>
    <s v="OK"/>
    <n v="3200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REPOSICIÓN DE ADQUISICIÓN DE COMBUSTIBLES EN CUMPLIMIENTO DE COMISIÓN DE SERVICIOS AL INTERIOR DE LOS SERVIDORES DEL CENTRO PERÍODO 2023"/>
    <n v="1"/>
    <x v="0"/>
    <n v="1"/>
    <n v="0"/>
    <n v="1"/>
    <n v="2101"/>
    <s v="LAGO AGRIO"/>
    <n v="1"/>
    <n v="0"/>
    <n v="0"/>
    <s v="CORRIENTE"/>
    <x v="0"/>
    <n v="530255"/>
    <s v="COMBUSTIBLES"/>
    <n v="0"/>
    <n v="100"/>
    <n v="0"/>
    <n v="0"/>
    <n v="10"/>
    <n v="0"/>
    <n v="0"/>
    <n v="0"/>
    <n v="0"/>
    <n v="0"/>
    <n v="0"/>
    <n v="0"/>
    <n v="0"/>
    <n v="90"/>
    <n v="100"/>
    <s v="OK"/>
    <n v="35"/>
    <n v="65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PROVISIÓN PARA MOVILIZACIONES DE FUNCIONARIOS DEL ECU 911 POR ACTIVIDADES INSTITUCIONALES AÑO 2023"/>
    <n v="1"/>
    <x v="0"/>
    <n v="1"/>
    <n v="0"/>
    <n v="1"/>
    <n v="2101"/>
    <s v="LAGO AGRIO"/>
    <n v="1"/>
    <n v="0"/>
    <n v="0"/>
    <s v="CORRIENTE"/>
    <x v="0"/>
    <n v="530301"/>
    <s v="PASAJES AL INTERIOR"/>
    <n v="100"/>
    <n v="400"/>
    <n v="0"/>
    <n v="0"/>
    <n v="0"/>
    <n v="25"/>
    <n v="0"/>
    <n v="0"/>
    <n v="0"/>
    <n v="0"/>
    <n v="0"/>
    <n v="0"/>
    <n v="0"/>
    <n v="375"/>
    <n v="400"/>
    <s v="OK"/>
    <n v="0"/>
    <n v="40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PROVISIÓN PARA ALIMENTACIÓN Y ESTADÍA DE LOS FUNCIONARIOS DEL CENTRO OPERATIVO LOCAL ECU 911 LAGO AGRIO POR COMISIÓN FUERA DE LA PROVINCIA EN EL AÑO 2023"/>
    <n v="1"/>
    <x v="0"/>
    <n v="1"/>
    <n v="0"/>
    <n v="1"/>
    <n v="2101"/>
    <s v="LAGO AGRIO"/>
    <n v="1"/>
    <n v="0"/>
    <n v="0"/>
    <s v="CORRIENTE"/>
    <x v="0"/>
    <n v="530303"/>
    <s v="VIÁTICOS Y SUBSISTENCIAS EN EL INTERIOR"/>
    <n v="1500"/>
    <n v="5060.74"/>
    <n v="0"/>
    <n v="0"/>
    <n v="0"/>
    <n v="375"/>
    <n v="0"/>
    <n v="0"/>
    <n v="0"/>
    <n v="0"/>
    <n v="0"/>
    <n v="0"/>
    <n v="0"/>
    <n v="4685.74"/>
    <n v="5060.74"/>
    <s v="OK"/>
    <n v="3860.74"/>
    <n v="120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CONTRATACIÓN PARA MANTENIMIENTO DE INFRAESTRUCTURA DEL CENTRO OPERATIVO LOCAL ECU 911 LAGO AGRIO PARA EL 2023"/>
    <n v="1"/>
    <x v="0"/>
    <n v="1"/>
    <n v="0"/>
    <n v="1"/>
    <n v="2101"/>
    <s v="LAGO AGRIO"/>
    <n v="1"/>
    <n v="0"/>
    <n v="0"/>
    <s v="CORRIENTE"/>
    <x v="0"/>
    <n v="530402"/>
    <s v="EDIFICIOS, LOCALES, RESIDENCIAS Y CABLEADO ESTRUCTURADO (INSTALACIÓN, MANTENIMIENTO Y REPARACIÓN)"/>
    <n v="3000"/>
    <n v="5692"/>
    <n v="0"/>
    <n v="0"/>
    <n v="0"/>
    <n v="0"/>
    <n v="0"/>
    <n v="0"/>
    <n v="0"/>
    <n v="5692"/>
    <n v="0"/>
    <n v="0"/>
    <n v="0"/>
    <n v="0"/>
    <n v="5692"/>
    <s v="OK"/>
    <n v="5692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CONTRATACIÓN DEL SERVICIO DE MANTENIMIENTO Y REPARACIÓN DE MOBILIARIO DEL CENTRO AÑO 2023"/>
    <n v="1"/>
    <x v="0"/>
    <n v="1"/>
    <n v="0"/>
    <n v="1"/>
    <n v="2101"/>
    <s v="LAGO AGRIO"/>
    <n v="1"/>
    <n v="0"/>
    <n v="0"/>
    <s v="CORRIENTE"/>
    <x v="0"/>
    <n v="530403"/>
    <s v="MOBILIARIOS (INSTALACIÓN, MANTENIMIENTO Y REPARACIÓN)"/>
    <n v="700"/>
    <n v="488.75"/>
    <n v="0"/>
    <n v="0"/>
    <n v="0"/>
    <n v="0"/>
    <n v="488.75"/>
    <n v="0"/>
    <n v="0"/>
    <n v="0"/>
    <n v="0"/>
    <n v="0"/>
    <n v="0"/>
    <n v="0"/>
    <n v="488.75"/>
    <s v="OK"/>
    <n v="488.75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CONTRATACIÓN SERVICIO DE MANTENIMIENTO RELOJ BIOMÉTRICO "/>
    <n v="2"/>
    <x v="0"/>
    <n v="1"/>
    <n v="0"/>
    <n v="1"/>
    <n v="2101"/>
    <s v="LAGO AGRIO"/>
    <n v="1"/>
    <n v="0"/>
    <n v="0"/>
    <s v="CORRIENTE"/>
    <x v="0"/>
    <n v="530404"/>
    <s v="MAQUINARIAS Y EQUIPOS (INSTALACIÓN, MANTENIMIENTO Y REPARACIÓN)"/>
    <n v="280"/>
    <n v="128"/>
    <n v="0"/>
    <n v="0"/>
    <n v="0"/>
    <n v="0"/>
    <n v="0"/>
    <n v="0"/>
    <n v="0"/>
    <n v="0"/>
    <n v="0"/>
    <n v="128"/>
    <n v="0"/>
    <n v="0"/>
    <n v="128"/>
    <s v="OK"/>
    <n v="0"/>
    <n v="128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CONTRATACIÓN DEL SERVICIO DE MANTENIMIENTO PREVENTIVO Y CORRECTIVO DE ELECTRODOMÉSTICOS DEL CENTRO OPERATIVO LOCAL ECU 911 NUEVA LOJA"/>
    <n v="1"/>
    <x v="0"/>
    <n v="1"/>
    <n v="0"/>
    <n v="1"/>
    <n v="2101"/>
    <s v="LAGO AGRIO"/>
    <n v="1"/>
    <n v="0"/>
    <n v="0"/>
    <s v="CORRIENTE"/>
    <x v="0"/>
    <n v="530404"/>
    <s v="MAQUINARIAS Y EQUIPOS (INSTALACIÓN, MANTENIMIENTO Y REPARACIÓN)"/>
    <n v="350"/>
    <n v="548"/>
    <n v="0"/>
    <n v="0"/>
    <n v="0"/>
    <n v="0"/>
    <n v="0"/>
    <n v="0"/>
    <n v="0"/>
    <n v="0"/>
    <n v="548"/>
    <n v="0"/>
    <n v="0"/>
    <n v="0"/>
    <n v="548"/>
    <s v="OK"/>
    <n v="548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CONTRATACIÓN DEL SERVICIO DE MANTENIMIENTO PREVENTIVO Y CORRECTIVO DEL ASCENSOR AÑO 2023"/>
    <n v="1"/>
    <x v="0"/>
    <n v="1"/>
    <n v="0"/>
    <n v="1"/>
    <n v="2101"/>
    <s v="LAGO AGRIO"/>
    <n v="1"/>
    <n v="0"/>
    <n v="0"/>
    <s v="CORRIENTE"/>
    <x v="0"/>
    <n v="530404"/>
    <s v="MAQUINARIAS Y EQUIPOS (INSTALACIÓN, MANTENIMIENTO Y REPARACIÓN)"/>
    <n v="2160"/>
    <n v="1927.75"/>
    <n v="0"/>
    <n v="0"/>
    <n v="192.78"/>
    <n v="192.78"/>
    <n v="175.25"/>
    <n v="175.25"/>
    <n v="175.25"/>
    <n v="175.25"/>
    <n v="175.25"/>
    <n v="175.25"/>
    <n v="175.25"/>
    <n v="315.44"/>
    <n v="1927.75"/>
    <s v="OK"/>
    <n v="1927.75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CANCELACIÓN POR CONTRATACIÓN DE MANO DE OBRA PARA MANTENIMIENTO DE VEHÍCULOS LIVIANOS DEL CENTRO OPERATIVO ECU 911 PARA GARANTIZAR OPERATIVIDAD"/>
    <n v="1"/>
    <x v="0"/>
    <n v="1"/>
    <n v="0"/>
    <n v="1"/>
    <n v="2101"/>
    <s v="LAGO AGRIO"/>
    <n v="1"/>
    <n v="0"/>
    <n v="0"/>
    <s v="CORRIENTE"/>
    <x v="0"/>
    <n v="530405"/>
    <s v="VEHÍCULOS (SERVICIO PARA MANTENIMIENTO Y REPARACIÓN)"/>
    <n v="2905"/>
    <n v="2738.66"/>
    <n v="0"/>
    <n v="0"/>
    <n v="1618.5"/>
    <n v="0"/>
    <n v="417"/>
    <n v="0"/>
    <n v="193"/>
    <n v="157"/>
    <n v="0"/>
    <n v="0"/>
    <n v="122.5"/>
    <n v="230.65999999999985"/>
    <n v="2738.66"/>
    <s v="OK"/>
    <n v="2738.66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ADQUISICIÓN DE BIENES Y PAGO DE SERVICIOS NO PREVISIBLES, URGENTES Y DE VALOR REDUCIDO (CAJA CHICA)"/>
    <n v="1"/>
    <x v="0"/>
    <n v="1"/>
    <n v="0"/>
    <n v="1"/>
    <n v="2101"/>
    <s v="LAGO AGRIO"/>
    <n v="1"/>
    <n v="0"/>
    <n v="0"/>
    <s v="CORRIENTE"/>
    <x v="0"/>
    <n v="530405"/>
    <s v="VEHÍCULOS (SERVICIO PARA MANTENIMIENTO Y REPARACIÓN)"/>
    <n v="100"/>
    <n v="100"/>
    <n v="0"/>
    <n v="0"/>
    <n v="0"/>
    <n v="20"/>
    <n v="0"/>
    <n v="20"/>
    <n v="0"/>
    <n v="0"/>
    <n v="0"/>
    <n v="0"/>
    <n v="0"/>
    <n v="60"/>
    <n v="100"/>
    <s v="OK"/>
    <n v="100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CONTRATACIÓN DEL SERVICIO DE MANTENIMIENTO PREVENTIVO Y CORRECTIVO DE IMPRESORAS DEL CENTRO OPERATIVO LOCAL ECU 911 NUEVA LOJA"/>
    <n v="1"/>
    <x v="0"/>
    <n v="1"/>
    <n v="0"/>
    <n v="1"/>
    <n v="2101"/>
    <s v="LAGO AGRIO"/>
    <n v="1"/>
    <n v="0"/>
    <n v="0"/>
    <s v="CORRIENTE"/>
    <x v="2"/>
    <n v="530704"/>
    <s v="MANTENIMIENTO Y REPARACIÓN DE EQUIPOS Y SISTEMAS INFORMÁTICOS "/>
    <n v="0"/>
    <n v="267.87000000000006"/>
    <n v="0"/>
    <n v="0"/>
    <n v="0"/>
    <n v="0"/>
    <n v="0"/>
    <n v="0"/>
    <n v="0"/>
    <n v="0"/>
    <n v="0"/>
    <n v="267.87000000000006"/>
    <n v="0"/>
    <n v="0"/>
    <n v="267.87000000000006"/>
    <s v="OK"/>
    <n v="267.87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ADQUISICIÓN DE EQUIPOS DE PROTECCIÓN INDIVIDUAL Y ROPA DE TRABAJO"/>
    <n v="1"/>
    <x v="0"/>
    <n v="1"/>
    <n v="0"/>
    <n v="1"/>
    <n v="2101"/>
    <s v="LAGO AGRIO"/>
    <n v="1"/>
    <n v="0"/>
    <n v="0"/>
    <s v="CORRIENTE"/>
    <x v="0"/>
    <n v="530802"/>
    <s v="VESTUARIO, LENCERÍA, PRENDAS DE PROTECCIÓN Y ACCESORIOS PARA UNIFORMES DEL PERSONAL DE PROTECCIÓN, VIGILANCIA Y SEGURIDAD"/>
    <n v="1744"/>
    <n v="955.61"/>
    <n v="0"/>
    <n v="0"/>
    <n v="0"/>
    <n v="0"/>
    <n v="0"/>
    <n v="0"/>
    <n v="0"/>
    <n v="955.61"/>
    <n v="0"/>
    <n v="0"/>
    <n v="0"/>
    <n v="0"/>
    <n v="955.61"/>
    <s v="OK"/>
    <n v="955.6099999999999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ADQUISICIÓN DE COMBUSTIBLES, LUBRICANTES, Y ADITIVOS EN GENERAL PARA MANTENIMIENTO DE LOS VEHÍCULOS DEL CENTRO OPERATIVO ECU 911 AÑO 2023"/>
    <n v="1"/>
    <x v="0"/>
    <n v="1"/>
    <n v="0"/>
    <n v="1"/>
    <n v="2101"/>
    <s v="LAGO AGRIO"/>
    <n v="1"/>
    <n v="0"/>
    <n v="0"/>
    <s v="CORRIENTE"/>
    <x v="0"/>
    <n v="530803"/>
    <s v="LUBRICANTES"/>
    <n v="643"/>
    <n v="629.77"/>
    <n v="0"/>
    <n v="0"/>
    <n v="54.14"/>
    <n v="0"/>
    <n v="80.3"/>
    <n v="0"/>
    <n v="51.14"/>
    <n v="77.3"/>
    <n v="0"/>
    <n v="0"/>
    <n v="57.04"/>
    <n v="309.84999999999997"/>
    <n v="629.77"/>
    <s v="OK"/>
    <n v="629.77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ADQUISICIÓN DE COMBUSTIBLE PARA EL PARQUE AUTOMOTOR DEL SERVICIO INTEGRADO DE SEGURIDAD ECU 911  Y GENERADORES DEL CENTRO OPERATIVO LOCAL ECU 911 NUEVA LOJA"/>
    <n v="1"/>
    <x v="0"/>
    <n v="1"/>
    <n v="0"/>
    <n v="1"/>
    <n v="2101"/>
    <s v="LAGO AGRIO"/>
    <n v="1"/>
    <n v="0"/>
    <n v="0"/>
    <s v="CORRIENTE"/>
    <x v="0"/>
    <n v="530803"/>
    <s v="LUBRICANTES"/>
    <n v="260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REPOSICIÓN DE ADQUISICIÓN DE COMBUSTIBLES EN CUMPLIMIENTO DE COMISIÓN DE SERVICIOS AL INTERIOR DE LOS SERVIDORES DEL CENTRO PERÍODO 2023"/>
    <n v="1"/>
    <x v="0"/>
    <n v="1"/>
    <n v="0"/>
    <n v="1"/>
    <n v="2101"/>
    <s v="LAGO AGRIO"/>
    <n v="1"/>
    <n v="0"/>
    <n v="0"/>
    <s v="CORRIENTE"/>
    <x v="0"/>
    <n v="530803"/>
    <s v="LUBRICANTES"/>
    <n v="10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ADQUISICION DE LUBRICANTES PARA MANTENIMIENTO DE LA INFRAESTRUCTURA DEL CENTRO OPERATIVO LOCAL ECU 911 NUEVA LOJA AÑO 2023"/>
    <n v="2"/>
    <x v="0"/>
    <n v="1"/>
    <n v="0"/>
    <n v="1"/>
    <n v="2101"/>
    <s v="LAGO AGRIO"/>
    <n v="1"/>
    <n v="0"/>
    <n v="0"/>
    <s v="CORRIENTE"/>
    <x v="0"/>
    <n v="530803"/>
    <s v="LUBRICANTES"/>
    <n v="0"/>
    <n v="22.889999999999986"/>
    <n v="0"/>
    <n v="0"/>
    <n v="0"/>
    <n v="0"/>
    <n v="0"/>
    <n v="0"/>
    <n v="22.889999999999986"/>
    <n v="0"/>
    <n v="0"/>
    <n v="0"/>
    <n v="0"/>
    <n v="0"/>
    <n v="22.889999999999986"/>
    <s v="OK"/>
    <n v="22.89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ELABORACIÓN DE FORMULARIOS PRE-IMPRESOS Y PRE-NUMERADOS PARA VALES DE CAJA CHICA, INGRESOS Y EGRESOS DE BODEGA, ÓRDENES DE COMBUSTIBLE, ÓRDENES DE MANTENIMIENTO, FORMULARIOS DE PERMISOS DE PERSONAL, SOLICITUD DE MOVILIZACIÓN"/>
    <n v="2"/>
    <x v="0"/>
    <n v="1"/>
    <n v="0"/>
    <n v="1"/>
    <n v="2101"/>
    <s v="LAGO AGRIO"/>
    <n v="1"/>
    <n v="0"/>
    <n v="0"/>
    <s v="CORRIENTE"/>
    <x v="0"/>
    <n v="530804"/>
    <s v="MATERIALES DE OFICINA"/>
    <n v="100"/>
    <n v="40.980000000000018"/>
    <n v="0"/>
    <n v="0"/>
    <n v="0"/>
    <n v="0"/>
    <n v="40.98"/>
    <n v="0"/>
    <n v="0"/>
    <n v="0"/>
    <n v="0"/>
    <n v="0"/>
    <n v="0"/>
    <n v="0"/>
    <n v="40.98"/>
    <s v="OK"/>
    <n v="40.98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ADQUISICIÓN DE MATERIALES DE OFICINA PARA EL CENTRO OPERATIVO LOCAL ECU 911 LAGO AGRIO AÑO 2023"/>
    <n v="1"/>
    <x v="0"/>
    <n v="1"/>
    <n v="0"/>
    <n v="1"/>
    <n v="2101"/>
    <s v="LAGO AGRIO"/>
    <n v="1"/>
    <n v="0"/>
    <n v="0"/>
    <s v="CORRIENTE"/>
    <x v="0"/>
    <n v="530804"/>
    <s v="MATERIALES DE OFICINA"/>
    <n v="1340"/>
    <n v="499.15999999999997"/>
    <n v="0"/>
    <n v="0"/>
    <n v="0"/>
    <n v="350"/>
    <n v="0"/>
    <n v="149.16"/>
    <n v="0"/>
    <n v="0"/>
    <n v="0"/>
    <n v="0"/>
    <n v="0"/>
    <n v="0"/>
    <n v="499.15999999999997"/>
    <s v="OK"/>
    <n v="499.15999999999997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3 INCREMENTAR EL POSICIONAMIENTO DEL SERVICIO INTEGRADO DE SEGURIDAD ECU 911 A NIVEL NACIONAL E INTER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1"/>
    <s v="COMUNICACIÓN SOCIAL"/>
    <s v="ADQUISICIÓN DE MATERIAL DE POSICIONAMIENTO E IDENTIDAD DEL ECU 911 PARA EL CENTRO OPERATIVO ECU 911 NUEVA LOJA"/>
    <n v="2"/>
    <x v="0"/>
    <n v="1"/>
    <n v="0"/>
    <n v="1"/>
    <n v="2101"/>
    <s v="LAGO AGRIO"/>
    <n v="1"/>
    <n v="0"/>
    <n v="0"/>
    <s v="CORRIENTE"/>
    <x v="0"/>
    <n v="530804"/>
    <s v="MATERIALES DE OFICINA"/>
    <n v="0"/>
    <n v="510"/>
    <n v="0"/>
    <n v="0"/>
    <n v="0"/>
    <n v="0"/>
    <n v="510"/>
    <n v="0"/>
    <n v="0"/>
    <n v="0"/>
    <n v="0"/>
    <n v="0"/>
    <n v="0"/>
    <n v="0"/>
    <n v="510"/>
    <s v="OK"/>
    <n v="51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CONTRATACIÓN DEL SERVICIO DE IMPRESIÓN DE MATERIAL ACADÉMICO PARA LOS CURSOS PRESENCIALES DEL SISTEMA DE COMANDO DE INCIDENTES BÁSICO PARA EL CENTRO LOCAL NUEVA LOJA"/>
    <n v="1"/>
    <x v="0"/>
    <n v="1"/>
    <n v="0"/>
    <n v="1"/>
    <n v="2101"/>
    <s v="LAGO AGRIO"/>
    <n v="1"/>
    <n v="0"/>
    <n v="0"/>
    <s v="CORRIENTE"/>
    <x v="0"/>
    <n v="530804"/>
    <s v="MATERIALES DE OFICINA"/>
    <n v="0"/>
    <n v="428.15"/>
    <n v="0"/>
    <n v="0"/>
    <n v="0"/>
    <n v="0"/>
    <n v="0"/>
    <n v="0"/>
    <n v="0"/>
    <n v="0"/>
    <n v="0"/>
    <n v="0"/>
    <n v="428.15"/>
    <n v="0"/>
    <n v="428.15"/>
    <s v="OK"/>
    <n v="0"/>
    <n v="428.15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ADQUISICIÓN DE CINTAS PARA ETIQUETADORAS DEL CENTRO OPERATIVO LOCAL ECU 911 NUEVA LOJA"/>
    <n v="2"/>
    <x v="0"/>
    <n v="1"/>
    <n v="0"/>
    <n v="1"/>
    <n v="2101"/>
    <s v="LAGO AGRIO"/>
    <n v="1"/>
    <n v="0"/>
    <n v="0"/>
    <s v="CORRIENTE"/>
    <x v="0"/>
    <n v="530804"/>
    <s v="MATERIALES DE OFICINA"/>
    <n v="0"/>
    <n v="868.53"/>
    <n v="0"/>
    <n v="0"/>
    <n v="0"/>
    <n v="0"/>
    <n v="0"/>
    <n v="0"/>
    <n v="0"/>
    <n v="0"/>
    <n v="0"/>
    <n v="0"/>
    <n v="0"/>
    <n v="868.53"/>
    <n v="868.53"/>
    <s v="OK"/>
    <n v="0"/>
    <n v="868.53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ADQUISICIÓN DE MATERIALES DE ASEO PARA EL CENTRO OPERATIVO LOCAL ECU 911 LAGO AGRIO AÑO 2023"/>
    <n v="1"/>
    <x v="0"/>
    <n v="1"/>
    <n v="0"/>
    <n v="1"/>
    <n v="2101"/>
    <s v="LAGO AGRIO"/>
    <n v="1"/>
    <n v="0"/>
    <n v="0"/>
    <s v="CORRIENTE"/>
    <x v="0"/>
    <n v="530805"/>
    <s v="MATERIALES DE ASEO"/>
    <n v="500"/>
    <n v="188.48000000000002"/>
    <n v="0"/>
    <n v="0"/>
    <n v="0"/>
    <n v="0"/>
    <n v="0"/>
    <n v="188.48"/>
    <n v="0"/>
    <n v="0"/>
    <n v="0"/>
    <n v="0"/>
    <n v="0"/>
    <n v="0"/>
    <n v="188.48"/>
    <s v="OK"/>
    <n v="188.48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ADQUISICIÓN DE TONERS NEGRO Y DE COLOR PARA IMPRESORAS DEL CENTRO OPERATIVO LOCAL ECU 911 LAGO AGRIO AÑO 2023"/>
    <n v="1"/>
    <x v="0"/>
    <n v="1"/>
    <n v="0"/>
    <n v="1"/>
    <n v="2101"/>
    <s v="LAGO AGRIO"/>
    <n v="1"/>
    <n v="0"/>
    <n v="0"/>
    <s v="CORRIENTE"/>
    <x v="0"/>
    <n v="530807"/>
    <s v="MATERIALES DE IMPRESIÓN, FOTOGRAFÍA, REPRODUCCIÓN Y PUBLICACIONES"/>
    <n v="2500"/>
    <n v="3230"/>
    <n v="0"/>
    <n v="0"/>
    <n v="0"/>
    <n v="0"/>
    <n v="0"/>
    <n v="0"/>
    <n v="2330.4"/>
    <n v="899.6"/>
    <n v="0"/>
    <n v="0"/>
    <n v="0"/>
    <n v="0"/>
    <n v="3230"/>
    <s v="OK"/>
    <n v="2664.4"/>
    <n v="565.59999999999991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CONTRATACIÓN DEL SERVICIO DE IMPRESIÓN DE MATERIAL ACADÉMICO PARA LOS CURSOS PRESENCIALES DEL SISTEMA DE COMANDO DE INCIDENTES BÁSICO PARA EL CENTRO LOCAL NUEVA LOJA"/>
    <n v="1"/>
    <x v="0"/>
    <n v="1"/>
    <n v="0"/>
    <n v="1"/>
    <n v="2101"/>
    <s v="LAGO AGRIO"/>
    <n v="1"/>
    <n v="0"/>
    <n v="0"/>
    <s v="CORRIENTE"/>
    <x v="0"/>
    <n v="530807"/>
    <s v="MATERIALES DE IMPRESIÓN, FOTOGRAFÍA, REPRODUCCIÓN Y PUBLICACIONES"/>
    <n v="0"/>
    <n v="387.50000000000006"/>
    <n v="0"/>
    <n v="0"/>
    <n v="0"/>
    <n v="0"/>
    <n v="0"/>
    <n v="0"/>
    <n v="0"/>
    <n v="0"/>
    <n v="0"/>
    <n v="0"/>
    <n v="387.50000000000006"/>
    <n v="0"/>
    <n v="387.50000000000006"/>
    <s v="OK"/>
    <n v="0"/>
    <n v="387.50000000000006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ADQUISICIÓN DE BIENES Y PAGO DE SERVICIOS NO PREVISIBLES, URGENTES Y DE VALOR REDUCIDO (CAJA CHICA)"/>
    <n v="1"/>
    <x v="0"/>
    <n v="1"/>
    <n v="0"/>
    <n v="1"/>
    <n v="2101"/>
    <s v="LAGO AGRIO"/>
    <n v="1"/>
    <n v="0"/>
    <n v="0"/>
    <s v="CORRIENTE"/>
    <x v="0"/>
    <n v="530811"/>
    <s v="INSUMOS, MATERIALES Y SUMINISTROS PARA CONSTRUCCIÓN, ELECTRICIDAD, PLOMERÍA, CARPINTERÍA, SEÑALIZACIÓN VIAL, NAVEGACIÓN, CONTRA INCENDIOS Y PLACAS"/>
    <n v="250"/>
    <n v="250"/>
    <n v="0"/>
    <n v="0"/>
    <n v="0"/>
    <n v="68.25"/>
    <n v="0"/>
    <n v="50"/>
    <n v="0"/>
    <n v="0"/>
    <n v="0"/>
    <n v="0"/>
    <n v="0"/>
    <n v="131.75"/>
    <n v="250"/>
    <s v="OK"/>
    <n v="250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ADQUISICIÓN DE MATERIAL DE FERRETERÍA PARA EL CENTRO OPERATIVO LOCAL ECU 911 LAGO AGRIO AÑO 2023"/>
    <n v="1"/>
    <x v="0"/>
    <n v="1"/>
    <n v="0"/>
    <n v="1"/>
    <n v="2101"/>
    <s v="LAGO AGRIO"/>
    <n v="1"/>
    <n v="0"/>
    <n v="0"/>
    <s v="CORRIENTE"/>
    <x v="0"/>
    <n v="530811"/>
    <s v="INSUMOS, MATERIALES Y SUMINISTROS PARA CONSTRUCCIÓN, ELECTRICIDAD, PLOMERÍA, CARPINTERÍA, SEÑALIZACIÓN VIAL, NAVEGACIÓN, CONTRA INCENDIOS Y PLACAS"/>
    <n v="1500"/>
    <n v="2475.9300000000003"/>
    <n v="0"/>
    <n v="0"/>
    <n v="0"/>
    <n v="0"/>
    <n v="0"/>
    <n v="0"/>
    <n v="2475.9300000000003"/>
    <n v="0"/>
    <n v="0"/>
    <n v="0"/>
    <n v="0"/>
    <n v="0"/>
    <n v="2475.9300000000003"/>
    <s v="OK"/>
    <n v="2475.9299999999998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3 INCREMENTAR EL POSICIONAMIENTO DEL SERVICIO INTEGRADO DE SEGURIDAD ECU 911 A NIVEL NACIONAL E INTER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1"/>
    <s v="COMUNICACIÓN SOCIAL"/>
    <s v="ADQUISICIÓN DE MATERIAL DE POSICIONAMIENTO E IDENTIDAD DEL ECU 911 PARA EL CENTRO OPERATIVO ECU 911 NUEVA LOJA"/>
    <n v="2"/>
    <x v="0"/>
    <n v="1"/>
    <n v="0"/>
    <n v="1"/>
    <n v="2101"/>
    <s v="LAGO AGRIO"/>
    <n v="1"/>
    <n v="0"/>
    <n v="0"/>
    <s v="CORRIENTE"/>
    <x v="0"/>
    <n v="530811"/>
    <s v="INSUMOS, MATERIALES Y SUMINISTROS PARA CONSTRUCCIÓN, ELECTRICIDAD, PLOMERÍA, CARPINTERÍA, SEÑALIZACIÓN VIAL, NAVEGACIÓN, CONTRA INCENDIOS Y PLACAS"/>
    <n v="0"/>
    <n v="470"/>
    <n v="0"/>
    <n v="0"/>
    <n v="0"/>
    <n v="0"/>
    <n v="470"/>
    <n v="0"/>
    <n v="0"/>
    <n v="0"/>
    <n v="0"/>
    <n v="0"/>
    <n v="0"/>
    <n v="0"/>
    <n v="470"/>
    <s v="OK"/>
    <n v="47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ADQUISICIÓN DE REPUESTOS PARA MANTENIMIENTO DE VEHÍCULOS LIVIANOS DEL CENTRO OPERATIVO ECU 911 POR EL PERÍODO 2023"/>
    <n v="1"/>
    <x v="0"/>
    <n v="1"/>
    <n v="0"/>
    <n v="1"/>
    <n v="2101"/>
    <s v="LAGO AGRIO"/>
    <n v="1"/>
    <n v="0"/>
    <n v="0"/>
    <s v="CORRIENTE"/>
    <x v="0"/>
    <n v="530813"/>
    <s v="REPUESTOS Y ACCESORIOS"/>
    <n v="1823"/>
    <n v="1697.26"/>
    <n v="0"/>
    <n v="0"/>
    <n v="521.95000000000005"/>
    <n v="0"/>
    <n v="333.13"/>
    <n v="0"/>
    <n v="106.67"/>
    <n v="117.23"/>
    <n v="0"/>
    <n v="0"/>
    <n v="276.60000000000002"/>
    <n v="341.68000000000006"/>
    <n v="1697.26"/>
    <s v="OK"/>
    <n v="1697.26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ADQUISICIÓN DE REPUESTOS COMO FILTROS DE IMAGEN, MOTOR, CUCHILLAS, RODILLOS, PIÑONES, UÑETAS, COMPONENTES ELECTRÓNICOS INTERNOS DE IMPRESORAS"/>
    <n v="1"/>
    <x v="0"/>
    <n v="1"/>
    <n v="0"/>
    <n v="1"/>
    <n v="2101"/>
    <s v="LAGO AGRIO"/>
    <n v="1"/>
    <n v="0"/>
    <n v="0"/>
    <s v="CORRIENTE"/>
    <x v="0"/>
    <n v="530813"/>
    <s v="REPUESTOS Y ACCESORIOS"/>
    <n v="700"/>
    <n v="706.26"/>
    <n v="0"/>
    <n v="0"/>
    <n v="0"/>
    <n v="0"/>
    <n v="0"/>
    <n v="0"/>
    <n v="0"/>
    <n v="0"/>
    <n v="0"/>
    <n v="706.26"/>
    <n v="0"/>
    <n v="0"/>
    <n v="706.26"/>
    <s v="OK"/>
    <n v="706.26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ADQUISICIÓN DE BIENES Y PAGO DE SERVICIOS NO PREVISIBLES, URGENTES Y DE VALOR REDUCIDO (CAJA CHICA)"/>
    <n v="1"/>
    <x v="0"/>
    <n v="1"/>
    <n v="0"/>
    <n v="1"/>
    <n v="2101"/>
    <s v="LAGO AGRIO"/>
    <n v="1"/>
    <n v="0"/>
    <n v="0"/>
    <s v="CORRIENTE"/>
    <x v="0"/>
    <n v="530813"/>
    <s v="REPUESTOS Y ACCESORIOS"/>
    <n v="100"/>
    <n v="100"/>
    <n v="0"/>
    <n v="0"/>
    <n v="0"/>
    <n v="20"/>
    <n v="0"/>
    <n v="20"/>
    <n v="0"/>
    <n v="0"/>
    <n v="0"/>
    <n v="0"/>
    <n v="0"/>
    <n v="60"/>
    <n v="100"/>
    <s v="OK"/>
    <n v="100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ADQUISICION DE REPUESTOS PARA MANTENIMIENTO DE LA INFRAESTRUCTURA DEL CENTRO OPERATIVO LOCAL ECU 911 NUEVA LOJA AÑO 2023"/>
    <n v="2"/>
    <x v="0"/>
    <n v="1"/>
    <n v="0"/>
    <n v="1"/>
    <n v="2101"/>
    <s v="LAGO AGRIO"/>
    <n v="1"/>
    <n v="0"/>
    <n v="0"/>
    <s v="CORRIENTE"/>
    <x v="0"/>
    <n v="530813"/>
    <s v="REPUESTOS Y ACCESORIOS"/>
    <n v="0"/>
    <n v="199.62"/>
    <n v="0"/>
    <n v="0"/>
    <n v="0"/>
    <n v="0"/>
    <n v="0"/>
    <n v="0"/>
    <n v="199.62"/>
    <n v="0"/>
    <n v="0"/>
    <n v="0"/>
    <n v="0"/>
    <n v="0"/>
    <n v="199.62"/>
    <s v="OK"/>
    <n v="199.62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ADQUISICIÓN DE REPUESTOS PARA MANTENIMIENTO DEL RELOJ BIOMÉTRICO"/>
    <n v="2"/>
    <x v="0"/>
    <n v="1"/>
    <n v="0"/>
    <n v="1"/>
    <n v="2101"/>
    <s v="LAGO AGRIO"/>
    <n v="1"/>
    <n v="0"/>
    <n v="0"/>
    <s v="CORRIENTE"/>
    <x v="0"/>
    <n v="530813"/>
    <s v="REPUESTOS Y ACCESORIOS"/>
    <n v="0"/>
    <n v="450"/>
    <n v="0"/>
    <n v="0"/>
    <n v="0"/>
    <n v="0"/>
    <n v="0"/>
    <n v="0"/>
    <n v="0"/>
    <n v="0"/>
    <n v="0"/>
    <n v="450"/>
    <n v="0"/>
    <n v="0"/>
    <n v="450"/>
    <s v="OK"/>
    <n v="0"/>
    <n v="45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ADQUISICIÓN, INSTALACIÓN, DE REPUESTO ( LTO-4 ULTRIUM RW DATA CARTRIDGE ) PARA EL STORAGE WORK HP MSL 2024 DEL CENTRO OPERATIVO LOCAL NUEVA LOJA"/>
    <n v="2"/>
    <x v="0"/>
    <n v="1"/>
    <n v="0"/>
    <n v="1"/>
    <n v="2101"/>
    <s v="LAGO AGRIO"/>
    <n v="1"/>
    <n v="0"/>
    <n v="0"/>
    <s v="CORRIENTE"/>
    <x v="0"/>
    <n v="530813"/>
    <s v="REPUESTOS Y ACCESORIOS"/>
    <n v="0"/>
    <n v="970"/>
    <n v="0"/>
    <n v="0"/>
    <n v="0"/>
    <n v="0"/>
    <n v="0"/>
    <n v="0"/>
    <n v="0"/>
    <n v="0"/>
    <n v="0"/>
    <n v="0"/>
    <n v="0"/>
    <n v="970"/>
    <n v="970"/>
    <s v="OK"/>
    <n v="0"/>
    <n v="97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ADQUISICIÓN DE MENAJE DE HOGAR (PLATOS, CUCHARAS, VASOS, ENTRE OTROS)"/>
    <n v="2"/>
    <x v="0"/>
    <n v="1"/>
    <n v="0"/>
    <n v="1"/>
    <n v="2101"/>
    <s v="LAGO AGRIO"/>
    <n v="1"/>
    <n v="0"/>
    <n v="0"/>
    <s v="CORRIENTE"/>
    <x v="0"/>
    <n v="530820"/>
    <s v="MENAJE Y ACCESORIOS DESCARTABLES"/>
    <n v="300"/>
    <n v="165.52"/>
    <n v="0"/>
    <n v="0"/>
    <n v="0"/>
    <n v="0"/>
    <n v="0"/>
    <n v="0"/>
    <n v="165.52"/>
    <n v="0"/>
    <n v="0"/>
    <n v="0"/>
    <n v="0"/>
    <n v="0"/>
    <n v="165.52"/>
    <s v="OK"/>
    <n v="165.52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3 INCREMENTAR EL POSICIONAMIENTO DEL SERVICIO INTEGRADO DE SEGURIDAD ECU 911 A NIVEL NACIONAL E INTER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1"/>
    <s v="COMUNICACIÓN SOCIAL"/>
    <s v="ADQUISICIÓN DE MATERIAL DE POSICIONAMIENTO E IDENTIDAD DEL ECU 911 PARA EL CENTRO OPERATIVO ECU 911 NUEVA LOJA"/>
    <n v="2"/>
    <x v="0"/>
    <n v="1"/>
    <n v="0"/>
    <n v="1"/>
    <n v="2101"/>
    <s v="LAGO AGRIO"/>
    <n v="1"/>
    <n v="0"/>
    <n v="0"/>
    <s v="CORRIENTE"/>
    <x v="0"/>
    <n v="530824"/>
    <s v="INSUMOS, BIENES Y MATERIALES PARA PRODUCCIÓN DE PROGRAMAS DE RADIO, TELEVISIÓN, EVENTOS CULTURALES, ARTÍSTICOS Y ENTRETENIMIENTO EN GENERAL"/>
    <n v="0"/>
    <n v="180"/>
    <n v="0"/>
    <n v="0"/>
    <n v="0"/>
    <n v="0"/>
    <n v="180"/>
    <n v="0"/>
    <n v="0"/>
    <n v="0"/>
    <n v="0"/>
    <n v="0"/>
    <n v="0"/>
    <n v="0"/>
    <n v="180"/>
    <s v="OK"/>
    <n v="18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3 INCREMENTAR EL POSICIONAMIENTO DEL SERVICIO INTEGRADO DE SEGURIDAD ECU 911 A NIVEL NACIONAL E INTER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1"/>
    <s v="COMUNICACIÓN SOCIAL"/>
    <s v="ADQUISICIÓN DE MATERIAL DE POSICIONAMIENTO E IDENTIDAD DEL ECU 911 PARA EL CENTRO OPERATIVO ECU 911 NUEVA LOJA"/>
    <n v="2"/>
    <x v="0"/>
    <n v="1"/>
    <n v="0"/>
    <n v="1"/>
    <n v="2101"/>
    <s v="LAGO AGRIO"/>
    <n v="1"/>
    <n v="0"/>
    <n v="0"/>
    <s v="CORRIENTE"/>
    <x v="0"/>
    <n v="531403"/>
    <s v="MOBILIARIO "/>
    <n v="0"/>
    <n v="140"/>
    <n v="0"/>
    <n v="0"/>
    <n v="0"/>
    <n v="0"/>
    <n v="140"/>
    <n v="0"/>
    <n v="0"/>
    <n v="0"/>
    <n v="0"/>
    <n v="0"/>
    <n v="0"/>
    <n v="0"/>
    <n v="140"/>
    <s v="OK"/>
    <n v="14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ADQUISICIÓN DE MAQUINARIA Y EQUIPOS MENORES PARA EL CENTRO OPERATIVO LOCAL ECU 911 NUEVA LOJA"/>
    <n v="2"/>
    <x v="0"/>
    <n v="1"/>
    <n v="0"/>
    <n v="1"/>
    <n v="2101"/>
    <s v="LAGO AGRIO"/>
    <n v="1"/>
    <n v="0"/>
    <n v="0"/>
    <s v="CORRIENTE"/>
    <x v="0"/>
    <n v="531404"/>
    <s v="MAQUINARIAS Y EQUIPOS"/>
    <n v="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ADQUISICIÓN DE HERRAMIENTAS Y EQUIPOS MENORES"/>
    <n v="1"/>
    <x v="0"/>
    <n v="1"/>
    <n v="0"/>
    <n v="1"/>
    <n v="2101"/>
    <s v="LAGO AGRIO"/>
    <n v="1"/>
    <n v="0"/>
    <n v="0"/>
    <s v="CORRIENTE"/>
    <x v="0"/>
    <n v="531406"/>
    <s v="HERRAMIENTAS Y EQUIPOS MENORES"/>
    <n v="1300"/>
    <n v="2100"/>
    <n v="0"/>
    <n v="0"/>
    <n v="0"/>
    <n v="0"/>
    <n v="0"/>
    <n v="0"/>
    <n v="0"/>
    <n v="0"/>
    <n v="0"/>
    <n v="0"/>
    <n v="2100"/>
    <n v="0"/>
    <n v="2100"/>
    <s v="OK"/>
    <n v="0"/>
    <n v="210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CANCELACIÓN DEL PERMISO DE FUNCIONAMIENTO DEL CUERPO DE BOMBEROS AÑO 2023"/>
    <n v="1"/>
    <x v="0"/>
    <n v="1"/>
    <n v="0"/>
    <n v="1"/>
    <n v="2101"/>
    <s v="LAGO AGRIO"/>
    <n v="1"/>
    <n v="0"/>
    <n v="0"/>
    <s v="CORRIENTE"/>
    <x v="1"/>
    <n v="570102"/>
    <s v="TASAS GENERALES, IMPUESTOS, CONTRIBUCIONES, PERMISOS, LICENCIAS Y PATENTES"/>
    <n v="500"/>
    <n v="500"/>
    <n v="0"/>
    <n v="0"/>
    <n v="500"/>
    <n v="0"/>
    <n v="0"/>
    <n v="0"/>
    <n v="0"/>
    <n v="0"/>
    <n v="0"/>
    <n v="0"/>
    <n v="0"/>
    <n v="0"/>
    <n v="500"/>
    <s v="OK"/>
    <n v="50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CANCELACIÓN POR TASA DE MEJORAS EN EL MUNICIPIO AÑO 2023"/>
    <n v="1"/>
    <x v="0"/>
    <n v="1"/>
    <n v="0"/>
    <n v="1"/>
    <n v="2101"/>
    <s v="LAGO AGRIO"/>
    <n v="1"/>
    <n v="0"/>
    <n v="0"/>
    <s v="CORRIENTE"/>
    <x v="1"/>
    <n v="570102"/>
    <s v="TASAS GENERALES, IMPUESTOS, CONTRIBUCIONES, PERMISOS, LICENCIAS Y PATENTES"/>
    <n v="200"/>
    <n v="482.85"/>
    <n v="0"/>
    <n v="482.85"/>
    <n v="0"/>
    <n v="0"/>
    <n v="0"/>
    <n v="0"/>
    <n v="0"/>
    <n v="0"/>
    <n v="0"/>
    <n v="0"/>
    <n v="0"/>
    <n v="0"/>
    <n v="482.85"/>
    <s v="OK"/>
    <n v="482.85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ADQUISICIÓN DE BIENES Y PAGO DE SERVICIOS NO PREVISIBLES, URGENTES Y DE VALOR REDUCIDO (CAJA CHICA)"/>
    <n v="1"/>
    <x v="0"/>
    <n v="1"/>
    <n v="0"/>
    <n v="1"/>
    <n v="2101"/>
    <s v="LAGO AGRIO"/>
    <n v="1"/>
    <n v="0"/>
    <n v="0"/>
    <s v="CORRIENTE"/>
    <x v="1"/>
    <n v="570102"/>
    <s v="TASAS GENERALES, IMPUESTOS, CONTRIBUCIONES, PERMISOS, LICENCIAS Y PATENTES"/>
    <n v="150"/>
    <n v="150"/>
    <n v="0"/>
    <n v="0"/>
    <n v="0"/>
    <n v="42.08"/>
    <n v="0"/>
    <n v="50"/>
    <n v="0"/>
    <n v="0"/>
    <n v="0"/>
    <n v="0"/>
    <n v="0"/>
    <n v="57.92"/>
    <n v="150"/>
    <s v="OK"/>
    <n v="150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0"/>
    <s v="ADMINISTRACIÓN CENTRAL"/>
    <s v="MATRICULACIÓN Y REVISIÓN VEHICULAR DE LOS VEHÍCULOS DEL CENTRO OPERATIVO LOCAL ECU 911 LAGO AGRIO AÑO 2023"/>
    <n v="1"/>
    <x v="0"/>
    <n v="1"/>
    <n v="0"/>
    <n v="1"/>
    <n v="2101"/>
    <s v="LAGO AGRIO"/>
    <n v="1"/>
    <n v="0"/>
    <n v="0"/>
    <s v="CORRIENTE"/>
    <x v="1"/>
    <n v="570102"/>
    <s v="TASAS GENERALES, IMPUESTOS, CONTRIBUCIONES, PERMISOS, LICENCIAS Y PATENTES"/>
    <n v="20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2"/>
    <s v="TECNOLOGÍA"/>
    <s v="ARRASTRE: PAGOS POR CONSUMO DE SERVICIOS DE TELECOMUNICACIONES CORRESPONDIENTE A DICIEMBRE DEL 2022"/>
    <n v="1"/>
    <x v="0"/>
    <n v="55"/>
    <n v="0"/>
    <n v="3"/>
    <n v="2101"/>
    <s v="LAGO AGRIO"/>
    <n v="1"/>
    <n v="0"/>
    <n v="0"/>
    <s v="CORRIENTE"/>
    <x v="0"/>
    <n v="530105"/>
    <s v="TELECOMUNICACIONES"/>
    <n v="9053"/>
    <n v="7414.11"/>
    <n v="7414.11"/>
    <n v="0"/>
    <n v="0"/>
    <n v="0"/>
    <n v="0"/>
    <n v="0"/>
    <n v="0"/>
    <n v="0"/>
    <n v="0"/>
    <n v="0"/>
    <n v="0"/>
    <n v="0"/>
    <n v="7414.11"/>
    <s v="OK"/>
    <n v="7414.11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2"/>
    <s v="TECNOLOGÍA"/>
    <s v="PAGO POR CONSUMO DE SERVICIOS DE TELECOMUNICACIONES CORRESPONDIENTE AL CONTRATO ENERO-DICIEMBRE 2023"/>
    <n v="1"/>
    <x v="0"/>
    <n v="55"/>
    <n v="0"/>
    <n v="3"/>
    <n v="2101"/>
    <s v="LAGO AGRIO"/>
    <n v="1"/>
    <n v="0"/>
    <n v="0"/>
    <s v="CORRIENTE"/>
    <x v="0"/>
    <n v="530105"/>
    <s v="TELECOMUNICACIONES"/>
    <n v="116779"/>
    <n v="72162.989999999991"/>
    <n v="0"/>
    <n v="6560"/>
    <n v="6560"/>
    <n v="6560"/>
    <n v="3500"/>
    <n v="3500"/>
    <n v="3500"/>
    <n v="3500"/>
    <n v="3500"/>
    <n v="3500"/>
    <n v="3500"/>
    <n v="27982.99"/>
    <n v="72162.990000000005"/>
    <s v="OK"/>
    <n v="72162.990000000005"/>
    <n v="0"/>
    <s v="R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2"/>
    <s v="TECNOLOGÍA"/>
    <s v="PAGO POR LICENCIAMIENTO DE LA SOLUCIÓN ANTIVIRUS PARA CONSOLAS OPERATIVAS Y ADMINISTRATIVAS DEL CENTRO"/>
    <n v="2"/>
    <x v="0"/>
    <n v="55"/>
    <n v="0"/>
    <n v="3"/>
    <n v="2101"/>
    <s v="LAGO AGRIO"/>
    <n v="1"/>
    <n v="0"/>
    <n v="0"/>
    <s v="CORRIENTE"/>
    <x v="0"/>
    <n v="530702"/>
    <s v="ARRENDAMIENTO Y LICENCIAS DE USO DE PAQUETES INFORMÁTICOS"/>
    <n v="3207"/>
    <n v="3134.88"/>
    <n v="0"/>
    <n v="0"/>
    <n v="3134.88"/>
    <n v="0"/>
    <n v="0"/>
    <n v="0"/>
    <n v="0"/>
    <n v="0"/>
    <n v="0"/>
    <n v="0"/>
    <n v="0"/>
    <n v="0"/>
    <n v="3134.88"/>
    <s v="OK"/>
    <n v="3134.88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2"/>
    <s v="TECNOLOGÍA"/>
    <s v="PAGO POR ADQUISICIÓN DE MATERIALES E INSUMOS PARA MANTENIMIENTOS E INSTALACIONES TECNOLÓGICAS DEL CENTRO"/>
    <n v="2"/>
    <x v="0"/>
    <n v="55"/>
    <n v="0"/>
    <n v="3"/>
    <n v="2101"/>
    <s v="LAGO AGRIO"/>
    <n v="1"/>
    <n v="0"/>
    <n v="0"/>
    <s v="CORRIENTE"/>
    <x v="0"/>
    <n v="530811"/>
    <s v="INSUMOS, MATERIALES Y SUMINISTROS PARA CONSTRUCCIÓN, ELECTRICIDAD, PLOMERÍA, CARPINTERÍA, SEÑALIZACIÓN VIAL, NAVEGACIÓN, CONTRA INCENDIOS Y PLACAS"/>
    <n v="1500"/>
    <n v="243.29999999999995"/>
    <n v="0"/>
    <n v="0"/>
    <n v="0"/>
    <n v="0"/>
    <n v="243.3"/>
    <n v="0"/>
    <n v="0"/>
    <n v="0"/>
    <n v="0"/>
    <n v="0"/>
    <n v="0"/>
    <n v="0"/>
    <n v="243.3"/>
    <s v="OK"/>
    <n v="243.3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2"/>
    <s v="TECNOLOGÍA"/>
    <s v="ADQUISICIÓN DE BIENES Y PAGO DE SERVICIOS NO PREVISIBLES, URGENTES Y DE VALOR REDUCIDO (CAJA CHICA)"/>
    <n v="2"/>
    <x v="0"/>
    <n v="55"/>
    <n v="0"/>
    <n v="3"/>
    <n v="2101"/>
    <s v="LAGO AGRIO"/>
    <n v="1"/>
    <n v="0"/>
    <n v="0"/>
    <s v="CORRIENTE"/>
    <x v="0"/>
    <n v="530811"/>
    <s v="INSUMOS, MATERIALES Y SUMINISTROS PARA CONSTRUCCIÓN, ELECTRICIDAD, PLOMERÍA, CARPINTERÍA, SEÑALIZACIÓN VIAL, NAVEGACIÓN, CONTRA INCENDIOS Y PLACAS"/>
    <n v="300"/>
    <n v="150"/>
    <n v="0"/>
    <n v="0"/>
    <n v="0"/>
    <n v="50"/>
    <n v="0"/>
    <n v="60"/>
    <n v="0"/>
    <n v="40"/>
    <n v="0"/>
    <n v="0"/>
    <n v="0"/>
    <n v="0"/>
    <n v="150"/>
    <s v="OK"/>
    <n v="150"/>
    <n v="0"/>
    <s v="R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2"/>
    <s v="TECNOLOGÍA"/>
    <s v="PAGOS POR ADQUISICIÓN DE REPUESTOS Y ACCESORIOS PARA EQUIPOS TECNOLÓGICOS"/>
    <n v="2"/>
    <x v="0"/>
    <n v="55"/>
    <n v="0"/>
    <n v="3"/>
    <n v="2101"/>
    <s v="LAGO AGRIO"/>
    <n v="1"/>
    <n v="0"/>
    <n v="0"/>
    <s v="CORRIENTE"/>
    <x v="0"/>
    <n v="530813"/>
    <s v="REPUESTOS Y ACCESORIOS"/>
    <n v="540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2"/>
    <s v="TECNOLOGÍA"/>
    <s v="PAGO POR ADQUISICIÓN DE REPUESTOS Y ACCESORIOS PARA RADIOS APX 2000 DEL CENTRO OPERATIVO"/>
    <n v="2"/>
    <x v="0"/>
    <n v="55"/>
    <n v="0"/>
    <n v="3"/>
    <n v="2101"/>
    <s v="LAGO AGRIO"/>
    <n v="1"/>
    <n v="0"/>
    <n v="0"/>
    <s v="CORRIENTE"/>
    <x v="0"/>
    <n v="530813"/>
    <s v="REPUESTOS Y ACCESORIOS"/>
    <n v="2459"/>
    <n v="0"/>
    <n v="0"/>
    <n v="0"/>
    <n v="0"/>
    <n v="0"/>
    <n v="0"/>
    <n v="0"/>
    <n v="0"/>
    <n v="0"/>
    <n v="0"/>
    <n v="0"/>
    <n v="0"/>
    <n v="0"/>
    <n v="0"/>
    <s v="OK"/>
    <n v="0"/>
    <n v="0"/>
    <s v="R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0"/>
    <x v="2"/>
    <s v="TECNOLOGÍA"/>
    <s v="ADQUISICIÓN DE BIENES, REPUESTOS Y ACCESORIOS PARA MANTENIMIENTO DE EQUIPOS INFORMÁTICOS Y DE RED DE LOS CENTROS OPERATIVOS ECU911"/>
    <n v="2"/>
    <x v="0"/>
    <n v="55"/>
    <n v="0"/>
    <n v="3"/>
    <n v="2101"/>
    <s v="LAGO AGRIO"/>
    <n v="1"/>
    <n v="0"/>
    <n v="0"/>
    <s v="CORRIENTE"/>
    <x v="0"/>
    <n v="530813"/>
    <s v="REPUESTOS Y ACCESORIOS"/>
    <n v="0"/>
    <n v="5761.84"/>
    <n v="0"/>
    <n v="0"/>
    <n v="0"/>
    <n v="0"/>
    <n v="0"/>
    <n v="5761.84"/>
    <n v="0"/>
    <n v="0"/>
    <n v="0"/>
    <n v="0"/>
    <n v="0"/>
    <n v="0"/>
    <n v="5761.84"/>
    <s v="OK"/>
    <n v="5761.84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3"/>
    <s v="ADMINISTRACIÓN CENTRAL"/>
    <s v="CANCELACIÓN DE REMUNERACIONES Y BENEFICIOS SOCIALES"/>
    <n v="1"/>
    <x v="1"/>
    <n v="1"/>
    <n v="0"/>
    <n v="1"/>
    <n v="600"/>
    <s v="CHIMBORAZO"/>
    <n v="1"/>
    <n v="0"/>
    <n v="0"/>
    <s v="CORRIENTE"/>
    <x v="3"/>
    <n v="510105"/>
    <s v="REMUNERACIONES UNIFICADAS"/>
    <n v="129552"/>
    <n v="126488.5"/>
    <n v="10598.66"/>
    <n v="10598.66"/>
    <n v="10598.66"/>
    <n v="10598.66"/>
    <n v="10598.66"/>
    <n v="10598.66"/>
    <n v="10598.66"/>
    <n v="10598.66"/>
    <n v="10598.66"/>
    <n v="10598.66"/>
    <n v="10598.66"/>
    <n v="9903.24"/>
    <n v="126488.50000000003"/>
    <s v="OK"/>
    <n v="0"/>
    <n v="126488.5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3"/>
    <s v="ADMINISTRACIÓN CENTRAL"/>
    <s v="CANCELACIÓN DE REMUNERACIONES Y BENEFICIOS SOCIALES"/>
    <n v="1"/>
    <x v="1"/>
    <n v="1"/>
    <n v="0"/>
    <n v="1"/>
    <n v="600"/>
    <s v="CHIMBORAZO"/>
    <n v="1"/>
    <n v="0"/>
    <n v="0"/>
    <s v="CORRIENTE"/>
    <x v="3"/>
    <n v="510106"/>
    <s v="SALARIOS UNIFICADOS"/>
    <n v="29508"/>
    <n v="29508"/>
    <n v="2459"/>
    <n v="2459"/>
    <n v="2459"/>
    <n v="2459"/>
    <n v="2459"/>
    <n v="2459"/>
    <n v="2459"/>
    <n v="2459"/>
    <n v="2459"/>
    <n v="2459"/>
    <n v="2459"/>
    <n v="2459"/>
    <n v="29508"/>
    <s v="OK"/>
    <n v="0"/>
    <n v="29508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3"/>
    <s v="ADMINISTRACIÓN CENTRAL"/>
    <s v="CANCELACIÓN DE REMUNERACIONES Y BENEFICIOS SOCIALES"/>
    <n v="1"/>
    <x v="1"/>
    <n v="1"/>
    <n v="0"/>
    <n v="1"/>
    <n v="600"/>
    <s v="CHIMBORAZO"/>
    <n v="1"/>
    <n v="0"/>
    <n v="0"/>
    <s v="CORRIENTE"/>
    <x v="3"/>
    <n v="510203"/>
    <s v="DÉCIMO TERCER SUELDO"/>
    <n v="13255"/>
    <n v="13058"/>
    <n v="0"/>
    <n v="0"/>
    <n v="0"/>
    <n v="0"/>
    <n v="0"/>
    <n v="0"/>
    <n v="0"/>
    <n v="0"/>
    <n v="0"/>
    <n v="0"/>
    <n v="0"/>
    <n v="13058"/>
    <n v="13058"/>
    <s v="OK"/>
    <n v="0"/>
    <n v="13058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3"/>
    <s v="ADMINISTRACIÓN CENTRAL"/>
    <s v="CANCELACIÓN DE REMUNERACIONES Y BENEFICIOS SOCIALES"/>
    <n v="1"/>
    <x v="1"/>
    <n v="1"/>
    <n v="0"/>
    <n v="1"/>
    <n v="600"/>
    <s v="CHIMBORAZO"/>
    <n v="1"/>
    <n v="0"/>
    <n v="0"/>
    <s v="CORRIENTE"/>
    <x v="3"/>
    <n v="510204"/>
    <s v="DÉCIMO CUARTO SUELDO"/>
    <n v="5525"/>
    <n v="5812.5"/>
    <n v="0"/>
    <n v="0"/>
    <n v="0"/>
    <n v="0"/>
    <n v="0"/>
    <n v="0"/>
    <n v="0"/>
    <n v="5812.5"/>
    <n v="0"/>
    <n v="0"/>
    <n v="0"/>
    <n v="0"/>
    <n v="5812.5"/>
    <s v="OK"/>
    <n v="0"/>
    <n v="5812.5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3"/>
    <s v="ADMINISTRACIÓN CENTRAL"/>
    <s v="CANCELACIÓN DE REMUNERACIONES Y BENEFICIOS SOCIALES"/>
    <n v="1"/>
    <x v="1"/>
    <n v="1"/>
    <n v="0"/>
    <n v="1"/>
    <n v="600"/>
    <s v="CHIMBORAZO"/>
    <n v="1"/>
    <n v="0"/>
    <n v="0"/>
    <s v="CORRIENTE"/>
    <x v="3"/>
    <n v="510509"/>
    <s v="HORAS EXTRAORDINARIAS Y SUPLEMENTARIAS"/>
    <n v="0"/>
    <n v="812"/>
    <n v="0"/>
    <n v="612"/>
    <n v="0"/>
    <n v="0"/>
    <n v="0"/>
    <n v="0"/>
    <n v="0"/>
    <n v="0"/>
    <n v="200"/>
    <n v="0"/>
    <n v="0"/>
    <n v="0"/>
    <n v="812"/>
    <s v="OK"/>
    <n v="0"/>
    <n v="812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3"/>
    <s v="ADMINISTRACIÓN CENTRAL"/>
    <s v="CANCELACIÓN DE REMUNERACIONES Y BENEFICIOS SOCIALES"/>
    <n v="1"/>
    <x v="1"/>
    <n v="1"/>
    <n v="0"/>
    <n v="1"/>
    <n v="600"/>
    <s v="CHIMBORAZO"/>
    <n v="1"/>
    <n v="0"/>
    <n v="0"/>
    <s v="CORRIENTE"/>
    <x v="3"/>
    <n v="510601"/>
    <s v="APORTE PATRONAL"/>
    <n v="16088"/>
    <n v="16088"/>
    <n v="1340"/>
    <n v="1340"/>
    <n v="1340"/>
    <n v="1340"/>
    <n v="1341"/>
    <n v="1341"/>
    <n v="1341"/>
    <n v="1341"/>
    <n v="1341"/>
    <n v="1341"/>
    <n v="1341"/>
    <n v="1341"/>
    <n v="16088"/>
    <s v="OK"/>
    <n v="0"/>
    <n v="16088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3"/>
    <s v="ADMINISTRACIÓN CENTRAL"/>
    <s v="CANCELACIÓN DE REMUNERACIONES Y BENEFICIOS SOCIALES"/>
    <n v="1"/>
    <x v="1"/>
    <n v="1"/>
    <n v="0"/>
    <n v="1"/>
    <n v="600"/>
    <s v="CHIMBORAZO"/>
    <n v="1"/>
    <n v="0"/>
    <n v="0"/>
    <s v="CORRIENTE"/>
    <x v="3"/>
    <n v="510602"/>
    <s v="FONDO DE RESERVA"/>
    <n v="13255"/>
    <n v="10052"/>
    <n v="837.67"/>
    <n v="837.67"/>
    <n v="837.67"/>
    <n v="837.67"/>
    <n v="837.67"/>
    <n v="837.67"/>
    <n v="837.67"/>
    <n v="837.67"/>
    <n v="837.67"/>
    <n v="837.67"/>
    <n v="837.67"/>
    <n v="837.63"/>
    <n v="10051.999999999998"/>
    <s v="OK"/>
    <n v="0"/>
    <n v="10052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3"/>
    <s v="ADMINISTRACIÓN CENTRAL"/>
    <s v="CANCELACIÓN DE REMUNERACIONES Y BENEFICIOS SOCIALES"/>
    <n v="1"/>
    <x v="1"/>
    <n v="1"/>
    <n v="0"/>
    <n v="1"/>
    <n v="600"/>
    <s v="CHIMBORAZO"/>
    <n v="1"/>
    <n v="0"/>
    <n v="0"/>
    <s v="CORRIENTE"/>
    <x v="3"/>
    <n v="510707"/>
    <s v="COMPENSACIÓN POR VACACIONES NO GOZADAS POR CESACIÓN DE FUNCIONES"/>
    <n v="0"/>
    <n v="489.71"/>
    <n v="0"/>
    <n v="0"/>
    <n v="0"/>
    <n v="0"/>
    <n v="0"/>
    <n v="0"/>
    <n v="489.71"/>
    <n v="0"/>
    <n v="0"/>
    <n v="0"/>
    <n v="0"/>
    <n v="0"/>
    <n v="489.71"/>
    <s v="OK"/>
    <n v="0"/>
    <n v="489.71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4"/>
    <s v="OPERACIONES"/>
    <s v="CANCELACIÓN DE REMUNERACIONES Y BENEFICIOS SOCIALES"/>
    <n v="1"/>
    <x v="1"/>
    <n v="55"/>
    <n v="0"/>
    <n v="2"/>
    <n v="600"/>
    <s v="CHIMBORAZO"/>
    <n v="1"/>
    <n v="0"/>
    <n v="0"/>
    <s v="CORRIENTE"/>
    <x v="3"/>
    <n v="510105"/>
    <s v="REMUNERACIONES UNIFICADAS"/>
    <n v="421644"/>
    <n v="421245.75"/>
    <n v="35103.81"/>
    <n v="35103.81"/>
    <n v="35103.81"/>
    <n v="35103.81"/>
    <n v="35103.81"/>
    <n v="35103.81"/>
    <n v="35103.81"/>
    <n v="35103.81"/>
    <n v="35103.81"/>
    <n v="35103.81"/>
    <n v="35103.81"/>
    <n v="35103.839999999997"/>
    <n v="421245.75"/>
    <s v="OK"/>
    <n v="0"/>
    <n v="421245.75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4"/>
    <s v="OPERACIONES"/>
    <s v="CANCELACIÓN DE REMUNERACIONES Y BENEFICIOS SOCIALES"/>
    <n v="1"/>
    <x v="1"/>
    <n v="55"/>
    <n v="0"/>
    <n v="2"/>
    <n v="600"/>
    <s v="CHIMBORAZO"/>
    <n v="1"/>
    <n v="0"/>
    <n v="0"/>
    <s v="CORRIENTE"/>
    <x v="3"/>
    <n v="510203"/>
    <s v="DÉCIMO TERCER SUELDO"/>
    <n v="37815"/>
    <n v="37815"/>
    <n v="0"/>
    <n v="0"/>
    <n v="0"/>
    <n v="0"/>
    <n v="0"/>
    <n v="0"/>
    <n v="0"/>
    <n v="0"/>
    <n v="0"/>
    <n v="0"/>
    <n v="0"/>
    <n v="37815"/>
    <n v="37815"/>
    <s v="OK"/>
    <n v="0"/>
    <n v="37815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4"/>
    <s v="OPERACIONES"/>
    <s v="CANCELACIÓN DE REMUNERACIONES Y BENEFICIOS SOCIALES"/>
    <n v="1"/>
    <x v="1"/>
    <n v="55"/>
    <n v="0"/>
    <n v="2"/>
    <n v="600"/>
    <s v="CHIMBORAZO"/>
    <n v="1"/>
    <n v="0"/>
    <n v="0"/>
    <s v="CORRIENTE"/>
    <x v="3"/>
    <n v="510204"/>
    <s v="DÉCIMO CUARTO SUELDO"/>
    <n v="19550"/>
    <n v="20700"/>
    <n v="0"/>
    <n v="0"/>
    <n v="0"/>
    <n v="0"/>
    <n v="0"/>
    <n v="0"/>
    <n v="0"/>
    <n v="20700"/>
    <n v="0"/>
    <n v="0"/>
    <n v="0"/>
    <n v="0"/>
    <n v="20700"/>
    <s v="OK"/>
    <n v="0"/>
    <n v="2070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4"/>
    <s v="OPERACIONES"/>
    <s v="CANCELACIÓN DE REMUNERACIONES Y BENEFICIOS SOCIALES"/>
    <n v="1"/>
    <x v="1"/>
    <n v="55"/>
    <n v="0"/>
    <n v="2"/>
    <n v="600"/>
    <s v="CHIMBORAZO"/>
    <n v="1"/>
    <n v="0"/>
    <n v="0"/>
    <s v="CORRIENTE"/>
    <x v="3"/>
    <n v="510510"/>
    <s v="SERVICIOS PERSONALES POR CONTRATO"/>
    <n v="32136"/>
    <n v="32136"/>
    <n v="2678"/>
    <n v="2678"/>
    <n v="2678"/>
    <n v="2678"/>
    <n v="2678"/>
    <n v="2678"/>
    <n v="2678"/>
    <n v="2678"/>
    <n v="2678"/>
    <n v="2678"/>
    <n v="2678"/>
    <n v="2678"/>
    <n v="32136"/>
    <s v="OK"/>
    <n v="0"/>
    <n v="32136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4"/>
    <s v="OPERACIONES"/>
    <s v="CANCELACIÓN DE REMUNERACIONES Y BENEFICIOS SOCIALES"/>
    <n v="1"/>
    <x v="1"/>
    <n v="55"/>
    <n v="0"/>
    <n v="2"/>
    <n v="600"/>
    <s v="CHIMBORAZO"/>
    <n v="1"/>
    <n v="0"/>
    <n v="0"/>
    <s v="CORRIENTE"/>
    <x v="3"/>
    <n v="510512"/>
    <s v="SUBROGACIÓN "/>
    <n v="0"/>
    <n v="1434"/>
    <n v="0"/>
    <n v="1434"/>
    <n v="0"/>
    <n v="0"/>
    <n v="0"/>
    <n v="0"/>
    <n v="0"/>
    <n v="0"/>
    <n v="0"/>
    <n v="0"/>
    <n v="0"/>
    <n v="0"/>
    <n v="1434"/>
    <s v="OK"/>
    <n v="0"/>
    <n v="1434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4"/>
    <s v="OPERACIONES"/>
    <s v="CANCELACIÓN DE REMUNERACIONES Y BENEFICIOS SOCIALES"/>
    <n v="1"/>
    <x v="1"/>
    <n v="55"/>
    <n v="0"/>
    <n v="2"/>
    <n v="600"/>
    <s v="CHIMBORAZO"/>
    <n v="1"/>
    <n v="0"/>
    <n v="0"/>
    <s v="CORRIENTE"/>
    <x v="3"/>
    <n v="510513"/>
    <s v="ENCARGOS"/>
    <n v="0"/>
    <n v="692"/>
    <n v="0"/>
    <n v="692"/>
    <n v="0"/>
    <n v="0"/>
    <n v="0"/>
    <n v="0"/>
    <n v="0"/>
    <n v="0"/>
    <n v="0"/>
    <n v="0"/>
    <n v="0"/>
    <n v="0"/>
    <n v="692"/>
    <s v="OK"/>
    <n v="0"/>
    <n v="692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4"/>
    <s v="OPERACIONES"/>
    <s v="CANCELACIÓN DE REMUNERACIONES Y BENEFICIOS SOCIALES"/>
    <n v="1"/>
    <x v="1"/>
    <n v="55"/>
    <n v="0"/>
    <n v="2"/>
    <n v="600"/>
    <s v="CHIMBORAZO"/>
    <n v="1"/>
    <n v="0"/>
    <n v="0"/>
    <s v="CORRIENTE"/>
    <x v="3"/>
    <n v="510601"/>
    <s v="APORTE PATRONAL"/>
    <n v="43790"/>
    <n v="43790"/>
    <n v="3649"/>
    <n v="3649"/>
    <n v="3649"/>
    <n v="3649"/>
    <n v="3649"/>
    <n v="3649"/>
    <n v="3649"/>
    <n v="3649"/>
    <n v="3649"/>
    <n v="3649"/>
    <n v="3649"/>
    <n v="3651"/>
    <n v="43790"/>
    <s v="OK"/>
    <n v="0"/>
    <n v="4379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4"/>
    <s v="OPERACIONES"/>
    <s v="CANCELACIÓN DE REMUNERACIONES Y BENEFICIOS SOCIALES"/>
    <n v="1"/>
    <x v="1"/>
    <n v="55"/>
    <n v="0"/>
    <n v="2"/>
    <n v="600"/>
    <s v="CHIMBORAZO"/>
    <n v="1"/>
    <n v="0"/>
    <n v="0"/>
    <s v="CORRIENTE"/>
    <x v="3"/>
    <n v="510602"/>
    <s v="FONDO DE RESERVA"/>
    <n v="37815"/>
    <n v="37815"/>
    <n v="3151"/>
    <n v="3151"/>
    <n v="3151"/>
    <n v="3151"/>
    <n v="3151"/>
    <n v="3151"/>
    <n v="3151"/>
    <n v="3151"/>
    <n v="3151"/>
    <n v="3151"/>
    <n v="3151"/>
    <n v="3154"/>
    <n v="37815"/>
    <s v="OK"/>
    <n v="0"/>
    <n v="37815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4"/>
    <s v="OPERACIONES"/>
    <s v="CANCELACIÓN DE REMUNERACIONES Y BENEFICIOS SOCIALES"/>
    <n v="1"/>
    <x v="1"/>
    <n v="55"/>
    <n v="0"/>
    <n v="2"/>
    <n v="600"/>
    <s v="CHIMBORAZO"/>
    <n v="1"/>
    <n v="0"/>
    <n v="0"/>
    <s v="CORRIENTE"/>
    <x v="3"/>
    <n v="510709"/>
    <s v="POR RENUNCIA VOLUNTARIA"/>
    <n v="0"/>
    <n v="398.25"/>
    <n v="0"/>
    <n v="0"/>
    <n v="0"/>
    <n v="0"/>
    <n v="0"/>
    <n v="0"/>
    <n v="398.25"/>
    <n v="0"/>
    <n v="0"/>
    <n v="0"/>
    <n v="0"/>
    <n v="0"/>
    <n v="398.25"/>
    <s v="OK"/>
    <n v="0"/>
    <n v="398.25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5"/>
    <s v="TECNOLOGÍA"/>
    <s v="CANCELACIÓN DE REMUNERACIONES Y BENEFICIOS SOCIALES"/>
    <n v="1"/>
    <x v="1"/>
    <n v="55"/>
    <n v="0"/>
    <n v="3"/>
    <n v="600"/>
    <s v="CHIMBORAZO"/>
    <n v="1"/>
    <n v="0"/>
    <n v="0"/>
    <s v="CORRIENTE"/>
    <x v="3"/>
    <n v="510105"/>
    <s v="REMUNERACIONES UNIFICADAS"/>
    <n v="49200"/>
    <n v="49200"/>
    <n v="4100"/>
    <n v="4100"/>
    <n v="4100"/>
    <n v="4100"/>
    <n v="4100"/>
    <n v="4100"/>
    <n v="4100"/>
    <n v="4100"/>
    <n v="4100"/>
    <n v="4100"/>
    <n v="4100"/>
    <n v="4100"/>
    <n v="49200"/>
    <s v="OK"/>
    <n v="0"/>
    <n v="4920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5"/>
    <s v="TECNOLOGÍA"/>
    <s v="CANCELACIÓN DE REMUNERACIONES Y BENEFICIOS SOCIALES"/>
    <n v="1"/>
    <x v="1"/>
    <n v="55"/>
    <n v="0"/>
    <n v="3"/>
    <n v="600"/>
    <s v="CHIMBORAZO"/>
    <n v="1"/>
    <n v="0"/>
    <n v="0"/>
    <s v="CORRIENTE"/>
    <x v="3"/>
    <n v="510203"/>
    <s v="DÉCIMO TERCER SUELDO"/>
    <n v="5312"/>
    <n v="5312"/>
    <n v="0"/>
    <n v="0"/>
    <n v="0"/>
    <n v="0"/>
    <n v="0"/>
    <n v="0"/>
    <n v="0"/>
    <n v="0"/>
    <n v="0"/>
    <n v="0"/>
    <n v="0"/>
    <n v="5312"/>
    <n v="5312"/>
    <s v="OK"/>
    <n v="0"/>
    <n v="5312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5"/>
    <s v="TECNOLOGÍA"/>
    <s v="CANCELACIÓN DE REMUNERACIONES Y BENEFICIOS SOCIALES"/>
    <n v="1"/>
    <x v="1"/>
    <n v="55"/>
    <n v="0"/>
    <n v="3"/>
    <n v="600"/>
    <s v="CHIMBORAZO"/>
    <n v="1"/>
    <n v="0"/>
    <n v="0"/>
    <s v="CORRIENTE"/>
    <x v="3"/>
    <n v="510204"/>
    <s v="DÉCIMO CUARTO SUELDO"/>
    <n v="1700"/>
    <n v="1800"/>
    <n v="0"/>
    <n v="0"/>
    <n v="0"/>
    <n v="0"/>
    <n v="0"/>
    <n v="0"/>
    <n v="0"/>
    <n v="1800"/>
    <n v="0"/>
    <n v="0"/>
    <n v="0"/>
    <n v="0"/>
    <n v="1800"/>
    <s v="OK"/>
    <n v="0"/>
    <n v="180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5"/>
    <s v="TECNOLOGÍA"/>
    <s v="CANCELACIÓN DE REMUNERACIONES Y BENEFICIOS SOCIALES"/>
    <n v="1"/>
    <x v="1"/>
    <n v="55"/>
    <n v="0"/>
    <n v="3"/>
    <n v="600"/>
    <s v="CHIMBORAZO"/>
    <n v="1"/>
    <n v="0"/>
    <n v="0"/>
    <s v="CORRIENTE"/>
    <x v="3"/>
    <n v="510510"/>
    <s v="SERVICIOS PERSONALES POR CONTRATO"/>
    <n v="14544"/>
    <n v="14544"/>
    <n v="1212"/>
    <n v="1212"/>
    <n v="1212"/>
    <n v="1212"/>
    <n v="1212"/>
    <n v="1212"/>
    <n v="1212"/>
    <n v="1212"/>
    <n v="1212"/>
    <n v="1212"/>
    <n v="1212"/>
    <n v="1212"/>
    <n v="14544"/>
    <s v="OK"/>
    <n v="0"/>
    <n v="14544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5"/>
    <s v="TECNOLOGÍA"/>
    <s v="CANCELACIÓN DE REMUNERACIONES Y BENEFICIOS SOCIALES"/>
    <n v="1"/>
    <x v="1"/>
    <n v="55"/>
    <n v="0"/>
    <n v="3"/>
    <n v="600"/>
    <s v="CHIMBORAZO"/>
    <n v="1"/>
    <n v="0"/>
    <n v="0"/>
    <s v="CORRIENTE"/>
    <x v="3"/>
    <n v="510601"/>
    <s v="APORTE PATRONAL"/>
    <n v="6152"/>
    <n v="6152"/>
    <n v="512"/>
    <n v="512"/>
    <n v="512"/>
    <n v="512"/>
    <n v="513"/>
    <n v="513"/>
    <n v="513"/>
    <n v="513"/>
    <n v="513"/>
    <n v="513"/>
    <n v="513"/>
    <n v="513"/>
    <n v="6152"/>
    <s v="OK"/>
    <n v="0"/>
    <n v="6152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5"/>
    <s v="TECNOLOGÍA"/>
    <s v="CANCELACIÓN DE REMUNERACIONES Y BENEFICIOS SOCIALES"/>
    <n v="1"/>
    <x v="1"/>
    <n v="55"/>
    <n v="0"/>
    <n v="3"/>
    <n v="600"/>
    <s v="CHIMBORAZO"/>
    <n v="1"/>
    <n v="0"/>
    <n v="0"/>
    <s v="CORRIENTE"/>
    <x v="3"/>
    <n v="510602"/>
    <s v="FONDO DE RESERVA"/>
    <n v="5312"/>
    <n v="5211"/>
    <n v="434.25"/>
    <n v="434.25"/>
    <n v="434.25"/>
    <n v="434.25"/>
    <n v="434.25"/>
    <n v="434.25"/>
    <n v="434.25"/>
    <n v="434.25"/>
    <n v="434.25"/>
    <n v="434.25"/>
    <n v="434.25"/>
    <n v="434.25"/>
    <n v="5211"/>
    <s v="OK"/>
    <n v="0"/>
    <n v="5211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0"/>
    <s v="ADMINISTRACIÓN CENTRAL"/>
    <s v="CANCELACIÓN DE SERVICIOS INSTITUCIONALES"/>
    <n v="1"/>
    <x v="1"/>
    <n v="1"/>
    <n v="0"/>
    <n v="1"/>
    <n v="601"/>
    <s v="RIOBAMBA"/>
    <n v="1"/>
    <n v="0"/>
    <n v="0"/>
    <s v="CORRIENTE"/>
    <x v="0"/>
    <n v="530101"/>
    <s v="AGUA POTABLE"/>
    <n v="2600"/>
    <n v="2600"/>
    <n v="84"/>
    <n v="228.73"/>
    <n v="228.73"/>
    <n v="228.73"/>
    <n v="228.73"/>
    <n v="228.73"/>
    <n v="228.73"/>
    <n v="228.73"/>
    <n v="228.73"/>
    <n v="228.73"/>
    <n v="228.73"/>
    <n v="228.7"/>
    <n v="2600"/>
    <s v="OK"/>
    <n v="1961.72"/>
    <n v="638.28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0"/>
    <s v="ADMINISTRACIÓN CENTRAL"/>
    <s v="CANCELACIÓN DE SERVICIOS INSTITUCIONALES"/>
    <n v="1"/>
    <x v="1"/>
    <n v="1"/>
    <n v="0"/>
    <n v="1"/>
    <n v="601"/>
    <s v="RIOBAMBA"/>
    <n v="1"/>
    <n v="0"/>
    <n v="0"/>
    <s v="CORRIENTE"/>
    <x v="0"/>
    <n v="530104"/>
    <s v="ENERGÍA ELÉCTRICA"/>
    <n v="33000"/>
    <n v="33000"/>
    <n v="2618.0100000000002"/>
    <n v="2762"/>
    <n v="2762"/>
    <n v="2762"/>
    <n v="2762"/>
    <n v="2762"/>
    <n v="2762"/>
    <n v="2762"/>
    <n v="2762"/>
    <n v="2762"/>
    <n v="2762"/>
    <n v="2761.99"/>
    <n v="33000"/>
    <s v="OK"/>
    <n v="32287.65"/>
    <n v="712.34999999999854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0"/>
    <s v="ADMINISTRACIÓN CENTRAL"/>
    <s v="CANCELACIÓN DE MOVILIZACIÓN DEL PERSONAL"/>
    <n v="1"/>
    <x v="1"/>
    <n v="1"/>
    <n v="0"/>
    <n v="1"/>
    <n v="601"/>
    <s v="RIOBAMBA"/>
    <n v="1"/>
    <n v="0"/>
    <n v="0"/>
    <s v="CORRIENTE"/>
    <x v="0"/>
    <n v="530201"/>
    <s v="TRANSPORTE DE PERSONAL"/>
    <n v="12498"/>
    <n v="25568.440000000002"/>
    <n v="1091.3599999999999"/>
    <n v="2225.19"/>
    <n v="2225.19"/>
    <n v="2225.19"/>
    <n v="2225.19"/>
    <n v="2225.19"/>
    <n v="2225.19"/>
    <n v="2225.19"/>
    <n v="2225.19"/>
    <n v="2225.19"/>
    <n v="2225.19"/>
    <n v="2225.1799999999998"/>
    <n v="25568.44"/>
    <s v="OK"/>
    <n v="25568.44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0"/>
    <s v="ADMINISTRACIÓN CENTRAL"/>
    <s v="CANCELACIÓN DEL SERVICIO DE RECARGA DE EXTINTORES"/>
    <n v="1"/>
    <x v="1"/>
    <n v="1"/>
    <n v="0"/>
    <n v="1"/>
    <n v="601"/>
    <s v="RIOBAMBA"/>
    <n v="1"/>
    <n v="0"/>
    <n v="0"/>
    <s v="CORRIENTE"/>
    <x v="0"/>
    <n v="530203"/>
    <s v="ALMACENAMIENTO, EMBALAJE, DESEMBALAJE, ENVASE, DESENVASE Y RECARGA DE EXTINTORES"/>
    <n v="0"/>
    <n v="490"/>
    <n v="0"/>
    <n v="0"/>
    <n v="0"/>
    <n v="0"/>
    <n v="0"/>
    <n v="0"/>
    <n v="0"/>
    <n v="0"/>
    <n v="0"/>
    <n v="0"/>
    <n v="490"/>
    <n v="0"/>
    <n v="490"/>
    <s v="OK"/>
    <n v="49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3 INCREMENTAR EL POSICIONAMIENTO DEL SERVICIO INTEGRADO DE SEGURIDAD ECU 911 A NIVEL NACIONAL E INTER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1"/>
    <s v="COMUNICACIÓN SOCIAL"/>
    <s v="CANCELACIÓN DEL SERVICIO_x000a_DE IMPRESIÓN E INSTALACIÓN_x000a_DE VINIL ADHESIVO"/>
    <n v="1"/>
    <x v="1"/>
    <n v="1"/>
    <n v="0"/>
    <n v="1"/>
    <n v="601"/>
    <s v="RIOBAMBA"/>
    <n v="1"/>
    <n v="0"/>
    <n v="0"/>
    <s v="CORRIENTE"/>
    <x v="0"/>
    <n v="530204"/>
    <s v="EDICIÓN, IMPRESIÓN, REPRODUCCIÓN, PUBLICACIONES, SUSCRIPCIONES, FOTOCOPIADO, TRADUCCIÓN, EMPASTADO, ENMARCACIÓN, SERIGRAFÍA, FOTOGRAFÍA, CARNETIZACIÓN, FILMACIÓN E IMÁGENES SATELITALES"/>
    <n v="0"/>
    <n v="3150"/>
    <n v="0"/>
    <n v="0"/>
    <n v="0"/>
    <n v="0"/>
    <n v="0"/>
    <n v="0"/>
    <n v="0"/>
    <n v="0"/>
    <n v="0"/>
    <n v="0"/>
    <n v="0"/>
    <n v="3150"/>
    <n v="3150"/>
    <s v="OK"/>
    <n v="0"/>
    <n v="315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3 INCREMENTAR EL POSICIONAMIENTO DEL SERVICIO INTEGRADO DE SEGURIDAD ECU 911 A NIVEL NACIONAL E INTER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1"/>
    <s v="COMUNICACIÓN SOCIAL"/>
    <s v="ADQUISICIÓN DE MATERIAL POP PARA EL ÁREA DE COMUNICACIÓN"/>
    <n v="1"/>
    <x v="1"/>
    <n v="1"/>
    <n v="0"/>
    <n v="1"/>
    <n v="601"/>
    <s v="RIOBAMBA"/>
    <n v="1"/>
    <n v="0"/>
    <n v="0"/>
    <s v="CORRIENTE"/>
    <x v="0"/>
    <n v="530207"/>
    <s v="DIFUSIÓN, INFORMACIÓN Y PUBLICIDAD"/>
    <n v="0"/>
    <n v="512"/>
    <n v="0"/>
    <n v="0"/>
    <n v="0"/>
    <n v="0"/>
    <n v="0"/>
    <n v="0"/>
    <n v="0"/>
    <n v="0"/>
    <n v="0"/>
    <n v="0"/>
    <n v="512"/>
    <n v="0"/>
    <n v="512"/>
    <s v="OK"/>
    <n v="512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0"/>
    <s v="ADMINISTRACIÓN CENTRAL"/>
    <s v="CANCELACIÓN DEL SERVICIO DE SEGURIDAD Y VIGILANCIA SERVICIO DE VIGILANCIA SEGURIDAD ARMADA Y SUPERVISADA, PARA CUSTODIAR Y PROTEGER EL PATRIMONIO INSTITUCIONAL DE LA CZ3 DEL SIS ECU 911 "/>
    <n v="1"/>
    <x v="1"/>
    <n v="1"/>
    <n v="0"/>
    <n v="1"/>
    <n v="601"/>
    <s v="RIOBAMBA"/>
    <n v="1"/>
    <n v="0"/>
    <n v="0"/>
    <s v="CORRIENTE"/>
    <x v="0"/>
    <n v="530208"/>
    <s v="SERVICIO DE SEGURIDAD Y VIGILANCIA"/>
    <n v="85893"/>
    <n v="81397.26999999999"/>
    <n v="0"/>
    <n v="6895.03"/>
    <n v="6895.03"/>
    <n v="6895.03"/>
    <n v="6895.03"/>
    <n v="6895.03"/>
    <n v="6895.07"/>
    <n v="7157.82"/>
    <n v="7157.82"/>
    <n v="7157.82"/>
    <n v="7157.82"/>
    <n v="11395.77"/>
    <n v="81397.27"/>
    <s v="OK"/>
    <n v="80581.05"/>
    <n v="816.21999999998661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0"/>
    <s v="ADMINISTRACIÓN CENTRAL"/>
    <s v="CANCELACIÓN SERVICIO DE LIMPIEZA"/>
    <n v="1"/>
    <x v="1"/>
    <n v="1"/>
    <n v="0"/>
    <n v="1"/>
    <n v="601"/>
    <s v="RIOBAMBA"/>
    <n v="1"/>
    <n v="0"/>
    <n v="0"/>
    <s v="CORRIENTE"/>
    <x v="0"/>
    <n v="530209"/>
    <s v="SERVICIOS DE ASEO, LAVADO DE VESTIMENTA DE TRABAJO, FUMIGACIÓN, DESINFECCIÓN, LIMPIEZA DE INSTALACIONES, MANEJO DE DESECHOS CONTAMINADOS, RECUPERACIÓN Y CLASIFICACIÓN DE MATERIALES RECICLABLES"/>
    <n v="1390"/>
    <n v="1128.75"/>
    <n v="1128.75"/>
    <n v="0"/>
    <n v="0"/>
    <n v="0"/>
    <n v="0"/>
    <n v="0"/>
    <n v="0"/>
    <n v="0"/>
    <n v="0"/>
    <n v="0"/>
    <n v="0"/>
    <n v="0"/>
    <n v="1128.75"/>
    <s v="OK"/>
    <n v="1128.75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0"/>
    <s v="ADMINISTRACIÓN CENTRAL"/>
    <s v="CANCELACIÓN SERVICIO DE LIMPIEZA DE ÁREA INTERNAS Y EXTERNAS"/>
    <n v="1"/>
    <x v="1"/>
    <n v="1"/>
    <n v="0"/>
    <n v="1"/>
    <n v="601"/>
    <s v="RIOBAMBA"/>
    <n v="1"/>
    <n v="0"/>
    <n v="0"/>
    <s v="CORRIENTE"/>
    <x v="0"/>
    <n v="530209"/>
    <s v="SERVICIOS DE ASEO, LAVADO DE VESTIMENTA DE TRABAJO, FUMIGACIÓN, DESINFECCIÓN, LIMPIEZA DE INSTALACIONES, MANEJO DE DESECHOS CONTAMINADOS, RECUPERACIÓN Y CLASIFICACIÓN DE MATERIALES RECICLABLES"/>
    <n v="40000"/>
    <n v="28638"/>
    <n v="0"/>
    <n v="2386.5"/>
    <n v="2386.5"/>
    <n v="2386.5"/>
    <n v="2386.5"/>
    <n v="2386.5"/>
    <n v="2386.5"/>
    <n v="2386.5"/>
    <n v="2386.5"/>
    <n v="2386.5"/>
    <n v="2386.5"/>
    <n v="4773"/>
    <n v="28638"/>
    <s v="OK"/>
    <n v="27444.75"/>
    <n v="1193.25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0"/>
    <s v="ADMINISTRACIÓN CENTRAL"/>
    <s v="CANCELACIÓN SERVICIO DE LIMPIEZA DE ÁREAS EXTERNAS"/>
    <n v="1"/>
    <x v="1"/>
    <n v="1"/>
    <n v="0"/>
    <n v="1"/>
    <n v="601"/>
    <s v="RIOBAMBA"/>
    <n v="1"/>
    <n v="0"/>
    <n v="0"/>
    <s v="CORRIENTE"/>
    <x v="0"/>
    <n v="530209"/>
    <s v="SERVICIOS DE ASEO, LAVADO DE VESTIMENTA DE TRABAJO, FUMIGACIÓN, DESINFECCIÓN, LIMPIEZA DE INSTALACIONES, MANEJO DE DESECHOS CONTAMINADOS, RECUPERACIÓN Y CLASIFICACIÓN DE MATERIALES RECICLABLES"/>
    <n v="2500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0"/>
    <s v="ADMINISTRACIÓN CENTRAL"/>
    <s v="CANCELACIÓN DE SERVICIO DE GUARDERÍAS DEL CENTRO OPERATIVO LOCAL RIOBAMBA EN CUMPLIMIENTO DEL ACUERDO MINISTERIAL N° MDT-2023-085"/>
    <n v="1"/>
    <x v="1"/>
    <n v="1"/>
    <n v="0"/>
    <n v="1"/>
    <n v="601"/>
    <s v="RIOBAMBA"/>
    <n v="1"/>
    <n v="0"/>
    <n v="0"/>
    <s v="CORRIENTE"/>
    <x v="0"/>
    <n v="530210"/>
    <s v="SERVICIO DE GUARDERÍA"/>
    <n v="0"/>
    <n v="744"/>
    <n v="0"/>
    <n v="0"/>
    <n v="0"/>
    <n v="0"/>
    <n v="0"/>
    <n v="0"/>
    <n v="0"/>
    <n v="0"/>
    <n v="0"/>
    <n v="0"/>
    <n v="372"/>
    <n v="372"/>
    <n v="744"/>
    <s v="OK"/>
    <n v="744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0"/>
    <s v="ADMINISTRACIÓN CENTRAL"/>
    <s v="ADQUISICIÓN REALIZADA POR CAJA CHICA"/>
    <n v="1"/>
    <x v="1"/>
    <n v="1"/>
    <n v="0"/>
    <n v="1"/>
    <n v="601"/>
    <s v="RIOBAMBA"/>
    <n v="1"/>
    <n v="0"/>
    <n v="0"/>
    <s v="CORRIENTE"/>
    <x v="0"/>
    <n v="530228"/>
    <s v="SERVICIOS DE PROVISIÓN DE DISPOSITIVOS ELECTRONICOS Y CERTIFICACION PARA REGISTRO DE FIRMAS DIGITALES"/>
    <n v="0"/>
    <n v="54.88"/>
    <n v="0"/>
    <n v="0"/>
    <n v="0"/>
    <n v="0"/>
    <n v="0"/>
    <n v="0"/>
    <n v="0"/>
    <n v="54.88"/>
    <n v="0"/>
    <n v="0"/>
    <n v="0"/>
    <n v="0"/>
    <n v="54.88"/>
    <s v="OK"/>
    <n v="30.24"/>
    <n v="24.640000000000004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0"/>
    <s v="ADMINISTRACIÓN CENTRAL"/>
    <s v="CANCELACIÓN DEL SERVICIO DE RASTREO SATELITAL"/>
    <n v="1"/>
    <x v="1"/>
    <n v="1"/>
    <n v="0"/>
    <n v="1"/>
    <n v="601"/>
    <s v="RIOBAMBA"/>
    <n v="1"/>
    <n v="0"/>
    <n v="0"/>
    <s v="CORRIENTE"/>
    <x v="0"/>
    <n v="530246"/>
    <s v="SERVICIOS DE IDENTIFICACIÓN, MARCACIÓN, AUTENTIFICACIÓN, RASTREO, MONITOREO, SEGUIMIENTO Y/O TRAZABILIDAD"/>
    <n v="1440"/>
    <n v="300"/>
    <n v="0"/>
    <n v="0"/>
    <n v="0"/>
    <n v="33.33"/>
    <n v="33.33"/>
    <n v="33.33"/>
    <n v="33.33"/>
    <n v="33.33"/>
    <n v="33.33"/>
    <n v="33.33"/>
    <n v="33.33"/>
    <n v="33.36"/>
    <n v="299.99999999999994"/>
    <s v="OK"/>
    <n v="30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0"/>
    <s v="ADMINISTRACIÓN CENTRAL"/>
    <s v="CANCELACIÓN DE MOVILIZACIÓN DEL PERSONAL"/>
    <n v="1"/>
    <x v="1"/>
    <n v="1"/>
    <n v="0"/>
    <n v="1"/>
    <n v="601"/>
    <s v="RIOBAMBA"/>
    <n v="1"/>
    <n v="0"/>
    <n v="0"/>
    <s v="CORRIENTE"/>
    <x v="0"/>
    <n v="530255"/>
    <s v="COMBUSTIBLES"/>
    <n v="0"/>
    <n v="80"/>
    <n v="0"/>
    <n v="0"/>
    <n v="4"/>
    <n v="4"/>
    <n v="4"/>
    <n v="4"/>
    <n v="10.67"/>
    <n v="10.67"/>
    <n v="10.67"/>
    <n v="10.67"/>
    <n v="0"/>
    <n v="21.32"/>
    <n v="80"/>
    <s v="OK"/>
    <n v="8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0"/>
    <s v="ADMINISTRACIÓN CENTRAL"/>
    <s v="CANCELACIÓN DE COMBUSTIBLE"/>
    <n v="1"/>
    <x v="1"/>
    <n v="1"/>
    <n v="0"/>
    <n v="1"/>
    <n v="601"/>
    <s v="RIOBAMBA"/>
    <n v="1"/>
    <n v="0"/>
    <n v="0"/>
    <s v="CORRIENTE"/>
    <x v="0"/>
    <n v="530255"/>
    <s v="COMBUSTIBLES"/>
    <n v="0"/>
    <n v="2596.3900000000003"/>
    <n v="0"/>
    <n v="247.03"/>
    <n v="247.03"/>
    <n v="247.03"/>
    <n v="247.03"/>
    <n v="247.03"/>
    <n v="247.03"/>
    <n v="247.03"/>
    <n v="247.03"/>
    <n v="247.03"/>
    <n v="247.03"/>
    <n v="126.09"/>
    <n v="2596.3900000000003"/>
    <s v="OK"/>
    <n v="2217.3200000000002"/>
    <n v="379.07000000000016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0"/>
    <s v="ADMINISTRACIÓN CENTRAL"/>
    <s v="ABASTECIMIENTO DE COMBUSTIBLE DIESEL PARA LOS GENERADORES ELECTRICOS"/>
    <n v="1"/>
    <x v="1"/>
    <n v="1"/>
    <n v="0"/>
    <n v="1"/>
    <n v="601"/>
    <s v="RIOBAMBA"/>
    <n v="1"/>
    <n v="0"/>
    <n v="0"/>
    <s v="CORRIENTE"/>
    <x v="0"/>
    <n v="530255"/>
    <s v="COMBUSTIBLES"/>
    <n v="0"/>
    <n v="509.38"/>
    <n v="0"/>
    <n v="0"/>
    <n v="0"/>
    <n v="0"/>
    <n v="0"/>
    <n v="0"/>
    <n v="0"/>
    <n v="0"/>
    <n v="0"/>
    <n v="254.69"/>
    <n v="254.69"/>
    <n v="0"/>
    <n v="509.38"/>
    <s v="OK"/>
    <n v="509.38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0"/>
    <s v="ADMINISTRACIÓN CENTRAL"/>
    <s v="CANCELACIÓN DE MOVILIZACIÓN DEL PERSONAL"/>
    <n v="1"/>
    <x v="1"/>
    <n v="1"/>
    <n v="0"/>
    <n v="1"/>
    <n v="601"/>
    <s v="RIOBAMBA"/>
    <n v="1"/>
    <n v="0"/>
    <n v="0"/>
    <s v="CORRIENTE"/>
    <x v="0"/>
    <n v="530301"/>
    <s v="PASAJES AL INTERIOR"/>
    <n v="0"/>
    <n v="1147.4000000000001"/>
    <n v="0"/>
    <n v="0"/>
    <n v="64.739999999999995"/>
    <n v="64.739999999999995"/>
    <n v="64.739999999999995"/>
    <n v="64.739999999999995"/>
    <n v="148.07"/>
    <n v="148.07"/>
    <n v="148.07"/>
    <n v="148.07"/>
    <n v="0"/>
    <n v="296.16000000000003"/>
    <n v="1147.3999999999999"/>
    <s v="OK"/>
    <n v="1147.4000000000001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0"/>
    <s v="ADMINISTRACIÓN CENTRAL"/>
    <s v="CANCELACIÓN DE MOVILIZACIÓN DEL PERSONAL"/>
    <n v="1"/>
    <x v="1"/>
    <n v="1"/>
    <n v="0"/>
    <n v="1"/>
    <n v="601"/>
    <s v="RIOBAMBA"/>
    <n v="1"/>
    <n v="0"/>
    <n v="0"/>
    <s v="CORRIENTE"/>
    <x v="0"/>
    <n v="530303"/>
    <s v="VIÁTICOS Y SUBSISTENCIAS EN EL INTERIOR"/>
    <n v="0"/>
    <n v="6313.4400000000005"/>
    <n v="0"/>
    <n v="0"/>
    <n v="331.34"/>
    <n v="331.34"/>
    <n v="331.34"/>
    <n v="331.34"/>
    <n v="831.35"/>
    <n v="831.35"/>
    <n v="831.35"/>
    <n v="831.35"/>
    <n v="0"/>
    <n v="1662.68"/>
    <n v="6313.4400000000005"/>
    <s v="OK"/>
    <n v="6313.4400000000005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0"/>
    <s v="ADMINISTRACIÓN CENTRAL"/>
    <s v="ADQUISICIÓN REALIZADA POR CAJA CHICA"/>
    <n v="1"/>
    <x v="1"/>
    <n v="1"/>
    <n v="0"/>
    <n v="1"/>
    <n v="601"/>
    <s v="RIOBAMBA"/>
    <n v="1"/>
    <n v="0"/>
    <n v="0"/>
    <s v="CORRIENTE"/>
    <x v="0"/>
    <n v="530402"/>
    <s v="EDIFICIOS, LOCALES, RESIDENCIAS Y CABLEADO ESTRUCTURADO (INSTALACIÓN, MANTENIMIENTO Y REPARACIÓN)"/>
    <n v="100"/>
    <n v="300"/>
    <n v="0"/>
    <n v="0"/>
    <n v="0"/>
    <n v="0"/>
    <n v="0"/>
    <n v="300"/>
    <n v="0"/>
    <n v="0"/>
    <n v="0"/>
    <n v="0"/>
    <n v="0"/>
    <n v="0"/>
    <n v="300"/>
    <s v="OK"/>
    <n v="0"/>
    <n v="30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0"/>
    <s v="ADMINISTRACIÓN CENTRAL"/>
    <s v="CANCELACIÓN DE SERVICIO DE PINTURA EXTERNA"/>
    <n v="1"/>
    <x v="1"/>
    <n v="1"/>
    <n v="0"/>
    <n v="1"/>
    <n v="601"/>
    <s v="RIOBAMBA"/>
    <n v="1"/>
    <n v="0"/>
    <n v="0"/>
    <s v="CORRIENTE"/>
    <x v="0"/>
    <n v="530402"/>
    <s v="EDIFICIOS, LOCALES, RESIDENCIAS Y CABLEADO ESTRUCTURADO (INSTALACIÓN, MANTENIMIENTO Y REPARACIÓN)"/>
    <n v="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0"/>
    <s v="ADMINISTRACIÓN CENTRAL"/>
    <s v="MANTENIMIENTO DE ASCENSORES"/>
    <n v="1"/>
    <x v="1"/>
    <n v="1"/>
    <n v="0"/>
    <n v="1"/>
    <n v="601"/>
    <s v="RIOBAMBA"/>
    <n v="1"/>
    <n v="0"/>
    <n v="0"/>
    <s v="CORRIENTE"/>
    <x v="0"/>
    <n v="530404"/>
    <s v="MAQUINARIAS Y EQUIPOS (INSTALACIÓN, MANTENIMIENTO Y REPARACIÓN)"/>
    <n v="2200"/>
    <n v="2221.92"/>
    <n v="0"/>
    <n v="185.16"/>
    <n v="185.16"/>
    <n v="185.16"/>
    <n v="185.16"/>
    <n v="185.16"/>
    <n v="185.16"/>
    <n v="185.16"/>
    <n v="185.16"/>
    <n v="185.16"/>
    <n v="185.16"/>
    <n v="370.32"/>
    <n v="2221.9200000000005"/>
    <s v="OK"/>
    <n v="2221.92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0"/>
    <s v="ADMINISTRACIÓN CENTRAL"/>
    <s v="MANTENIMIENTO DE VEHÍCULOS- MANO DE OBRA"/>
    <n v="1"/>
    <x v="1"/>
    <n v="1"/>
    <n v="0"/>
    <n v="1"/>
    <n v="601"/>
    <s v="RIOBAMBA"/>
    <n v="1"/>
    <n v="0"/>
    <n v="0"/>
    <s v="CORRIENTE"/>
    <x v="0"/>
    <n v="530405"/>
    <s v="VEHÍCULOS (SERVICIO PARA MANTENIMIENTO Y REPARACIÓN)"/>
    <n v="800"/>
    <n v="1231.43"/>
    <n v="0"/>
    <n v="0"/>
    <n v="410.48"/>
    <n v="0"/>
    <n v="0"/>
    <n v="410.48"/>
    <n v="0"/>
    <n v="0"/>
    <n v="0"/>
    <n v="410.47"/>
    <n v="0"/>
    <n v="0"/>
    <n v="1231.43"/>
    <s v="OK"/>
    <n v="1231.43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0"/>
    <s v="ADMINISTRACIÓN CENTRAL"/>
    <s v="MANTENIMIENTO PREVENTIVO Y CORRECTIVO QUE INCLUYE REPUESTOS PARA LAS IMPRESORAS Y COPIADORAS"/>
    <n v="1"/>
    <x v="1"/>
    <n v="1"/>
    <n v="0"/>
    <n v="1"/>
    <n v="601"/>
    <s v="RIOBAMBA"/>
    <n v="1"/>
    <n v="0"/>
    <n v="0"/>
    <s v="CORRIENTE"/>
    <x v="0"/>
    <n v="530704"/>
    <s v="MANTENIMIENTO Y REPARACIÓN DE EQUIPOS Y SISTEMAS INFORMÁTICOS "/>
    <n v="0"/>
    <n v="133.5"/>
    <n v="0"/>
    <n v="0"/>
    <n v="0"/>
    <n v="0"/>
    <n v="0"/>
    <n v="0"/>
    <n v="0"/>
    <n v="0"/>
    <n v="0"/>
    <n v="133.5"/>
    <n v="0"/>
    <n v="0"/>
    <n v="133.5"/>
    <s v="OK"/>
    <n v="133.5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3 INCREMENTAR EL POSICIONAMIENTO DEL SERVICIO INTEGRADO DE SEGURIDAD ECU 911 A NIVEL NACIONAL E INTER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1"/>
    <s v="COMUNICACIÓN SOCIAL"/>
    <s v="ADQUISICIÓN DE MATERIAL POP PARA EL ÁREA DE COMUNICACIÓN"/>
    <n v="1"/>
    <x v="1"/>
    <n v="1"/>
    <n v="0"/>
    <n v="1"/>
    <n v="601"/>
    <s v="RIOBAMBA"/>
    <n v="1"/>
    <n v="0"/>
    <n v="0"/>
    <s v="CORRIENTE"/>
    <x v="0"/>
    <n v="530802"/>
    <s v="VESTUARIO, LENCERÍA, PRENDAS DE PROTECCIÓN Y ACCESORIOS PARA UNIFORMES DEL PERSONAL DE PROTECCIÓN, VIGILANCIA Y SEGURIDAD"/>
    <n v="0"/>
    <n v="600"/>
    <n v="0"/>
    <n v="0"/>
    <n v="0"/>
    <n v="0"/>
    <n v="0"/>
    <n v="0"/>
    <n v="0"/>
    <n v="0"/>
    <n v="0"/>
    <n v="0"/>
    <n v="600"/>
    <n v="0"/>
    <n v="600"/>
    <s v="OK"/>
    <n v="60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0"/>
    <s v="ADMINISTRACIÓN CENTRAL"/>
    <s v="ADQUISICIÓN DE ROPA DE TRABAJO Y PRENDAS DE PROTECCIÓN PERSONAL"/>
    <n v="1"/>
    <x v="1"/>
    <n v="1"/>
    <n v="0"/>
    <n v="1"/>
    <n v="601"/>
    <s v="RIOBAMBA"/>
    <n v="1"/>
    <n v="0"/>
    <n v="0"/>
    <s v="CORRIENTE"/>
    <x v="0"/>
    <n v="530802"/>
    <s v="VESTUARIO, LENCERÍA, PRENDAS DE PROTECCIÓN Y ACCESORIOS PARA UNIFORMES DEL PERSONAL DE PROTECCIÓN, VIGILANCIA Y SEGURIDAD"/>
    <n v="0"/>
    <n v="2342.48"/>
    <n v="0"/>
    <n v="0"/>
    <n v="0"/>
    <n v="0"/>
    <n v="0"/>
    <n v="0"/>
    <n v="0"/>
    <n v="0"/>
    <n v="0"/>
    <n v="2342.48"/>
    <n v="0"/>
    <n v="0"/>
    <n v="2342.48"/>
    <s v="OK"/>
    <n v="2318.86"/>
    <n v="23.619999999999891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0"/>
    <s v="ADMINISTRACIÓN CENTRAL"/>
    <s v="CANCELACIÓN DE COMBUSTIBLE"/>
    <n v="1"/>
    <x v="1"/>
    <n v="1"/>
    <n v="0"/>
    <n v="1"/>
    <n v="601"/>
    <s v="RIOBAMBA"/>
    <n v="1"/>
    <n v="0"/>
    <n v="0"/>
    <s v="CORRIENTE"/>
    <x v="0"/>
    <n v="530803"/>
    <s v="LUBRICANTES"/>
    <n v="380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0"/>
    <s v="ADMINISTRACIÓN CENTRAL"/>
    <s v="MANTENIMIENTO DE VEHÍCULOS - COMBUSTIBLES Y LUBRICANTES"/>
    <n v="1"/>
    <x v="1"/>
    <n v="1"/>
    <n v="0"/>
    <n v="1"/>
    <n v="601"/>
    <s v="RIOBAMBA"/>
    <n v="1"/>
    <n v="0"/>
    <n v="0"/>
    <s v="CORRIENTE"/>
    <x v="0"/>
    <n v="530803"/>
    <s v="LUBRICANTES"/>
    <n v="500"/>
    <n v="533.19999999999993"/>
    <n v="0"/>
    <n v="0"/>
    <n v="178.05"/>
    <n v="0"/>
    <n v="0"/>
    <n v="178.05"/>
    <n v="0"/>
    <n v="0"/>
    <n v="0"/>
    <n v="177.1"/>
    <n v="0"/>
    <n v="0"/>
    <n v="533.20000000000005"/>
    <s v="OK"/>
    <n v="532.25"/>
    <n v="0.94999999999993179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3 INCREMENTAR EL POSICIONAMIENTO DEL SERVICIO INTEGRADO DE SEGURIDAD ECU 911 A NIVEL NACIONAL E INTER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1"/>
    <s v="COMUNICACIÓN SOCIAL"/>
    <s v="ADQUISICIÓN DE MATERIAL POP PARA EL ÁREA DE COMUNICACIÓN"/>
    <n v="1"/>
    <x v="1"/>
    <n v="1"/>
    <n v="0"/>
    <n v="1"/>
    <n v="601"/>
    <s v="RIOBAMBA"/>
    <n v="1"/>
    <n v="0"/>
    <n v="0"/>
    <s v="CORRIENTE"/>
    <x v="0"/>
    <n v="530804"/>
    <s v="MATERIALES DE OFICINA"/>
    <n v="0"/>
    <n v="230"/>
    <n v="0"/>
    <n v="0"/>
    <n v="0"/>
    <n v="0"/>
    <n v="0"/>
    <n v="0"/>
    <n v="0"/>
    <n v="0"/>
    <n v="0"/>
    <n v="0"/>
    <n v="230"/>
    <n v="0"/>
    <n v="230"/>
    <s v="OK"/>
    <n v="23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0"/>
    <s v="ADMINISTRACIÓN CENTRAL"/>
    <s v="ADQUISICIÓN DE MATERIALES DE OFICINA"/>
    <n v="1"/>
    <x v="1"/>
    <n v="1"/>
    <n v="0"/>
    <n v="1"/>
    <n v="601"/>
    <s v="RIOBAMBA"/>
    <n v="1"/>
    <n v="0"/>
    <n v="0"/>
    <s v="CORRIENTE"/>
    <x v="0"/>
    <n v="530804"/>
    <s v="MATERIALES DE OFICINA"/>
    <n v="0"/>
    <n v="738.99"/>
    <n v="0"/>
    <n v="0"/>
    <n v="0"/>
    <n v="0"/>
    <n v="0"/>
    <n v="0"/>
    <n v="738.99"/>
    <n v="0"/>
    <n v="0"/>
    <n v="0"/>
    <n v="0"/>
    <n v="0"/>
    <n v="738.99"/>
    <s v="OK"/>
    <n v="738.99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0"/>
    <s v="ADMINISTRACIÓN CENTRAL"/>
    <s v="ADQUISICIÓN DE MATERIALES DE ASEO"/>
    <n v="1"/>
    <x v="1"/>
    <n v="1"/>
    <n v="0"/>
    <n v="1"/>
    <n v="601"/>
    <s v="RIOBAMBA"/>
    <n v="1"/>
    <n v="0"/>
    <n v="0"/>
    <s v="CORRIENTE"/>
    <x v="0"/>
    <n v="530805"/>
    <s v="MATERIALES DE ASEO"/>
    <n v="1500"/>
    <n v="211.46000000000004"/>
    <n v="0"/>
    <n v="0"/>
    <n v="211.46"/>
    <n v="0"/>
    <n v="0"/>
    <n v="0"/>
    <n v="0"/>
    <n v="0"/>
    <n v="0"/>
    <n v="0"/>
    <n v="0"/>
    <n v="0"/>
    <n v="211.46"/>
    <s v="OK"/>
    <n v="211.46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3 INCREMENTAR EL POSICIONAMIENTO DEL SERVICIO INTEGRADO DE SEGURIDAD ECU 911 A NIVEL NACIONAL E INTER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1"/>
    <s v="COMUNICACIÓN SOCIAL"/>
    <s v="ADQUISICIÓN DE MATERIAL POP PARA EL ÁREA DE COMUNICACIÓN"/>
    <n v="1"/>
    <x v="1"/>
    <n v="1"/>
    <n v="0"/>
    <n v="1"/>
    <n v="601"/>
    <s v="RIOBAMBA"/>
    <n v="1"/>
    <n v="0"/>
    <n v="0"/>
    <s v="CORRIENTE"/>
    <x v="0"/>
    <n v="530807"/>
    <s v="MATERIALES DE IMPRESIÓN, FOTOGRAFÍA, REPRODUCCIÓN Y PUBLICACIONES"/>
    <n v="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0"/>
    <s v="ADMINISTRACIÓN CENTRAL"/>
    <s v="ADQUISICIÓN TONERS"/>
    <n v="1"/>
    <x v="1"/>
    <n v="1"/>
    <n v="0"/>
    <n v="1"/>
    <n v="601"/>
    <s v="RIOBAMBA"/>
    <n v="1"/>
    <n v="0"/>
    <n v="0"/>
    <s v="CORRIENTE"/>
    <x v="0"/>
    <n v="530807"/>
    <s v="MATERIALES DE IMPRESIÓN, FOTOGRAFÍA, REPRODUCCIÓN Y PUBLICACIONES"/>
    <n v="0"/>
    <n v="699"/>
    <n v="0"/>
    <n v="0"/>
    <n v="0"/>
    <n v="0"/>
    <n v="699"/>
    <n v="0"/>
    <n v="0"/>
    <n v="0"/>
    <n v="0"/>
    <n v="0"/>
    <n v="0"/>
    <n v="0"/>
    <n v="699"/>
    <s v="OK"/>
    <n v="699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0"/>
    <s v="ADMINISTRACIÓN CENTRAL"/>
    <s v="ADQUISICIÓN REALIZADA POR CAJA CHICA"/>
    <n v="1"/>
    <x v="1"/>
    <n v="1"/>
    <n v="0"/>
    <n v="1"/>
    <n v="601"/>
    <s v="RIOBAMBA"/>
    <n v="1"/>
    <n v="0"/>
    <n v="0"/>
    <s v="CORRIENTE"/>
    <x v="0"/>
    <n v="530811"/>
    <s v="INSUMOS, MATERIALES Y SUMINISTROS PARA CONSTRUCCIÓN, ELECTRICIDAD, PLOMERÍA, CARPINTERÍA, SEÑALIZACIÓN VIAL, NAVEGACIÓN, CONTRA INCENDIOS Y PLACAS"/>
    <n v="10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3 INCREMENTAR EL POSICIONAMIENTO DEL SERVICIO INTEGRADO DE SEGURIDAD ECU 911 A NIVEL NACIONAL E INTER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1"/>
    <s v="COMUNICACIÓN SOCIAL"/>
    <s v="ADQUISICIÓN DE MATERIAL POP PARA EL ÁREA DE COMUNICACIÓN"/>
    <n v="1"/>
    <x v="1"/>
    <n v="1"/>
    <n v="0"/>
    <n v="1"/>
    <n v="601"/>
    <s v="RIOBAMBA"/>
    <n v="1"/>
    <n v="0"/>
    <n v="0"/>
    <s v="CORRIENTE"/>
    <x v="0"/>
    <n v="530812"/>
    <s v="MATERIALES DIDÁCTICOS"/>
    <n v="0"/>
    <n v="440"/>
    <n v="0"/>
    <n v="0"/>
    <n v="0"/>
    <n v="0"/>
    <n v="0"/>
    <n v="0"/>
    <n v="0"/>
    <n v="0"/>
    <n v="0"/>
    <n v="0"/>
    <n v="440"/>
    <n v="0"/>
    <n v="440"/>
    <s v="OK"/>
    <n v="44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0"/>
    <s v="ADMINISTRACIÓN CENTRAL"/>
    <s v="MANTENIMIENTO PREVENTIVO Y CORRECTIVO QUE INCLUYE REPUESTOS PARA LAS IMPRESORAS Y COPIADORAS"/>
    <n v="1"/>
    <x v="1"/>
    <n v="1"/>
    <n v="0"/>
    <n v="1"/>
    <n v="601"/>
    <s v="RIOBAMBA"/>
    <n v="1"/>
    <n v="0"/>
    <n v="0"/>
    <s v="CORRIENTE"/>
    <x v="0"/>
    <n v="530813"/>
    <s v="REPUESTOS Y ACCESORIOS"/>
    <n v="0"/>
    <n v="559"/>
    <n v="0"/>
    <n v="0"/>
    <n v="0"/>
    <n v="0"/>
    <n v="0"/>
    <n v="0"/>
    <n v="0"/>
    <n v="0"/>
    <n v="0"/>
    <n v="559"/>
    <n v="0"/>
    <n v="0"/>
    <n v="559"/>
    <s v="OK"/>
    <n v="559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0"/>
    <s v="ADMINISTRACIÓN CENTRAL"/>
    <s v="MANTENIMIENTO DE VEHÍCULOS - REPUESTOS"/>
    <n v="1"/>
    <x v="1"/>
    <n v="1"/>
    <n v="0"/>
    <n v="1"/>
    <n v="601"/>
    <s v="RIOBAMBA"/>
    <n v="1"/>
    <n v="0"/>
    <n v="0"/>
    <s v="CORRIENTE"/>
    <x v="0"/>
    <n v="530813"/>
    <s v="REPUESTOS Y ACCESORIOS"/>
    <n v="1100"/>
    <n v="2556.14"/>
    <n v="0"/>
    <n v="0"/>
    <n v="852.05"/>
    <n v="0"/>
    <n v="0"/>
    <n v="852.05"/>
    <n v="0"/>
    <n v="0"/>
    <n v="0"/>
    <n v="852.04"/>
    <n v="0"/>
    <n v="0"/>
    <n v="2556.14"/>
    <s v="OK"/>
    <n v="2556.14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0"/>
    <s v="ADMINISTRACIÓN CENTRAL"/>
    <s v="ADQUISICIÓN REALIZADA POR CAJA CHICA"/>
    <n v="1"/>
    <x v="1"/>
    <n v="1"/>
    <n v="0"/>
    <n v="1"/>
    <n v="601"/>
    <s v="RIOBAMBA"/>
    <n v="1"/>
    <n v="0"/>
    <n v="0"/>
    <s v="CORRIENTE"/>
    <x v="0"/>
    <n v="530813"/>
    <s v="REPUESTOS Y ACCESORIOS"/>
    <n v="10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3 INCREMENTAR EL POSICIONAMIENTO DEL SERVICIO INTEGRADO DE SEGURIDAD ECU 911 A NIVEL NACIONAL E INTER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1"/>
    <s v="COMUNICACIÓN SOCIAL"/>
    <s v="ADQUISICIÓN DE MATERIAL POP PARA EL ÁREA DE COMUNICACIÓN"/>
    <n v="1"/>
    <x v="1"/>
    <n v="1"/>
    <n v="0"/>
    <n v="1"/>
    <n v="601"/>
    <s v="RIOBAMBA"/>
    <n v="1"/>
    <n v="0"/>
    <n v="0"/>
    <s v="CORRIENTE"/>
    <x v="0"/>
    <n v="530820"/>
    <s v="MENAJE Y ACCESORIOS DESCARTABLES"/>
    <n v="0"/>
    <n v="330"/>
    <n v="0"/>
    <n v="0"/>
    <n v="0"/>
    <n v="0"/>
    <n v="0"/>
    <n v="0"/>
    <n v="0"/>
    <n v="0"/>
    <n v="0"/>
    <n v="0"/>
    <n v="330"/>
    <n v="0"/>
    <n v="330"/>
    <s v="OK"/>
    <n v="33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0"/>
    <s v="ADMINISTRACIÓN CENTRAL"/>
    <s v="CANCELACIÓN DE MATRICULACIÓN VEHICULAR"/>
    <n v="1"/>
    <x v="1"/>
    <n v="1"/>
    <n v="0"/>
    <n v="1"/>
    <n v="601"/>
    <s v="RIOBAMBA"/>
    <n v="1"/>
    <n v="0"/>
    <n v="0"/>
    <s v="CORRIENTE"/>
    <x v="1"/>
    <n v="570102"/>
    <s v="TASAS GENERALES, IMPUESTOS, CONTRIBUCIONES, PERMISOS, LICENCIAS Y PATENTES"/>
    <n v="300"/>
    <n v="300"/>
    <n v="0"/>
    <n v="0"/>
    <n v="300"/>
    <n v="0"/>
    <n v="0"/>
    <n v="0"/>
    <n v="0"/>
    <n v="0"/>
    <n v="0"/>
    <n v="0"/>
    <n v="0"/>
    <n v="0"/>
    <n v="300"/>
    <s v="OK"/>
    <n v="240.80999999999997"/>
    <n v="59.190000000000026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0"/>
    <s v="ADMINISTRACIÓN CENTRAL"/>
    <s v="CANCELACIÓN DE PREDIO Y PERMISO DE FUNCIONAMIENTO"/>
    <n v="1"/>
    <x v="1"/>
    <n v="1"/>
    <n v="0"/>
    <n v="1"/>
    <n v="601"/>
    <s v="RIOBAMBA"/>
    <n v="1"/>
    <n v="0"/>
    <n v="0"/>
    <s v="CORRIENTE"/>
    <x v="1"/>
    <n v="570102"/>
    <s v="TASAS GENERALES, IMPUESTOS, CONTRIBUCIONES, PERMISOS, LICENCIAS Y PATENTES"/>
    <n v="300"/>
    <n v="300"/>
    <n v="0"/>
    <n v="300"/>
    <n v="0"/>
    <n v="0"/>
    <n v="0"/>
    <n v="0"/>
    <n v="0"/>
    <n v="0"/>
    <n v="0"/>
    <n v="0"/>
    <n v="0"/>
    <n v="0"/>
    <n v="300"/>
    <s v="OK"/>
    <n v="30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0"/>
    <s v="ADMINISTRACIÓN CENTRAL"/>
    <s v="CANCELACIÓN DE PEAJES COMISIONES  Y RODAJE"/>
    <n v="1"/>
    <x v="1"/>
    <n v="1"/>
    <n v="0"/>
    <n v="1"/>
    <n v="601"/>
    <s v="RIOBAMBA"/>
    <n v="1"/>
    <n v="0"/>
    <n v="0"/>
    <s v="CORRIENTE"/>
    <x v="1"/>
    <n v="570102"/>
    <s v="TASAS GENERALES, IMPUESTOS, CONTRIBUCIONES, PERMISOS, LICENCIAS Y PATENTES"/>
    <n v="100"/>
    <n v="100"/>
    <n v="0"/>
    <n v="0"/>
    <n v="0"/>
    <n v="100"/>
    <n v="0"/>
    <n v="0"/>
    <n v="0"/>
    <n v="0"/>
    <n v="0"/>
    <n v="0"/>
    <n v="0"/>
    <n v="0"/>
    <n v="100"/>
    <s v="OK"/>
    <n v="10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0"/>
    <s v="ADMINISTRACIÓN CENTRAL"/>
    <s v="ADQUISICIÓN REALIZADA POR CAJA CHICA"/>
    <n v="1"/>
    <x v="1"/>
    <n v="1"/>
    <n v="0"/>
    <n v="1"/>
    <n v="601"/>
    <s v="RIOBAMBA"/>
    <n v="1"/>
    <n v="0"/>
    <n v="0"/>
    <s v="CORRIENTE"/>
    <x v="1"/>
    <n v="570102"/>
    <s v="TASAS GENERALES, IMPUESTOS, CONTRIBUCIONES, PERMISOS, LICENCIAS Y PATENTES"/>
    <n v="100"/>
    <n v="100"/>
    <n v="0"/>
    <n v="0"/>
    <n v="100"/>
    <n v="0"/>
    <n v="0"/>
    <n v="0"/>
    <n v="0"/>
    <n v="0"/>
    <n v="0"/>
    <n v="0"/>
    <n v="0"/>
    <n v="0"/>
    <n v="100"/>
    <s v="OK"/>
    <n v="10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0"/>
    <s v="ADMINISTRACIÓN CENTRAL"/>
    <s v="CANCELACIÓN DE RECARGA DE PEAJES"/>
    <n v="1"/>
    <x v="1"/>
    <n v="1"/>
    <n v="0"/>
    <n v="1"/>
    <n v="601"/>
    <s v="RIOBAMBA"/>
    <n v="1"/>
    <n v="0"/>
    <n v="0"/>
    <s v="CORRIENTE"/>
    <x v="1"/>
    <n v="570102"/>
    <s v="TASAS GENERALES, IMPUESTOS, CONTRIBUCIONES, PERMISOS, LICENCIAS Y PATENTES"/>
    <n v="100"/>
    <n v="100"/>
    <n v="0"/>
    <n v="0"/>
    <n v="0"/>
    <n v="100"/>
    <n v="0"/>
    <n v="0"/>
    <n v="0"/>
    <n v="0"/>
    <n v="0"/>
    <n v="0"/>
    <n v="0"/>
    <n v="0"/>
    <n v="100"/>
    <s v="OK"/>
    <n v="100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7"/>
    <s v="OPERACIONES"/>
    <s v="ADQUISICIÓN DE MATERIAL DIDÁCTICO PARA EL CURSO SCI BÁSICO"/>
    <n v="1"/>
    <x v="1"/>
    <n v="55"/>
    <n v="0"/>
    <n v="2"/>
    <n v="601"/>
    <s v="RIOBAMBA"/>
    <n v="1"/>
    <n v="0"/>
    <n v="0"/>
    <s v="CORRIENTE"/>
    <x v="0"/>
    <n v="530204"/>
    <s v="EDICIÓN, IMPRESIÓN, REPRODUCCIÓN, PUBLICACIONES, SUSCRIPCIONES, FOTOCOPIADO, TRADUCCIÓN, EMPASTADO, ENMARCACIÓN, SERIGRAFÍA, FOTOGRAFÍA, CARNETIZACIÓN, FILMACIÓN E IMÁGENES SATELITALES"/>
    <n v="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7"/>
    <s v="OPERACIONES"/>
    <s v="ADQUISICIÓN DE MATERIAL DIDÁCTICO PARA EL CURSO SCI BÁSICO"/>
    <n v="1"/>
    <x v="1"/>
    <n v="55"/>
    <n v="0"/>
    <n v="2"/>
    <n v="601"/>
    <s v="RIOBAMBA"/>
    <n v="1"/>
    <n v="0"/>
    <n v="0"/>
    <s v="CORRIENTE"/>
    <x v="0"/>
    <n v="530804"/>
    <s v="MATERIALES DE OFICINA"/>
    <n v="0"/>
    <n v="127.28"/>
    <n v="0"/>
    <n v="0"/>
    <n v="0"/>
    <n v="0"/>
    <n v="0"/>
    <n v="0"/>
    <n v="0"/>
    <n v="0"/>
    <n v="0"/>
    <n v="0"/>
    <n v="0"/>
    <n v="127.28"/>
    <n v="127.28"/>
    <s v="OK"/>
    <n v="0"/>
    <n v="127.28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7"/>
    <s v="OPERACIONES"/>
    <s v="ADQUISICIÓN DE MATERIAL DIDÁCTICO PARA EL CURSO SCI BÁSICO"/>
    <n v="1"/>
    <x v="1"/>
    <n v="55"/>
    <n v="0"/>
    <n v="2"/>
    <n v="601"/>
    <s v="RIOBAMBA"/>
    <n v="1"/>
    <n v="0"/>
    <n v="0"/>
    <s v="CORRIENTE"/>
    <x v="0"/>
    <n v="530807"/>
    <s v="MATERIALES DE IMPRESIÓN, FOTOGRAFÍA, REPRODUCCIÓN Y PUBLICACIONES"/>
    <n v="0"/>
    <n v="110"/>
    <n v="0"/>
    <n v="0"/>
    <n v="0"/>
    <n v="0"/>
    <n v="0"/>
    <n v="0"/>
    <n v="0"/>
    <n v="0"/>
    <n v="0"/>
    <n v="0"/>
    <n v="0"/>
    <n v="110"/>
    <n v="110"/>
    <s v="OK"/>
    <n v="0"/>
    <n v="11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7"/>
    <s v="OPERACIONES"/>
    <s v="ADQUISICIÓN DE MATERIAL DIDÁCTICO PARA EL CURSO SCI BÁSICO"/>
    <n v="1"/>
    <x v="1"/>
    <n v="55"/>
    <n v="0"/>
    <n v="2"/>
    <n v="601"/>
    <s v="RIOBAMBA"/>
    <n v="1"/>
    <n v="0"/>
    <n v="0"/>
    <s v="CORRIENTE"/>
    <x v="0"/>
    <n v="530812"/>
    <s v="MATERIALES DIDÁCTICOS"/>
    <n v="0"/>
    <n v="911.6"/>
    <n v="0"/>
    <n v="0"/>
    <n v="0"/>
    <n v="0"/>
    <n v="0"/>
    <n v="0"/>
    <n v="0"/>
    <n v="0"/>
    <n v="0"/>
    <n v="0"/>
    <n v="0"/>
    <n v="911.6"/>
    <n v="911.6"/>
    <s v="OK"/>
    <n v="0"/>
    <n v="911.6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2"/>
    <s v="TECNOLOGÍA"/>
    <s v="FORTALECIMIENTO OPERACIONAL"/>
    <n v="1"/>
    <x v="1"/>
    <n v="55"/>
    <n v="0"/>
    <n v="3"/>
    <n v="601"/>
    <s v="RIOBAMBA"/>
    <n v="1"/>
    <n v="0"/>
    <n v="0"/>
    <s v="CORRIENTE"/>
    <x v="0"/>
    <n v="530105"/>
    <s v="TELECOMUNICACIONES"/>
    <n v="108000"/>
    <n v="76279.88"/>
    <n v="6349.64"/>
    <n v="5827.52"/>
    <n v="5827.52"/>
    <n v="5827.52"/>
    <n v="5827.52"/>
    <n v="5827.52"/>
    <n v="5827.52"/>
    <n v="5827.52"/>
    <n v="5827.52"/>
    <n v="5827.52"/>
    <n v="5827.52"/>
    <n v="11655.04"/>
    <n v="76279.880000000034"/>
    <s v="OK"/>
    <n v="41296.959999999999"/>
    <n v="34982.920000000006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2"/>
    <s v="TECNOLOGÍA"/>
    <s v="MANTENIMIENTO PREVENTIVO Y CORRECTIVO DE CÁMARAS. INCLUYE PARTES Y PIEZAS"/>
    <n v="1"/>
    <x v="1"/>
    <n v="55"/>
    <n v="0"/>
    <n v="3"/>
    <n v="601"/>
    <s v="RIOBAMBA"/>
    <n v="1"/>
    <n v="0"/>
    <n v="0"/>
    <s v="CORRIENTE"/>
    <x v="0"/>
    <n v="530704"/>
    <s v="MANTENIMIENTO Y REPARACIÓN DE EQUIPOS Y SISTEMAS INFORMÁTICOS "/>
    <n v="16000"/>
    <n v="17055.240000000002"/>
    <n v="0"/>
    <n v="0"/>
    <n v="0"/>
    <n v="0"/>
    <n v="0"/>
    <n v="0"/>
    <n v="0"/>
    <n v="0"/>
    <n v="1090"/>
    <n v="5689.36"/>
    <n v="6476.62"/>
    <n v="3799.26"/>
    <n v="17055.239999999998"/>
    <s v="OK"/>
    <n v="13434.2"/>
    <n v="3621.0400000000009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3"/>
    <s v="ADMINISTRACIÓN CENTRAL"/>
    <s v="CANCELACIÓN DE REMUNERACIONES Y BENEFICIOS SOCIALES"/>
    <n v="1"/>
    <x v="1"/>
    <n v="1"/>
    <n v="0"/>
    <n v="1"/>
    <n v="1800"/>
    <s v="TUNGURAHUA"/>
    <n v="1"/>
    <n v="0"/>
    <n v="0"/>
    <s v="CORRIENTE"/>
    <x v="3"/>
    <n v="510105"/>
    <s v="REMUNERACIONES UNIFICADAS"/>
    <n v="220020"/>
    <n v="218934"/>
    <n v="18335"/>
    <n v="18335"/>
    <n v="18335"/>
    <n v="18335"/>
    <n v="18335"/>
    <n v="18335"/>
    <n v="18335"/>
    <n v="18335"/>
    <n v="18335"/>
    <n v="18335"/>
    <n v="18335"/>
    <n v="17249"/>
    <n v="218934"/>
    <s v="OK"/>
    <n v="0"/>
    <n v="218934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3"/>
    <s v="ADMINISTRACIÓN CENTRAL"/>
    <s v="CANCELACIÓN DE REMUNERACIONES Y BENEFICIOS SOCIALES"/>
    <n v="1"/>
    <x v="1"/>
    <n v="1"/>
    <n v="0"/>
    <n v="1"/>
    <n v="1800"/>
    <s v="TUNGURAHUA"/>
    <n v="1"/>
    <n v="0"/>
    <n v="0"/>
    <s v="CORRIENTE"/>
    <x v="3"/>
    <n v="510106"/>
    <s v="SALARIOS UNIFICADOS"/>
    <n v="36240"/>
    <n v="34452"/>
    <n v="2871"/>
    <n v="2871"/>
    <n v="2871"/>
    <n v="2871"/>
    <n v="2871"/>
    <n v="2871"/>
    <n v="2871"/>
    <n v="2871"/>
    <n v="2871"/>
    <n v="2871"/>
    <n v="2871"/>
    <n v="2871"/>
    <n v="34452"/>
    <s v="OK"/>
    <n v="0"/>
    <n v="34452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3"/>
    <s v="ADMINISTRACIÓN CENTRAL"/>
    <s v="CANCELACIÓN DE REMUNERACIONES Y BENEFICIOS SOCIALES"/>
    <n v="1"/>
    <x v="1"/>
    <n v="1"/>
    <n v="0"/>
    <n v="1"/>
    <n v="1800"/>
    <s v="TUNGURAHUA"/>
    <n v="1"/>
    <n v="0"/>
    <n v="0"/>
    <s v="CORRIENTE"/>
    <x v="3"/>
    <n v="510203"/>
    <s v="DÉCIMO TERCER SUELDO"/>
    <n v="21355"/>
    <n v="21306"/>
    <n v="0"/>
    <n v="0"/>
    <n v="0"/>
    <n v="0"/>
    <n v="0"/>
    <n v="0"/>
    <n v="0"/>
    <n v="0"/>
    <n v="0"/>
    <n v="0"/>
    <n v="0"/>
    <n v="21306"/>
    <n v="21306"/>
    <s v="OK"/>
    <n v="0"/>
    <n v="21306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3"/>
    <s v="ADMINISTRACIÓN CENTRAL"/>
    <s v="CANCELACIÓN DE REMUNERACIONES Y BENEFICIOS SOCIALES"/>
    <n v="1"/>
    <x v="1"/>
    <n v="1"/>
    <n v="0"/>
    <n v="1"/>
    <n v="1800"/>
    <s v="TUNGURAHUA"/>
    <n v="1"/>
    <n v="0"/>
    <n v="0"/>
    <s v="CORRIENTE"/>
    <x v="3"/>
    <n v="510204"/>
    <s v="DÉCIMO CUARTO SUELDO"/>
    <n v="8500"/>
    <n v="8962.5"/>
    <n v="0"/>
    <n v="0"/>
    <n v="0"/>
    <n v="0"/>
    <n v="0"/>
    <n v="0"/>
    <n v="0"/>
    <n v="8962.5"/>
    <n v="0"/>
    <n v="0"/>
    <n v="0"/>
    <n v="0"/>
    <n v="8962.5"/>
    <s v="OK"/>
    <n v="0"/>
    <n v="8962.5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3"/>
    <s v="ADMINISTRACIÓN CENTRAL"/>
    <s v="CANCELACIÓN DE REMUNERACIONES Y BENEFICIOS SOCIALES"/>
    <n v="1"/>
    <x v="1"/>
    <n v="1"/>
    <n v="0"/>
    <n v="1"/>
    <n v="1800"/>
    <s v="TUNGURAHUA"/>
    <n v="1"/>
    <n v="0"/>
    <n v="0"/>
    <s v="CORRIENTE"/>
    <x v="3"/>
    <n v="510304"/>
    <s v="COMPENSACION POR TRANSPORTE"/>
    <n v="0"/>
    <n v="297"/>
    <n v="0"/>
    <n v="0"/>
    <n v="0"/>
    <n v="0"/>
    <n v="0"/>
    <n v="0"/>
    <n v="0"/>
    <n v="297"/>
    <n v="0"/>
    <n v="0"/>
    <n v="0"/>
    <n v="0"/>
    <n v="297"/>
    <s v="OK"/>
    <n v="0"/>
    <n v="297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3"/>
    <s v="ADMINISTRACIÓN CENTRAL"/>
    <s v="CANCELACIÓN DE REMUNERACIONES Y BENEFICIOS SOCIALES"/>
    <n v="1"/>
    <x v="1"/>
    <n v="1"/>
    <n v="0"/>
    <n v="1"/>
    <n v="1800"/>
    <s v="TUNGURAHUA"/>
    <n v="1"/>
    <n v="0"/>
    <n v="0"/>
    <s v="CORRIENTE"/>
    <x v="3"/>
    <n v="510306"/>
    <s v="ALIMENTACION"/>
    <n v="0"/>
    <n v="1430"/>
    <n v="0"/>
    <n v="0"/>
    <n v="0"/>
    <n v="0"/>
    <n v="0"/>
    <n v="0"/>
    <n v="0"/>
    <n v="1430"/>
    <n v="0"/>
    <n v="0"/>
    <n v="0"/>
    <n v="0"/>
    <n v="1430"/>
    <s v="OK"/>
    <n v="0"/>
    <n v="143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3"/>
    <s v="ADMINISTRACIÓN CENTRAL"/>
    <s v="CANCELACIÓN DE REMUNERACIONES Y BENEFICIOS SOCIALES"/>
    <n v="1"/>
    <x v="1"/>
    <n v="1"/>
    <n v="0"/>
    <n v="1"/>
    <n v="1800"/>
    <s v="TUNGURAHUA"/>
    <n v="1"/>
    <n v="0"/>
    <n v="0"/>
    <s v="CORRIENTE"/>
    <x v="3"/>
    <n v="510401"/>
    <s v="POR CARGAS FAMILIARES"/>
    <n v="0"/>
    <n v="64"/>
    <n v="0"/>
    <n v="0"/>
    <n v="0"/>
    <n v="0"/>
    <n v="0"/>
    <n v="0"/>
    <n v="0"/>
    <n v="64"/>
    <n v="0"/>
    <n v="0"/>
    <n v="0"/>
    <n v="0"/>
    <n v="64"/>
    <s v="OK"/>
    <n v="0"/>
    <n v="64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3"/>
    <s v="ADMINISTRACIÓN CENTRAL"/>
    <s v="CANCELACIÓN DE REMUNERACIONES Y BENEFICIOS SOCIALES"/>
    <n v="1"/>
    <x v="1"/>
    <n v="1"/>
    <n v="0"/>
    <n v="1"/>
    <n v="1800"/>
    <s v="TUNGURAHUA"/>
    <n v="1"/>
    <n v="0"/>
    <n v="0"/>
    <s v="CORRIENTE"/>
    <x v="3"/>
    <n v="510408"/>
    <s v="SUBSIDIO DE ANTIGUEDAD"/>
    <n v="0"/>
    <n v="192"/>
    <n v="0"/>
    <n v="0"/>
    <n v="0"/>
    <n v="0"/>
    <n v="0"/>
    <n v="0"/>
    <n v="0"/>
    <n v="192"/>
    <n v="0"/>
    <n v="0"/>
    <n v="0"/>
    <n v="0"/>
    <n v="192"/>
    <s v="OK"/>
    <n v="0"/>
    <n v="192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3"/>
    <s v="ADMINISTRACIÓN CENTRAL"/>
    <s v="CANCELACIÓN DE REMUNERACIONES Y BENEFICIOS SOCIALES"/>
    <n v="1"/>
    <x v="1"/>
    <n v="1"/>
    <n v="0"/>
    <n v="1"/>
    <n v="1800"/>
    <s v="TUNGURAHUA"/>
    <n v="1"/>
    <n v="0"/>
    <n v="0"/>
    <s v="CORRIENTE"/>
    <x v="3"/>
    <n v="510509"/>
    <s v="HORAS EXTRAORDINARIAS Y SUPLEMENTARIAS"/>
    <n v="0"/>
    <n v="1000"/>
    <n v="0"/>
    <n v="1000"/>
    <n v="0"/>
    <n v="0"/>
    <n v="0"/>
    <n v="0"/>
    <n v="0"/>
    <n v="0"/>
    <n v="0"/>
    <n v="0"/>
    <n v="0"/>
    <n v="0"/>
    <n v="1000"/>
    <s v="OK"/>
    <n v="0"/>
    <n v="100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3"/>
    <s v="ADMINISTRACIÓN CENTRAL"/>
    <s v="CANCELACIÓN DE REMUNERACIONES Y BENEFICIOS SOCIALES"/>
    <n v="1"/>
    <x v="1"/>
    <n v="1"/>
    <n v="0"/>
    <n v="1"/>
    <n v="1800"/>
    <s v="TUNGURAHUA"/>
    <n v="1"/>
    <n v="0"/>
    <n v="0"/>
    <s v="CORRIENTE"/>
    <x v="3"/>
    <n v="510601"/>
    <s v="APORTE PATRONAL"/>
    <n v="25636"/>
    <n v="25636"/>
    <n v="2136"/>
    <n v="2136"/>
    <n v="2136"/>
    <n v="2136"/>
    <n v="2136"/>
    <n v="2136"/>
    <n v="2136"/>
    <n v="2136"/>
    <n v="2137"/>
    <n v="2137"/>
    <n v="2137"/>
    <n v="2137"/>
    <n v="25636"/>
    <s v="OK"/>
    <n v="0"/>
    <n v="25636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3"/>
    <s v="ADMINISTRACIÓN CENTRAL"/>
    <s v="CANCELACIÓN DE REMUNERACIONES Y BENEFICIOS SOCIALES"/>
    <n v="1"/>
    <x v="1"/>
    <n v="1"/>
    <n v="0"/>
    <n v="1"/>
    <n v="1800"/>
    <s v="TUNGURAHUA"/>
    <n v="1"/>
    <n v="0"/>
    <n v="0"/>
    <s v="CORRIENTE"/>
    <x v="3"/>
    <n v="510602"/>
    <s v="FONDO DE RESERVA"/>
    <n v="21355"/>
    <n v="20997"/>
    <n v="1749.75"/>
    <n v="1749.75"/>
    <n v="1749.75"/>
    <n v="1749.75"/>
    <n v="1749.75"/>
    <n v="1749.75"/>
    <n v="1749.75"/>
    <n v="1749.75"/>
    <n v="1749.75"/>
    <n v="1749.75"/>
    <n v="1749.75"/>
    <n v="1749.75"/>
    <n v="20997"/>
    <s v="OK"/>
    <n v="0"/>
    <n v="20997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3"/>
    <s v="ADMINISTRACIÓN CENTRAL"/>
    <s v="CANCELACIÓN DE REMUNERACIONES Y BENEFICIOS SOCIALES"/>
    <n v="1"/>
    <x v="1"/>
    <n v="1"/>
    <n v="0"/>
    <n v="1"/>
    <n v="1800"/>
    <s v="TUNGURAHUA"/>
    <n v="1"/>
    <n v="0"/>
    <n v="0"/>
    <s v="CORRIENTE"/>
    <x v="3"/>
    <n v="510707"/>
    <s v="COMPENSACIÓN POR VACACIONES NO GOZADAS POR CESACIÓN DE FUNCIONES"/>
    <n v="0"/>
    <n v="5927.79"/>
    <n v="0"/>
    <n v="0"/>
    <n v="4836"/>
    <n v="0"/>
    <n v="0"/>
    <n v="0"/>
    <n v="1091.79"/>
    <n v="0"/>
    <n v="0"/>
    <n v="0"/>
    <n v="0"/>
    <n v="0"/>
    <n v="5927.79"/>
    <s v="OK"/>
    <n v="0"/>
    <n v="5927.79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4"/>
    <s v="OPERACIONES"/>
    <s v="CANCELACIÓN DE REMUNERACIONES Y BENEFICIOS SOCIALES"/>
    <n v="1"/>
    <x v="1"/>
    <n v="55"/>
    <n v="0"/>
    <n v="2"/>
    <n v="1800"/>
    <s v="TUNGURAHUA"/>
    <n v="1"/>
    <n v="0"/>
    <n v="0"/>
    <s v="CORRIENTE"/>
    <x v="3"/>
    <n v="510105"/>
    <s v="REMUNERACIONES UNIFICADAS"/>
    <n v="773100"/>
    <n v="765816.74"/>
    <n v="63899.02"/>
    <n v="63899.02"/>
    <n v="63899.02"/>
    <n v="63899.02"/>
    <n v="63899.02"/>
    <n v="63899.02"/>
    <n v="63899.02"/>
    <n v="63899.02"/>
    <n v="63899.02"/>
    <n v="63899.02"/>
    <n v="63899.02"/>
    <n v="62927.519999999997"/>
    <n v="765816.74000000011"/>
    <s v="OK"/>
    <n v="0"/>
    <n v="765816.74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4"/>
    <s v="OPERACIONES"/>
    <s v="CANCELACIÓN DE REMUNERACIONES Y BENEFICIOS SOCIALES"/>
    <n v="1"/>
    <x v="1"/>
    <n v="55"/>
    <n v="0"/>
    <n v="2"/>
    <n v="1800"/>
    <s v="TUNGURAHUA"/>
    <n v="1"/>
    <n v="0"/>
    <n v="0"/>
    <s v="CORRIENTE"/>
    <x v="3"/>
    <n v="510203"/>
    <s v="DÉCIMO TERCER SUELDO"/>
    <n v="69556"/>
    <n v="68700"/>
    <n v="0"/>
    <n v="0"/>
    <n v="0"/>
    <n v="0"/>
    <n v="0"/>
    <n v="0"/>
    <n v="0"/>
    <n v="0"/>
    <n v="0"/>
    <n v="0"/>
    <n v="0"/>
    <n v="68700"/>
    <n v="68700"/>
    <s v="OK"/>
    <n v="0"/>
    <n v="6870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4"/>
    <s v="OPERACIONES"/>
    <s v="CANCELACIÓN DE REMUNERACIONES Y BENEFICIOS SOCIALES"/>
    <n v="1"/>
    <x v="1"/>
    <n v="55"/>
    <n v="0"/>
    <n v="2"/>
    <n v="1800"/>
    <s v="TUNGURAHUA"/>
    <n v="1"/>
    <n v="0"/>
    <n v="0"/>
    <s v="CORRIENTE"/>
    <x v="3"/>
    <n v="510204"/>
    <s v="DÉCIMO CUARTO SUELDO"/>
    <n v="36550"/>
    <n v="38550"/>
    <n v="0"/>
    <n v="0"/>
    <n v="0"/>
    <n v="0"/>
    <n v="0"/>
    <n v="0"/>
    <n v="0"/>
    <n v="38550"/>
    <n v="0"/>
    <n v="0"/>
    <n v="0"/>
    <n v="0"/>
    <n v="38550"/>
    <s v="OK"/>
    <n v="0"/>
    <n v="3855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4"/>
    <s v="OPERACIONES"/>
    <s v="CANCELACIÓN DE REMUNERACIONES Y BENEFICIOS SOCIALES"/>
    <n v="1"/>
    <x v="1"/>
    <n v="55"/>
    <n v="0"/>
    <n v="2"/>
    <n v="1800"/>
    <s v="TUNGURAHUA"/>
    <n v="1"/>
    <n v="0"/>
    <n v="0"/>
    <s v="CORRIENTE"/>
    <x v="3"/>
    <n v="510510"/>
    <s v="SERVICIOS PERSONALES POR CONTRATO"/>
    <n v="61572"/>
    <n v="56868.58"/>
    <n v="4754.32"/>
    <n v="4754.32"/>
    <n v="4754.32"/>
    <n v="4754.32"/>
    <n v="4754.32"/>
    <n v="4754.32"/>
    <n v="4754.32"/>
    <n v="4754.32"/>
    <n v="4754.32"/>
    <n v="4754.32"/>
    <n v="4754.32"/>
    <n v="4571.0600000000004"/>
    <n v="56868.579999999994"/>
    <s v="OK"/>
    <n v="0"/>
    <n v="56868.58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4"/>
    <s v="OPERACIONES"/>
    <s v="CANCELACIÓN DE REMUNERACIONES Y BENEFICIOS SOCIALES"/>
    <n v="1"/>
    <x v="1"/>
    <n v="55"/>
    <n v="0"/>
    <n v="2"/>
    <n v="1800"/>
    <s v="TUNGURAHUA"/>
    <n v="1"/>
    <n v="0"/>
    <n v="0"/>
    <s v="CORRIENTE"/>
    <x v="3"/>
    <n v="510601"/>
    <s v="APORTE PATRONAL"/>
    <n v="80545"/>
    <n v="79514"/>
    <n v="6626.17"/>
    <n v="6626.17"/>
    <n v="6626.17"/>
    <n v="6626.17"/>
    <n v="6626.17"/>
    <n v="6626.17"/>
    <n v="6626.17"/>
    <n v="6626.17"/>
    <n v="6626.17"/>
    <n v="6626.17"/>
    <n v="6626.17"/>
    <n v="6626.13"/>
    <n v="79514"/>
    <s v="OK"/>
    <n v="0"/>
    <n v="79514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4"/>
    <s v="OPERACIONES"/>
    <s v="CANCELACIÓN DE REMUNERACIONES Y BENEFICIOS SOCIALES"/>
    <n v="1"/>
    <x v="1"/>
    <n v="55"/>
    <n v="0"/>
    <n v="2"/>
    <n v="1800"/>
    <s v="TUNGURAHUA"/>
    <n v="1"/>
    <n v="0"/>
    <n v="0"/>
    <s v="CORRIENTE"/>
    <x v="3"/>
    <n v="510602"/>
    <s v="FONDO DE RESERVA"/>
    <n v="42792"/>
    <n v="67071"/>
    <n v="5589.25"/>
    <n v="5589.25"/>
    <n v="5589.25"/>
    <n v="5589.25"/>
    <n v="5589.25"/>
    <n v="5589.25"/>
    <n v="5589.25"/>
    <n v="5589.25"/>
    <n v="5589.25"/>
    <n v="5589.25"/>
    <n v="5589.25"/>
    <n v="5589.25"/>
    <n v="67071"/>
    <s v="OK"/>
    <n v="0"/>
    <n v="67071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4"/>
    <s v="OPERACIONES"/>
    <s v="CANCELACIÓN DE REMUNERACIONES Y BENEFICIOS SOCIALES"/>
    <n v="1"/>
    <x v="1"/>
    <n v="55"/>
    <n v="0"/>
    <n v="2"/>
    <n v="1800"/>
    <s v="TUNGURAHUA"/>
    <n v="1"/>
    <n v="0"/>
    <n v="0"/>
    <s v="CORRIENTE"/>
    <x v="3"/>
    <n v="510707"/>
    <s v="COMPENSACIÓN POR VACACIONES NO GOZADAS POR CESACIÓN DE FUNCIONES"/>
    <n v="0"/>
    <n v="1042.93"/>
    <n v="0"/>
    <n v="0"/>
    <n v="193.76"/>
    <n v="0"/>
    <n v="0"/>
    <n v="122.17"/>
    <n v="183.25"/>
    <n v="543.75"/>
    <n v="0"/>
    <n v="0"/>
    <n v="0"/>
    <n v="0"/>
    <n v="1042.93"/>
    <s v="OK"/>
    <n v="0"/>
    <n v="1042.93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4"/>
    <s v="OPERACIONES"/>
    <s v="CANCELACIÓN DE REMUNERACIONES Y BENEFICIOS SOCIALES"/>
    <n v="1"/>
    <x v="1"/>
    <n v="55"/>
    <n v="0"/>
    <n v="2"/>
    <n v="1800"/>
    <s v="TUNGURAHUA"/>
    <n v="1"/>
    <n v="0"/>
    <n v="0"/>
    <s v="CORRIENTE"/>
    <x v="3"/>
    <n v="510709"/>
    <s v="POR RENUNCIA VOLUNTARIA"/>
    <n v="0"/>
    <n v="427.75"/>
    <n v="0"/>
    <n v="0"/>
    <n v="0"/>
    <n v="0"/>
    <n v="0"/>
    <n v="0"/>
    <n v="0"/>
    <n v="427.75"/>
    <n v="0"/>
    <n v="0"/>
    <n v="0"/>
    <n v="0"/>
    <n v="427.75"/>
    <s v="OK"/>
    <n v="0"/>
    <n v="427.75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5"/>
    <s v="TECNOLOGÍA"/>
    <s v="CANCELACIÓN DE REMUNERACIONES Y BENEFICIOS SOCIALES"/>
    <n v="1"/>
    <x v="1"/>
    <n v="55"/>
    <n v="0"/>
    <n v="3"/>
    <n v="1800"/>
    <s v="TUNGURAHUA"/>
    <n v="1"/>
    <n v="0"/>
    <n v="0"/>
    <s v="CORRIENTE"/>
    <x v="3"/>
    <n v="510105"/>
    <s v="REMUNERACIONES UNIFICADAS"/>
    <n v="92160"/>
    <n v="92160"/>
    <n v="7680"/>
    <n v="7680"/>
    <n v="7680"/>
    <n v="7680"/>
    <n v="7680"/>
    <n v="7680"/>
    <n v="7680"/>
    <n v="7680"/>
    <n v="7680"/>
    <n v="7680"/>
    <n v="7680"/>
    <n v="7680"/>
    <n v="92160"/>
    <s v="OK"/>
    <n v="0"/>
    <n v="9216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5"/>
    <s v="TECNOLOGÍA"/>
    <s v="CANCELACIÓN DE REMUNERACIONES Y BENEFICIOS SOCIALES"/>
    <n v="1"/>
    <x v="1"/>
    <n v="55"/>
    <n v="0"/>
    <n v="3"/>
    <n v="1800"/>
    <s v="TUNGURAHUA"/>
    <n v="1"/>
    <n v="0"/>
    <n v="0"/>
    <s v="CORRIENTE"/>
    <x v="3"/>
    <n v="510203"/>
    <s v="DÉCIMO TERCER SUELDO"/>
    <n v="7680"/>
    <n v="7680"/>
    <n v="0"/>
    <n v="0"/>
    <n v="0"/>
    <n v="0"/>
    <n v="0"/>
    <n v="0"/>
    <n v="0"/>
    <n v="0"/>
    <n v="0"/>
    <n v="0"/>
    <n v="0"/>
    <n v="7680"/>
    <n v="7680"/>
    <s v="OK"/>
    <n v="0"/>
    <n v="768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5"/>
    <s v="TECNOLOGÍA"/>
    <s v="CANCELACIÓN DE REMUNERACIONES Y BENEFICIOS SOCIALES"/>
    <n v="1"/>
    <x v="1"/>
    <n v="55"/>
    <n v="0"/>
    <n v="3"/>
    <n v="1800"/>
    <s v="TUNGURAHUA"/>
    <n v="1"/>
    <n v="0"/>
    <n v="0"/>
    <s v="CORRIENTE"/>
    <x v="3"/>
    <n v="510204"/>
    <s v="DÉCIMO CUARTO SUELDO"/>
    <n v="2125"/>
    <n v="2250"/>
    <n v="0"/>
    <n v="0"/>
    <n v="0"/>
    <n v="0"/>
    <n v="0"/>
    <n v="0"/>
    <n v="0"/>
    <n v="2250"/>
    <n v="0"/>
    <n v="0"/>
    <n v="0"/>
    <n v="0"/>
    <n v="2250"/>
    <s v="OK"/>
    <n v="0"/>
    <n v="225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5"/>
    <s v="TECNOLOGÍA"/>
    <s v="CANCELACIÓN DE REMUNERACIONES Y BENEFICIOS SOCIALES"/>
    <n v="1"/>
    <x v="1"/>
    <n v="55"/>
    <n v="0"/>
    <n v="3"/>
    <n v="1800"/>
    <s v="TUNGURAHUA"/>
    <n v="1"/>
    <n v="0"/>
    <n v="0"/>
    <s v="CORRIENTE"/>
    <x v="3"/>
    <n v="510601"/>
    <s v="APORTE PATRONAL"/>
    <n v="8894"/>
    <n v="8894"/>
    <n v="741"/>
    <n v="741"/>
    <n v="741"/>
    <n v="741"/>
    <n v="741"/>
    <n v="741"/>
    <n v="741"/>
    <n v="741"/>
    <n v="741"/>
    <n v="741"/>
    <n v="742"/>
    <n v="742"/>
    <n v="8894"/>
    <s v="OK"/>
    <n v="0"/>
    <n v="8894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5"/>
    <s v="TECNOLOGÍA"/>
    <s v="CANCELACIÓN DE REMUNERACIONES Y BENEFICIOS SOCIALES"/>
    <n v="1"/>
    <x v="1"/>
    <n v="55"/>
    <n v="0"/>
    <n v="3"/>
    <n v="1800"/>
    <s v="TUNGURAHUA"/>
    <n v="1"/>
    <n v="0"/>
    <n v="0"/>
    <s v="CORRIENTE"/>
    <x v="3"/>
    <n v="510602"/>
    <s v="FONDO DE RESERVA"/>
    <n v="7680"/>
    <n v="7855"/>
    <n v="654.58000000000004"/>
    <n v="654.58000000000004"/>
    <n v="654.58000000000004"/>
    <n v="654.58000000000004"/>
    <n v="654.58000000000004"/>
    <n v="654.58000000000004"/>
    <n v="654.58000000000004"/>
    <n v="654.58000000000004"/>
    <n v="654.58000000000004"/>
    <n v="654.58000000000004"/>
    <n v="654.58000000000004"/>
    <n v="654.62"/>
    <n v="7855"/>
    <s v="OK"/>
    <n v="0"/>
    <n v="7855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3"/>
    <s v="ADMINISTRACIÓN CENTRAL"/>
    <s v="CANCELACIÓN DE SERVICIOS INSTITUCIONALES"/>
    <n v="1"/>
    <x v="1"/>
    <n v="1"/>
    <n v="0"/>
    <n v="1"/>
    <n v="1801"/>
    <s v="AMBATO"/>
    <n v="1"/>
    <n v="0"/>
    <n v="0"/>
    <s v="CORRIENTE"/>
    <x v="0"/>
    <n v="530101"/>
    <s v="AGUA POTABLE"/>
    <n v="3000"/>
    <n v="3000"/>
    <n v="156.55000000000001"/>
    <n v="258.5"/>
    <n v="258.5"/>
    <n v="258.5"/>
    <n v="258.5"/>
    <n v="258.5"/>
    <n v="258.5"/>
    <n v="258.5"/>
    <n v="258.5"/>
    <n v="258.5"/>
    <n v="258.5"/>
    <n v="258.45"/>
    <n v="3000"/>
    <s v="OK"/>
    <n v="300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3"/>
    <s v="ADMINISTRACIÓN CENTRAL"/>
    <s v="CANCELACIÓN DE SERVICIOS INSTITUCIONALES"/>
    <n v="1"/>
    <x v="1"/>
    <n v="1"/>
    <n v="0"/>
    <n v="1"/>
    <n v="1801"/>
    <s v="AMBATO"/>
    <n v="1"/>
    <n v="0"/>
    <n v="0"/>
    <s v="CORRIENTE"/>
    <x v="0"/>
    <n v="530104"/>
    <s v="ENERGÍA ELÉCTRICA"/>
    <n v="52000"/>
    <n v="52000"/>
    <n v="4651.8900000000003"/>
    <n v="4304.37"/>
    <n v="4304.37"/>
    <n v="4304.37"/>
    <n v="4304.37"/>
    <n v="4304.37"/>
    <n v="4304.37"/>
    <n v="4304.37"/>
    <n v="4304.37"/>
    <n v="4304.37"/>
    <n v="4304.37"/>
    <n v="4304.41"/>
    <n v="52000"/>
    <s v="OK"/>
    <n v="5200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3"/>
    <s v="ADMINISTRACIÓN CENTRAL"/>
    <s v="CANCELACIÓN DE MOVILIZACIÓN DEL PERSONAL"/>
    <n v="1"/>
    <x v="1"/>
    <n v="1"/>
    <n v="0"/>
    <n v="1"/>
    <n v="1801"/>
    <s v="AMBATO"/>
    <n v="1"/>
    <n v="0"/>
    <n v="0"/>
    <s v="CORRIENTE"/>
    <x v="0"/>
    <n v="530201"/>
    <s v="TRANSPORTE DE PERSONAL"/>
    <n v="17196"/>
    <n v="33461.919999999998"/>
    <n v="1435.63"/>
    <n v="2911.48"/>
    <n v="2911.48"/>
    <n v="2911.48"/>
    <n v="2911.48"/>
    <n v="2911.48"/>
    <n v="2911.48"/>
    <n v="2911.48"/>
    <n v="2911.48"/>
    <n v="2911.48"/>
    <n v="2911.48"/>
    <n v="2911.49"/>
    <n v="33461.919999999998"/>
    <s v="OK"/>
    <n v="33461.919999999998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3"/>
    <s v="ADMINISTRACIÓN CENTRAL"/>
    <s v="CANCELACIÓN DEL SERVICIO DE RECARGA DE EXTINTORES"/>
    <n v="1"/>
    <x v="1"/>
    <n v="1"/>
    <n v="0"/>
    <n v="1"/>
    <n v="1801"/>
    <s v="AMBATO"/>
    <n v="1"/>
    <n v="0"/>
    <n v="0"/>
    <s v="CORRIENTE"/>
    <x v="0"/>
    <n v="530203"/>
    <s v="ALMACENAMIENTO, EMBALAJE, DESEMBALAJE, ENVASE, DESENVASE Y RECARGA DE EXTINTORES"/>
    <n v="0"/>
    <n v="582"/>
    <n v="0"/>
    <n v="0"/>
    <n v="0"/>
    <n v="0"/>
    <n v="0"/>
    <n v="0"/>
    <n v="0"/>
    <n v="0"/>
    <n v="0"/>
    <n v="0"/>
    <n v="582"/>
    <n v="0"/>
    <n v="582"/>
    <s v="OK"/>
    <n v="582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3 INCREMENTAR EL POSICIONAMIENTO DEL SERVICIO INTEGRADO DE SEGURIDAD ECU 911 A NIVEL NACIONAL E INTER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6"/>
    <s v="COMUNICACIÓN SOCIAL"/>
    <s v="CANCELACIÓN DEL SERVICIO_x000a_DE IMPRESIÓN E INSTALACIÓN_x000a_DE VINIL ADHESIVO"/>
    <n v="1"/>
    <x v="1"/>
    <n v="1"/>
    <n v="0"/>
    <n v="1"/>
    <n v="1801"/>
    <s v="AMBATO"/>
    <n v="1"/>
    <n v="0"/>
    <n v="0"/>
    <s v="CORRIENTE"/>
    <x v="0"/>
    <n v="530204"/>
    <s v="EDICIÓN, IMPRESIÓN, REPRODUCCIÓN, PUBLICACIONES, SUSCRIPCIONES, FOTOCOPIADO, TRADUCCIÓN, EMPASTADO, ENMARCACIÓN, SERIGRAFÍA, FOTOGRAFÍA, CARNETIZACIÓN, FILMACIÓN E IMÁGENES SATELITALES"/>
    <n v="0"/>
    <n v="3150"/>
    <n v="0"/>
    <n v="0"/>
    <n v="0"/>
    <n v="0"/>
    <n v="0"/>
    <n v="0"/>
    <n v="0"/>
    <n v="0"/>
    <n v="0"/>
    <n v="0"/>
    <n v="0"/>
    <n v="3150"/>
    <n v="3150"/>
    <s v="OK"/>
    <n v="0"/>
    <n v="315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3 INCREMENTAR EL POSICIONAMIENTO DEL SERVICIO INTEGRADO DE SEGURIDAD ECU 911 A NIVEL NACIONAL E INTER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6"/>
    <s v="COMUNICACIÓN SOCIAL"/>
    <s v="ADQUISICIÓN DE MATERIAL POP PARA EL ÁREA DE COMUNICACIÓN"/>
    <n v="1"/>
    <x v="1"/>
    <n v="1"/>
    <n v="0"/>
    <n v="1"/>
    <n v="1801"/>
    <s v="AMBATO"/>
    <n v="1"/>
    <n v="0"/>
    <n v="0"/>
    <s v="CORRIENTE"/>
    <x v="0"/>
    <n v="530207"/>
    <s v="DIFUSIÓN, INFORMACIÓN Y PUBLICIDAD"/>
    <n v="0"/>
    <n v="768"/>
    <n v="0"/>
    <n v="0"/>
    <n v="0"/>
    <n v="0"/>
    <n v="0"/>
    <n v="0"/>
    <n v="0"/>
    <n v="0"/>
    <n v="0"/>
    <n v="0"/>
    <n v="768"/>
    <n v="0"/>
    <n v="768"/>
    <s v="OK"/>
    <n v="768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3"/>
    <s v="ADMINISTRACIÓN CENTRAL"/>
    <s v="CANCELACIÓN DEL SERVICIO DE SEGURIDAD Y VIGILANCIA SERVICIO DE VIGILANCIA SEGURIDAD ARMADA Y SUPERVISADA, PARA CUSTODIAR Y PROTEGER EL PATRIMONIO INSTITUCIONAL DE LA CZ3 DEL SIS ECU 911 "/>
    <n v="1"/>
    <x v="1"/>
    <n v="1"/>
    <n v="0"/>
    <n v="1"/>
    <n v="1801"/>
    <s v="AMBATO"/>
    <n v="1"/>
    <n v="0"/>
    <n v="0"/>
    <s v="CORRIENTE"/>
    <x v="0"/>
    <n v="530208"/>
    <s v="SERVICIO DE SEGURIDAD Y VIGILANCIA"/>
    <n v="85893"/>
    <n v="84358.42"/>
    <n v="3583.32"/>
    <n v="6895.03"/>
    <n v="6895.03"/>
    <n v="6895.03"/>
    <n v="6895.03"/>
    <n v="6895.03"/>
    <n v="6895.07"/>
    <n v="7157.82"/>
    <n v="7157.82"/>
    <n v="7157.82"/>
    <n v="7157.82"/>
    <n v="10773.6"/>
    <n v="84358.420000000013"/>
    <s v="OK"/>
    <n v="84164.38"/>
    <n v="194.0399999999936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3"/>
    <s v="ADMINISTRACIÓN CENTRAL"/>
    <s v="CANCELACIÓN SERVICIO DE LIMPIEZA"/>
    <n v="1"/>
    <x v="1"/>
    <n v="1"/>
    <n v="0"/>
    <n v="1"/>
    <n v="1801"/>
    <s v="AMBATO"/>
    <n v="1"/>
    <n v="0"/>
    <n v="0"/>
    <s v="CORRIENTE"/>
    <x v="0"/>
    <n v="530209"/>
    <s v="SERVICIOS DE ASEO, LAVADO DE VESTIMENTA DE TRABAJO, FUMIGACIÓN, DESINFECCIÓN, LIMPIEZA DE INSTALACIONES, MANEJO DE DESECHOS CONTAMINADOS, RECUPERACIÓN Y CLASIFICACIÓN DE MATERIALES RECICLABLES"/>
    <n v="1775"/>
    <n v="1775.04"/>
    <n v="1775.04"/>
    <n v="0"/>
    <n v="0"/>
    <n v="0"/>
    <n v="0"/>
    <n v="0"/>
    <n v="0"/>
    <n v="0"/>
    <n v="0"/>
    <n v="0"/>
    <n v="0"/>
    <n v="0"/>
    <n v="1775.04"/>
    <s v="OK"/>
    <n v="1775.04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3"/>
    <s v="ADMINISTRACIÓN CENTRAL"/>
    <s v="CANCELACIÓN SERVICIO DE LIMPIEZA DE ÁREA INTERNAS Y EXTERNAS"/>
    <n v="1"/>
    <x v="1"/>
    <n v="1"/>
    <n v="0"/>
    <n v="1"/>
    <n v="1801"/>
    <s v="AMBATO"/>
    <n v="1"/>
    <n v="0"/>
    <n v="0"/>
    <s v="CORRIENTE"/>
    <x v="0"/>
    <n v="530209"/>
    <s v="SERVICIOS DE ASEO, LAVADO DE VESTIMENTA DE TRABAJO, FUMIGACIÓN, DESINFECCIÓN, LIMPIEZA DE INSTALACIONES, MANEJO DE DESECHOS CONTAMINADOS, RECUPERACIÓN Y CLASIFICACIÓN DE MATERIALES RECICLABLES"/>
    <n v="53838"/>
    <n v="54567"/>
    <n v="0"/>
    <n v="4644"/>
    <n v="4644"/>
    <n v="4644"/>
    <n v="4644"/>
    <n v="4644"/>
    <n v="4644"/>
    <n v="4644"/>
    <n v="4644"/>
    <n v="4644"/>
    <n v="4644"/>
    <n v="8127"/>
    <n v="54567"/>
    <s v="OK"/>
    <n v="53406"/>
    <n v="1161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3"/>
    <s v="ADMINISTRACIÓN CENTRAL"/>
    <s v="CANCELACIÓN SERVICIO DE LIMPIEZA DE ÁREAS EXTERNAS"/>
    <n v="1"/>
    <x v="1"/>
    <n v="1"/>
    <n v="0"/>
    <n v="1"/>
    <n v="1801"/>
    <s v="AMBATO"/>
    <n v="1"/>
    <n v="0"/>
    <n v="0"/>
    <s v="CORRIENTE"/>
    <x v="0"/>
    <n v="530209"/>
    <s v="SERVICIOS DE ASEO, LAVADO DE VESTIMENTA DE TRABAJO, FUMIGACIÓN, DESINFECCIÓN, LIMPIEZA DE INSTALACIONES, MANEJO DE DESECHOS CONTAMINADOS, RECUPERACIÓN Y CLASIFICACIÓN DE MATERIALES RECICLABLES"/>
    <n v="40139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3"/>
    <s v="ADMINISTRACIÓN CENTRAL"/>
    <s v="CANCELACIÓN DE SERVICIO DE GUARDERÍAS DEL CENTRO ZONAL AMBATO EN CUMPLIMIENTO DEL ACUERDO MINISTERIAL N° MDT-2023-085"/>
    <n v="1"/>
    <x v="1"/>
    <n v="1"/>
    <n v="0"/>
    <n v="1"/>
    <n v="1801"/>
    <s v="AMBATO"/>
    <n v="1"/>
    <n v="0"/>
    <n v="0"/>
    <s v="CORRIENTE"/>
    <x v="0"/>
    <n v="530210"/>
    <s v="SERVICIO DE GUARDERÍA"/>
    <n v="0"/>
    <n v="1674"/>
    <n v="0"/>
    <n v="0"/>
    <n v="0"/>
    <n v="0"/>
    <n v="0"/>
    <n v="0"/>
    <n v="0"/>
    <n v="0"/>
    <n v="0"/>
    <n v="0"/>
    <n v="837"/>
    <n v="837"/>
    <n v="1674"/>
    <s v="OK"/>
    <n v="1674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3"/>
    <s v="ADMINISTRACIÓN CENTRAL"/>
    <s v="ADQUISICIÓN REALIZADA POR CAJA CHICA"/>
    <n v="1"/>
    <x v="1"/>
    <n v="1"/>
    <n v="0"/>
    <n v="1"/>
    <n v="1801"/>
    <s v="AMBATO"/>
    <n v="1"/>
    <n v="0"/>
    <n v="0"/>
    <s v="CORRIENTE"/>
    <x v="0"/>
    <n v="530228"/>
    <s v="SERVICIOS DE PROVISIÓN DE DISPOSITIVOS ELECTRONICOS Y CERTIFICACION PARA REGISTRO DE FIRMAS DIGITALES"/>
    <n v="0"/>
    <n v="30.24"/>
    <n v="0"/>
    <n v="0"/>
    <n v="0"/>
    <n v="0"/>
    <n v="0"/>
    <n v="0"/>
    <n v="0"/>
    <n v="0"/>
    <n v="30.24"/>
    <n v="0"/>
    <n v="0"/>
    <n v="0"/>
    <n v="30.24"/>
    <s v="OK"/>
    <n v="30.24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3"/>
    <s v="ADMINISTRACIÓN CENTRAL"/>
    <s v="CANCELACIÓN DEL SERVICIO DE RASTREO SATELITAL"/>
    <n v="1"/>
    <x v="1"/>
    <n v="1"/>
    <n v="0"/>
    <n v="1"/>
    <n v="1801"/>
    <s v="AMBATO"/>
    <n v="1"/>
    <n v="0"/>
    <n v="0"/>
    <s v="CORRIENTE"/>
    <x v="0"/>
    <n v="530246"/>
    <s v="SERVICIOS DE IDENTIFICACIÓN, MARCACIÓN, AUTENTIFICACIÓN, RASTREO, MONITOREO, SEGUIMIENTO Y/O TRAZABILIDAD"/>
    <n v="1440"/>
    <n v="300"/>
    <n v="0"/>
    <n v="0"/>
    <n v="30"/>
    <n v="30"/>
    <n v="30"/>
    <n v="30"/>
    <n v="30"/>
    <n v="30"/>
    <n v="30"/>
    <n v="30"/>
    <n v="30"/>
    <n v="30"/>
    <n v="300"/>
    <s v="OK"/>
    <n v="30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3"/>
    <s v="ADMINISTRACIÓN CENTRAL"/>
    <s v="CANCELACIÓN DE MOVILIZACIÓN DEL PERSONAL"/>
    <n v="1"/>
    <x v="1"/>
    <n v="1"/>
    <n v="0"/>
    <n v="1"/>
    <n v="1801"/>
    <s v="AMBATO"/>
    <n v="1"/>
    <n v="0"/>
    <n v="0"/>
    <s v="CORRIENTE"/>
    <x v="0"/>
    <n v="530255"/>
    <s v="COMBUSTIBLES"/>
    <n v="0"/>
    <n v="200"/>
    <n v="0"/>
    <n v="0"/>
    <n v="20"/>
    <n v="20"/>
    <n v="20"/>
    <n v="20"/>
    <n v="20"/>
    <n v="20"/>
    <n v="20"/>
    <n v="20"/>
    <n v="0"/>
    <n v="40"/>
    <n v="200"/>
    <s v="OK"/>
    <n v="20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3"/>
    <s v="ADMINISTRACIÓN CENTRAL"/>
    <s v="CANCELACIÓN DE COMBUSTIBLE"/>
    <n v="1"/>
    <x v="1"/>
    <n v="1"/>
    <n v="0"/>
    <n v="1"/>
    <n v="1801"/>
    <s v="AMBATO"/>
    <n v="1"/>
    <n v="0"/>
    <n v="0"/>
    <s v="CORRIENTE"/>
    <x v="0"/>
    <n v="530255"/>
    <s v="COMBUSTIBLES"/>
    <n v="0"/>
    <n v="2582.91"/>
    <n v="0"/>
    <n v="234.81"/>
    <n v="234.81"/>
    <n v="234.81"/>
    <n v="234.81"/>
    <n v="234.81"/>
    <n v="234.81"/>
    <n v="234.81"/>
    <n v="234.81"/>
    <n v="234.81"/>
    <n v="234.81"/>
    <n v="234.81"/>
    <n v="2582.91"/>
    <s v="OK"/>
    <n v="2582.91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3"/>
    <s v="ADMINISTRACIÓN CENTRAL"/>
    <s v="CANCELACIÓN DE MOVILIZACIÓN DEL PERSONAL"/>
    <n v="1"/>
    <x v="1"/>
    <n v="1"/>
    <n v="0"/>
    <n v="1"/>
    <n v="1801"/>
    <s v="AMBATO"/>
    <n v="1"/>
    <n v="0"/>
    <n v="0"/>
    <s v="CORRIENTE"/>
    <x v="0"/>
    <n v="530301"/>
    <s v="PASAJES AL INTERIOR"/>
    <n v="0"/>
    <n v="200"/>
    <n v="0"/>
    <n v="0"/>
    <n v="10"/>
    <n v="10"/>
    <n v="10"/>
    <n v="10"/>
    <n v="26.67"/>
    <n v="26.67"/>
    <n v="26.67"/>
    <n v="26.67"/>
    <n v="0"/>
    <n v="53.32"/>
    <n v="200"/>
    <s v="OK"/>
    <n v="20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3"/>
    <s v="ADMINISTRACIÓN CENTRAL"/>
    <s v="CANCELACIÓN DE MOVILIZACIÓN DEL PERSONAL"/>
    <n v="1"/>
    <x v="1"/>
    <n v="1"/>
    <n v="0"/>
    <n v="1"/>
    <n v="1801"/>
    <s v="AMBATO"/>
    <n v="1"/>
    <n v="0"/>
    <n v="0"/>
    <s v="CORRIENTE"/>
    <x v="0"/>
    <n v="530303"/>
    <s v="VIÁTICOS Y SUBSISTENCIAS EN EL INTERIOR"/>
    <n v="0"/>
    <n v="6500"/>
    <n v="0"/>
    <n v="0"/>
    <n v="450"/>
    <n v="450"/>
    <n v="450"/>
    <n v="450"/>
    <n v="783.33"/>
    <n v="783.33"/>
    <n v="783.33"/>
    <n v="783.33"/>
    <n v="0"/>
    <n v="1566.68"/>
    <n v="6500"/>
    <s v="OK"/>
    <n v="650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3"/>
    <s v="ADMINISTRACIÓN CENTRAL"/>
    <s v="MANTENIMIENTO DEL EDIFICIO"/>
    <n v="1"/>
    <x v="1"/>
    <n v="1"/>
    <n v="0"/>
    <n v="1"/>
    <n v="1801"/>
    <s v="AMBATO"/>
    <n v="1"/>
    <n v="0"/>
    <n v="0"/>
    <s v="CORRIENTE"/>
    <x v="0"/>
    <n v="530402"/>
    <s v="EDIFICIOS, LOCALES, RESIDENCIAS Y CABLEADO ESTRUCTURADO (INSTALACIÓN, MANTENIMIENTO Y REPARACIÓN)"/>
    <n v="0"/>
    <n v="0"/>
    <n v="0"/>
    <n v="0"/>
    <n v="0"/>
    <n v="0"/>
    <n v="0"/>
    <n v="0"/>
    <n v="0"/>
    <n v="0"/>
    <n v="0"/>
    <n v="0"/>
    <n v="0"/>
    <n v="0"/>
    <n v="0"/>
    <s v="OK"/>
    <n v="0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3"/>
    <s v="ADMINISTRACIÓN CENTRAL"/>
    <s v="MANTENIMIENTO DEL ALUCOBOND"/>
    <n v="2"/>
    <x v="1"/>
    <n v="1"/>
    <n v="0"/>
    <n v="1"/>
    <n v="1801"/>
    <s v="AMBATO"/>
    <n v="1"/>
    <n v="0"/>
    <n v="0"/>
    <s v="CORRIENTE"/>
    <x v="0"/>
    <n v="530402"/>
    <s v="EDIFICIOS, LOCALES, RESIDENCIAS Y CABLEADO ESTRUCTURADO (INSTALACIÓN, MANTENIMIENTO Y REPARACIÓN)"/>
    <n v="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3"/>
    <s v="ADMINISTRACIÓN CENTRAL"/>
    <s v="ADQUISICIÓN DE PUERTA DE VIDRIO TEMPLADO"/>
    <n v="1"/>
    <x v="1"/>
    <n v="1"/>
    <n v="0"/>
    <n v="1"/>
    <n v="1801"/>
    <s v="AMBATO"/>
    <n v="1"/>
    <n v="0"/>
    <n v="0"/>
    <s v="CORRIENTE"/>
    <x v="0"/>
    <n v="530402"/>
    <s v="EDIFICIOS, LOCALES, RESIDENCIAS Y CABLEADO ESTRUCTURADO (INSTALACIÓN, MANTENIMIENTO Y REPARACIÓN)"/>
    <n v="0"/>
    <n v="349.8"/>
    <n v="0"/>
    <n v="0"/>
    <n v="0"/>
    <n v="0"/>
    <n v="0"/>
    <n v="0"/>
    <n v="0"/>
    <n v="349.8"/>
    <n v="0"/>
    <n v="0"/>
    <n v="0"/>
    <n v="0"/>
    <n v="349.8"/>
    <s v="OK"/>
    <n v="349.8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3"/>
    <s v="ADMINISTRACIÓN CENTRAL"/>
    <s v="MANTENIMIENTO DEL SISTEMA CONTRAINCENDIOS"/>
    <n v="1"/>
    <x v="1"/>
    <n v="1"/>
    <n v="0"/>
    <n v="1"/>
    <n v="1801"/>
    <s v="AMBATO"/>
    <n v="1"/>
    <n v="0"/>
    <n v="0"/>
    <s v="CORRIENTE"/>
    <x v="0"/>
    <n v="530402"/>
    <s v="EDIFICIOS, LOCALES, RESIDENCIAS Y CABLEADO ESTRUCTURADO (INSTALACIÓN, MANTENIMIENTO Y REPARACIÓN)"/>
    <n v="0"/>
    <n v="0"/>
    <n v="0"/>
    <n v="0"/>
    <n v="0"/>
    <n v="0"/>
    <n v="0"/>
    <n v="0"/>
    <n v="0"/>
    <n v="0"/>
    <n v="0"/>
    <n v="0"/>
    <n v="0"/>
    <n v="0"/>
    <n v="0"/>
    <s v="OK"/>
    <n v="0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3"/>
    <s v="ADMINISTRACIÓN CENTRAL"/>
    <s v="MANTENIMIENTO DEL SISTEMA CONTRAINCENDIOS"/>
    <n v="1"/>
    <x v="1"/>
    <n v="1"/>
    <n v="0"/>
    <n v="1"/>
    <n v="1801"/>
    <s v="AMBATO"/>
    <n v="1"/>
    <n v="0"/>
    <n v="0"/>
    <s v="CORRIENTE"/>
    <x v="0"/>
    <n v="530404"/>
    <s v="MAQUINARIAS Y EQUIPOS (INSTALACIÓN, MANTENIMIENTO Y REPARACIÓN)"/>
    <n v="0"/>
    <n v="3140"/>
    <n v="0"/>
    <n v="0"/>
    <n v="0"/>
    <n v="0"/>
    <n v="0"/>
    <n v="0"/>
    <n v="0"/>
    <n v="0"/>
    <n v="0"/>
    <n v="0"/>
    <n v="3140"/>
    <n v="0"/>
    <n v="3140"/>
    <s v="OK"/>
    <n v="314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3"/>
    <s v="ADMINISTRACIÓN CENTRAL"/>
    <s v="MANTENIMIENTO DE ASCENSORES"/>
    <n v="1"/>
    <x v="1"/>
    <n v="1"/>
    <n v="0"/>
    <n v="1"/>
    <n v="1801"/>
    <s v="AMBATO"/>
    <n v="1"/>
    <n v="0"/>
    <n v="0"/>
    <s v="CORRIENTE"/>
    <x v="0"/>
    <n v="530404"/>
    <s v="MAQUINARIAS Y EQUIPOS (INSTALACIÓN, MANTENIMIENTO Y REPARACIÓN)"/>
    <n v="3000"/>
    <n v="2892.84"/>
    <n v="0"/>
    <n v="241.07"/>
    <n v="241.07"/>
    <n v="241.07"/>
    <n v="241.07"/>
    <n v="241.07"/>
    <n v="241.07"/>
    <n v="241.07"/>
    <n v="241.07"/>
    <n v="241.07"/>
    <n v="241.07"/>
    <n v="482.14"/>
    <n v="2892.8399999999997"/>
    <s v="OK"/>
    <n v="2892.84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3"/>
    <s v="ADMINISTRACIÓN CENTRAL"/>
    <s v="MANTENIMIENTO DE VEHÍCULOS- MANO DE OBRA"/>
    <n v="1"/>
    <x v="1"/>
    <n v="1"/>
    <n v="0"/>
    <n v="1"/>
    <n v="1801"/>
    <s v="AMBATO"/>
    <n v="1"/>
    <n v="0"/>
    <n v="0"/>
    <s v="CORRIENTE"/>
    <x v="0"/>
    <n v="530405"/>
    <s v="VEHÍCULOS (SERVICIO PARA MANTENIMIENTO Y REPARACIÓN)"/>
    <n v="2000"/>
    <n v="2365.06"/>
    <n v="0"/>
    <n v="0"/>
    <n v="300"/>
    <n v="0"/>
    <n v="0"/>
    <n v="632.53"/>
    <n v="0"/>
    <n v="0"/>
    <n v="632.53"/>
    <n v="0"/>
    <n v="0"/>
    <n v="800"/>
    <n v="2365.06"/>
    <s v="OK"/>
    <n v="2365.06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3"/>
    <s v="ADMINISTRACIÓN CENTRAL"/>
    <s v="CANCELACIÓN DE MANTENIMIENTO Y LIMPIEZA DE ÁREAS VERDES"/>
    <n v="1"/>
    <x v="1"/>
    <n v="1"/>
    <n v="0"/>
    <n v="1"/>
    <n v="1801"/>
    <s v="AMBATO"/>
    <n v="1"/>
    <n v="0"/>
    <n v="0"/>
    <s v="CORRIENTE"/>
    <x v="0"/>
    <n v="530418"/>
    <s v="MANTENIMIENTO DE ÁREAS VERDES Y ARREGLO DE VÍAS INTERNAS"/>
    <n v="280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3"/>
    <s v="ADMINISTRACIÓN CENTRAL"/>
    <s v="MANTENIMIENTO PREVENTIVO Y CORRECTIVO QUE INCLUYE REPUESTOS PARA LAS IMPRESORAS Y COPIADORAS"/>
    <n v="1"/>
    <x v="1"/>
    <n v="1"/>
    <n v="0"/>
    <n v="1"/>
    <n v="1801"/>
    <s v="AMBATO"/>
    <n v="1"/>
    <n v="0"/>
    <n v="0"/>
    <s v="CORRIENTE"/>
    <x v="0"/>
    <n v="530704"/>
    <s v="MANTENIMIENTO Y REPARACIÓN DE EQUIPOS Y SISTEMAS INFORMÁTICOS "/>
    <n v="0"/>
    <n v="267"/>
    <n v="0"/>
    <n v="0"/>
    <n v="0"/>
    <n v="0"/>
    <n v="0"/>
    <n v="0"/>
    <n v="0"/>
    <n v="0"/>
    <n v="0"/>
    <n v="267"/>
    <n v="0"/>
    <n v="0"/>
    <n v="267"/>
    <s v="OK"/>
    <n v="267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3 INCREMENTAR EL POSICIONAMIENTO DEL SERVICIO INTEGRADO DE SEGURIDAD ECU 911 A NIVEL NACIONAL E INTER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6"/>
    <s v="COMUNICACIÓN SOCIAL"/>
    <s v="ADQUISICIÓN DE MATERIAL POP PARA EL ÁREA DE COMUNICACIÓN"/>
    <n v="1"/>
    <x v="1"/>
    <n v="1"/>
    <n v="0"/>
    <n v="1"/>
    <n v="1801"/>
    <s v="AMBATO"/>
    <n v="1"/>
    <n v="0"/>
    <n v="0"/>
    <s v="CORRIENTE"/>
    <x v="0"/>
    <n v="530802"/>
    <s v="VESTUARIO, LENCERÍA, PRENDAS DE PROTECCIÓN Y ACCESORIOS PARA UNIFORMES DEL PERSONAL DE PROTECCIÓN, VIGILANCIA Y SEGURIDAD"/>
    <n v="0"/>
    <n v="900"/>
    <n v="0"/>
    <n v="0"/>
    <n v="0"/>
    <n v="0"/>
    <n v="0"/>
    <n v="0"/>
    <n v="0"/>
    <n v="0"/>
    <n v="0"/>
    <n v="0"/>
    <n v="900"/>
    <n v="0"/>
    <n v="900"/>
    <s v="OK"/>
    <n v="90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3"/>
    <s v="ADMINISTRACIÓN CENTRAL"/>
    <s v="ADQUISICIÓN DE ROPA DE TRABAJO Y PRENDAS DE PROTECCIÓN PERSONAL"/>
    <n v="1"/>
    <x v="1"/>
    <n v="1"/>
    <n v="0"/>
    <n v="1"/>
    <n v="1801"/>
    <s v="AMBATO"/>
    <n v="1"/>
    <n v="0"/>
    <n v="0"/>
    <s v="CORRIENTE"/>
    <x v="0"/>
    <n v="530802"/>
    <s v="VESTUARIO, LENCERÍA, PRENDAS DE PROTECCIÓN Y ACCESORIOS PARA UNIFORMES DEL PERSONAL DE PROTECCIÓN, VIGILANCIA Y SEGURIDAD"/>
    <n v="0"/>
    <n v="1846.99"/>
    <n v="0"/>
    <n v="0"/>
    <n v="0"/>
    <n v="0"/>
    <n v="0"/>
    <n v="0"/>
    <n v="0"/>
    <n v="0"/>
    <n v="0"/>
    <n v="1846.99"/>
    <n v="0"/>
    <n v="0"/>
    <n v="1846.99"/>
    <s v="OK"/>
    <n v="1846.99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3"/>
    <s v="ADMINISTRACIÓN CENTRAL"/>
    <s v="CANCELACIÓN DE COMBUSTIBLE"/>
    <n v="1"/>
    <x v="1"/>
    <n v="1"/>
    <n v="0"/>
    <n v="1"/>
    <n v="1801"/>
    <s v="AMBATO"/>
    <n v="1"/>
    <n v="0"/>
    <n v="0"/>
    <s v="CORRIENTE"/>
    <x v="0"/>
    <n v="530803"/>
    <s v="LUBRICANTES"/>
    <n v="547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3"/>
    <s v="ADMINISTRACIÓN CENTRAL"/>
    <s v="MANTENIMIENTO DE VEHÍCULOS - COMBUSTIBLES Y LUBRICANTES"/>
    <n v="1"/>
    <x v="1"/>
    <n v="1"/>
    <n v="0"/>
    <n v="1"/>
    <n v="1801"/>
    <s v="AMBATO"/>
    <n v="1"/>
    <n v="0"/>
    <n v="0"/>
    <s v="CORRIENTE"/>
    <x v="0"/>
    <n v="530803"/>
    <s v="LUBRICANTES"/>
    <n v="1700"/>
    <n v="1002.45"/>
    <n v="0"/>
    <n v="0"/>
    <n v="200"/>
    <n v="0"/>
    <n v="0"/>
    <n v="802.45"/>
    <n v="0"/>
    <n v="0"/>
    <n v="0"/>
    <n v="0"/>
    <n v="0"/>
    <n v="0"/>
    <n v="1002.45"/>
    <s v="OK"/>
    <n v="1002.45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3"/>
    <s v="ADMINISTRACIÓN CENTRAL"/>
    <s v="ADQUISICIÓN REALIZADA POR CAJA CHICA"/>
    <n v="1"/>
    <x v="1"/>
    <n v="1"/>
    <n v="0"/>
    <n v="1"/>
    <n v="1801"/>
    <s v="AMBATO"/>
    <n v="1"/>
    <n v="0"/>
    <n v="0"/>
    <s v="CORRIENTE"/>
    <x v="0"/>
    <n v="530804"/>
    <s v="MATERIALES DE OFICINA"/>
    <n v="0"/>
    <n v="107.64"/>
    <n v="0"/>
    <n v="107.64"/>
    <n v="0"/>
    <n v="0"/>
    <n v="0"/>
    <n v="0"/>
    <n v="0"/>
    <n v="0"/>
    <n v="0"/>
    <n v="0"/>
    <n v="0"/>
    <n v="0"/>
    <n v="107.64"/>
    <s v="OK"/>
    <n v="107.64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3 INCREMENTAR EL POSICIONAMIENTO DEL SERVICIO INTEGRADO DE SEGURIDAD ECU 911 A NIVEL NACIONAL E INTER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6"/>
    <s v="COMUNICACIÓN SOCIAL"/>
    <s v="ADQUISICIÓN DE MATERIAL POP PARA EL ÁREA DE COMUNICACIÓN"/>
    <n v="1"/>
    <x v="1"/>
    <n v="1"/>
    <n v="0"/>
    <n v="1"/>
    <n v="1801"/>
    <s v="AMBATO"/>
    <n v="1"/>
    <n v="0"/>
    <n v="0"/>
    <s v="CORRIENTE"/>
    <x v="0"/>
    <n v="530804"/>
    <s v="MATERIALES DE OFICINA"/>
    <n v="0"/>
    <n v="345.00000000000006"/>
    <n v="0"/>
    <n v="0"/>
    <n v="0"/>
    <n v="0"/>
    <n v="0"/>
    <n v="0"/>
    <n v="0"/>
    <n v="0"/>
    <n v="0"/>
    <n v="0"/>
    <n v="345"/>
    <n v="0"/>
    <n v="345"/>
    <s v="OK"/>
    <n v="345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3"/>
    <s v="ADMINISTRACIÓN CENTRAL"/>
    <s v="ADQUISICIÓN DE MATERIALES DE OFICINA"/>
    <n v="1"/>
    <x v="1"/>
    <n v="1"/>
    <n v="0"/>
    <n v="1"/>
    <n v="1801"/>
    <s v="AMBATO"/>
    <n v="1"/>
    <n v="0"/>
    <n v="0"/>
    <s v="CORRIENTE"/>
    <x v="0"/>
    <n v="530804"/>
    <s v="MATERIALES DE OFICINA"/>
    <n v="0"/>
    <n v="743.59"/>
    <n v="0"/>
    <n v="0"/>
    <n v="0"/>
    <n v="0"/>
    <n v="0"/>
    <n v="0"/>
    <n v="743.59"/>
    <n v="0"/>
    <n v="0"/>
    <n v="0"/>
    <n v="0"/>
    <n v="0"/>
    <n v="743.59"/>
    <s v="OK"/>
    <n v="743.59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3"/>
    <s v="ADMINISTRACIÓN CENTRAL"/>
    <s v="ADQUISICIÓN DE SUMINISTROS DE ASEO CATÁLOGO ELECTRÓNICO"/>
    <n v="1"/>
    <x v="1"/>
    <n v="1"/>
    <n v="0"/>
    <n v="1"/>
    <n v="1801"/>
    <s v="AMBATO"/>
    <n v="1"/>
    <n v="0"/>
    <n v="0"/>
    <s v="CORRIENTE"/>
    <x v="0"/>
    <n v="530805"/>
    <s v="MATERIALES DE ASEO"/>
    <n v="1500"/>
    <n v="595.52999999999986"/>
    <n v="0"/>
    <n v="0"/>
    <n v="595.53"/>
    <n v="0"/>
    <n v="0"/>
    <n v="0"/>
    <n v="0"/>
    <n v="0"/>
    <n v="0"/>
    <n v="0"/>
    <n v="0"/>
    <n v="0"/>
    <n v="595.53"/>
    <s v="OK"/>
    <n v="595.53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3 INCREMENTAR EL POSICIONAMIENTO DEL SERVICIO INTEGRADO DE SEGURIDAD ECU 911 A NIVEL NACIONAL E INTER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6"/>
    <s v="COMUNICACIÓN SOCIAL"/>
    <s v="ADQUISICIÓN DE MATERIAL POP PARA EL ÁREA DE COMUNICACIÓN"/>
    <n v="1"/>
    <x v="1"/>
    <n v="1"/>
    <n v="0"/>
    <n v="1"/>
    <n v="1801"/>
    <s v="AMBATO"/>
    <n v="1"/>
    <n v="0"/>
    <n v="0"/>
    <s v="CORRIENTE"/>
    <x v="0"/>
    <n v="530807"/>
    <s v="MATERIALES DE IMPRESIÓN, FOTOGRAFÍA, REPRODUCCIÓN Y PUBLICACIONES"/>
    <n v="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3"/>
    <s v="ADMINISTRACIÓN CENTRAL"/>
    <s v="ADQUISICIÓN TONERS"/>
    <n v="1"/>
    <x v="1"/>
    <n v="1"/>
    <n v="0"/>
    <n v="1"/>
    <n v="1801"/>
    <s v="AMBATO"/>
    <n v="1"/>
    <n v="0"/>
    <n v="0"/>
    <s v="CORRIENTE"/>
    <x v="0"/>
    <n v="530807"/>
    <s v="MATERIALES DE IMPRESIÓN, FOTOGRAFÍA, REPRODUCCIÓN Y PUBLICACIONES"/>
    <n v="0"/>
    <n v="1520"/>
    <n v="0"/>
    <n v="0"/>
    <n v="0"/>
    <n v="0"/>
    <n v="1520"/>
    <n v="0"/>
    <n v="0"/>
    <n v="0"/>
    <n v="0"/>
    <n v="0"/>
    <n v="0"/>
    <n v="0"/>
    <n v="1520"/>
    <s v="OK"/>
    <n v="152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3"/>
    <s v="ADMINISTRACIÓN CENTRAL"/>
    <s v="MANTENIMIENTO DEL SISTEMA CONTRAINCENDIOS"/>
    <n v="1"/>
    <x v="1"/>
    <n v="1"/>
    <n v="0"/>
    <n v="1"/>
    <n v="1801"/>
    <s v="AMBATO"/>
    <n v="1"/>
    <n v="0"/>
    <n v="0"/>
    <s v="CORRIENTE"/>
    <x v="0"/>
    <n v="530811"/>
    <s v="INSUMOS, MATERIALES Y SUMINISTROS PARA CONSTRUCCIÓN, ELECTRICIDAD, PLOMERÍA, CARPINTERÍA, SEÑALIZACIÓN VIAL, NAVEGACIÓN, CONTRA INCENDIOS Y PLACAS"/>
    <n v="0"/>
    <n v="475"/>
    <n v="0"/>
    <n v="0"/>
    <n v="0"/>
    <n v="0"/>
    <n v="0"/>
    <n v="0"/>
    <n v="0"/>
    <n v="0"/>
    <n v="0"/>
    <n v="0"/>
    <n v="475"/>
    <n v="0"/>
    <n v="475"/>
    <s v="OK"/>
    <n v="475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3"/>
    <s v="ADMINISTRACIÓN CENTRAL"/>
    <s v="ADQUISICIÓN REALIZADA POR CAJA CHICA"/>
    <n v="1"/>
    <x v="1"/>
    <n v="1"/>
    <n v="0"/>
    <n v="1"/>
    <n v="1801"/>
    <s v="AMBATO"/>
    <n v="1"/>
    <n v="0"/>
    <n v="0"/>
    <s v="CORRIENTE"/>
    <x v="0"/>
    <n v="530811"/>
    <s v="INSUMOS, MATERIALES Y SUMINISTROS PARA CONSTRUCCIÓN, ELECTRICIDAD, PLOMERÍA, CARPINTERÍA, SEÑALIZACIÓN VIAL, NAVEGACIÓN, CONTRA INCENDIOS Y PLACAS"/>
    <n v="0"/>
    <n v="96.66"/>
    <n v="0"/>
    <n v="96.66"/>
    <n v="0"/>
    <n v="0"/>
    <n v="0"/>
    <n v="0"/>
    <n v="0"/>
    <n v="0"/>
    <n v="0"/>
    <n v="0"/>
    <n v="0"/>
    <n v="0"/>
    <n v="96.66"/>
    <s v="OK"/>
    <n v="96.66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3 INCREMENTAR EL POSICIONAMIENTO DEL SERVICIO INTEGRADO DE SEGURIDAD ECU 911 A NIVEL NACIONAL E INTER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6"/>
    <s v="COMUNICACIÓN SOCIAL"/>
    <s v="ADQUISICIÓN DE MATERIAL POP PARA EL ÁREA DE COMUNICACIÓN"/>
    <n v="1"/>
    <x v="1"/>
    <n v="1"/>
    <n v="0"/>
    <n v="1"/>
    <n v="1801"/>
    <s v="AMBATO"/>
    <n v="1"/>
    <n v="0"/>
    <n v="0"/>
    <s v="CORRIENTE"/>
    <x v="0"/>
    <n v="530812"/>
    <s v="MATERIALES DIDÁCTICOS"/>
    <n v="0"/>
    <n v="660"/>
    <n v="0"/>
    <n v="0"/>
    <n v="0"/>
    <n v="0"/>
    <n v="0"/>
    <n v="0"/>
    <n v="0"/>
    <n v="0"/>
    <n v="0"/>
    <n v="0"/>
    <n v="660"/>
    <n v="0"/>
    <n v="660"/>
    <s v="OK"/>
    <n v="66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3"/>
    <s v="ADMINISTRACIÓN CENTRAL"/>
    <s v="MANTENIMIENTO PREVENTIVO Y CORRECTIVO QUE INCLUYE REPUESTOS PARA LAS IMPRESORAS Y COPIADORAS"/>
    <n v="1"/>
    <x v="1"/>
    <n v="1"/>
    <n v="0"/>
    <n v="1"/>
    <n v="1801"/>
    <s v="AMBATO"/>
    <n v="1"/>
    <n v="0"/>
    <n v="0"/>
    <s v="CORRIENTE"/>
    <x v="0"/>
    <n v="530813"/>
    <s v="REPUESTOS Y ACCESORIOS"/>
    <n v="0"/>
    <n v="1711"/>
    <n v="0"/>
    <n v="0"/>
    <n v="0"/>
    <n v="0"/>
    <n v="0"/>
    <n v="0"/>
    <n v="0"/>
    <n v="0"/>
    <n v="0"/>
    <n v="1711"/>
    <n v="0"/>
    <n v="0"/>
    <n v="1711"/>
    <s v="OK"/>
    <n v="1711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3"/>
    <s v="ADMINISTRACIÓN CENTRAL"/>
    <s v="MANTENIMIENTO DE VEHÍCULOS - REPUESTOS"/>
    <n v="1"/>
    <x v="1"/>
    <n v="1"/>
    <n v="0"/>
    <n v="1"/>
    <n v="1801"/>
    <s v="AMBATO"/>
    <n v="1"/>
    <n v="0"/>
    <n v="0"/>
    <s v="CORRIENTE"/>
    <x v="0"/>
    <n v="530813"/>
    <s v="REPUESTOS Y ACCESORIOS"/>
    <n v="2950"/>
    <n v="2794.3"/>
    <n v="0"/>
    <n v="0"/>
    <n v="350"/>
    <n v="0"/>
    <n v="0"/>
    <n v="1200"/>
    <n v="0"/>
    <n v="0"/>
    <n v="850"/>
    <n v="0"/>
    <n v="0"/>
    <n v="394.3"/>
    <n v="2794.3"/>
    <s v="OK"/>
    <n v="2794.3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3 INCREMENTAR EL POSICIONAMIENTO DEL SERVICIO INTEGRADO DE SEGURIDAD ECU 911 A NIVEL NACIONAL E INTER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6"/>
    <s v="COMUNICACIÓN SOCIAL"/>
    <s v="ADQUISICIÓN DE MATERIAL POP PARA EL ÁREA DE COMUNICACIÓN"/>
    <n v="1"/>
    <x v="1"/>
    <n v="1"/>
    <n v="0"/>
    <n v="1"/>
    <n v="1801"/>
    <s v="AMBATO"/>
    <n v="1"/>
    <n v="0"/>
    <n v="0"/>
    <s v="CORRIENTE"/>
    <x v="0"/>
    <n v="530820"/>
    <s v="MENAJE Y ACCESORIOS DESCARTABLES"/>
    <n v="0"/>
    <n v="495"/>
    <n v="0"/>
    <n v="0"/>
    <n v="0"/>
    <n v="0"/>
    <n v="0"/>
    <n v="0"/>
    <n v="0"/>
    <n v="0"/>
    <n v="0"/>
    <n v="0"/>
    <n v="495"/>
    <n v="0"/>
    <n v="495"/>
    <s v="OK"/>
    <n v="495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3"/>
    <s v="ADMINISTRACIÓN CENTRAL"/>
    <s v="ADQUISICIÓN REALIZADA POR CAJA CHICA"/>
    <n v="1"/>
    <x v="1"/>
    <n v="1"/>
    <n v="0"/>
    <n v="1"/>
    <n v="1801"/>
    <s v="AMBATO"/>
    <n v="1"/>
    <n v="0"/>
    <n v="0"/>
    <s v="CORRIENTE"/>
    <x v="1"/>
    <n v="570102"/>
    <s v="TASAS GENERALES, IMPUESTOS, CONTRIBUCIONES, PERMISOS, LICENCIAS Y PATENTES"/>
    <n v="0"/>
    <n v="266.70999999999998"/>
    <n v="0"/>
    <n v="266.70999999999998"/>
    <n v="0"/>
    <n v="0"/>
    <n v="0"/>
    <n v="0"/>
    <n v="0"/>
    <n v="0"/>
    <n v="0"/>
    <n v="0"/>
    <n v="0"/>
    <n v="0"/>
    <n v="266.70999999999998"/>
    <s v="OK"/>
    <n v="266.70999999999998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3"/>
    <s v="ADMINISTRACIÓN CENTRAL"/>
    <s v="CANCELACIÓN DE PREDIO INSTITUCIONAL "/>
    <n v="1"/>
    <x v="1"/>
    <n v="1"/>
    <n v="0"/>
    <n v="1"/>
    <n v="1801"/>
    <s v="AMBATO"/>
    <n v="1"/>
    <n v="0"/>
    <n v="0"/>
    <s v="CORRIENTE"/>
    <x v="1"/>
    <n v="570102"/>
    <s v="TASAS GENERALES, IMPUESTOS, CONTRIBUCIONES, PERMISOS, LICENCIAS Y PATENTES"/>
    <n v="2650"/>
    <n v="2109.9299999999998"/>
    <n v="0"/>
    <n v="0"/>
    <n v="2109.9299999999998"/>
    <n v="0"/>
    <n v="0"/>
    <n v="0"/>
    <n v="0"/>
    <n v="0"/>
    <n v="0"/>
    <n v="0"/>
    <n v="0"/>
    <n v="0"/>
    <n v="2109.9299999999998"/>
    <s v="OK"/>
    <n v="2100.9700000000003"/>
    <n v="8.9599999999995816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3"/>
    <s v="ADMINISTRACIÓN CENTRAL"/>
    <s v="CANCELACIÓN DE MATRICULACIÓN VEHICULAR "/>
    <n v="1"/>
    <x v="1"/>
    <n v="1"/>
    <n v="0"/>
    <n v="1"/>
    <n v="1801"/>
    <s v="AMBATO"/>
    <n v="1"/>
    <n v="0"/>
    <n v="0"/>
    <s v="CORRIENTE"/>
    <x v="1"/>
    <n v="570102"/>
    <s v="TASAS GENERALES, IMPUESTOS, CONTRIBUCIONES, PERMISOS, LICENCIAS Y PATENTES"/>
    <n v="270"/>
    <n v="270"/>
    <n v="0"/>
    <n v="0"/>
    <n v="270"/>
    <n v="0"/>
    <n v="0"/>
    <n v="0"/>
    <n v="0"/>
    <n v="0"/>
    <n v="0"/>
    <n v="0"/>
    <n v="0"/>
    <n v="0"/>
    <n v="270"/>
    <s v="OK"/>
    <n v="27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3"/>
    <s v="ADMINISTRACIÓN CENTRAL"/>
    <s v="CANCELACIÓN DE RECARGA DE PEAJES"/>
    <n v="1"/>
    <x v="1"/>
    <n v="1"/>
    <n v="0"/>
    <n v="1"/>
    <n v="1801"/>
    <s v="AMBATO"/>
    <n v="1"/>
    <n v="0"/>
    <n v="0"/>
    <s v="CORRIENTE"/>
    <x v="1"/>
    <n v="570102"/>
    <s v="TASAS GENERALES, IMPUESTOS, CONTRIBUCIONES, PERMISOS, LICENCIAS Y PATENTES"/>
    <n v="400"/>
    <n v="669.82999999999993"/>
    <n v="0"/>
    <n v="0"/>
    <n v="0"/>
    <n v="0"/>
    <n v="0"/>
    <n v="0"/>
    <n v="0"/>
    <n v="669.83"/>
    <n v="0"/>
    <n v="0"/>
    <n v="0"/>
    <n v="0"/>
    <n v="669.83"/>
    <s v="OK"/>
    <n v="669.82999999999993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3"/>
    <s v="ADMINISTRACIÓN CENTRAL"/>
    <s v="ADQUISICIÓN REALIZADA POR CAJA CHICA"/>
    <n v="1"/>
    <x v="1"/>
    <n v="1"/>
    <n v="0"/>
    <n v="1"/>
    <n v="1801"/>
    <s v="AMBATO"/>
    <n v="1"/>
    <n v="0"/>
    <n v="0"/>
    <s v="CORRIENTE"/>
    <x v="1"/>
    <n v="570203"/>
    <s v="COMISIONES BANCARIAS"/>
    <n v="0"/>
    <n v="3.53"/>
    <n v="0"/>
    <n v="3.53"/>
    <n v="0"/>
    <n v="0"/>
    <n v="0"/>
    <n v="0"/>
    <n v="0"/>
    <n v="0"/>
    <n v="0"/>
    <n v="0"/>
    <n v="0"/>
    <n v="0"/>
    <n v="3.53"/>
    <s v="OK"/>
    <n v="3.53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4"/>
    <s v="OPERACIONES"/>
    <s v="ADQUISICIÓN DE MATERIAL DIDÁCTICO PARA EL CURSO SCI BÁSICO"/>
    <n v="1"/>
    <x v="1"/>
    <n v="55"/>
    <n v="0"/>
    <n v="2"/>
    <n v="1801"/>
    <s v="AMBATO"/>
    <n v="1"/>
    <n v="0"/>
    <n v="0"/>
    <s v="CORRIENTE"/>
    <x v="0"/>
    <n v="530204"/>
    <s v="EDICIÓN, IMPRESIÓN, REPRODUCCIÓN, PUBLICACIONES, SUSCRIPCIONES, FOTOCOPIADO, TRADUCCIÓN, EMPASTADO, ENMARCACIÓN, SERIGRAFÍA, FOTOGRAFÍA, CARNETIZACIÓN, FILMACIÓN E IMÁGENES SATELITALES"/>
    <n v="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4"/>
    <s v="OPERACIONES"/>
    <s v="ADQUISICIÓN DE MATERIAL DIDÁCTICO PARA EL CURSO SCI BÁSICO"/>
    <n v="1"/>
    <x v="1"/>
    <n v="55"/>
    <n v="0"/>
    <n v="2"/>
    <n v="1801"/>
    <s v="AMBATO"/>
    <n v="1"/>
    <n v="0"/>
    <n v="0"/>
    <s v="CORRIENTE"/>
    <x v="0"/>
    <n v="530804"/>
    <s v="MATERIALES DE OFICINA"/>
    <n v="0"/>
    <n v="254.56"/>
    <n v="0"/>
    <n v="0"/>
    <n v="0"/>
    <n v="0"/>
    <n v="0"/>
    <n v="0"/>
    <n v="0"/>
    <n v="0"/>
    <n v="0"/>
    <n v="0"/>
    <n v="0"/>
    <n v="254.56"/>
    <n v="254.56"/>
    <s v="OK"/>
    <n v="0"/>
    <n v="254.56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4"/>
    <s v="OPERACIONES"/>
    <s v="ADQUISICIÓN DE MATERIAL DIDÁCTICO PARA EL CURSO SCI BÁSICO"/>
    <n v="1"/>
    <x v="1"/>
    <n v="55"/>
    <n v="0"/>
    <n v="2"/>
    <n v="1801"/>
    <s v="AMBATO"/>
    <n v="1"/>
    <n v="0"/>
    <n v="0"/>
    <s v="CORRIENTE"/>
    <x v="0"/>
    <n v="530807"/>
    <s v="MATERIALES DE IMPRESIÓN, FOTOGRAFÍA, REPRODUCCIÓN Y PUBLICACIONES"/>
    <n v="0"/>
    <n v="305"/>
    <n v="0"/>
    <n v="0"/>
    <n v="0"/>
    <n v="0"/>
    <n v="0"/>
    <n v="0"/>
    <n v="0"/>
    <n v="0"/>
    <n v="0"/>
    <n v="0"/>
    <n v="0"/>
    <n v="305"/>
    <n v="305"/>
    <s v="OK"/>
    <n v="0"/>
    <n v="305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4"/>
    <s v="OPERACIONES"/>
    <s v="ADQUISICIÓN DE MATERIAL DIDÁCTICO PARA EL CURSO SCI BÁSICO"/>
    <n v="1"/>
    <x v="1"/>
    <n v="55"/>
    <n v="0"/>
    <n v="2"/>
    <n v="1801"/>
    <s v="AMBATO"/>
    <n v="1"/>
    <n v="0"/>
    <n v="0"/>
    <s v="CORRIENTE"/>
    <x v="0"/>
    <n v="530812"/>
    <s v="MATERIALES DIDÁCTICOS"/>
    <n v="0"/>
    <n v="1823.2"/>
    <n v="0"/>
    <n v="0"/>
    <n v="0"/>
    <n v="0"/>
    <n v="0"/>
    <n v="0"/>
    <n v="0"/>
    <n v="0"/>
    <n v="0"/>
    <n v="0"/>
    <n v="0"/>
    <n v="1823.2"/>
    <n v="1823.2"/>
    <s v="OK"/>
    <n v="0"/>
    <n v="1823.2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5"/>
    <s v="TECNOLOGÍA"/>
    <s v="FORTALECIMIENTO OPERACIONAL"/>
    <n v="1"/>
    <x v="1"/>
    <n v="55"/>
    <n v="0"/>
    <n v="3"/>
    <n v="1801"/>
    <s v="AMBATO"/>
    <n v="1"/>
    <n v="0"/>
    <n v="0"/>
    <s v="CORRIENTE"/>
    <x v="0"/>
    <n v="530105"/>
    <s v="TELECOMUNICACIONES"/>
    <n v="150000"/>
    <n v="125325.74"/>
    <n v="8993.5400000000009"/>
    <n v="9694.35"/>
    <n v="9694.35"/>
    <n v="9694.35"/>
    <n v="9694.35"/>
    <n v="9694.35"/>
    <n v="9694.35"/>
    <n v="9694.35"/>
    <n v="9694.35"/>
    <n v="9694.35"/>
    <n v="9694.35"/>
    <n v="19388.7"/>
    <n v="125325.74000000002"/>
    <s v="OK"/>
    <n v="61425.83"/>
    <n v="63899.91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5"/>
    <s v="TECNOLOGÍA"/>
    <s v="MANTENIMIENTO PREVENTIVO Y CORRECTIVO DE CLIMATIZACIÓN INCLUYE PARTES Y PIEZAS"/>
    <n v="1"/>
    <x v="1"/>
    <n v="55"/>
    <n v="0"/>
    <n v="3"/>
    <n v="1801"/>
    <s v="AMBATO"/>
    <n v="1"/>
    <n v="0"/>
    <n v="0"/>
    <s v="CORRIENTE"/>
    <x v="0"/>
    <n v="530402"/>
    <s v="EDIFICIOS, LOCALES, RESIDENCIAS Y CABLEADO ESTRUCTURADO (INSTALACIÓN, MANTENIMIENTO Y REPARACIÓN)"/>
    <n v="25441"/>
    <n v="24078.760000000002"/>
    <n v="0"/>
    <n v="0"/>
    <n v="0"/>
    <n v="0"/>
    <n v="0"/>
    <n v="0"/>
    <n v="0"/>
    <n v="0"/>
    <n v="0"/>
    <n v="0"/>
    <n v="12039.38"/>
    <n v="12039.38"/>
    <n v="24078.76"/>
    <s v="OK"/>
    <n v="17145.960000000003"/>
    <n v="6932.7999999999993"/>
    <s v="R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5"/>
    <s v="TECNOLOGÍA"/>
    <s v="MANTENIMIENTO PREVENTIVO Y CORRECTIVO ELÉCTRICO INCLUYE PARTES Y PIEZAS"/>
    <n v="1"/>
    <x v="1"/>
    <n v="55"/>
    <n v="0"/>
    <n v="3"/>
    <n v="1801"/>
    <s v="AMBATO"/>
    <n v="1"/>
    <n v="0"/>
    <n v="0"/>
    <s v="CORRIENTE"/>
    <x v="0"/>
    <n v="530402"/>
    <s v="EDIFICIOS, LOCALES, RESIDENCIAS Y CABLEADO ESTRUCTURADO (INSTALACIÓN, MANTENIMIENTO Y REPARACIÓN)"/>
    <n v="30000"/>
    <n v="30000"/>
    <n v="0"/>
    <n v="0"/>
    <n v="0"/>
    <n v="0"/>
    <n v="0"/>
    <n v="0"/>
    <n v="0"/>
    <n v="0"/>
    <n v="0"/>
    <n v="0"/>
    <n v="15000"/>
    <n v="15000"/>
    <n v="30000"/>
    <s v="OK"/>
    <n v="18674.41"/>
    <n v="11325.59"/>
    <s v="R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5"/>
    <s v="TECNOLOGÍA"/>
    <s v="MANTENIMIENTO PREVENTIVO Y CORRECTIVO DE CÁMARAS. INCLUYE PARTES Y PIEZAS"/>
    <n v="1"/>
    <x v="1"/>
    <n v="55"/>
    <n v="0"/>
    <n v="3"/>
    <n v="1801"/>
    <s v="AMBATO"/>
    <n v="1"/>
    <n v="0"/>
    <n v="0"/>
    <s v="CORRIENTE"/>
    <x v="0"/>
    <n v="530704"/>
    <s v="MANTENIMIENTO Y REPARACIÓN DE EQUIPOS Y SISTEMAS INFORMÁTICOS "/>
    <n v="27000"/>
    <n v="44270.89"/>
    <n v="0"/>
    <n v="0"/>
    <n v="0"/>
    <n v="0"/>
    <n v="0"/>
    <n v="0"/>
    <n v="0"/>
    <n v="0"/>
    <n v="15307.75"/>
    <n v="15307.74"/>
    <n v="6476.62"/>
    <n v="7178.78"/>
    <n v="44270.89"/>
    <s v="OK"/>
    <n v="24055.8"/>
    <n v="20215.09"/>
    <s v="R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1"/>
    <x v="5"/>
    <s v="TECNOLOGÍA"/>
    <s v="ADQUISICIÓN DE EQUIPOS PORTÁTILES PARA LA COORDINACIÓN ZONAL 3 DEL ECU 911"/>
    <n v="1"/>
    <x v="1"/>
    <n v="55"/>
    <n v="0"/>
    <n v="3"/>
    <n v="1801"/>
    <s v="AMBATO"/>
    <n v="1"/>
    <n v="0"/>
    <n v="0"/>
    <s v="CAPITAL"/>
    <x v="5"/>
    <n v="840107"/>
    <s v="EQUIPOS SISTEMAS Y PAQUETES INFORMÁTICOS"/>
    <n v="0"/>
    <n v="53391"/>
    <n v="0"/>
    <n v="0"/>
    <n v="0"/>
    <n v="0"/>
    <n v="0"/>
    <n v="0"/>
    <n v="0"/>
    <n v="0"/>
    <n v="31191"/>
    <n v="0"/>
    <n v="21645"/>
    <n v="555"/>
    <n v="53391"/>
    <s v="OK"/>
    <n v="52836"/>
    <n v="555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3"/>
    <s v="ADMINISTRACIÓN CENTRAL"/>
    <s v="CANCELACIÓN DE REMUNERACIONES Y BENEFICIOS SOCIALES"/>
    <n v="1"/>
    <x v="2"/>
    <n v="1"/>
    <n v="0"/>
    <n v="1"/>
    <n v="1300"/>
    <s v="PORTOVIEJO"/>
    <n v="1"/>
    <n v="0"/>
    <n v="0"/>
    <s v="CORRIENTE"/>
    <x v="3"/>
    <n v="510105"/>
    <s v="REMUNERACIONES UNIFICADAS"/>
    <n v="260688"/>
    <n v="260688"/>
    <n v="21724"/>
    <n v="21724"/>
    <n v="21724"/>
    <n v="21724"/>
    <n v="21724"/>
    <n v="21724"/>
    <n v="21724"/>
    <n v="21724"/>
    <n v="21724"/>
    <n v="21724"/>
    <n v="21724"/>
    <n v="21724"/>
    <n v="260688"/>
    <s v="OK"/>
    <n v="0"/>
    <n v="260688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3"/>
    <s v="ADMINISTRACIÓN CENTRAL"/>
    <s v="CANCELACIÓN DE REMUNERACIONES Y BENEFICIOS SOCIALES"/>
    <n v="1"/>
    <x v="2"/>
    <n v="1"/>
    <n v="0"/>
    <n v="1"/>
    <n v="1300"/>
    <s v="PORTOVIEJO"/>
    <n v="1"/>
    <n v="0"/>
    <n v="0"/>
    <s v="CORRIENTE"/>
    <x v="3"/>
    <n v="510106"/>
    <s v="SALARIOS UNIFICADOS"/>
    <n v="36120"/>
    <n v="36120"/>
    <n v="3010"/>
    <n v="3010"/>
    <n v="3010"/>
    <n v="3010"/>
    <n v="3010"/>
    <n v="3010"/>
    <n v="3010"/>
    <n v="3010"/>
    <n v="3010"/>
    <n v="3010"/>
    <n v="3010"/>
    <n v="3010"/>
    <n v="36120"/>
    <s v="OK"/>
    <n v="0"/>
    <n v="3612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3"/>
    <s v="ADMINISTRACIÓN CENTRAL"/>
    <s v="CANCELACIÓN DE REMUNERACIONES Y BENEFICIOS SOCIALES"/>
    <n v="1"/>
    <x v="2"/>
    <n v="1"/>
    <n v="0"/>
    <n v="1"/>
    <n v="1300"/>
    <s v="PORTOVIEJO"/>
    <n v="1"/>
    <n v="0"/>
    <n v="0"/>
    <s v="CORRIENTE"/>
    <x v="3"/>
    <n v="510203"/>
    <s v="DÉCIMO TERCER SUELDO"/>
    <n v="24734"/>
    <n v="24834"/>
    <n v="0"/>
    <n v="0"/>
    <n v="0"/>
    <n v="0"/>
    <n v="0"/>
    <n v="0"/>
    <n v="0"/>
    <n v="0"/>
    <n v="0"/>
    <n v="0"/>
    <n v="0"/>
    <n v="24834"/>
    <n v="24834"/>
    <s v="OK"/>
    <n v="0"/>
    <n v="24834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3"/>
    <s v="ADMINISTRACIÓN CENTRAL"/>
    <s v="CANCELACIÓN DE REMUNERACIONES Y BENEFICIOS SOCIALES"/>
    <n v="1"/>
    <x v="2"/>
    <n v="1"/>
    <n v="0"/>
    <n v="1"/>
    <n v="1300"/>
    <s v="PORTOVIEJO"/>
    <n v="1"/>
    <n v="0"/>
    <n v="0"/>
    <s v="CORRIENTE"/>
    <x v="3"/>
    <n v="510204"/>
    <s v="DÉCIMO CUARTO SUELDO"/>
    <n v="10200"/>
    <n v="10800"/>
    <n v="0"/>
    <n v="0"/>
    <n v="0"/>
    <n v="10800"/>
    <n v="0"/>
    <n v="0"/>
    <n v="0"/>
    <n v="0"/>
    <n v="0"/>
    <n v="0"/>
    <n v="0"/>
    <n v="0"/>
    <n v="10800"/>
    <s v="OK"/>
    <n v="0"/>
    <n v="1080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3"/>
    <s v="ADMINISTRACIÓN CENTRAL"/>
    <s v="CANCELACIÓN DE REMUNERACIONES Y BENEFICIOS SOCIALES"/>
    <n v="1"/>
    <x v="2"/>
    <n v="1"/>
    <n v="0"/>
    <n v="1"/>
    <n v="1300"/>
    <s v="PORTOVIEJO"/>
    <n v="1"/>
    <n v="0"/>
    <n v="0"/>
    <s v="CORRIENTE"/>
    <x v="3"/>
    <n v="510304"/>
    <s v="COMPENSACION POR TRANSPORTE"/>
    <n v="0"/>
    <n v="330"/>
    <n v="28"/>
    <n v="28"/>
    <n v="28"/>
    <n v="28"/>
    <n v="28"/>
    <n v="28"/>
    <n v="28"/>
    <n v="28"/>
    <n v="28"/>
    <n v="28"/>
    <n v="28"/>
    <n v="22"/>
    <n v="330"/>
    <s v="OK"/>
    <n v="0"/>
    <n v="33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3"/>
    <s v="ADMINISTRACIÓN CENTRAL"/>
    <s v="CANCELACIÓN DE REMUNERACIONES Y BENEFICIOS SOCIALES"/>
    <n v="1"/>
    <x v="2"/>
    <n v="1"/>
    <n v="0"/>
    <n v="1"/>
    <n v="1300"/>
    <s v="PORTOVIEJO"/>
    <n v="1"/>
    <n v="0"/>
    <n v="0"/>
    <s v="CORRIENTE"/>
    <x v="3"/>
    <n v="510306"/>
    <s v="ALIMENTACION"/>
    <n v="0"/>
    <n v="1650"/>
    <n v="138"/>
    <n v="138"/>
    <n v="138"/>
    <n v="138"/>
    <n v="138"/>
    <n v="138"/>
    <n v="138"/>
    <n v="138"/>
    <n v="138"/>
    <n v="138"/>
    <n v="138"/>
    <n v="132"/>
    <n v="1650"/>
    <s v="OK"/>
    <n v="0"/>
    <n v="165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3"/>
    <s v="ADMINISTRACIÓN CENTRAL"/>
    <s v="CANCELACIÓN DE REMUNERACIONES Y BENEFICIOS SOCIALES"/>
    <n v="1"/>
    <x v="2"/>
    <n v="1"/>
    <n v="0"/>
    <n v="1"/>
    <n v="1300"/>
    <s v="PORTOVIEJO"/>
    <n v="1"/>
    <n v="0"/>
    <n v="0"/>
    <s v="CORRIENTE"/>
    <x v="3"/>
    <n v="510401"/>
    <s v="POR CARGAS FAMILIARES"/>
    <n v="0"/>
    <n v="128"/>
    <n v="11"/>
    <n v="11"/>
    <n v="11"/>
    <n v="11"/>
    <n v="11"/>
    <n v="11"/>
    <n v="11"/>
    <n v="11"/>
    <n v="11"/>
    <n v="11"/>
    <n v="11"/>
    <n v="7"/>
    <n v="128"/>
    <s v="OK"/>
    <n v="0"/>
    <n v="128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3"/>
    <s v="ADMINISTRACIÓN CENTRAL"/>
    <s v="CANCELACIÓN DE REMUNERACIONES Y BENEFICIOS SOCIALES"/>
    <n v="1"/>
    <x v="2"/>
    <n v="1"/>
    <n v="0"/>
    <n v="1"/>
    <n v="1300"/>
    <s v="PORTOVIEJO"/>
    <n v="1"/>
    <n v="0"/>
    <n v="0"/>
    <s v="CORRIENTE"/>
    <x v="3"/>
    <n v="510408"/>
    <s v="SUBSIDIO DE ANTIGUEDAD"/>
    <n v="0"/>
    <n v="331"/>
    <n v="28"/>
    <n v="28"/>
    <n v="28"/>
    <n v="28"/>
    <n v="28"/>
    <n v="28"/>
    <n v="28"/>
    <n v="28"/>
    <n v="28"/>
    <n v="28"/>
    <n v="28"/>
    <n v="23"/>
    <n v="331"/>
    <s v="OK"/>
    <n v="0"/>
    <n v="331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3"/>
    <s v="ADMINISTRACIÓN CENTRAL"/>
    <s v="CANCELACIÓN DE REMUNERACIONES Y BENEFICIOS SOCIALES"/>
    <n v="1"/>
    <x v="2"/>
    <n v="1"/>
    <n v="0"/>
    <n v="1"/>
    <n v="1300"/>
    <s v="PORTOVIEJO"/>
    <n v="1"/>
    <n v="0"/>
    <n v="0"/>
    <s v="CORRIENTE"/>
    <x v="3"/>
    <n v="510509"/>
    <s v="HORAS EXTRAORDINARIAS Y SUPLEMENTARIAS"/>
    <n v="840"/>
    <n v="1200"/>
    <n v="120"/>
    <n v="80"/>
    <n v="60"/>
    <n v="80"/>
    <n v="80"/>
    <n v="50"/>
    <n v="80"/>
    <n v="80"/>
    <n v="60"/>
    <n v="70"/>
    <n v="80"/>
    <n v="360"/>
    <n v="1200"/>
    <s v="OK"/>
    <n v="0"/>
    <n v="120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3"/>
    <s v="ADMINISTRACIÓN CENTRAL"/>
    <s v="CANCELACIÓN DE REMUNERACIONES Y BENEFICIOS SOCIALES"/>
    <n v="1"/>
    <x v="2"/>
    <n v="1"/>
    <n v="0"/>
    <n v="1"/>
    <n v="1300"/>
    <s v="PORTOVIEJO"/>
    <n v="1"/>
    <n v="0"/>
    <n v="0"/>
    <s v="CORRIENTE"/>
    <x v="3"/>
    <n v="510601"/>
    <s v="APORTE PATRONAL"/>
    <n v="29545"/>
    <n v="29695"/>
    <n v="2462"/>
    <n v="2462"/>
    <n v="2462"/>
    <n v="2462"/>
    <n v="2462"/>
    <n v="2462"/>
    <n v="2462"/>
    <n v="2462"/>
    <n v="2462"/>
    <n v="2462"/>
    <n v="2462"/>
    <n v="2613"/>
    <n v="29695"/>
    <s v="OK"/>
    <n v="0"/>
    <n v="29695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3"/>
    <s v="ADMINISTRACIÓN CENTRAL"/>
    <s v="CANCELACIÓN DE REMUNERACIONES Y BENEFICIOS SOCIALES"/>
    <n v="1"/>
    <x v="2"/>
    <n v="1"/>
    <n v="0"/>
    <n v="1"/>
    <n v="1300"/>
    <s v="PORTOVIEJO"/>
    <n v="1"/>
    <n v="0"/>
    <n v="0"/>
    <s v="CORRIENTE"/>
    <x v="3"/>
    <n v="510602"/>
    <s v="FONDO DE RESERVA"/>
    <n v="24734"/>
    <n v="24234"/>
    <n v="1727"/>
    <n v="1727"/>
    <n v="2020"/>
    <n v="2020"/>
    <n v="2020"/>
    <n v="2020"/>
    <n v="2020"/>
    <n v="2020"/>
    <n v="2240"/>
    <n v="2040"/>
    <n v="2040"/>
    <n v="2340"/>
    <n v="24234"/>
    <s v="OK"/>
    <n v="0"/>
    <n v="24234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3"/>
    <s v="ADMINISTRACIÓN CENTRAL"/>
    <s v="CANCELACIÓN DE REMUNERACIONES Y BENEFICIOS SOCIALES"/>
    <n v="1"/>
    <x v="2"/>
    <n v="1"/>
    <n v="0"/>
    <n v="1"/>
    <n v="1300"/>
    <s v="PORTOVIEJO"/>
    <n v="1"/>
    <n v="0"/>
    <n v="0"/>
    <s v="CORRIENTE"/>
    <x v="3"/>
    <n v="510707"/>
    <s v="COMPENSACIÓN POR VACACIONES NO GOZADAS POR CESACIÓN DE FUNCIONES"/>
    <n v="0"/>
    <n v="1000"/>
    <n v="83"/>
    <n v="83"/>
    <n v="83"/>
    <n v="83"/>
    <n v="83"/>
    <n v="83"/>
    <n v="83"/>
    <n v="83"/>
    <n v="83"/>
    <n v="83"/>
    <n v="83"/>
    <n v="87"/>
    <n v="1000"/>
    <s v="OK"/>
    <n v="0"/>
    <n v="100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4"/>
    <s v="OPERACIONES"/>
    <s v="CANCELACIÓN DE REMUNERACIONES Y BENEFICIOS SOCIALES"/>
    <n v="1"/>
    <x v="2"/>
    <n v="55"/>
    <n v="0"/>
    <n v="2"/>
    <n v="1300"/>
    <s v="PORTOVIEJO"/>
    <n v="1"/>
    <n v="0"/>
    <n v="0"/>
    <s v="CORRIENTE"/>
    <x v="3"/>
    <n v="510105"/>
    <s v="REMUNERACIONES UNIFICADAS"/>
    <n v="673308"/>
    <n v="673308"/>
    <n v="56109"/>
    <n v="56109"/>
    <n v="56109"/>
    <n v="56109"/>
    <n v="56109"/>
    <n v="56109"/>
    <n v="56109"/>
    <n v="56109"/>
    <n v="56109"/>
    <n v="56109"/>
    <n v="56109"/>
    <n v="56109"/>
    <n v="673308"/>
    <s v="OK"/>
    <n v="0"/>
    <n v="673308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4"/>
    <s v="OPERACIONES"/>
    <s v="CANCELACIÓN DE REMUNERACIONES Y BENEFICIOS SOCIALES"/>
    <n v="1"/>
    <x v="2"/>
    <n v="55"/>
    <n v="0"/>
    <n v="2"/>
    <n v="1300"/>
    <s v="PORTOVIEJO"/>
    <n v="1"/>
    <n v="0"/>
    <n v="0"/>
    <s v="CORRIENTE"/>
    <x v="3"/>
    <n v="510203"/>
    <s v="DÉCIMO TERCER SUELDO"/>
    <n v="65384"/>
    <n v="66284"/>
    <n v="2350"/>
    <n v="2350"/>
    <n v="2350"/>
    <n v="2350"/>
    <n v="2350"/>
    <n v="2350"/>
    <n v="2350"/>
    <n v="2350"/>
    <n v="2350"/>
    <n v="2350"/>
    <n v="2350"/>
    <n v="40434"/>
    <n v="66284"/>
    <s v="OK"/>
    <n v="0"/>
    <n v="66284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4"/>
    <s v="OPERACIONES"/>
    <s v="CANCELACIÓN DE REMUNERACIONES Y BENEFICIOS SOCIALES"/>
    <n v="1"/>
    <x v="2"/>
    <n v="55"/>
    <n v="0"/>
    <n v="2"/>
    <n v="1300"/>
    <s v="PORTOVIEJO"/>
    <n v="1"/>
    <n v="0"/>
    <n v="0"/>
    <s v="CORRIENTE"/>
    <x v="3"/>
    <n v="510204"/>
    <s v="DÉCIMO CUARTO SUELDO"/>
    <n v="34000"/>
    <n v="35150"/>
    <n v="288"/>
    <n v="288"/>
    <n v="288"/>
    <n v="30832"/>
    <n v="500"/>
    <n v="500"/>
    <n v="454"/>
    <n v="400"/>
    <n v="400"/>
    <n v="400"/>
    <n v="400"/>
    <n v="400"/>
    <n v="35150"/>
    <s v="OK"/>
    <n v="0"/>
    <n v="3515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4"/>
    <s v="OPERACIONES"/>
    <s v="CANCELACIÓN DE REMUNERACIONES Y BENEFICIOS SOCIALES"/>
    <n v="1"/>
    <x v="2"/>
    <n v="55"/>
    <n v="0"/>
    <n v="2"/>
    <n v="1300"/>
    <s v="PORTOVIEJO"/>
    <n v="1"/>
    <n v="0"/>
    <n v="0"/>
    <s v="CORRIENTE"/>
    <x v="3"/>
    <n v="510510"/>
    <s v="SERVICIOS PERSONALES POR CONTRATO"/>
    <n v="111300"/>
    <n v="111300"/>
    <n v="9275"/>
    <n v="9275"/>
    <n v="9275"/>
    <n v="9275"/>
    <n v="9275"/>
    <n v="9275"/>
    <n v="9275"/>
    <n v="9275"/>
    <n v="9275"/>
    <n v="9275"/>
    <n v="9275"/>
    <n v="9275"/>
    <n v="111300"/>
    <s v="OK"/>
    <n v="0"/>
    <n v="11130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4"/>
    <s v="OPERACIONES"/>
    <s v="CANCELACIÓN DE REMUNERACIONES Y BENEFICIOS SOCIALES"/>
    <n v="1"/>
    <x v="2"/>
    <n v="55"/>
    <n v="0"/>
    <n v="2"/>
    <n v="1300"/>
    <s v="PORTOVIEJO"/>
    <n v="1"/>
    <n v="0"/>
    <n v="0"/>
    <s v="CORRIENTE"/>
    <x v="3"/>
    <n v="510512"/>
    <s v="SUBROGACIÓN "/>
    <n v="154"/>
    <n v="302"/>
    <n v="0"/>
    <n v="0"/>
    <n v="0"/>
    <n v="0"/>
    <n v="0"/>
    <n v="0"/>
    <n v="142"/>
    <n v="160"/>
    <n v="0"/>
    <n v="0"/>
    <n v="0"/>
    <n v="0"/>
    <n v="302"/>
    <s v="OK"/>
    <n v="0"/>
    <n v="302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4"/>
    <s v="OPERACIONES"/>
    <s v="CANCELACIÓN DE REMUNERACIONES Y BENEFICIOS SOCIALES"/>
    <n v="1"/>
    <x v="2"/>
    <n v="55"/>
    <n v="0"/>
    <n v="2"/>
    <n v="1300"/>
    <s v="PORTOVIEJO"/>
    <n v="1"/>
    <n v="0"/>
    <n v="0"/>
    <s v="CORRIENTE"/>
    <x v="3"/>
    <n v="510601"/>
    <s v="APORTE PATRONAL"/>
    <n v="77694"/>
    <n v="76194"/>
    <n v="6474"/>
    <n v="6474"/>
    <n v="6474"/>
    <n v="6474"/>
    <n v="6474"/>
    <n v="6474"/>
    <n v="6474"/>
    <n v="6474"/>
    <n v="6474"/>
    <n v="6474"/>
    <n v="5974"/>
    <n v="5480"/>
    <n v="76194"/>
    <s v="OK"/>
    <n v="0"/>
    <n v="76194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4"/>
    <s v="OPERACIONES"/>
    <s v="CANCELACIÓN DE REMUNERACIONES Y BENEFICIOS SOCIALES"/>
    <n v="1"/>
    <x v="2"/>
    <n v="55"/>
    <n v="0"/>
    <n v="2"/>
    <n v="1300"/>
    <s v="PORTOVIEJO"/>
    <n v="1"/>
    <n v="0"/>
    <n v="0"/>
    <s v="CORRIENTE"/>
    <x v="3"/>
    <n v="510602"/>
    <s v="FONDO DE RESERVA"/>
    <n v="65384"/>
    <n v="58734"/>
    <n v="2920"/>
    <n v="4920"/>
    <n v="4800"/>
    <n v="4800"/>
    <n v="4800"/>
    <n v="4800"/>
    <n v="4800"/>
    <n v="4800"/>
    <n v="4638"/>
    <n v="4584"/>
    <n v="6436"/>
    <n v="6436"/>
    <n v="58734"/>
    <s v="OK"/>
    <n v="0"/>
    <n v="58734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4"/>
    <s v="OPERACIONES"/>
    <s v="CANCELACIÓN DE REMUNERACIONES Y BENEFICIOS SOCIALES"/>
    <n v="1"/>
    <x v="2"/>
    <n v="55"/>
    <n v="0"/>
    <n v="2"/>
    <n v="1300"/>
    <s v="PORTOVIEJO"/>
    <n v="1"/>
    <n v="0"/>
    <n v="0"/>
    <s v="CORRIENTE"/>
    <x v="3"/>
    <n v="510707"/>
    <s v="COMPENSACIÓN POR VACACIONES NO GOZADAS POR CESACIÓN DE FUNCIONES"/>
    <n v="0"/>
    <n v="2000"/>
    <n v="167"/>
    <n v="167"/>
    <n v="167"/>
    <n v="167"/>
    <n v="167"/>
    <n v="167"/>
    <n v="167"/>
    <n v="167"/>
    <n v="167"/>
    <n v="167"/>
    <n v="167"/>
    <n v="163"/>
    <n v="2000"/>
    <s v="OK"/>
    <n v="0"/>
    <n v="200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5"/>
    <s v="TECNOLOGÍA"/>
    <s v="CANCELACIÓN DE REMUNERACIONES Y BENEFICIOS SOCIALES"/>
    <n v="1"/>
    <x v="2"/>
    <n v="55"/>
    <n v="0"/>
    <n v="3"/>
    <n v="1300"/>
    <s v="PORTOVIEJO"/>
    <n v="1"/>
    <n v="0"/>
    <n v="0"/>
    <s v="CORRIENTE"/>
    <x v="3"/>
    <n v="510105"/>
    <s v="REMUNERACIONES UNIFICADAS"/>
    <n v="92160"/>
    <n v="92160"/>
    <n v="7680"/>
    <n v="7680"/>
    <n v="7680"/>
    <n v="7680"/>
    <n v="7680"/>
    <n v="7680"/>
    <n v="7680"/>
    <n v="7680"/>
    <n v="7680"/>
    <n v="7680"/>
    <n v="7680"/>
    <n v="7680"/>
    <n v="92160"/>
    <s v="OK"/>
    <n v="0"/>
    <n v="9216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5"/>
    <s v="TECNOLOGÍA"/>
    <s v="CANCELACIÓN DE REMUNERACIONES Y BENEFICIOS SOCIALES"/>
    <n v="1"/>
    <x v="2"/>
    <n v="55"/>
    <n v="0"/>
    <n v="3"/>
    <n v="1300"/>
    <s v="PORTOVIEJO"/>
    <n v="1"/>
    <n v="0"/>
    <n v="0"/>
    <s v="CORRIENTE"/>
    <x v="3"/>
    <n v="510203"/>
    <s v="DÉCIMO TERCER SUELDO"/>
    <n v="7680"/>
    <n v="7680"/>
    <n v="0"/>
    <n v="0"/>
    <n v="0"/>
    <n v="0"/>
    <n v="0"/>
    <n v="0"/>
    <n v="0"/>
    <n v="0"/>
    <n v="0"/>
    <n v="0"/>
    <n v="0"/>
    <n v="7680"/>
    <n v="7680"/>
    <s v="OK"/>
    <n v="0"/>
    <n v="768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5"/>
    <s v="TECNOLOGÍA"/>
    <s v="CANCELACIÓN DE REMUNERACIONES Y BENEFICIOS SOCIALES"/>
    <n v="1"/>
    <x v="2"/>
    <n v="55"/>
    <n v="0"/>
    <n v="3"/>
    <n v="1300"/>
    <s v="PORTOVIEJO"/>
    <n v="1"/>
    <n v="0"/>
    <n v="0"/>
    <s v="CORRIENTE"/>
    <x v="3"/>
    <n v="510204"/>
    <s v="DÉCIMO CUARTO SUELDO"/>
    <n v="2125"/>
    <n v="2250"/>
    <n v="0"/>
    <n v="0"/>
    <n v="0"/>
    <n v="2250"/>
    <n v="0"/>
    <n v="0"/>
    <n v="0"/>
    <n v="0"/>
    <n v="0"/>
    <n v="0"/>
    <n v="0"/>
    <n v="0"/>
    <n v="2250"/>
    <s v="OK"/>
    <n v="0"/>
    <n v="225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5"/>
    <s v="TECNOLOGÍA"/>
    <s v="CANCELACIÓN DE REMUNERACIONES Y BENEFICIOS SOCIALES"/>
    <n v="1"/>
    <x v="2"/>
    <n v="55"/>
    <n v="0"/>
    <n v="3"/>
    <n v="1300"/>
    <s v="PORTOVIEJO"/>
    <n v="1"/>
    <n v="0"/>
    <n v="0"/>
    <s v="CORRIENTE"/>
    <x v="3"/>
    <n v="510512"/>
    <s v="SUBROGACIÓN "/>
    <n v="150"/>
    <n v="295"/>
    <n v="0"/>
    <n v="0"/>
    <n v="0"/>
    <n v="0"/>
    <n v="295"/>
    <n v="0"/>
    <n v="0"/>
    <n v="0"/>
    <n v="0"/>
    <n v="0"/>
    <n v="0"/>
    <n v="0"/>
    <n v="295"/>
    <s v="OK"/>
    <n v="0"/>
    <n v="295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5"/>
    <s v="TECNOLOGÍA"/>
    <s v="CANCELACIÓN DE REMUNERACIONES Y BENEFICIOS SOCIALES"/>
    <n v="1"/>
    <x v="2"/>
    <n v="55"/>
    <n v="0"/>
    <n v="3"/>
    <n v="1300"/>
    <s v="PORTOVIEJO"/>
    <n v="1"/>
    <n v="0"/>
    <n v="0"/>
    <s v="CORRIENTE"/>
    <x v="3"/>
    <n v="510601"/>
    <s v="APORTE PATRONAL"/>
    <n v="8893"/>
    <n v="8918"/>
    <n v="741"/>
    <n v="741"/>
    <n v="741"/>
    <n v="741"/>
    <n v="741"/>
    <n v="741"/>
    <n v="741"/>
    <n v="741"/>
    <n v="741"/>
    <n v="741"/>
    <n v="741"/>
    <n v="767"/>
    <n v="8918"/>
    <s v="OK"/>
    <n v="0"/>
    <n v="8918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5"/>
    <s v="TECNOLOGÍA"/>
    <s v="CANCELACIÓN DE REMUNERACIONES Y BENEFICIOS SOCIALES"/>
    <n v="1"/>
    <x v="2"/>
    <n v="55"/>
    <n v="0"/>
    <n v="3"/>
    <n v="1300"/>
    <s v="PORTOVIEJO"/>
    <n v="1"/>
    <n v="0"/>
    <n v="0"/>
    <s v="CORRIENTE"/>
    <x v="3"/>
    <n v="510602"/>
    <s v="FONDO DE RESERVA"/>
    <n v="7680"/>
    <n v="8212.58"/>
    <n v="800"/>
    <n v="800"/>
    <n v="800"/>
    <n v="650"/>
    <n v="650"/>
    <n v="650"/>
    <n v="650"/>
    <n v="650"/>
    <n v="642.58000000000004"/>
    <n v="620"/>
    <n v="650"/>
    <n v="650"/>
    <n v="8212.58"/>
    <s v="OK"/>
    <n v="0"/>
    <n v="8212.58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5"/>
    <s v="TECNOLOGÍA"/>
    <s v="CANCELACIÓN DE REMUNERACIONES Y BENEFICIOS SOCIALES"/>
    <n v="1"/>
    <x v="2"/>
    <n v="55"/>
    <n v="0"/>
    <n v="3"/>
    <n v="1300"/>
    <s v="PORTOVIEJO"/>
    <n v="1"/>
    <n v="0"/>
    <n v="0"/>
    <s v="CORRIENTE"/>
    <x v="3"/>
    <n v="510707"/>
    <s v="COMPENSACIÓN POR VACACIONES NO GOZADAS POR CESACIÓN DE FUNCIONES"/>
    <n v="0"/>
    <n v="500"/>
    <n v="42"/>
    <n v="42"/>
    <n v="42"/>
    <n v="42"/>
    <n v="42"/>
    <n v="42"/>
    <n v="42"/>
    <n v="42"/>
    <n v="42"/>
    <n v="42"/>
    <n v="42"/>
    <n v="38"/>
    <n v="500"/>
    <s v="OK"/>
    <n v="0"/>
    <n v="50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3"/>
    <s v="ADMINISTRACIÓN CENTRAL"/>
    <s v="SERVICIO DE AGUA POTABLE DEL CENTRO ZONAL PORTOVIEJO"/>
    <n v="1"/>
    <x v="2"/>
    <n v="1"/>
    <n v="0"/>
    <n v="1"/>
    <n v="1301"/>
    <s v="PORTOVIEJO"/>
    <n v="1"/>
    <n v="0"/>
    <n v="0"/>
    <s v="CORRIENTE"/>
    <x v="0"/>
    <n v="530101"/>
    <s v="AGUA POTABLE"/>
    <n v="4998"/>
    <n v="11998"/>
    <n v="833"/>
    <n v="833"/>
    <n v="833"/>
    <n v="833"/>
    <n v="833"/>
    <n v="833"/>
    <n v="0"/>
    <n v="1400"/>
    <n v="1400"/>
    <n v="1400"/>
    <n v="1400"/>
    <n v="1400"/>
    <n v="11998"/>
    <s v="OK"/>
    <n v="11998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3"/>
    <s v="ADMINISTRACIÓN CENTRAL"/>
    <s v="SERVICIO DE ENERGÍA ELÉCTRICA PARA EL CENTRO ZONAL PORTOVIEJO"/>
    <n v="1"/>
    <x v="2"/>
    <n v="1"/>
    <n v="0"/>
    <n v="1"/>
    <n v="1301"/>
    <s v="PORTOVIEJO"/>
    <n v="1"/>
    <n v="0"/>
    <n v="0"/>
    <s v="CORRIENTE"/>
    <x v="0"/>
    <n v="530104"/>
    <s v="ENERGÍA ELÉCTRICA"/>
    <n v="36000"/>
    <n v="66000"/>
    <n v="6000"/>
    <n v="6000"/>
    <n v="6000"/>
    <n v="6000"/>
    <n v="6000"/>
    <n v="6000"/>
    <n v="6000"/>
    <n v="6000"/>
    <n v="6000"/>
    <n v="6000"/>
    <n v="6000"/>
    <n v="0"/>
    <n v="66000"/>
    <s v="OK"/>
    <n v="6600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3"/>
    <s v="ADMINISTRACIÓN CENTRAL"/>
    <s v="SERVICIO DE CORRESPONDENCIA Y CARGA A NIVEL NACIONAL PARA LA COORDINACIÓN ZONAL - 4 SERVICIO INTEGRADO DE SEGURIDAD ECU 911"/>
    <n v="1"/>
    <x v="2"/>
    <n v="1"/>
    <n v="0"/>
    <n v="1"/>
    <n v="1301"/>
    <s v="PORTOVIEJO"/>
    <n v="1"/>
    <n v="0"/>
    <n v="0"/>
    <s v="CORRIENTE"/>
    <x v="0"/>
    <n v="530106"/>
    <s v="SERVICIO DE CORREO"/>
    <n v="1200"/>
    <n v="1200"/>
    <n v="100"/>
    <n v="100"/>
    <n v="100"/>
    <n v="100"/>
    <n v="100"/>
    <n v="100"/>
    <n v="100"/>
    <n v="100"/>
    <n v="100"/>
    <n v="100"/>
    <n v="100"/>
    <n v="100"/>
    <n v="1200"/>
    <s v="OK"/>
    <n v="120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3"/>
    <s v="ADMINISTRACIÓN CENTRAL"/>
    <s v="SERVICIO DE TRANSPORTE PARA EL PERSONAL OPERATIVO DEL CENTRO ZONAL PORTOVIEJO"/>
    <n v="1"/>
    <x v="2"/>
    <n v="1"/>
    <n v="0"/>
    <n v="1"/>
    <n v="1301"/>
    <s v="PORTOVIEJO"/>
    <n v="1"/>
    <n v="0"/>
    <n v="0"/>
    <s v="CORRIENTE"/>
    <x v="0"/>
    <n v="530201"/>
    <s v="TRANSPORTE DE PERSONAL"/>
    <n v="57600"/>
    <n v="38601.659999999989"/>
    <n v="3731"/>
    <n v="3731"/>
    <n v="3731"/>
    <n v="3731"/>
    <n v="3731"/>
    <n v="3731"/>
    <n v="3731"/>
    <n v="2600"/>
    <n v="2600"/>
    <n v="2600"/>
    <n v="2600"/>
    <n v="2084.66"/>
    <n v="38601.660000000003"/>
    <s v="OK"/>
    <n v="38601.660000000003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3"/>
    <s v="ADMINISTRACIÓN CENTRAL"/>
    <s v="SERVICIO DE RECARGA DE EXTINTORES ANUAL PARA LA COORDINACIÓN ZONAL – 4 SERVICIO INTEGRADO DE SEGURIDAD ECU 911"/>
    <n v="1"/>
    <x v="2"/>
    <n v="1"/>
    <n v="0"/>
    <n v="1"/>
    <n v="1301"/>
    <s v="PORTOVIEJO"/>
    <n v="1"/>
    <n v="0"/>
    <n v="0"/>
    <s v="CORRIENTE"/>
    <x v="0"/>
    <n v="530203"/>
    <s v="ALMACENAMIENTO, EMBALAJE, DESEMBALAJE, ENVASE, DESENVASE Y RECARGA DE EXTINTORES"/>
    <n v="0"/>
    <n v="1887.6"/>
    <n v="0"/>
    <n v="0"/>
    <n v="0"/>
    <n v="0"/>
    <n v="0"/>
    <n v="0"/>
    <n v="0"/>
    <n v="0"/>
    <n v="0"/>
    <n v="0"/>
    <n v="1887.6"/>
    <n v="0"/>
    <n v="1887.6"/>
    <s v="OK"/>
    <n v="1887.6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6"/>
    <s v="COMUNICACIÓN SOCIAL"/>
    <s v="SERVICIO DE IMPRESIÓN DE MATERIAL DE POSICIONAMIENTO E IDENTIDAD INSTITUCIONAL PARA PARA LA EJECUCIÓN DE ACTIVIDADES DE VINCULACIÓN CON LA COMUNIDAD DE LA COORDINACIÓN ZONAL – 4 SERVICIO INTEGRADO DE SEGURIDAD ECU 911"/>
    <n v="1"/>
    <x v="2"/>
    <n v="1"/>
    <n v="0"/>
    <n v="1"/>
    <n v="1301"/>
    <s v="PORTOVIEJO"/>
    <n v="1"/>
    <n v="0"/>
    <n v="0"/>
    <s v="CORRIENTE"/>
    <x v="0"/>
    <n v="530204"/>
    <s v="EDICIÓN, IMPRESIÓN, REPRODUCCIÓN, PUBLICACIONES, SUSCRIPCIONES, FOTOCOPIADO, TRADUCCIÓN, EMPASTADO, ENMARCACIÓN, SERIGRAFÍA, FOTOGRAFÍA, CARNETIZACIÓN, FILMACIÓN E IMÁGENES SATELITALES"/>
    <n v="0"/>
    <n v="4966"/>
    <n v="0"/>
    <n v="0"/>
    <n v="0"/>
    <n v="0"/>
    <n v="0"/>
    <n v="0"/>
    <n v="0"/>
    <n v="4966"/>
    <n v="0"/>
    <n v="0"/>
    <n v="0"/>
    <n v="0"/>
    <n v="4966"/>
    <s v="OK"/>
    <n v="4966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6"/>
    <s v="COMUNICACIÓN SOCIAL"/>
    <s v="SERVICIO DE BRANDEO PUBLICITARIO E IMPRESIÓN DE SEÑALÉTICA PARA LA COORDINACIÓN ZONAL 4 SERVICIO INTEGRADO DE SEGURIDAD ECU 911."/>
    <n v="1"/>
    <x v="2"/>
    <n v="1"/>
    <n v="0"/>
    <n v="1"/>
    <n v="1301"/>
    <s v="PORTOVIEJO"/>
    <n v="1"/>
    <n v="0"/>
    <n v="0"/>
    <s v="CORRIENTE"/>
    <x v="0"/>
    <n v="530204"/>
    <s v="EDICIÓN, IMPRESIÓN, REPRODUCCIÓN, PUBLICACIONES, SUSCRIPCIONES, FOTOCOPIADO, TRADUCCIÓN, EMPASTADO, ENMARCACIÓN, SERIGRAFÍA, FOTOGRAFÍA, CARNETIZACIÓN, FILMACIÓN E IMÁGENES SATELITALES"/>
    <n v="0"/>
    <n v="6300"/>
    <n v="0"/>
    <n v="0"/>
    <n v="0"/>
    <n v="0"/>
    <n v="0"/>
    <n v="0"/>
    <n v="0"/>
    <n v="0"/>
    <n v="0"/>
    <n v="0"/>
    <n v="6300"/>
    <n v="0"/>
    <n v="6300"/>
    <s v="OK"/>
    <n v="0"/>
    <n v="630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3"/>
    <s v="ADMINISTRACIÓN CENTRAL"/>
    <s v="SERVICIO DE VIGILANCIA, SEGURIDAD ARMADA Y SUPERVISADA PARA LA COORDINACIÓN ZONAL - 4 SERVICIO INTEGRADO DE SEGURIDAD ECU 911"/>
    <n v="1"/>
    <x v="2"/>
    <n v="1"/>
    <n v="0"/>
    <n v="1"/>
    <n v="1301"/>
    <s v="PORTOVIEJO"/>
    <n v="1"/>
    <n v="0"/>
    <n v="0"/>
    <s v="CORRIENTE"/>
    <x v="0"/>
    <n v="530208"/>
    <s v="SERVICIO DE SEGURIDAD Y VIGILANCIA"/>
    <n v="192000"/>
    <n v="155877.59999999998"/>
    <n v="12980"/>
    <n v="12980"/>
    <n v="12980"/>
    <n v="12980"/>
    <n v="12980"/>
    <n v="12980"/>
    <n v="12980"/>
    <n v="12980"/>
    <n v="12980"/>
    <n v="12980"/>
    <n v="12980"/>
    <n v="13097.6"/>
    <n v="155877.6"/>
    <s v="OK"/>
    <n v="155877.6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3"/>
    <s v="ADMINISTRACIÓN CENTRAL"/>
    <s v="SERVICIO DE LIMPIEZA DE INTERIORES Y EXTERIORES TIPO III PARA EL CENTRO ZONAL PORTOVIEJO, JULIO-DICIEMBRE 2023"/>
    <n v="1"/>
    <x v="2"/>
    <n v="1"/>
    <n v="0"/>
    <n v="1"/>
    <n v="1301"/>
    <s v="PORTOVIEJO"/>
    <n v="1"/>
    <n v="0"/>
    <n v="0"/>
    <s v="CORRIENTE"/>
    <x v="0"/>
    <n v="530209"/>
    <s v="SERVICIOS DE ASEO, LAVADO DE VESTIMENTA DE TRABAJO, FUMIGACIÓN, DESINFECCIÓN, LIMPIEZA DE INSTALACIONES, MANEJO DE DESECHOS CONTAMINADOS, RECUPERACIÓN Y CLASIFICACIÓN DE MATERIALES RECICLABLES"/>
    <n v="0"/>
    <n v="29025"/>
    <n v="0"/>
    <n v="0"/>
    <n v="0"/>
    <n v="0"/>
    <n v="0"/>
    <n v="0"/>
    <n v="4805"/>
    <n v="4805"/>
    <n v="4805"/>
    <n v="4805"/>
    <n v="4805"/>
    <n v="5000"/>
    <n v="29025"/>
    <s v="OK"/>
    <n v="29025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3"/>
    <s v="ADMINISTRACIÓN CENTRAL"/>
    <s v="SERVICIO DE LIMPIEZA DE INTERIORES Y EXTERIORES TIPO III PARA EL CENTRO ZONAL PORTOVIEJO"/>
    <n v="1"/>
    <x v="2"/>
    <n v="1"/>
    <n v="0"/>
    <n v="1"/>
    <n v="1301"/>
    <s v="PORTOVIEJO"/>
    <n v="1"/>
    <n v="0"/>
    <n v="0"/>
    <s v="CORRIENTE"/>
    <x v="0"/>
    <n v="530209"/>
    <s v="SERVICIOS DE ASEO, LAVADO DE VESTIMENTA DE TRABAJO, FUMIGACIÓN, DESINFECCIÓN, LIMPIEZA DE INSTALACIONES, MANEJO DE DESECHOS CONTAMINADOS, RECUPERACIÓN Y CLASIFICACIÓN DE MATERIALES RECICLABLES"/>
    <n v="52280"/>
    <n v="40635"/>
    <n v="5500"/>
    <n v="5135"/>
    <n v="5000"/>
    <n v="5000"/>
    <n v="5000"/>
    <n v="5000"/>
    <n v="5000"/>
    <n v="5000"/>
    <n v="0"/>
    <n v="0"/>
    <n v="0"/>
    <n v="0"/>
    <n v="40635"/>
    <s v="OK"/>
    <n v="40635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3"/>
    <s v="ADMINISTRACIÓN CENTRAL"/>
    <s v="CANCELACIÓN POR SERVICIO DE GUARDERÍA PARA LOS HIJOS MENORES DE 5 AÑOS DE LOS SERVIDORES DE LA COORDINACIÓN ZONAL 4 SERVICIO INTEGRADO DE SEGURIDAD ECU 911 CENTRO ZONAL PORTOVIEJO"/>
    <n v="1"/>
    <x v="2"/>
    <n v="1"/>
    <n v="0"/>
    <n v="1"/>
    <n v="1301"/>
    <s v="PORTOVIEJO"/>
    <n v="1"/>
    <n v="0"/>
    <n v="0"/>
    <s v="CORRIENTE"/>
    <x v="0"/>
    <n v="530210"/>
    <s v="SERVICIO DE GUARDERÍA"/>
    <n v="0"/>
    <n v="4464"/>
    <n v="0"/>
    <n v="0"/>
    <n v="0"/>
    <n v="0"/>
    <n v="0"/>
    <n v="0"/>
    <n v="0"/>
    <n v="0"/>
    <n v="0"/>
    <n v="0"/>
    <n v="2232"/>
    <n v="2232"/>
    <n v="4464"/>
    <s v="OK"/>
    <n v="4464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3"/>
    <s v="ADMINISTRACIÓN CENTRAL"/>
    <s v="SERVICIO DE RASTREO SATELITAL PARA LOS VEHÍCULOS DE LA COORDINACIÓN ZONAL - 4 SERVICIO INTEGRADO DE SEGURIDAD ECU 911"/>
    <n v="1"/>
    <x v="2"/>
    <n v="1"/>
    <n v="0"/>
    <n v="1"/>
    <n v="1301"/>
    <s v="PORTOVIEJO"/>
    <n v="1"/>
    <n v="0"/>
    <n v="0"/>
    <s v="CORRIENTE"/>
    <x v="0"/>
    <n v="530246"/>
    <s v="SERVICIOS DE IDENTIFICACIÓN, MARCACIÓN, AUTENTIFICACIÓN, RASTREO, MONITOREO, SEGUIMIENTO Y/O TRAZABILIDAD"/>
    <n v="1200"/>
    <n v="540"/>
    <n v="0"/>
    <n v="0"/>
    <n v="0"/>
    <n v="540"/>
    <n v="0"/>
    <n v="0"/>
    <n v="0"/>
    <n v="0"/>
    <n v="0"/>
    <n v="0"/>
    <n v="0"/>
    <n v="0"/>
    <n v="540"/>
    <s v="OK"/>
    <n v="54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3"/>
    <s v="ADMINISTRACIÓN CENTRAL"/>
    <s v="PAGO DE VIÁTICOS, REINTEGRO POR PAGO DE PASAJES AL INTERIOR, REEMBOLSO POR PAGO DE COMBUSTIBLE POR COMISIÓN DE SERVICIOS AL PERSONAL DEL CENTRO ZONAL PORTOVIEJO"/>
    <n v="1"/>
    <x v="2"/>
    <n v="1"/>
    <n v="0"/>
    <n v="1"/>
    <n v="1301"/>
    <s v="PORTOVIEJO"/>
    <n v="1"/>
    <n v="0"/>
    <n v="0"/>
    <s v="CORRIENTE"/>
    <x v="0"/>
    <n v="530255"/>
    <s v="COMBUSTIBLES"/>
    <n v="0"/>
    <n v="50"/>
    <n v="5"/>
    <n v="4"/>
    <n v="3"/>
    <n v="5"/>
    <n v="4"/>
    <n v="3"/>
    <n v="5"/>
    <n v="4"/>
    <n v="4"/>
    <n v="4"/>
    <n v="4"/>
    <n v="5"/>
    <n v="50"/>
    <s v="OK"/>
    <n v="5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3"/>
    <s v="ADMINISTRACIÓN CENTRAL"/>
    <s v="SERVICIO DE PROVISIÓN DE COMBUSTIBLE PARA LA FLOTA VEHICULAR DEL SERVICIO INTEGRADO DE SEGURIDAD ECU 911 Y GENERADORES DEL CENTRO ZONAL PORTOVIEJO"/>
    <n v="1"/>
    <x v="2"/>
    <n v="1"/>
    <n v="0"/>
    <n v="1"/>
    <n v="1301"/>
    <s v="PORTOVIEJO"/>
    <n v="1"/>
    <n v="0"/>
    <n v="0"/>
    <s v="CORRIENTE"/>
    <x v="0"/>
    <n v="530255"/>
    <s v="COMBUSTIBLES"/>
    <n v="0"/>
    <n v="4216.01"/>
    <n v="351"/>
    <n v="351"/>
    <n v="351"/>
    <n v="351"/>
    <n v="351"/>
    <n v="351"/>
    <n v="351"/>
    <n v="351"/>
    <n v="351"/>
    <n v="351"/>
    <n v="351"/>
    <n v="355.01"/>
    <n v="4216.01"/>
    <s v="OK"/>
    <n v="4216.01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3"/>
    <s v="ADMINISTRACIÓN CENTRAL"/>
    <s v="PAGO DE VIÁTICOS, REINTEGRO POR PAGO DE PASAJES AL INTERIOR, REEMBOLSO POR PAGO DE COMBUSTIBLE POR COMISIÓN DE SERVICIOS AL PERSONAL DEL CENTRO ZONAL PORTOVIEJO"/>
    <n v="1"/>
    <x v="2"/>
    <n v="1"/>
    <n v="0"/>
    <n v="1"/>
    <n v="1301"/>
    <s v="PORTOVIEJO"/>
    <n v="1"/>
    <n v="0"/>
    <n v="0"/>
    <s v="CORRIENTE"/>
    <x v="0"/>
    <n v="530301"/>
    <s v="PASAJES AL INTERIOR"/>
    <n v="0"/>
    <n v="700"/>
    <n v="5"/>
    <n v="5"/>
    <n v="5"/>
    <n v="5"/>
    <n v="5"/>
    <n v="5"/>
    <n v="5"/>
    <n v="200"/>
    <n v="200"/>
    <n v="100"/>
    <n v="100"/>
    <n v="65"/>
    <n v="700"/>
    <s v="OK"/>
    <n v="350"/>
    <n v="35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3"/>
    <s v="ADMINISTRACIÓN CENTRAL"/>
    <s v="PAGO DE VIÁTICOS, REINTEGRO POR PAGO DE PASAJES AL INTERIOR, REEMBOLSO POR PAGO DE COMBUSTIBLE POR COMISIÓN DE SERVICIOS AL PERSONAL DEL CENTRO ZONAL PORTOVIEJO"/>
    <n v="1"/>
    <x v="2"/>
    <n v="1"/>
    <n v="0"/>
    <n v="1"/>
    <n v="1301"/>
    <s v="PORTOVIEJO"/>
    <n v="1"/>
    <n v="0"/>
    <n v="0"/>
    <s v="CORRIENTE"/>
    <x v="0"/>
    <n v="530303"/>
    <s v="VIÁTICOS Y SUBSISTENCIAS EN EL INTERIOR"/>
    <n v="0"/>
    <n v="800"/>
    <n v="66"/>
    <n v="66"/>
    <n v="66"/>
    <n v="66"/>
    <n v="66"/>
    <n v="66"/>
    <n v="66"/>
    <n v="66"/>
    <n v="66"/>
    <n v="66"/>
    <n v="66"/>
    <n v="74"/>
    <n v="800"/>
    <s v="OK"/>
    <n v="80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3"/>
    <s v="ADMINISTRACIÓN CENTRAL"/>
    <s v="PAGO DE VIÁTICOS, REINTEGRO POR PAGO DE PASAJES AL INTERIOR, REEMBOLSO POR PAGO DE COMBUSTIBLE Y PEAJES POR COMISIÓN DE SERVICIOS AL PERSONAL DEL CENTRO ZONAL PORTOVIEJO"/>
    <n v="1"/>
    <x v="2"/>
    <n v="1"/>
    <n v="0"/>
    <n v="1"/>
    <n v="1301"/>
    <s v="PORTOVIEJO"/>
    <n v="1"/>
    <n v="0"/>
    <n v="0"/>
    <s v="CORRIENTE"/>
    <x v="0"/>
    <n v="530303"/>
    <s v="VIÁTICOS Y SUBSISTENCIAS EN EL INTERIOR"/>
    <n v="0"/>
    <n v="2000"/>
    <n v="0"/>
    <n v="0"/>
    <n v="0"/>
    <n v="112"/>
    <n v="112"/>
    <n v="112"/>
    <n v="1112"/>
    <n v="112"/>
    <n v="112"/>
    <n v="112"/>
    <n v="112"/>
    <n v="104"/>
    <n v="2000"/>
    <s v="OK"/>
    <n v="200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3"/>
    <s v="ADMINISTRACIÓN CENTRAL"/>
    <s v="SERVICIO DE IMPLEMENTACIÓN DE CUBIERTA METÁLICA PARA EL PARQUEADERO DEL CENTRO ZONAL PORTOVIEJO"/>
    <n v="1"/>
    <x v="2"/>
    <n v="1"/>
    <n v="0"/>
    <n v="1"/>
    <n v="1301"/>
    <s v="PORTOVIEJO"/>
    <n v="1"/>
    <n v="0"/>
    <n v="0"/>
    <s v="CORRIENTE"/>
    <x v="0"/>
    <n v="530402"/>
    <s v="EDIFICIOS, LOCALES, RESIDENCIAS Y CABLEADO ESTRUCTURADO (INSTALACIÓN, MANTENIMIENTO Y REPARACIÓN)"/>
    <n v="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3"/>
    <s v="ADMINISTRACIÓN CENTRAL"/>
    <s v="MANTENIMIENTO DE LOS ASCENSORES DEL CENTRO ZONAL Y LOCAL DE LA COORDINACIÓN ZONAL - 4 SERVICIO INTEGRADO DE SEGURIDAD ECU 911"/>
    <n v="1"/>
    <x v="2"/>
    <n v="1"/>
    <n v="0"/>
    <n v="1"/>
    <n v="1301"/>
    <s v="PORTOVIEJO"/>
    <n v="1"/>
    <n v="0"/>
    <n v="0"/>
    <s v="CORRIENTE"/>
    <x v="0"/>
    <n v="530402"/>
    <s v="EDIFICIOS, LOCALES, RESIDENCIAS Y CABLEADO ESTRUCTURADO (INSTALACIÓN, MANTENIMIENTO Y REPARACIÓN)"/>
    <n v="7500"/>
    <n v="6240.46"/>
    <n v="550"/>
    <n v="550"/>
    <n v="550"/>
    <n v="550"/>
    <n v="500"/>
    <n v="500"/>
    <n v="500"/>
    <n v="500"/>
    <n v="500"/>
    <n v="500"/>
    <n v="520"/>
    <n v="520.46"/>
    <n v="6240.46"/>
    <s v="OK"/>
    <n v="6240.46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3"/>
    <s v="ADMINISTRACIÓN CENTRAL"/>
    <s v="SERVICIO DE MANTENIMIENTO PREVENTIVO Y CORRECTIVO DE LOS EQUIPOS Y SISTEMAS ELÉCTRICOS DEL CENTRO ZONAL PORTOVIEJO"/>
    <n v="1"/>
    <x v="2"/>
    <n v="1"/>
    <n v="0"/>
    <n v="1"/>
    <n v="1301"/>
    <s v="PORTOVIEJO"/>
    <n v="1"/>
    <n v="0"/>
    <n v="0"/>
    <s v="CORRIENTE"/>
    <x v="0"/>
    <n v="530402"/>
    <s v="EDIFICIOS, LOCALES, RESIDENCIAS Y CABLEADO ESTRUCTURADO (INSTALACIÓN, MANTENIMIENTO Y REPARACIÓN)"/>
    <n v="31149"/>
    <n v="28262.19"/>
    <n v="0"/>
    <n v="0"/>
    <n v="0"/>
    <n v="20000"/>
    <n v="0"/>
    <n v="0"/>
    <n v="0"/>
    <n v="0"/>
    <n v="8262.19"/>
    <n v="0"/>
    <n v="0"/>
    <n v="0"/>
    <n v="28262.190000000002"/>
    <s v="OK"/>
    <n v="28262.19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3"/>
    <s v="ADMINISTRACIÓN CENTRAL"/>
    <s v="SERVICIO DE MANTENIMIENTO PREVENTIVO Y CORRECTIVO DE LOS EQUIPOS DE CLIMATIZACIÓN DEL CENTRO ZONAL PORTOVIEJO"/>
    <n v="1"/>
    <x v="2"/>
    <n v="1"/>
    <n v="0"/>
    <n v="1"/>
    <n v="1301"/>
    <s v="PORTOVIEJO"/>
    <n v="1"/>
    <n v="0"/>
    <n v="0"/>
    <s v="CORRIENTE"/>
    <x v="0"/>
    <n v="530402"/>
    <s v="EDIFICIOS, LOCALES, RESIDENCIAS Y CABLEADO ESTRUCTURADO (INSTALACIÓN, MANTENIMIENTO Y REPARACIÓN)"/>
    <n v="32000"/>
    <n v="28472.030000000002"/>
    <n v="0"/>
    <n v="0"/>
    <n v="0"/>
    <n v="12742"/>
    <n v="0"/>
    <n v="0"/>
    <n v="0"/>
    <n v="0"/>
    <n v="15730.03"/>
    <n v="0"/>
    <n v="0"/>
    <n v="0"/>
    <n v="28472.03"/>
    <s v="OK"/>
    <n v="28472.03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3"/>
    <s v="ADMINISTRACIÓN CENTRAL"/>
    <s v="SERVICIO DE MANTENIMIENTO PREVENTIVO Y CORRECTIVO DEL SISTEMA CONTRA INCENDIOS DEL CENTRO ZONAL PORTOVIEJO"/>
    <n v="1"/>
    <x v="2"/>
    <n v="1"/>
    <n v="0"/>
    <n v="1"/>
    <n v="1301"/>
    <s v="PORTOVIEJO"/>
    <n v="1"/>
    <n v="0"/>
    <n v="0"/>
    <s v="CORRIENTE"/>
    <x v="0"/>
    <n v="530402"/>
    <s v="EDIFICIOS, LOCALES, RESIDENCIAS Y CABLEADO ESTRUCTURADO (INSTALACIÓN, MANTENIMIENTO Y REPARACIÓN)"/>
    <n v="0"/>
    <n v="3250"/>
    <n v="0"/>
    <n v="0"/>
    <n v="0"/>
    <n v="0"/>
    <n v="0"/>
    <n v="0"/>
    <n v="0"/>
    <n v="0"/>
    <n v="0"/>
    <n v="3250"/>
    <n v="0"/>
    <n v="0"/>
    <n v="3250"/>
    <s v="OK"/>
    <n v="325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3"/>
    <s v="ADMINISTRACIÓN CENTRAL"/>
    <s v="SERVICIO DE MANTENIMIENTO PREVENTIVO Y CORRECTIVO DE LAS PUERTAS ELECTRÓNICAS DEL CENTRO ZONAL PORTOVIEJO"/>
    <n v="1"/>
    <x v="2"/>
    <n v="1"/>
    <n v="0"/>
    <n v="1"/>
    <n v="1301"/>
    <s v="PORTOVIEJO"/>
    <n v="1"/>
    <n v="0"/>
    <n v="0"/>
    <s v="CORRIENTE"/>
    <x v="0"/>
    <n v="530402"/>
    <s v="EDIFICIOS, LOCALES, RESIDENCIAS Y CABLEADO ESTRUCTURADO (INSTALACIÓN, MANTENIMIENTO Y REPARACIÓN)"/>
    <n v="0"/>
    <n v="6199"/>
    <n v="0"/>
    <n v="0"/>
    <n v="0"/>
    <n v="0"/>
    <n v="0"/>
    <n v="0"/>
    <n v="0"/>
    <n v="0"/>
    <n v="0"/>
    <n v="6199"/>
    <n v="0"/>
    <n v="0"/>
    <n v="6199"/>
    <s v="OK"/>
    <n v="6199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3"/>
    <s v="ADMINISTRACIÓN CENTRAL"/>
    <s v="SERVICIO DE MANTENIMIENTO AL SISTEMA SANITARIO Y PISOS DEL CENTRO ZONAL PORTOVIEJO"/>
    <n v="1"/>
    <x v="2"/>
    <n v="1"/>
    <n v="0"/>
    <n v="1"/>
    <n v="1301"/>
    <s v="PORTOVIEJO"/>
    <n v="1"/>
    <n v="0"/>
    <n v="0"/>
    <s v="CORRIENTE"/>
    <x v="0"/>
    <n v="530402"/>
    <s v="EDIFICIOS, LOCALES, RESIDENCIAS Y CABLEADO ESTRUCTURADO (INSTALACIÓN, MANTENIMIENTO Y REPARACIÓN)"/>
    <n v="0"/>
    <n v="6300"/>
    <n v="0"/>
    <n v="0"/>
    <n v="0"/>
    <n v="0"/>
    <n v="0"/>
    <n v="0"/>
    <n v="0"/>
    <n v="0"/>
    <n v="0"/>
    <n v="0"/>
    <n v="6300"/>
    <n v="0"/>
    <n v="6300"/>
    <s v="OK"/>
    <n v="0"/>
    <n v="630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3"/>
    <s v="ADMINISTRACIÓN CENTRAL"/>
    <s v="SERVICIO DE MANTENIMIENTO PREVENTIVO Y CORRECTIVO DE LAS BARRERAS VEHICULAR DE LA COORDINACIÓN ZONAL - 4 SERVICIO INTEGRADO DE SEGURIDAD ECU 911"/>
    <n v="1"/>
    <x v="2"/>
    <n v="1"/>
    <n v="0"/>
    <n v="1"/>
    <n v="1301"/>
    <s v="PORTOVIEJO"/>
    <n v="1"/>
    <n v="0"/>
    <n v="0"/>
    <s v="CORRIENTE"/>
    <x v="0"/>
    <n v="530402"/>
    <s v="EDIFICIOS, LOCALES, RESIDENCIAS Y CABLEADO ESTRUCTURADO (INSTALACIÓN, MANTENIMIENTO Y REPARACIÓN)"/>
    <n v="0"/>
    <n v="5398.5"/>
    <n v="0"/>
    <n v="0"/>
    <n v="0"/>
    <n v="0"/>
    <n v="0"/>
    <n v="0"/>
    <n v="0"/>
    <n v="0"/>
    <n v="0"/>
    <n v="5398.5"/>
    <n v="0"/>
    <n v="0"/>
    <n v="5398.5"/>
    <s v="OK"/>
    <n v="5398.5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3"/>
    <s v="ADMINISTRACIÓN CENTRAL"/>
    <s v="MANTENIMIENTO DE MOBILIARIOS INSTITUCIONAL DEL CENTRO ZONAL PORTOVIEJO "/>
    <n v="1"/>
    <x v="2"/>
    <n v="1"/>
    <n v="0"/>
    <n v="1"/>
    <n v="1301"/>
    <s v="PORTOVIEJO"/>
    <n v="1"/>
    <n v="0"/>
    <n v="0"/>
    <s v="CORRIENTE"/>
    <x v="0"/>
    <n v="530403"/>
    <s v="MOBILIARIOS (INSTALACIÓN, MANTENIMIENTO Y REPARACIÓN)"/>
    <n v="0"/>
    <n v="5980"/>
    <n v="0"/>
    <n v="0"/>
    <n v="0"/>
    <n v="0"/>
    <n v="0"/>
    <n v="0"/>
    <n v="0"/>
    <n v="0"/>
    <n v="0"/>
    <n v="0"/>
    <n v="5980"/>
    <n v="0"/>
    <n v="5980"/>
    <s v="OK"/>
    <n v="598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3"/>
    <s v="ADMINISTRACIÓN CENTRAL"/>
    <s v="ADQUISICIÓN DE REPUESTOS PARA PURIFICADORES DE AGUA, INCLUYE MANTENIMIENTO PARA LA COORDINACIÓN ZONAL 4 SERVICIO INTEGRADO DE SEGURIDAD ECU 911"/>
    <n v="1"/>
    <x v="2"/>
    <n v="1"/>
    <n v="0"/>
    <n v="1"/>
    <n v="1301"/>
    <s v="PORTOVIEJO"/>
    <n v="1"/>
    <n v="0"/>
    <n v="0"/>
    <s v="CORRIENTE"/>
    <x v="0"/>
    <n v="530404"/>
    <s v="MAQUINARIAS Y EQUIPOS (INSTALACIÓN, MANTENIMIENTO Y REPARACIÓN)"/>
    <n v="0"/>
    <n v="710"/>
    <n v="0"/>
    <n v="0"/>
    <n v="0"/>
    <n v="0"/>
    <n v="0"/>
    <n v="0"/>
    <n v="0"/>
    <n v="0"/>
    <n v="0"/>
    <n v="0"/>
    <n v="710"/>
    <n v="0"/>
    <n v="710"/>
    <s v="OK"/>
    <n v="640"/>
    <n v="7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3"/>
    <s v="ADMINISTRACIÓN CENTRAL"/>
    <s v="MANTENIMIENTO PREVENTIVO Y CORRECTIVO DE VEHÍCULOS DEL CENTRO ZONAL PORTOVIEJO"/>
    <n v="1"/>
    <x v="2"/>
    <n v="1"/>
    <n v="0"/>
    <n v="1"/>
    <n v="1301"/>
    <s v="PORTOVIEJO"/>
    <n v="1"/>
    <n v="0"/>
    <n v="0"/>
    <s v="CORRIENTE"/>
    <x v="0"/>
    <n v="530405"/>
    <s v="VEHÍCULOS (SERVICIO PARA MANTENIMIENTO Y REPARACIÓN)"/>
    <n v="3000"/>
    <n v="2500"/>
    <n v="0"/>
    <n v="500"/>
    <n v="0"/>
    <n v="500"/>
    <n v="0"/>
    <n v="500"/>
    <n v="0"/>
    <n v="500"/>
    <n v="0"/>
    <n v="500"/>
    <n v="0"/>
    <n v="0"/>
    <n v="2500"/>
    <s v="OK"/>
    <n v="250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3"/>
    <s v="ADMINISTRACIÓN CENTRAL"/>
    <s v="ADQUISICIÓN DE EQUIPOS DE PROTECCIÓN PERSONAL Y ROPA DE TRABAJO PARA EL PERSONAL DE TECNOLOGÍA Y CÓDIGO DE TRABAJO QUE LABORA EN LA COORDINACIÓN ZONAL 4"/>
    <n v="1"/>
    <x v="2"/>
    <n v="1"/>
    <n v="0"/>
    <n v="1"/>
    <n v="1301"/>
    <s v="PORTOVIEJO"/>
    <n v="1"/>
    <n v="0"/>
    <n v="0"/>
    <s v="CORRIENTE"/>
    <x v="0"/>
    <n v="530802"/>
    <s v="VESTUARIO, LENCERÍA, PRENDAS DE PROTECCIÓN Y ACCESORIOS PARA UNIFORMES DEL PERSONAL DE PROTECCIÓN, VIGILANCIA Y SEGURIDAD"/>
    <n v="500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3"/>
    <s v="ADMINISTRACIÓN CENTRAL"/>
    <s v="ADQUISICIÓN DE EQUIPOS DE PROTECCIÓN PERSONAL Y ROPA DE TRABAJO PARA EL PERSONAL DE TECNOLOGÍA Y CÓDIGO DE TRABAJO QUE LABORA EN LA COORDINACIÓN ZONAL 4 MEDIANTE CATÁLOGO ELECTRÓNICO"/>
    <n v="1"/>
    <x v="2"/>
    <n v="1"/>
    <n v="0"/>
    <n v="1"/>
    <n v="1301"/>
    <s v="PORTOVIEJO"/>
    <n v="1"/>
    <n v="0"/>
    <n v="0"/>
    <s v="CORRIENTE"/>
    <x v="0"/>
    <n v="530802"/>
    <s v="VESTUARIO, LENCERÍA, PRENDAS DE PROTECCIÓN Y ACCESORIOS PARA UNIFORMES DEL PERSONAL DE PROTECCIÓN, VIGILANCIA Y SEGURIDAD"/>
    <n v="0"/>
    <n v="1848.26"/>
    <n v="0"/>
    <n v="0"/>
    <n v="0"/>
    <n v="0"/>
    <n v="0"/>
    <n v="0"/>
    <n v="0"/>
    <n v="1848.26"/>
    <n v="0"/>
    <n v="0"/>
    <n v="0"/>
    <n v="0"/>
    <n v="1848.26"/>
    <s v="OK"/>
    <n v="1848.26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3"/>
    <s v="ADMINISTRACIÓN CENTRAL"/>
    <s v="ADQUISICIÓN DE EQUIPOS DE PROTECCIÓN PERSONAL Y ROPA DE TRABAJO PARA EL PERSONAL DE TECNOLOGÍA Y CÓDIGO DE TRABAJO QUE LABORA EN LA COORDINACIÓN ZONAL 4 MEDIANTE ÍNFIMA CUANTÍA"/>
    <n v="1"/>
    <x v="2"/>
    <n v="1"/>
    <n v="0"/>
    <n v="1"/>
    <n v="1301"/>
    <s v="PORTOVIEJO"/>
    <n v="1"/>
    <n v="0"/>
    <n v="0"/>
    <s v="CORRIENTE"/>
    <x v="0"/>
    <n v="530802"/>
    <s v="VESTUARIO, LENCERÍA, PRENDAS DE PROTECCIÓN Y ACCESORIOS PARA UNIFORMES DEL PERSONAL DE PROTECCIÓN, VIGILANCIA Y SEGURIDAD"/>
    <n v="0"/>
    <n v="1789.11"/>
    <n v="0"/>
    <n v="0"/>
    <n v="0"/>
    <n v="0"/>
    <n v="0"/>
    <n v="0"/>
    <n v="0"/>
    <n v="0"/>
    <n v="0"/>
    <n v="0"/>
    <n v="1789.11"/>
    <n v="0"/>
    <n v="1789.11"/>
    <s v="OK"/>
    <n v="0"/>
    <n v="1789.11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3"/>
    <s v="ADMINISTRACIÓN CENTRAL"/>
    <s v="MANTENIMIENTO PREVENTIVO Y CORRECTIVO DE VEHÍCULOS DEL CENTRO ZONAL PORTOVIEJO"/>
    <n v="1"/>
    <x v="2"/>
    <n v="1"/>
    <n v="0"/>
    <n v="1"/>
    <n v="1301"/>
    <s v="PORTOVIEJO"/>
    <n v="1"/>
    <n v="0"/>
    <n v="0"/>
    <s v="CORRIENTE"/>
    <x v="0"/>
    <n v="530803"/>
    <s v="LUBRICANTES"/>
    <n v="2000"/>
    <n v="1500"/>
    <n v="0"/>
    <n v="300"/>
    <n v="0"/>
    <n v="300"/>
    <n v="0"/>
    <n v="300"/>
    <n v="0"/>
    <n v="300"/>
    <n v="0"/>
    <n v="300"/>
    <n v="0"/>
    <n v="0"/>
    <n v="1500"/>
    <s v="OK"/>
    <n v="150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3"/>
    <s v="ADMINISTRACIÓN CENTRAL"/>
    <s v="SERVICIO DE PROVISIÓN DE COMBUSTIBLE PARA LA FLOTA VEHICULAR DEL SERVICIO INTEGRADO DE SEGURIDAD ECU 911 Y GENERADORES DEL CENTRO ZONAL PORTOVIEJO"/>
    <n v="1"/>
    <x v="2"/>
    <n v="1"/>
    <n v="0"/>
    <n v="1"/>
    <n v="1301"/>
    <s v="PORTOVIEJO"/>
    <n v="1"/>
    <n v="0"/>
    <n v="0"/>
    <s v="CORRIENTE"/>
    <x v="0"/>
    <n v="530803"/>
    <s v="LUBRICANTES"/>
    <n v="400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3"/>
    <s v="ADMINISTRACIÓN CENTRAL"/>
    <s v="ADQUISICIÓN DE MATERIALES ELÉCTRICOS, PLOMERÍA, CARPINTERÍA Y OTROS INSUMOS PARA REALIZAR EL MANTENIMIENTO PREVENTIVO A LOS EDIFICIOS DE LA COORDINACIÓN ZONAL - 4 SERVICIO INTEGRADO DE SEGURIDAD ECU 911"/>
    <n v="1"/>
    <x v="2"/>
    <n v="1"/>
    <n v="0"/>
    <n v="1"/>
    <n v="1301"/>
    <s v="PORTOVIEJO"/>
    <n v="1"/>
    <n v="0"/>
    <n v="0"/>
    <s v="CORRIENTE"/>
    <x v="0"/>
    <n v="530803"/>
    <s v="LUBRICANTES"/>
    <n v="0"/>
    <n v="317.72000000000003"/>
    <n v="0"/>
    <n v="0"/>
    <n v="0"/>
    <n v="0"/>
    <n v="0"/>
    <n v="0"/>
    <n v="0"/>
    <n v="0"/>
    <n v="0"/>
    <n v="0"/>
    <n v="317.72000000000003"/>
    <n v="0"/>
    <n v="317.72000000000003"/>
    <s v="OK"/>
    <n v="317.72000000000003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3"/>
    <s v="ADMINISTRACIÓN CENTRAL"/>
    <s v="ADQUISICIÓN DE MATERIALES  DE IMPRESIÓN PARA LA ROTULACIÓN DE LOS BIENES PARA LA COORDINACIÓN ZONAL – 4 SERVICIO INTEGRADO DE SEGURIDAD ECU 911"/>
    <n v="1"/>
    <x v="2"/>
    <n v="1"/>
    <n v="0"/>
    <n v="1"/>
    <n v="1301"/>
    <s v="PORTOVIEJO"/>
    <n v="1"/>
    <n v="0"/>
    <n v="0"/>
    <s v="CORRIENTE"/>
    <x v="0"/>
    <n v="530804"/>
    <s v="MATERIALES DE OFICINA"/>
    <n v="0"/>
    <n v="719.6"/>
    <n v="0"/>
    <n v="0"/>
    <n v="0"/>
    <n v="0"/>
    <n v="719.6"/>
    <n v="0"/>
    <n v="0"/>
    <n v="0"/>
    <n v="0"/>
    <n v="0"/>
    <n v="0"/>
    <n v="0"/>
    <n v="719.6"/>
    <s v="OK"/>
    <n v="719.6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3"/>
    <s v="ADMINISTRACIÓN CENTRAL"/>
    <s v="ADQUISICIÓN DE NUMERADORAS AUTOMÁTICAS PARA DIFERENTES ÁREAS DEL CENTRO ZONAL PORTOVIEJO"/>
    <n v="1"/>
    <x v="2"/>
    <n v="1"/>
    <n v="0"/>
    <n v="1"/>
    <n v="1301"/>
    <s v="PORTOVIEJO"/>
    <n v="1"/>
    <n v="0"/>
    <n v="0"/>
    <s v="CORRIENTE"/>
    <x v="0"/>
    <n v="530804"/>
    <s v="MATERIALES DE OFICINA"/>
    <n v="0"/>
    <n v="585"/>
    <n v="0"/>
    <n v="0"/>
    <n v="0"/>
    <n v="0"/>
    <n v="0"/>
    <n v="300"/>
    <n v="0"/>
    <n v="285"/>
    <n v="0"/>
    <n v="0"/>
    <n v="0"/>
    <n v="0"/>
    <n v="585"/>
    <s v="OK"/>
    <n v="585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3"/>
    <s v="ADMINISTRACIÓN CENTRAL"/>
    <s v="ADQUISICIÓN DE MATERIALES DE OFICINA (RESMAS DE PAPEL) PARA EL CENTRO ZONAL PORTOVIEJO"/>
    <n v="1"/>
    <x v="2"/>
    <n v="1"/>
    <n v="0"/>
    <n v="1"/>
    <n v="1301"/>
    <s v="PORTOVIEJO"/>
    <n v="1"/>
    <n v="0"/>
    <n v="0"/>
    <s v="CORRIENTE"/>
    <x v="0"/>
    <n v="530804"/>
    <s v="MATERIALES DE OFICINA"/>
    <n v="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3"/>
    <s v="ADMINISTRACIÓN CENTRAL"/>
    <s v="ADQUISICIÓN DE MATERIALES DE OFICINA POR MEDIO DE CATÁLOGO ELECTRÓNICO PARA EL CENTRO ZONAL PORTOVIEJO"/>
    <n v="1"/>
    <x v="2"/>
    <n v="1"/>
    <n v="0"/>
    <n v="1"/>
    <n v="1301"/>
    <s v="PORTOVIEJO"/>
    <n v="1"/>
    <n v="0"/>
    <n v="0"/>
    <s v="CORRIENTE"/>
    <x v="0"/>
    <n v="530804"/>
    <s v="MATERIALES DE OFICINA"/>
    <n v="0"/>
    <n v="1200.8"/>
    <n v="0"/>
    <n v="0"/>
    <n v="0"/>
    <n v="1200.8"/>
    <n v="0"/>
    <n v="0"/>
    <n v="0"/>
    <n v="0"/>
    <n v="0"/>
    <n v="0"/>
    <n v="0"/>
    <n v="0"/>
    <n v="1200.8"/>
    <s v="OK"/>
    <n v="1200.8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3"/>
    <s v="ADMINISTRACIÓN CENTRAL"/>
    <s v="ADQUISICIÓN DE MATERIALES DE ASEO POR MEDIO DE CATÁLOGO ELECTRÓNICO PARA EL CENTRO ZONAL PORTOVIEJO"/>
    <n v="1"/>
    <x v="2"/>
    <n v="1"/>
    <n v="0"/>
    <n v="1"/>
    <n v="1301"/>
    <s v="PORTOVIEJO"/>
    <n v="1"/>
    <n v="0"/>
    <n v="0"/>
    <s v="CORRIENTE"/>
    <x v="0"/>
    <n v="530805"/>
    <s v="MATERIALES DE ASEO"/>
    <n v="0"/>
    <n v="149.44"/>
    <n v="0"/>
    <n v="0"/>
    <n v="0"/>
    <n v="149.44"/>
    <n v="0"/>
    <n v="0"/>
    <n v="0"/>
    <n v="0"/>
    <n v="0"/>
    <n v="0"/>
    <n v="0"/>
    <n v="0"/>
    <n v="149.44"/>
    <s v="OK"/>
    <n v="149.44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3"/>
    <s v="ADMINISTRACIÓN CENTRAL"/>
    <s v="ADQUISICIÓN DE DISPENSADORES PARA LOS BAÑOS POR MEDIO DE CATALOGO ELECTRÓNICO PARA EL CENTRO ZONAL PORTOVIEJO"/>
    <n v="1"/>
    <x v="2"/>
    <n v="1"/>
    <n v="0"/>
    <n v="1"/>
    <n v="1301"/>
    <s v="PORTOVIEJO"/>
    <n v="1"/>
    <n v="0"/>
    <n v="0"/>
    <s v="CORRIENTE"/>
    <x v="0"/>
    <n v="530805"/>
    <s v="MATERIALES DE ASEO"/>
    <n v="0"/>
    <n v="530.91999999999996"/>
    <n v="0"/>
    <n v="0"/>
    <n v="0"/>
    <n v="0"/>
    <n v="0"/>
    <n v="0"/>
    <n v="0"/>
    <n v="0"/>
    <n v="0"/>
    <n v="0"/>
    <n v="530.91999999999996"/>
    <n v="0"/>
    <n v="530.91999999999996"/>
    <s v="OK"/>
    <n v="530.91999999999996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3"/>
    <s v="ADMINISTRACIÓN CENTRAL"/>
    <s v="ADQUISICIÓN DE MATERIALES ELÉCTRICOS, PLOMERÍA, CARPINTERÍA Y OTROS INSUMOS PARA REALIZAR EL MANTENIMIENTO PREVENTIVO A LOS EDIFICIOS DE LA COORDINACIÓN ZONAL - 4 SERVICIO INTEGRADO DE SEGURIDAD ECU 911"/>
    <n v="1"/>
    <x v="2"/>
    <n v="1"/>
    <n v="0"/>
    <n v="1"/>
    <n v="1301"/>
    <s v="PORTOVIEJO"/>
    <n v="1"/>
    <n v="0"/>
    <n v="0"/>
    <s v="CORRIENTE"/>
    <x v="0"/>
    <n v="530805"/>
    <s v="MATERIALES DE ASEO"/>
    <n v="0"/>
    <n v="26"/>
    <n v="0"/>
    <n v="0"/>
    <n v="0"/>
    <n v="0"/>
    <n v="0"/>
    <n v="0"/>
    <n v="0"/>
    <n v="0"/>
    <n v="0"/>
    <n v="0"/>
    <n v="26"/>
    <n v="0"/>
    <n v="26"/>
    <s v="OK"/>
    <n v="26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3"/>
    <s v="ADMINISTRACIÓN CENTRAL"/>
    <s v="ADQUISICIÓN DE MATERIALES ELÉCTRICOS, PLOMERÍA, CARPINTERÍA Y OTROS INSUMOS PARA REALIZAR EL MANTENIMIENTO PREVENTIVO A LOS EDIFICIOS DE LA COORDINACIÓN ZONAL - 4 SERVICIO INTEGRADO DE SEGURIDAD ECU 911"/>
    <n v="1"/>
    <x v="2"/>
    <n v="1"/>
    <n v="0"/>
    <n v="1"/>
    <n v="1301"/>
    <s v="PORTOVIEJO"/>
    <n v="1"/>
    <n v="0"/>
    <n v="0"/>
    <s v="CORRIENTE"/>
    <x v="0"/>
    <n v="530811"/>
    <s v="INSUMOS, MATERIALES Y SUMINISTROS PARA CONSTRUCCIÓN, ELECTRICIDAD, PLOMERÍA, CARPINTERÍA, SEÑALIZACIÓN VIAL, NAVEGACIÓN, CONTRA INCENDIOS Y PLACAS"/>
    <n v="0"/>
    <n v="5986.2800000000007"/>
    <n v="0"/>
    <n v="0"/>
    <n v="0"/>
    <n v="0"/>
    <n v="0"/>
    <n v="0"/>
    <n v="0"/>
    <n v="0"/>
    <n v="0"/>
    <n v="0"/>
    <n v="5986.28"/>
    <n v="0"/>
    <n v="5986.28"/>
    <s v="OK"/>
    <n v="5955.31"/>
    <n v="30.970000000000255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3"/>
    <s v="ADMINISTRACIÓN CENTRAL"/>
    <s v="ADQUISICIÓN DE REPUESTOS PARA PURIFICADORES DE AGUA, INCLUYE MANTENIMIENTO PARA LA COORDINACIÓN ZONAL 4 SERVICIO INTEGRADO DE SEGURIDAD ECU 911"/>
    <n v="1"/>
    <x v="2"/>
    <n v="1"/>
    <n v="0"/>
    <n v="1"/>
    <n v="1301"/>
    <s v="PORTOVIEJO"/>
    <n v="1"/>
    <n v="0"/>
    <n v="0"/>
    <s v="CORRIENTE"/>
    <x v="0"/>
    <n v="530813"/>
    <s v="REPUESTOS Y ACCESORIOS"/>
    <n v="0"/>
    <n v="2115.5"/>
    <n v="0"/>
    <n v="0"/>
    <n v="0"/>
    <n v="0"/>
    <n v="0"/>
    <n v="0"/>
    <n v="0"/>
    <n v="0"/>
    <n v="0"/>
    <n v="0"/>
    <n v="2115.5"/>
    <n v="0"/>
    <n v="2115.5"/>
    <s v="OK"/>
    <n v="2036.5"/>
    <n v="79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3"/>
    <s v="ADMINISTRACIÓN CENTRAL"/>
    <s v="MANTENIMIENTO PREVENTIVO Y CORRECTIVO DE VEHÍCULOS DEL CENTRO ZONAL PORTOVIEJO"/>
    <n v="1"/>
    <x v="2"/>
    <n v="1"/>
    <n v="0"/>
    <n v="1"/>
    <n v="1301"/>
    <s v="PORTOVIEJO"/>
    <n v="1"/>
    <n v="0"/>
    <n v="0"/>
    <s v="CORRIENTE"/>
    <x v="0"/>
    <n v="530813"/>
    <s v="REPUESTOS Y ACCESORIOS"/>
    <n v="3000"/>
    <n v="2300"/>
    <n v="0"/>
    <n v="400"/>
    <n v="0"/>
    <n v="450"/>
    <n v="0"/>
    <n v="450"/>
    <n v="0"/>
    <n v="500"/>
    <n v="0"/>
    <n v="500"/>
    <n v="0"/>
    <n v="0"/>
    <n v="2300"/>
    <s v="OK"/>
    <n v="230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6"/>
    <s v="COMUNICACIÓN SOCIAL"/>
    <s v="ADQUISICIÓN DE TRAJES DE ECUTRÓN INFLABLES PARA ACTIVIDADES DE VINCULACIÓN CON LA COMUNIDAD DE LA COORDINACIÓN ZONAL - 4 SERVICIO INTEGRADO DE SEGURIDAD ECU 911"/>
    <n v="1"/>
    <x v="2"/>
    <n v="1"/>
    <n v="0"/>
    <n v="1"/>
    <n v="1301"/>
    <s v="PORTOVIEJO"/>
    <n v="1"/>
    <n v="0"/>
    <n v="0"/>
    <s v="CORRIENTE"/>
    <x v="0"/>
    <n v="531404"/>
    <s v="MAQUINARIAS Y EQUIPOS"/>
    <n v="0"/>
    <n v="1240"/>
    <n v="0"/>
    <n v="0"/>
    <n v="0"/>
    <n v="0"/>
    <n v="0"/>
    <n v="1240"/>
    <n v="0"/>
    <n v="0"/>
    <n v="0"/>
    <n v="0"/>
    <n v="0"/>
    <n v="0"/>
    <n v="1240"/>
    <s v="OK"/>
    <n v="124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3"/>
    <s v="ADMINISTRACIÓN CENTRAL"/>
    <s v="CONTRIBUCIÓN ESPECIAL POR MEJORAS, TASA DE SEGURIDAD Y TASA DE RIESGO AL MUNICIPIO DE PORTOVIEJO, CORRESPONDIENTE A LOS PREDIOS DEL CENTRO ZONAL PORTOVIEJO"/>
    <n v="1"/>
    <x v="2"/>
    <n v="1"/>
    <n v="0"/>
    <n v="1"/>
    <n v="1301"/>
    <s v="PORTOVIEJO"/>
    <n v="1"/>
    <n v="0"/>
    <n v="0"/>
    <s v="CORRIENTE"/>
    <x v="1"/>
    <n v="570102"/>
    <s v="TASAS GENERALES, IMPUESTOS, CONTRIBUCIONES, PERMISOS, LICENCIAS Y PATENTES"/>
    <n v="600"/>
    <n v="1291.8699999999999"/>
    <n v="0"/>
    <n v="0"/>
    <n v="1291.8699999999999"/>
    <n v="0"/>
    <n v="0"/>
    <n v="0"/>
    <n v="0"/>
    <n v="0"/>
    <n v="0"/>
    <n v="0"/>
    <n v="0"/>
    <n v="0"/>
    <n v="1291.8699999999999"/>
    <s v="OK"/>
    <n v="1291.8699999999999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3"/>
    <s v="ADMINISTRACIÓN CENTRAL"/>
    <s v="TASA DE SERVICIO AL CUERPO DE BOMBEROS PORTOVIEJO, CORRESPONDIENTE AL PERMISO DE FUNCIONAMIENTO DE LA COORDINACIÓN ZONAL - 4 SERVICIO INTEGRADO DE SEGURIDAD ECU 911"/>
    <n v="1"/>
    <x v="2"/>
    <n v="1"/>
    <n v="0"/>
    <n v="1"/>
    <n v="1301"/>
    <s v="PORTOVIEJO"/>
    <n v="1"/>
    <n v="0"/>
    <n v="0"/>
    <s v="CORRIENTE"/>
    <x v="1"/>
    <n v="570102"/>
    <s v="TASAS GENERALES, IMPUESTOS, CONTRIBUCIONES, PERMISOS, LICENCIAS Y PATENTES"/>
    <n v="9350"/>
    <n v="302.89999999999964"/>
    <n v="0"/>
    <n v="302.89999999999998"/>
    <n v="0"/>
    <n v="0"/>
    <n v="0"/>
    <n v="0"/>
    <n v="0"/>
    <n v="0"/>
    <n v="0"/>
    <n v="0"/>
    <n v="0"/>
    <n v="0"/>
    <n v="302.89999999999998"/>
    <s v="OK"/>
    <n v="302.89999999999998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3"/>
    <s v="ADMINISTRACIÓN CENTRAL"/>
    <s v="MATRICULACIÓN VEHICULAR (RENOVACIÓN DE MATRÍCULA Y REVISIÓN TÉCNICA VEHICULAR EN PORTOVIAL EP) DE LOS VEHÍCULOS DEL CENTRO ZONAL PORTOVIEJO"/>
    <n v="1"/>
    <x v="2"/>
    <n v="1"/>
    <n v="0"/>
    <n v="1"/>
    <n v="1301"/>
    <s v="PORTOVIEJO"/>
    <n v="1"/>
    <n v="0"/>
    <n v="0"/>
    <s v="CORRIENTE"/>
    <x v="1"/>
    <n v="570102"/>
    <s v="TASAS GENERALES, IMPUESTOS, CONTRIBUCIONES, PERMISOS, LICENCIAS Y PATENTES"/>
    <n v="150"/>
    <n v="123.33"/>
    <n v="0"/>
    <n v="0"/>
    <n v="0"/>
    <n v="0"/>
    <n v="123.33"/>
    <n v="0"/>
    <n v="0"/>
    <n v="0"/>
    <n v="0"/>
    <n v="0"/>
    <n v="0"/>
    <n v="0"/>
    <n v="123.33"/>
    <s v="OK"/>
    <n v="123.33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3"/>
    <s v="ADMINISTRACIÓN CENTRAL"/>
    <s v="MATRÍCULA VEHICULAR DE LOS VEHÍCULOS DEL CENTRO ZONAL PORTOVIEJO"/>
    <n v="1"/>
    <x v="2"/>
    <n v="1"/>
    <n v="0"/>
    <n v="1"/>
    <n v="1301"/>
    <s v="PORTOVIEJO"/>
    <n v="1"/>
    <n v="0"/>
    <n v="0"/>
    <s v="CORRIENTE"/>
    <x v="1"/>
    <n v="570102"/>
    <s v="TASAS GENERALES, IMPUESTOS, CONTRIBUCIONES, PERMISOS, LICENCIAS Y PATENTES"/>
    <n v="305"/>
    <n v="287.42"/>
    <n v="0"/>
    <n v="0"/>
    <n v="0"/>
    <n v="0"/>
    <n v="287.42"/>
    <n v="0"/>
    <n v="0"/>
    <n v="0"/>
    <n v="0"/>
    <n v="0"/>
    <n v="0"/>
    <n v="0"/>
    <n v="287.42"/>
    <s v="OK"/>
    <n v="287.42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3"/>
    <s v="ADMINISTRACIÓN CENTRAL"/>
    <s v="MATRICULACIÓN VEHICULAR (CONTRIBUCIÓN ESPECIAL POR MEJORAMIENTO VIAL RURAL (CEM VIAL) EN EL GOBIERNO DE MANABÍ) DE LOS VEHÍCULOS DEL CENTRO ZONAL PORTOVIEJO"/>
    <n v="1"/>
    <x v="2"/>
    <n v="1"/>
    <n v="0"/>
    <n v="1"/>
    <n v="1301"/>
    <s v="PORTOVIEJO"/>
    <n v="1"/>
    <n v="0"/>
    <n v="0"/>
    <s v="CORRIENTE"/>
    <x v="1"/>
    <n v="570102"/>
    <s v="TASAS GENERALES, IMPUESTOS, CONTRIBUCIONES, PERMISOS, LICENCIAS Y PATENTES"/>
    <n v="100"/>
    <n v="33.36"/>
    <n v="0"/>
    <n v="0"/>
    <n v="0"/>
    <n v="0"/>
    <n v="33.36"/>
    <n v="0"/>
    <n v="0"/>
    <n v="0"/>
    <n v="0"/>
    <n v="0"/>
    <n v="0"/>
    <n v="0"/>
    <n v="33.36"/>
    <s v="OK"/>
    <n v="33.36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3"/>
    <s v="ADMINISTRACIÓN CENTRAL"/>
    <s v="PAGO POR DECLARACIÓN DE TRIBUTOS A LA ACTIVIDAD ECONÓMICA DE LA COORDINACIÓN ZONAL 4 SERVICIO INTEGRADO DE SEGURIDAD ECU911 EN EL MUNICIPIO DE PORTOVIEJO"/>
    <n v="1"/>
    <x v="2"/>
    <n v="1"/>
    <n v="0"/>
    <n v="1"/>
    <n v="1301"/>
    <s v="PORTOVIEJO"/>
    <n v="1"/>
    <n v="0"/>
    <n v="0"/>
    <s v="CORRIENTE"/>
    <x v="1"/>
    <n v="570102"/>
    <s v="TASAS GENERALES, IMPUESTOS, CONTRIBUCIONES, PERMISOS, LICENCIAS Y PATENTES"/>
    <n v="100"/>
    <n v="100"/>
    <n v="0"/>
    <n v="100"/>
    <n v="0"/>
    <n v="0"/>
    <n v="0"/>
    <n v="0"/>
    <n v="0"/>
    <n v="0"/>
    <n v="0"/>
    <n v="0"/>
    <n v="0"/>
    <n v="0"/>
    <n v="100"/>
    <s v="OK"/>
    <n v="0"/>
    <n v="10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3"/>
    <s v="ADMINISTRACIÓN CENTRAL"/>
    <s v="ACTUALIZACIÓN DEL PAGO DE TASA DE SERVICIO AL CUERPO DE BOMBEROS PORTOVIEJO, CORRESPONDIENTE AL PERMISO DE FUNCIONAMIENTO DE LA COORDINACIÓN ZONAL – 4 SERVICIO INTEGRADO DE SEGURIDAD ECU 911"/>
    <n v="1"/>
    <x v="2"/>
    <n v="1"/>
    <n v="0"/>
    <n v="1"/>
    <n v="1301"/>
    <s v="PORTOVIEJO"/>
    <n v="1"/>
    <n v="0"/>
    <n v="0"/>
    <s v="CORRIENTE"/>
    <x v="1"/>
    <n v="570102"/>
    <s v="TASAS GENERALES, IMPUESTOS, CONTRIBUCIONES, PERMISOS, LICENCIAS Y PATENTES"/>
    <n v="0"/>
    <n v="102"/>
    <n v="0"/>
    <n v="0"/>
    <n v="0"/>
    <n v="0"/>
    <n v="0"/>
    <n v="0"/>
    <n v="0"/>
    <n v="0"/>
    <n v="102"/>
    <n v="0"/>
    <n v="0"/>
    <n v="0"/>
    <n v="102"/>
    <s v="OK"/>
    <n v="102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3"/>
    <s v="ADMINISTRACIÓN CENTRAL"/>
    <s v="TASA DE SERVICIO Y CONTRIBUCIÓN PREDIAL AL CUERPO DE BOMBEROS PORTOVIEJO, CORRESPONDIENTE A LOS PREDIOS DEL CENTRO ZONAL PORTOVIEJO"/>
    <n v="1"/>
    <x v="2"/>
    <n v="1"/>
    <n v="0"/>
    <n v="1"/>
    <n v="1301"/>
    <s v="PORTOVIEJO"/>
    <n v="1"/>
    <n v="0"/>
    <n v="0"/>
    <s v="CORRIENTE"/>
    <x v="1"/>
    <n v="570102"/>
    <s v="TASAS GENERALES, IMPUESTOS, CONTRIBUCIONES, PERMISOS, LICENCIAS Y PATENTES"/>
    <n v="50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3"/>
    <s v="ADMINISTRACIÓN CENTRAL"/>
    <s v="PAGO DE VIÁTICOS, REINTEGRO POR PAGO DE PASAJES AL INTERIOR, REEMBOLSO POR PAGO DE COMBUSTIBLE Y PEAJES POR COMISIÓN DE SERVICIOS AL PERSONAL DEL CENTRO ZONAL PORTOVIEJO"/>
    <n v="1"/>
    <x v="2"/>
    <n v="1"/>
    <n v="0"/>
    <n v="1"/>
    <n v="1301"/>
    <s v="PORTOVIEJO"/>
    <n v="1"/>
    <n v="0"/>
    <n v="0"/>
    <s v="CORRIENTE"/>
    <x v="1"/>
    <n v="570102"/>
    <s v="TASAS GENERALES, IMPUESTOS, CONTRIBUCIONES, PERMISOS, LICENCIAS Y PATENTES"/>
    <n v="0"/>
    <n v="50"/>
    <n v="0"/>
    <n v="0"/>
    <n v="0"/>
    <n v="5"/>
    <n v="5"/>
    <n v="5"/>
    <n v="5"/>
    <n v="6"/>
    <n v="6"/>
    <n v="6"/>
    <n v="6"/>
    <n v="6"/>
    <n v="50"/>
    <s v="OK"/>
    <n v="5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3"/>
    <s v="ADMINISTRACIÓN CENTRAL"/>
    <s v="CONTRIBUCIÓN PREDIAL AL CUERPO DE BOMBEROS DE MANTA"/>
    <n v="1"/>
    <x v="2"/>
    <n v="1"/>
    <n v="0"/>
    <n v="1"/>
    <n v="1301"/>
    <s v="PORTOVIEJO"/>
    <n v="1"/>
    <n v="0"/>
    <n v="0"/>
    <s v="CORRIENTE"/>
    <x v="1"/>
    <n v="570102"/>
    <s v="TASAS GENERALES, IMPUESTOS, CONTRIBUCIONES, PERMISOS, LICENCIAS Y PATENTES"/>
    <n v="10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3"/>
    <s v="ADMINISTRACIÓN CENTRAL"/>
    <s v="TASA DE SERVICIO Y CONTRIBUCIÓN PREDIAL AL CUERPO DE BOMBEROS PORTOVIEJO, CORRESPONDIENTE A LOS PREDIOS DEL CENTRO ZONAL PORTOVIEJO"/>
    <n v="1"/>
    <x v="2"/>
    <n v="1"/>
    <n v="0"/>
    <n v="1"/>
    <n v="1301"/>
    <s v="PORTOVIEJO"/>
    <n v="1"/>
    <n v="0"/>
    <n v="0"/>
    <s v="CORRIENTE"/>
    <x v="1"/>
    <n v="570102"/>
    <s v="TASAS GENERALES, IMPUESTOS, CONTRIBUCIONES, PERMISOS, LICENCIAS Y PATENTES"/>
    <n v="60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3"/>
    <s v="ADMINISTRACIÓN CENTRAL"/>
    <s v="CONTRIBUCIÓN PREDIAL AL CUERPO DE BOMBEROS DE MANTA"/>
    <n v="1"/>
    <x v="2"/>
    <n v="1"/>
    <n v="0"/>
    <n v="1"/>
    <n v="1301"/>
    <s v="PORTOVIEJO"/>
    <n v="1"/>
    <n v="0"/>
    <n v="0"/>
    <s v="CORRIENTE"/>
    <x v="1"/>
    <n v="570104"/>
    <s v="CONTRIBUCIONES ESPECIALES Y DE MEJORA"/>
    <n v="0"/>
    <n v="42.35"/>
    <n v="0"/>
    <n v="42.35"/>
    <n v="0"/>
    <n v="0"/>
    <n v="0"/>
    <n v="0"/>
    <n v="0"/>
    <n v="0"/>
    <n v="0"/>
    <n v="0"/>
    <n v="0"/>
    <n v="0"/>
    <n v="42.35"/>
    <s v="OK"/>
    <n v="42.35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3"/>
    <s v="ADMINISTRACIÓN CENTRAL"/>
    <s v="CONTRIBUCIÓN ESPECIAL POR MEJORAS, TASA DE SEGURIDAD Y TASA DE RIESGO AL MUNICIPIO DE PORTOVIEJO, CORRESPONDIENTE A LOS PREDIOS DEL CENTRO ZONAL PORTOVIEJO"/>
    <n v="1"/>
    <x v="2"/>
    <n v="1"/>
    <n v="0"/>
    <n v="1"/>
    <n v="1301"/>
    <s v="PORTOVIEJO"/>
    <n v="1"/>
    <n v="0"/>
    <n v="0"/>
    <s v="CORRIENTE"/>
    <x v="1"/>
    <n v="570104"/>
    <s v="CONTRIBUCIONES ESPECIALES Y DE MEJORA"/>
    <n v="1000"/>
    <n v="1469.6499999999996"/>
    <n v="0"/>
    <n v="0"/>
    <n v="1469.65"/>
    <n v="0"/>
    <n v="0"/>
    <n v="0"/>
    <n v="0"/>
    <n v="0"/>
    <n v="0"/>
    <n v="0"/>
    <n v="0"/>
    <n v="0"/>
    <n v="1469.65"/>
    <s v="OK"/>
    <n v="1469.65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3"/>
    <s v="ADMINISTRACIÓN CENTRAL"/>
    <s v="PAGO DE REGISTRO DE ESCRITURA PÚBLICA DEL TERRENO DE LA COORDINACIÓN ZONAL – 4 SERVICIO INTEGRADO DE SEGURIDAD ECU 911 TRASPASADOS POR EL SERVICIO INTEGRADO DE SEGURIDAD ECU 911 EN EL REGISTRO DE LA PROPIEDAD DE PORTOVIEJO"/>
    <n v="1"/>
    <x v="2"/>
    <n v="1"/>
    <n v="0"/>
    <n v="1"/>
    <n v="1301"/>
    <s v="PORTOVIEJO"/>
    <n v="1"/>
    <n v="0"/>
    <n v="0"/>
    <s v="CORRIENTE"/>
    <x v="1"/>
    <n v="570206"/>
    <s v="COSTAS JUDICIALES, TRÁMITES NOTARIALES,  LEGALIZACIÓN DE DOCUMENTOS Y ARREGLOS EXTRAJUDICIALES"/>
    <n v="0"/>
    <n v="5765.57"/>
    <n v="0"/>
    <n v="0"/>
    <n v="0"/>
    <n v="0"/>
    <n v="0"/>
    <n v="0"/>
    <n v="0"/>
    <n v="0"/>
    <n v="0"/>
    <n v="0"/>
    <n v="5765.57"/>
    <n v="0"/>
    <n v="5765.57"/>
    <s v="OK"/>
    <n v="0"/>
    <n v="5765.57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2 INCREMENTAR LA ARTICULACIÓN INTERINSTITUCIONAL EN LA PRESTACIÓN DE SERVICIOS DE ATENCIÓN DE EMERGENCIAS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5"/>
    <s v="TECNOLOGÍA"/>
    <s v="PROVISIÓN DEL SERVICIO DE TELEFONÍA FIJA, ENLACES DE DATOS, INTERNET, SERVICIOS MÓVILES Y SERVICIOS DE SEGURIDAD INFORMÁTICA PARA EL CENTRO OPERATIVO ZONAL ECU 911 PORTOVIEJO"/>
    <n v="1"/>
    <x v="2"/>
    <n v="55"/>
    <n v="0"/>
    <n v="3"/>
    <n v="1301"/>
    <s v="PORTOVIEJO"/>
    <n v="1"/>
    <n v="0"/>
    <n v="0"/>
    <s v="CORRIENTE"/>
    <x v="0"/>
    <n v="530105"/>
    <s v="TELECOMUNICACIONES"/>
    <n v="230000"/>
    <n v="139487.02999999997"/>
    <n v="18750"/>
    <n v="30750"/>
    <n v="18500"/>
    <n v="18000"/>
    <n v="18000"/>
    <n v="16000"/>
    <n v="7487.03"/>
    <n v="4000"/>
    <n v="2000"/>
    <n v="2000"/>
    <n v="2000"/>
    <n v="2000"/>
    <n v="139487.03"/>
    <s v="OK"/>
    <n v="122864.46000000002"/>
    <n v="16622.569999999949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2 INCREMENTAR LA ARTICULACIÓN INTERINSTITUCIONAL EN LA PRESTACIÓN DE SERVICIOS DE ATENCIÓN DE EMERGENCIAS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5"/>
    <s v="TECNOLOGÍA"/>
    <s v="SOSTENIMIENTO TECNOLÓGICO DE SITIOS DE VIDEO VIGILANCIA PARA LA COORDINACIÓN ZONAL 4 DEL SIS ECU 911"/>
    <n v="1"/>
    <x v="2"/>
    <n v="55"/>
    <n v="0"/>
    <n v="3"/>
    <n v="1301"/>
    <s v="PORTOVIEJO"/>
    <n v="1"/>
    <n v="0"/>
    <n v="0"/>
    <s v="CORRIENTE"/>
    <x v="0"/>
    <n v="530704"/>
    <s v="MANTENIMIENTO Y REPARACIÓN DE EQUIPOS Y SISTEMAS INFORMÁTICOS "/>
    <n v="120615"/>
    <n v="116007.61"/>
    <n v="0"/>
    <n v="0"/>
    <n v="0"/>
    <n v="14069"/>
    <n v="14069"/>
    <n v="14069"/>
    <n v="13408"/>
    <n v="13000"/>
    <n v="13000"/>
    <n v="13000"/>
    <n v="13000"/>
    <n v="8392.61"/>
    <n v="116007.61"/>
    <s v="OK"/>
    <n v="111465.49"/>
    <n v="4542.1199999999953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2 INCREMENTAR LA ARTICULACIÓN INTERINSTITUCIONAL EN LA PRESTACIÓN DE SERVICIOS DE ATENCIÓN DE EMERGENCIAS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5"/>
    <s v="TECNOLOGÍA"/>
    <s v="SERVICIO DE MANTENIMIENTO CORRECTIVO DE EQUIPOS ELECTRÓNICOS PARA LA COORDINACIÓN ZONAL 4 SIS ECU 911"/>
    <n v="1"/>
    <x v="2"/>
    <n v="55"/>
    <n v="0"/>
    <n v="3"/>
    <n v="1301"/>
    <s v="PORTOVIEJO"/>
    <n v="1"/>
    <n v="0"/>
    <n v="0"/>
    <s v="CORRIENTE"/>
    <x v="0"/>
    <n v="530704"/>
    <s v="MANTENIMIENTO Y REPARACIÓN DE EQUIPOS Y SISTEMAS INFORMÁTICOS "/>
    <n v="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2 INCREMENTAR LA ARTICULACIÓN INTERINSTITUCIONAL EN LA PRESTACIÓN DE SERVICIOS DE ATENCIÓN DE EMERGENCIAS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5"/>
    <s v="TECNOLOGÍA"/>
    <s v="SERVICIO DE MANTENIMIENTO CORRECTIVO PARA LOS MONITORES LCD DE LA COORDINACIÓN ZONAL 4 SIS ECU 911"/>
    <n v="1"/>
    <x v="2"/>
    <n v="55"/>
    <n v="0"/>
    <n v="3"/>
    <n v="1301"/>
    <s v="PORTOVIEJO"/>
    <n v="1"/>
    <n v="0"/>
    <n v="0"/>
    <s v="CORRIENTE"/>
    <x v="0"/>
    <n v="530704"/>
    <s v="MANTENIMIENTO Y REPARACIÓN DE EQUIPOS Y SISTEMAS INFORMÁTICOS "/>
    <n v="0"/>
    <n v="3500"/>
    <n v="0"/>
    <n v="0"/>
    <n v="0"/>
    <n v="0"/>
    <n v="0"/>
    <n v="0"/>
    <n v="0"/>
    <n v="3500"/>
    <n v="0"/>
    <n v="0"/>
    <n v="0"/>
    <n v="0"/>
    <n v="3500"/>
    <s v="OK"/>
    <n v="1640"/>
    <n v="186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2 INCREMENTAR LA ARTICULACIÓN INTERINSTITUCIONAL EN LA PRESTACIÓN DE SERVICIOS DE ATENCIÓN DE EMERGENCIAS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5"/>
    <s v="TECNOLOGÍA"/>
    <s v="SERVICIO DE MANTENIMIENTO EMERGENTE DE SERVIDORES PARA LA  COORDINACIÓN ZONAL 4 SIS ECU 911"/>
    <n v="1"/>
    <x v="2"/>
    <n v="55"/>
    <n v="0"/>
    <n v="3"/>
    <n v="1301"/>
    <s v="PORTOVIEJO"/>
    <n v="1"/>
    <n v="0"/>
    <n v="0"/>
    <s v="CORRIENTE"/>
    <x v="0"/>
    <n v="530704"/>
    <s v="MANTENIMIENTO Y REPARACIÓN DE EQUIPOS Y SISTEMAS INFORMÁTICOS "/>
    <n v="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2 INCREMENTAR LA ARTICULACIÓN INTERINSTITUCIONAL EN LA PRESTACIÓN DE SERVICIOS DE ATENCIÓN DE EMERGENCIAS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5"/>
    <s v="TECNOLOGÍA"/>
    <s v="MANTENIMIENTO TECNOLÓGICO CORRECTIVO DE LOS PUNTOS DE ALERTA TEMPRANA Y CENTRO DE CONTROL, QUE FORMAN PARTE DEL SISTEMA NACIONAL DE ALERTA TEMPRANA FRENTE A EVENTOS ADVERSOS DE TSUNAMI Y DESBORDAMIENTO DE REPRESAS DE LA COORDINACIÓN ZONAL 4"/>
    <n v="1"/>
    <x v="2"/>
    <n v="55"/>
    <n v="0"/>
    <n v="3"/>
    <n v="1301"/>
    <s v="PORTOVIEJO"/>
    <n v="1"/>
    <n v="0"/>
    <n v="0"/>
    <s v="CORRIENTE"/>
    <x v="0"/>
    <n v="530704"/>
    <s v="MANTENIMIENTO Y REPARACIÓN DE EQUIPOS Y SISTEMAS INFORMÁTICOS "/>
    <n v="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2 INCREMENTAR LA ARTICULACIÓN INTERINSTITUCIONAL EN LA PRESTACIÓN DE SERVICIOS DE ATENCIÓN DE EMERGENCIAS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5"/>
    <s v="TECNOLOGÍA"/>
    <s v="ADQUISICIÓN DE REPUESTOS, EQUIPOS E INSUMOS PARA EL SOSTENIMIENTO TECNOLÓGICO DE PUNTOS DE ALERTA TEMPRANA Y CENTRO DE CONTROL, QUE FORMAN PARTE DEL SISTEMA NACIONAL DE ALERTA TEMPRANA FRENTE A EVENTOS ADVERSOS  DE TSUNAMI Y DESBORDAMIENTO DE RIOS Y REPRESAS DE LA COORDINACIÓN ZONAL 4"/>
    <n v="1"/>
    <x v="2"/>
    <n v="55"/>
    <n v="0"/>
    <n v="3"/>
    <n v="1301"/>
    <s v="PORTOVIEJO"/>
    <n v="1"/>
    <n v="0"/>
    <n v="0"/>
    <s v="CORRIENTE"/>
    <x v="0"/>
    <n v="530704"/>
    <s v="MANTENIMIENTO Y REPARACIÓN DE EQUIPOS Y SISTEMAS INFORMÁTICOS "/>
    <n v="0"/>
    <n v="47152.46"/>
    <n v="0"/>
    <n v="0"/>
    <n v="0"/>
    <n v="0"/>
    <n v="0"/>
    <n v="0"/>
    <n v="0"/>
    <n v="0"/>
    <n v="0"/>
    <n v="0"/>
    <n v="47152.46"/>
    <n v="0"/>
    <n v="47152.46"/>
    <s v="OK"/>
    <n v="47151.51"/>
    <n v="0.94999999999708962"/>
    <s v="R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2 INCREMENTAR LA ARTICULACIÓN INTERINSTITUCIONAL EN LA PRESTACIÓN DE SERVICIOS DE ATENCIÓN DE EMERGENCIAS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5"/>
    <s v="TECNOLOGÍA"/>
    <s v="ADQUISICIÓN DE REPUESTOS, PARTES Y ACCESORIOS INCLUIDO EL MANTENIMIENTO Y REPARACIÓN PARA LAS IMPRESORAS DE LA COORDINACION ZONAL 4 DEL SIS ECU 911"/>
    <n v="1"/>
    <x v="2"/>
    <n v="55"/>
    <n v="0"/>
    <n v="3"/>
    <n v="1301"/>
    <s v="PORTOVIEJO"/>
    <n v="1"/>
    <n v="0"/>
    <n v="0"/>
    <s v="CORRIENTE"/>
    <x v="0"/>
    <n v="530704"/>
    <s v="MANTENIMIENTO Y REPARACIÓN DE EQUIPOS Y SISTEMAS INFORMÁTICOS "/>
    <n v="500"/>
    <n v="500"/>
    <n v="0"/>
    <n v="0"/>
    <n v="0"/>
    <n v="500"/>
    <n v="0"/>
    <n v="0"/>
    <n v="0"/>
    <n v="0"/>
    <n v="0"/>
    <n v="0"/>
    <n v="0"/>
    <n v="0"/>
    <n v="500"/>
    <s v="OK"/>
    <n v="430"/>
    <n v="70"/>
    <s v="R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2 INCREMENTAR LA ARTICULACIÓN INTERINSTITUCIONAL EN LA PRESTACIÓN DE SERVICIOS DE ATENCIÓN DE EMERGENCIAS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5"/>
    <s v="TECNOLOGÍA"/>
    <s v="ADQUISICIÓN DE REPUESTOS, EQUIPOS, HERRAMIENTAS, MATERIALES E INSUMOS TECNOLÓGICOS PARA LA COORDINACIÓN ZONAL 4 DEL SIS ECU 911"/>
    <n v="1"/>
    <x v="2"/>
    <n v="55"/>
    <n v="0"/>
    <n v="3"/>
    <n v="1301"/>
    <s v="PORTOVIEJO"/>
    <n v="1"/>
    <n v="0"/>
    <n v="0"/>
    <s v="CORRIENTE"/>
    <x v="0"/>
    <n v="530803"/>
    <s v="LUBRICANTES"/>
    <n v="100"/>
    <n v="87.5"/>
    <n v="0"/>
    <n v="0"/>
    <n v="0"/>
    <n v="0"/>
    <n v="87.5"/>
    <n v="0"/>
    <n v="0"/>
    <n v="0"/>
    <n v="0"/>
    <n v="0"/>
    <n v="0"/>
    <n v="0"/>
    <n v="87.5"/>
    <s v="OK"/>
    <n v="75"/>
    <n v="12.5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2 INCREMENTAR LA ARTICULACIÓN INTERINSTITUCIONAL EN LA PRESTACIÓN DE SERVICIOS DE ATENCIÓN DE EMERGENCIAS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5"/>
    <s v="TECNOLOGÍA"/>
    <s v="ADQUISICIÓN DE REPUESTOS, EQUIPOS, HERRAMIENTAS, MATERIALES E INSUMOS TECNOLÓGICOS PARA LA COORDINACIÓN ZONAL 4 DEL SIS ECU 911"/>
    <n v="1"/>
    <x v="2"/>
    <n v="55"/>
    <n v="0"/>
    <n v="3"/>
    <n v="1301"/>
    <s v="PORTOVIEJO"/>
    <n v="1"/>
    <n v="0"/>
    <n v="0"/>
    <s v="CORRIENTE"/>
    <x v="0"/>
    <n v="530805"/>
    <s v="MATERIALES DE ASEO"/>
    <n v="100"/>
    <n v="72.5"/>
    <n v="0"/>
    <n v="0"/>
    <n v="0"/>
    <n v="0"/>
    <n v="72.5"/>
    <n v="0"/>
    <n v="0"/>
    <n v="0"/>
    <n v="0"/>
    <n v="0"/>
    <n v="0"/>
    <n v="0"/>
    <n v="72.5"/>
    <s v="OK"/>
    <n v="45"/>
    <n v="27.5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2 INCREMENTAR LA ARTICULACIÓN INTERINSTITUCIONAL EN LA PRESTACIÓN DE SERVICIOS DE ATENCIÓN DE EMERGENCIAS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5"/>
    <s v="TECNOLOGÍA"/>
    <s v="ADQUISICIÓN DE TÓNERS PARA IMPRESORAS PARA LA COORDINACIÓN ZONAL 4 DEL SERVICIO INTEGRADO DE SEGURIDAD ECU 911 MEDIANTE ÍNFIMA CUANTÍA"/>
    <n v="1"/>
    <x v="2"/>
    <n v="55"/>
    <n v="0"/>
    <n v="3"/>
    <n v="1301"/>
    <s v="PORTOVIEJO"/>
    <n v="1"/>
    <n v="0"/>
    <n v="0"/>
    <s v="CORRIENTE"/>
    <x v="0"/>
    <n v="530807"/>
    <s v="MATERIALES DE IMPRESIÓN, FOTOGRAFÍA, REPRODUCCIÓN Y PUBLICACIONES"/>
    <n v="0"/>
    <n v="155"/>
    <n v="0"/>
    <n v="0"/>
    <n v="0"/>
    <n v="0"/>
    <n v="0"/>
    <n v="0"/>
    <n v="0"/>
    <n v="0"/>
    <n v="155"/>
    <n v="0"/>
    <n v="0"/>
    <n v="0"/>
    <n v="155"/>
    <s v="OK"/>
    <n v="0"/>
    <n v="155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2 INCREMENTAR LA ARTICULACIÓN INTERINSTITUCIONAL EN LA PRESTACIÓN DE SERVICIOS DE ATENCIÓN DE EMERGENCIAS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5"/>
    <s v="TECNOLOGÍA"/>
    <s v="ADQUISICIÓN DE TÓNERS PARA IMPRESORAS PARA LA COORDINACIÓN ZONAL 4 DEL SERVICIO INTEGRADO DE SEGURIDAD ECU 911 MEDIANTE CATÁLOGO ELECTRÓNICO"/>
    <n v="1"/>
    <x v="2"/>
    <n v="55"/>
    <n v="0"/>
    <n v="3"/>
    <n v="1301"/>
    <s v="PORTOVIEJO"/>
    <n v="1"/>
    <n v="0"/>
    <n v="0"/>
    <s v="CORRIENTE"/>
    <x v="0"/>
    <n v="530807"/>
    <s v="MATERIALES DE IMPRESIÓN, FOTOGRAFÍA, REPRODUCCIÓN Y PUBLICACIONES"/>
    <n v="0"/>
    <n v="4947.3"/>
    <n v="0"/>
    <n v="0"/>
    <n v="0"/>
    <n v="0"/>
    <n v="0"/>
    <n v="0"/>
    <n v="0"/>
    <n v="0"/>
    <n v="4947.3"/>
    <n v="0"/>
    <n v="0"/>
    <n v="0"/>
    <n v="4947.3"/>
    <s v="OK"/>
    <n v="4947.3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2 INCREMENTAR LA ARTICULACIÓN INTERINSTITUCIONAL EN LA PRESTACIÓN DE SERVICIOS DE ATENCIÓN DE EMERGENCIAS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5"/>
    <s v="TECNOLOGÍA"/>
    <s v="ADQUISICIÓN DE TÓNERS PARA IMPRESORAS PARA LA COORDINACION ZONAL 4 DEL SIS ECU 911"/>
    <n v="1"/>
    <x v="2"/>
    <n v="55"/>
    <n v="0"/>
    <n v="3"/>
    <n v="1301"/>
    <s v="PORTOVIEJO"/>
    <n v="1"/>
    <n v="0"/>
    <n v="0"/>
    <s v="CORRIENTE"/>
    <x v="0"/>
    <n v="530807"/>
    <s v="MATERIALES DE IMPRESIÓN, FOTOGRAFÍA, REPRODUCCIÓN Y PUBLICACIONES"/>
    <n v="3700"/>
    <n v="0"/>
    <n v="0"/>
    <n v="0"/>
    <n v="0"/>
    <n v="0"/>
    <n v="0"/>
    <n v="0"/>
    <n v="0"/>
    <n v="0"/>
    <n v="0"/>
    <n v="0"/>
    <n v="0"/>
    <n v="0"/>
    <n v="0"/>
    <s v="OK"/>
    <n v="0"/>
    <n v="0"/>
    <s v="R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2 INCREMENTAR LA ARTICULACIÓN INTERINSTITUCIONAL EN LA PRESTACIÓN DE SERVICIOS DE ATENCIÓN DE EMERGENCIAS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5"/>
    <s v="TECNOLOGÍA"/>
    <s v="ADQUISICIÓN DE REPUESTOS, EQUIPOS, HERRAMIENTAS, MATERIALES E INSUMOS TECNOLÓGICOS PARA LA COORDINACIÓN ZONAL 4 DEL SIS ECU 911"/>
    <n v="1"/>
    <x v="2"/>
    <n v="55"/>
    <n v="0"/>
    <n v="3"/>
    <n v="1301"/>
    <s v="PORTOVIEJO"/>
    <n v="1"/>
    <n v="0"/>
    <n v="0"/>
    <s v="CORRIENTE"/>
    <x v="0"/>
    <n v="530811"/>
    <s v="INSUMOS, MATERIALES Y SUMINISTROS PARA CONSTRUCCIÓN, ELECTRICIDAD, PLOMERÍA, CARPINTERÍA, SEÑALIZACIÓN VIAL, NAVEGACIÓN, CONTRA INCENDIOS Y PLACAS"/>
    <n v="1000"/>
    <n v="868"/>
    <n v="0"/>
    <n v="0"/>
    <n v="0"/>
    <n v="0"/>
    <n v="868"/>
    <n v="0"/>
    <n v="0"/>
    <n v="0"/>
    <n v="0"/>
    <n v="0"/>
    <n v="0"/>
    <n v="0"/>
    <n v="868"/>
    <s v="OK"/>
    <n v="736"/>
    <n v="132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2 INCREMENTAR LA ARTICULACIÓN INTERINSTITUCIONAL EN LA PRESTACIÓN DE SERVICIOS DE ATENCIÓN DE EMERGENCIAS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5"/>
    <s v="TECNOLOGÍA"/>
    <s v="ADQUISICIÓN DE REPUESTOS, EQUIPOS E INSUMOS PARA EL SOSTENIMIENTO TECNOLÓGICO DE PUNTOS DE ALERTA TEMPRANA Y CENTRO DE CONTROL, QUE FORMAN PARTE DEL SISTEMA NACIONAL DE ALERTA TEMPRANA FRENTE A EVENTOS ADVERSOS  DE TSUNAMI Y DESBORDAMIENTO DE RIOS Y REPRESAS DE LA COORDINACIÓN ZONAL 4"/>
    <n v="1"/>
    <x v="2"/>
    <n v="55"/>
    <n v="0"/>
    <n v="3"/>
    <n v="1301"/>
    <s v="PORTOVIEJO"/>
    <n v="1"/>
    <n v="0"/>
    <n v="0"/>
    <s v="CORRIENTE"/>
    <x v="0"/>
    <n v="530811"/>
    <s v="INSUMOS, MATERIALES Y SUMINISTROS PARA CONSTRUCCIÓN, ELECTRICIDAD, PLOMERÍA, CARPINTERÍA, SEÑALIZACIÓN VIAL, NAVEGACIÓN, CONTRA INCENDIOS Y PLACAS"/>
    <n v="0"/>
    <n v="971.86"/>
    <n v="0"/>
    <n v="0"/>
    <n v="0"/>
    <n v="0"/>
    <n v="0"/>
    <n v="0"/>
    <n v="0"/>
    <n v="0"/>
    <n v="0"/>
    <n v="0"/>
    <n v="971.86"/>
    <n v="0"/>
    <n v="971.86"/>
    <s v="OK"/>
    <n v="971.86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2 INCREMENTAR LA ARTICULACIÓN INTERINSTITUCIONAL EN LA PRESTACIÓN DE SERVICIOS DE ATENCIÓN DE EMERGENCIAS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5"/>
    <s v="TECNOLOGÍA"/>
    <s v="ADQUISICIÓN DE REPUESTOS, EQUIPOS, HERRAMIENTAS, MATERIALES E INSUMOS TECNOLÓGICOS PARA LA COORDINACIÓN ZONAL 4 DEL SIS ECU 911"/>
    <n v="1"/>
    <x v="2"/>
    <n v="55"/>
    <n v="0"/>
    <n v="3"/>
    <n v="1301"/>
    <s v="PORTOVIEJO"/>
    <n v="1"/>
    <n v="0"/>
    <n v="0"/>
    <s v="CORRIENTE"/>
    <x v="0"/>
    <n v="530813"/>
    <s v="REPUESTOS Y ACCESORIOS"/>
    <n v="1500"/>
    <n v="394.08999999999992"/>
    <n v="0"/>
    <n v="0"/>
    <n v="0"/>
    <n v="0"/>
    <n v="394.09"/>
    <n v="0"/>
    <n v="0"/>
    <n v="0"/>
    <n v="0"/>
    <n v="0"/>
    <n v="0"/>
    <n v="0"/>
    <n v="394.09"/>
    <s v="OK"/>
    <n v="0"/>
    <n v="394.08999999999992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2 INCREMENTAR LA ARTICULACIÓN INTERINSTITUCIONAL EN LA PRESTACIÓN DE SERVICIOS DE ATENCIÓN DE EMERGENCIAS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5"/>
    <s v="TECNOLOGÍA"/>
    <s v="MANTENIMIENTO TECNOLÓGICO CORRECTIVO DE LOS PUNTOS DE ALERTA TEMPRANA Y CENTRO DE CONTROL, QUE FORMAN PARTE DEL SISTEMA NACIONAL DE ALERTA TEMPRANA FRENTE A EVENTOS ADVERSOS DE TSUNAMI Y DESBORDAMIENTO DE REPRESAS DE LA COORDINACIÓN ZONAL 4"/>
    <n v="1"/>
    <x v="2"/>
    <n v="55"/>
    <n v="0"/>
    <n v="3"/>
    <n v="1301"/>
    <s v="PORTOVIEJO"/>
    <n v="1"/>
    <n v="0"/>
    <n v="0"/>
    <s v="CORRIENTE"/>
    <x v="0"/>
    <n v="530813"/>
    <s v="REPUESTOS Y ACCESORIOS"/>
    <n v="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2 INCREMENTAR LA ARTICULACIÓN INTERINSTITUCIONAL EN LA PRESTACIÓN DE SERVICIOS DE ATENCIÓN DE EMERGENCIAS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5"/>
    <s v="TECNOLOGÍA"/>
    <s v="ADQUISICIÓN DE REPUESTOS, EQUIPOS E INSUMOS PARA EL SOSTENIMIENTO TECNOLÓGICO DE PUNTOS DE ALERTA TEMPRANA Y CENTRO DE CONTROL, QUE FORMAN PARTE DEL SISTEMA NACIONAL DE ALERTA TEMPRANA FRENTE A EVENTOS ADVERSOS  DE TSUNAMI Y DESBORDAMIENTO DE RIOS Y REPRESAS DE LA COORDINACIÓN ZONAL 4"/>
    <n v="1"/>
    <x v="2"/>
    <n v="55"/>
    <n v="0"/>
    <n v="3"/>
    <n v="1301"/>
    <s v="PORTOVIEJO"/>
    <n v="1"/>
    <n v="0"/>
    <n v="0"/>
    <s v="CORRIENTE"/>
    <x v="0"/>
    <n v="530813"/>
    <s v="REPUESTOS Y ACCESORIOS"/>
    <n v="0"/>
    <n v="86637.82"/>
    <n v="0"/>
    <n v="0"/>
    <n v="0"/>
    <n v="0"/>
    <n v="0"/>
    <n v="0"/>
    <n v="0"/>
    <n v="0"/>
    <n v="0"/>
    <n v="0"/>
    <n v="86637.82"/>
    <n v="0"/>
    <n v="86637.82"/>
    <s v="OK"/>
    <n v="86047.99"/>
    <n v="589.83000000000175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2 INCREMENTAR LA ARTICULACIÓN INTERINSTITUCIONAL EN LA PRESTACIÓN DE SERVICIOS DE ATENCIÓN DE EMERGENCIAS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5"/>
    <s v="TECNOLOGÍA"/>
    <s v="ADQUISICIÓN DE REPUESTOS, PARTES Y ACCESORIOS INCLUIDO EL MANTENIMIENTO Y REPARACIÓN PARA LAS IMPRESORAS DE LA COORDINACION ZONAL 4 DEL SIS ECU 911"/>
    <n v="1"/>
    <x v="2"/>
    <n v="55"/>
    <n v="0"/>
    <n v="3"/>
    <n v="1301"/>
    <s v="PORTOVIEJO"/>
    <n v="1"/>
    <n v="0"/>
    <n v="0"/>
    <s v="CORRIENTE"/>
    <x v="0"/>
    <n v="530813"/>
    <s v="REPUESTOS Y ACCESORIOS"/>
    <n v="3000"/>
    <n v="3000"/>
    <n v="0"/>
    <n v="0"/>
    <n v="0"/>
    <n v="3000"/>
    <n v="0"/>
    <n v="0"/>
    <n v="0"/>
    <n v="0"/>
    <n v="0"/>
    <n v="0"/>
    <n v="0"/>
    <n v="0"/>
    <n v="3000"/>
    <s v="OK"/>
    <n v="2878"/>
    <n v="122"/>
    <s v="R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2 INCREMENTAR LA ARTICULACIÓN INTERINSTITUCIONAL EN LA PRESTACIÓN DE SERVICIOS DE ATENCIÓN DE EMERGENCIAS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5"/>
    <s v="TECNOLOGÍA"/>
    <s v="ADQUISICIÓN DE BASES TELEFONICAS PARA ATENDER LLAMADAS DE EMERGENCIA EN LOS CENTROS OPERATIVOS DE LA COORDINACIÓN ZONAL 4 DEL SIS ECU 911"/>
    <n v="1"/>
    <x v="2"/>
    <n v="55"/>
    <n v="0"/>
    <n v="3"/>
    <n v="1301"/>
    <s v="PORTOVIEJO"/>
    <n v="1"/>
    <n v="0"/>
    <n v="0"/>
    <s v="CORRIENTE"/>
    <x v="0"/>
    <n v="531404"/>
    <s v="MAQUINARIAS Y EQUIPOS"/>
    <n v="0"/>
    <n v="2560"/>
    <n v="0"/>
    <n v="0"/>
    <n v="0"/>
    <n v="0"/>
    <n v="0"/>
    <n v="0"/>
    <n v="0"/>
    <n v="0"/>
    <n v="0"/>
    <n v="0"/>
    <n v="2560"/>
    <n v="0"/>
    <n v="2560"/>
    <s v="OK"/>
    <n v="2560"/>
    <n v="0"/>
    <s v="R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2 INCREMENTAR LA ARTICULACIÓN INTERINSTITUCIONAL EN LA PRESTACIÓN DE SERVICIOS DE ATENCIÓN DE EMERGENCIAS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5"/>
    <s v="TECNOLOGÍA"/>
    <s v="ADQUISICIÓN DE REPUESTOS, EQUIPOS, HERRAMIENTAS, MATERIALES E INSUMOS TECNOLÓGICOS PARA LA COORDINACIÓN ZONAL 4 DEL SIS ECU 911"/>
    <n v="1"/>
    <x v="2"/>
    <n v="55"/>
    <n v="0"/>
    <n v="3"/>
    <n v="1301"/>
    <s v="PORTOVIEJO"/>
    <n v="1"/>
    <n v="0"/>
    <n v="0"/>
    <s v="CORRIENTE"/>
    <x v="0"/>
    <n v="531406"/>
    <s v="HERRAMIENTAS Y EQUIPOS MENORES"/>
    <n v="300"/>
    <n v="177.5"/>
    <n v="0"/>
    <n v="0"/>
    <n v="0"/>
    <n v="0"/>
    <n v="177.5"/>
    <n v="0"/>
    <n v="0"/>
    <n v="0"/>
    <n v="0"/>
    <n v="0"/>
    <n v="0"/>
    <n v="0"/>
    <n v="177.5"/>
    <s v="OK"/>
    <n v="55"/>
    <n v="122.5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2 INCREMENTAR LA ARTICULACIÓN INTERINSTITUCIONAL EN LA PRESTACIÓN DE SERVICIOS DE ATENCIÓN DE EMERGENCIAS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5"/>
    <s v="TECNOLOGÍA"/>
    <s v="ADQUISICIÓN DE REPUESTOS, EQUIPOS E INSUMOS PARA EL SOSTENIMIENTO TECNOLÓGICO DE PUNTOS DE ALERTA TEMPRANA Y CENTRO DE CONTROL, QUE FORMAN PARTE DEL SISTEMA NACIONAL DE ALERTA TEMPRANA FRENTE A EVENTOS ADVERSOS  DE TSUNAMI Y DESBORDAMIENTO DE RIOS Y REPRESAS DE LA COORDINACIÓN ZONAL 4"/>
    <n v="1"/>
    <x v="2"/>
    <n v="55"/>
    <n v="0"/>
    <n v="3"/>
    <n v="1301"/>
    <s v="PORTOVIEJO"/>
    <n v="1"/>
    <n v="0"/>
    <n v="0"/>
    <s v="CORRIENTE"/>
    <x v="0"/>
    <n v="531407"/>
    <s v="EQUIPOS, SISTEMAS Y PAQUETES INFORMÁTICOS"/>
    <n v="0"/>
    <n v="2056.64"/>
    <n v="0"/>
    <n v="0"/>
    <n v="0"/>
    <n v="0"/>
    <n v="0"/>
    <n v="0"/>
    <n v="0"/>
    <n v="0"/>
    <n v="0"/>
    <n v="0"/>
    <n v="2056.64"/>
    <n v="0"/>
    <n v="2056.64"/>
    <s v="OK"/>
    <n v="2056.64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2 INCREMENTAR LA ARTICULACIÓN INTERINSTITUCIONAL EN LA PRESTACIÓN DE SERVICIOS DE ATENCIÓN DE EMERGENCIAS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5"/>
    <s v="TECNOLOGÍA"/>
    <s v="ADQUISICIÓN DE REPUESTOS, EQUIPOS, HERRAMIENTAS, MATERIALES E INSUMOS TECNOLÓGICOS PARA LA COORDINACIÓN ZONAL 4 DEL SIS ECU 911"/>
    <n v="1"/>
    <x v="2"/>
    <n v="55"/>
    <n v="0"/>
    <n v="3"/>
    <n v="1301"/>
    <s v="PORTOVIEJO"/>
    <n v="1"/>
    <n v="0"/>
    <n v="0"/>
    <s v="CORRIENTE"/>
    <x v="0"/>
    <n v="531407"/>
    <s v="EQUIPOS, SISTEMAS Y PAQUETES INFORMÁTICOS"/>
    <n v="2000"/>
    <n v="1577.5"/>
    <n v="0"/>
    <n v="0"/>
    <n v="0"/>
    <n v="0"/>
    <n v="1577.5"/>
    <n v="0"/>
    <n v="0"/>
    <n v="0"/>
    <n v="0"/>
    <n v="0"/>
    <n v="0"/>
    <n v="0"/>
    <n v="1577.5"/>
    <s v="OK"/>
    <n v="1155"/>
    <n v="422.5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2 INCREMENTAR LA ARTICULACIÓN INTERINSTITUCIONAL EN LA PRESTACIÓN DE SERVICIOS DE ATENCIÓN DE EMERGENCIAS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5"/>
    <s v="TECNOLOGÍA"/>
    <s v="ADQUISICIÓN DE REPUESTOS, EQUIPOS, HERRAMIENTAS, MATERIALES E INSUMOS TECNOLÓGICOS PARA LA COORDINACIÓN ZONAL 4 DEL SIS ECU 911"/>
    <n v="1"/>
    <x v="2"/>
    <n v="55"/>
    <n v="0"/>
    <n v="3"/>
    <n v="1301"/>
    <s v="PORTOVIEJO"/>
    <n v="1"/>
    <n v="0"/>
    <n v="0"/>
    <s v="CORRIENTE"/>
    <x v="0"/>
    <n v="531411"/>
    <s v="PARTES Y REPUESTOS"/>
    <n v="500"/>
    <n v="250"/>
    <n v="0"/>
    <n v="0"/>
    <n v="0"/>
    <n v="0"/>
    <n v="250"/>
    <n v="0"/>
    <n v="0"/>
    <n v="0"/>
    <n v="0"/>
    <n v="0"/>
    <n v="0"/>
    <n v="0"/>
    <n v="250"/>
    <s v="OK"/>
    <n v="0"/>
    <n v="25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2 INCREMENTAR LA ARTICULACIÓN INTERINSTITUCIONAL EN LA PRESTACIÓN DE SERVICIOS DE ATENCIÓN DE EMERGENCIAS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5"/>
    <s v="TECNOLOGÍA"/>
    <s v="ADQUISICIÓN DE EQUIPOS PORTÁTILES PARA LA COORDINACIÓN ZONAL 4 DEL ECU 911"/>
    <n v="1"/>
    <x v="2"/>
    <n v="55"/>
    <n v="0"/>
    <n v="3"/>
    <n v="1301"/>
    <s v="PORTOVIEJO"/>
    <n v="1"/>
    <n v="0"/>
    <n v="0"/>
    <s v="CAPITAL"/>
    <x v="5"/>
    <n v="840107"/>
    <s v="EQUIPOS SISTEMAS Y PAQUETES INFORMÁTICOS"/>
    <n v="0"/>
    <n v="53391"/>
    <n v="0"/>
    <n v="0"/>
    <n v="0"/>
    <n v="0"/>
    <n v="0"/>
    <n v="0"/>
    <n v="0"/>
    <n v="0"/>
    <n v="0"/>
    <n v="0"/>
    <n v="53391"/>
    <n v="0"/>
    <n v="53391"/>
    <s v="OK"/>
    <n v="52186"/>
    <n v="1205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0"/>
    <s v="ADMINISTRACIÓN CENTRAL"/>
    <s v="CANCELACIÓN DE REMUNERACIONES Y BENEFICIOS SOCIALES"/>
    <n v="1"/>
    <x v="2"/>
    <n v="1"/>
    <n v="0"/>
    <n v="1"/>
    <n v="2300"/>
    <s v="SANTO DOMINGO"/>
    <n v="1"/>
    <n v="0"/>
    <n v="0"/>
    <s v="CORRIENTE"/>
    <x v="3"/>
    <n v="510105"/>
    <s v="REMUNERACIONES UNIFICADAS"/>
    <n v="115008"/>
    <n v="115008"/>
    <n v="9584"/>
    <n v="9584"/>
    <n v="9584"/>
    <n v="9584"/>
    <n v="9584"/>
    <n v="9584"/>
    <n v="9584"/>
    <n v="9584"/>
    <n v="9584"/>
    <n v="9584"/>
    <n v="9584"/>
    <n v="9584"/>
    <n v="115008"/>
    <s v="OK"/>
    <n v="0"/>
    <n v="115008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0"/>
    <s v="ADMINISTRACIÓN CENTRAL"/>
    <s v="CANCELACIÓN DE REMUNERACIONES Y BENEFICIOS SOCIALES"/>
    <n v="1"/>
    <x v="2"/>
    <n v="1"/>
    <n v="0"/>
    <n v="1"/>
    <n v="2300"/>
    <s v="SANTO DOMINGO"/>
    <n v="1"/>
    <n v="0"/>
    <n v="0"/>
    <s v="CORRIENTE"/>
    <x v="3"/>
    <n v="510106"/>
    <s v="SALARIOS UNIFICADOS"/>
    <n v="35760"/>
    <n v="35760"/>
    <n v="2980"/>
    <n v="2980"/>
    <n v="2980"/>
    <n v="2980"/>
    <n v="2980"/>
    <n v="2980"/>
    <n v="2980"/>
    <n v="2980"/>
    <n v="2980"/>
    <n v="2980"/>
    <n v="2980"/>
    <n v="2980"/>
    <n v="35760"/>
    <s v="OK"/>
    <n v="0"/>
    <n v="3576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0"/>
    <s v="ADMINISTRACIÓN CENTRAL"/>
    <s v="CANCELACIÓN DE REMUNERACIONES Y BENEFICIOS SOCIALES"/>
    <n v="1"/>
    <x v="2"/>
    <n v="1"/>
    <n v="0"/>
    <n v="1"/>
    <n v="2300"/>
    <s v="SANTO DOMINGO"/>
    <n v="1"/>
    <n v="0"/>
    <n v="0"/>
    <s v="CORRIENTE"/>
    <x v="3"/>
    <n v="510203"/>
    <s v="DÉCIMO TERCER SUELDO"/>
    <n v="12564"/>
    <n v="13064"/>
    <n v="0"/>
    <n v="0"/>
    <n v="0"/>
    <n v="0"/>
    <n v="0"/>
    <n v="0"/>
    <n v="0"/>
    <n v="0"/>
    <n v="0"/>
    <n v="0"/>
    <n v="0"/>
    <n v="13064"/>
    <n v="13064"/>
    <s v="OK"/>
    <n v="0"/>
    <n v="13064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0"/>
    <s v="ADMINISTRACIÓN CENTRAL"/>
    <s v="CANCELACIÓN DE REMUNERACIONES Y BENEFICIOS SOCIALES"/>
    <n v="1"/>
    <x v="2"/>
    <n v="1"/>
    <n v="0"/>
    <n v="1"/>
    <n v="2300"/>
    <s v="SANTO DOMINGO"/>
    <n v="1"/>
    <n v="0"/>
    <n v="0"/>
    <s v="CORRIENTE"/>
    <x v="3"/>
    <n v="510204"/>
    <s v="DÉCIMO CUARTO SUELDO"/>
    <n v="5525"/>
    <n v="5850"/>
    <n v="0"/>
    <n v="0"/>
    <n v="0"/>
    <n v="5850"/>
    <n v="0"/>
    <n v="0"/>
    <n v="0"/>
    <n v="0"/>
    <n v="0"/>
    <n v="0"/>
    <n v="0"/>
    <n v="0"/>
    <n v="5850"/>
    <s v="OK"/>
    <n v="0"/>
    <n v="585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0"/>
    <s v="ADMINISTRACIÓN CENTRAL"/>
    <s v="CANCELACIÓN DE REMUNERACIONES Y BENEFICIOS SOCIALES"/>
    <n v="1"/>
    <x v="2"/>
    <n v="1"/>
    <n v="0"/>
    <n v="1"/>
    <n v="2300"/>
    <s v="SANTO DOMINGO"/>
    <n v="1"/>
    <n v="0"/>
    <n v="0"/>
    <s v="CORRIENTE"/>
    <x v="3"/>
    <n v="510509"/>
    <s v="HORAS EXTRAORDINARIAS Y SUPLEMENTARIAS"/>
    <n v="840"/>
    <n v="1200"/>
    <n v="100"/>
    <n v="100"/>
    <n v="100"/>
    <n v="100"/>
    <n v="100"/>
    <n v="100"/>
    <n v="100"/>
    <n v="100"/>
    <n v="100"/>
    <n v="100"/>
    <n v="100"/>
    <n v="100"/>
    <n v="1200"/>
    <s v="OK"/>
    <n v="0"/>
    <n v="120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0"/>
    <s v="ADMINISTRACIÓN CENTRAL"/>
    <s v="CANCELACIÓN DE REMUNERACIONES Y BENEFICIOS SOCIALES"/>
    <n v="1"/>
    <x v="2"/>
    <n v="1"/>
    <n v="0"/>
    <n v="1"/>
    <n v="2300"/>
    <s v="SANTO DOMINGO"/>
    <n v="1"/>
    <n v="0"/>
    <n v="0"/>
    <s v="CORRIENTE"/>
    <x v="3"/>
    <n v="510601"/>
    <s v="APORTE PATRONAL"/>
    <n v="15443"/>
    <n v="15593"/>
    <n v="1287"/>
    <n v="1287"/>
    <n v="1287"/>
    <n v="1287"/>
    <n v="1287"/>
    <n v="1287"/>
    <n v="1287"/>
    <n v="1287"/>
    <n v="1287"/>
    <n v="1287"/>
    <n v="1287"/>
    <n v="1436"/>
    <n v="15593"/>
    <s v="OK"/>
    <n v="0"/>
    <n v="15593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0"/>
    <s v="ADMINISTRACIÓN CENTRAL"/>
    <s v="CANCELACIÓN DE REMUNERACIONES Y BENEFICIOS SOCIALES"/>
    <n v="1"/>
    <x v="2"/>
    <n v="1"/>
    <n v="0"/>
    <n v="1"/>
    <n v="2300"/>
    <s v="SANTO DOMINGO"/>
    <n v="1"/>
    <n v="0"/>
    <n v="0"/>
    <s v="CORRIENTE"/>
    <x v="3"/>
    <n v="510602"/>
    <s v="FONDO DE RESERVA"/>
    <n v="12564"/>
    <n v="12164"/>
    <n v="792"/>
    <n v="896"/>
    <n v="1047"/>
    <n v="1047"/>
    <n v="1047"/>
    <n v="1047"/>
    <n v="1047"/>
    <n v="1047"/>
    <n v="1047"/>
    <n v="1047"/>
    <n v="1050"/>
    <n v="1050"/>
    <n v="12164"/>
    <s v="OK"/>
    <n v="0"/>
    <n v="12164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0"/>
    <s v="ADMINISTRACIÓN CENTRAL"/>
    <s v="CANCELACIÓN DE REMUNERACIONES Y BENEFICIOS SOCIALES"/>
    <n v="1"/>
    <x v="2"/>
    <n v="1"/>
    <n v="0"/>
    <n v="1"/>
    <n v="2300"/>
    <s v="SANTO DOMINGO"/>
    <n v="1"/>
    <n v="0"/>
    <n v="0"/>
    <s v="CORRIENTE"/>
    <x v="3"/>
    <n v="510707"/>
    <s v="COMPENSACIÓN POR VACACIONES NO GOZADAS POR CESACIÓN DE FUNCIONES"/>
    <n v="0"/>
    <n v="3600"/>
    <n v="83"/>
    <n v="83"/>
    <n v="83"/>
    <n v="83"/>
    <n v="83"/>
    <n v="83"/>
    <n v="500"/>
    <n v="500"/>
    <n v="500"/>
    <n v="525"/>
    <n v="525"/>
    <n v="552"/>
    <n v="3600"/>
    <s v="OK"/>
    <n v="0"/>
    <n v="360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7"/>
    <s v="OPERACIONES"/>
    <s v="CANCELACIÓN DE REMUNERACIONES Y BENEFICIOS SOCIALES"/>
    <n v="1"/>
    <x v="2"/>
    <n v="55"/>
    <n v="0"/>
    <n v="2"/>
    <n v="2300"/>
    <s v="SANTO DOMINGO"/>
    <n v="1"/>
    <n v="0"/>
    <n v="0"/>
    <s v="CORRIENTE"/>
    <x v="3"/>
    <n v="510105"/>
    <s v="REMUNERACIONES UNIFICADAS"/>
    <n v="521748"/>
    <n v="521748"/>
    <n v="43479"/>
    <n v="43479"/>
    <n v="43479"/>
    <n v="43479"/>
    <n v="43479"/>
    <n v="43479"/>
    <n v="43479"/>
    <n v="43479"/>
    <n v="43479"/>
    <n v="43479"/>
    <n v="43479"/>
    <n v="43479"/>
    <n v="521748"/>
    <s v="OK"/>
    <n v="0"/>
    <n v="521748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7"/>
    <s v="OPERACIONES"/>
    <s v="CANCELACIÓN DE REMUNERACIONES Y BENEFICIOS SOCIALES"/>
    <n v="1"/>
    <x v="2"/>
    <n v="55"/>
    <n v="0"/>
    <n v="2"/>
    <n v="2300"/>
    <s v="SANTO DOMINGO"/>
    <n v="1"/>
    <n v="0"/>
    <n v="0"/>
    <s v="CORRIENTE"/>
    <x v="3"/>
    <n v="510203"/>
    <s v="DÉCIMO TERCER SUELDO"/>
    <n v="45424"/>
    <n v="44924"/>
    <n v="550"/>
    <n v="550"/>
    <n v="550"/>
    <n v="550"/>
    <n v="550"/>
    <n v="550"/>
    <n v="550"/>
    <n v="550"/>
    <n v="550"/>
    <n v="550"/>
    <n v="550"/>
    <n v="38874"/>
    <n v="44924"/>
    <s v="OK"/>
    <n v="0"/>
    <n v="44924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7"/>
    <s v="OPERACIONES"/>
    <s v="CANCELACIÓN DE REMUNERACIONES Y BENEFICIOS SOCIALES"/>
    <n v="1"/>
    <x v="2"/>
    <n v="55"/>
    <n v="0"/>
    <n v="2"/>
    <n v="2300"/>
    <s v="SANTO DOMINGO"/>
    <n v="1"/>
    <n v="0"/>
    <n v="0"/>
    <s v="CORRIENTE"/>
    <x v="3"/>
    <n v="510204"/>
    <s v="DÉCIMO CUARTO SUELDO"/>
    <n v="23375"/>
    <n v="23800"/>
    <n v="250"/>
    <n v="250"/>
    <n v="250"/>
    <n v="21550"/>
    <n v="250"/>
    <n v="250"/>
    <n v="250"/>
    <n v="250"/>
    <n v="200"/>
    <n v="100"/>
    <n v="100"/>
    <n v="100"/>
    <n v="23800"/>
    <s v="OK"/>
    <n v="0"/>
    <n v="2380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7"/>
    <s v="OPERACIONES"/>
    <s v="CANCELACIÓN DE REMUNERACIONES Y BENEFICIOS SOCIALES"/>
    <n v="1"/>
    <x v="2"/>
    <n v="55"/>
    <n v="0"/>
    <n v="2"/>
    <n v="2300"/>
    <s v="SANTO DOMINGO"/>
    <n v="1"/>
    <n v="0"/>
    <n v="0"/>
    <s v="CORRIENTE"/>
    <x v="3"/>
    <n v="510510"/>
    <s v="SERVICIOS PERSONALES POR CONTRATO"/>
    <n v="23340"/>
    <n v="8796"/>
    <n v="1945"/>
    <n v="1945"/>
    <n v="1945"/>
    <n v="300"/>
    <n v="300"/>
    <n v="300"/>
    <n v="300"/>
    <n v="300"/>
    <n v="300"/>
    <n v="300"/>
    <n v="300"/>
    <n v="561"/>
    <n v="8796"/>
    <s v="OK"/>
    <n v="0"/>
    <n v="8796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7"/>
    <s v="OPERACIONES"/>
    <s v="CANCELACIÓN DE REMUNERACIONES Y BENEFICIOS SOCIALES"/>
    <n v="1"/>
    <x v="2"/>
    <n v="55"/>
    <n v="0"/>
    <n v="2"/>
    <n v="2300"/>
    <s v="SANTO DOMINGO"/>
    <n v="1"/>
    <n v="0"/>
    <n v="0"/>
    <s v="CORRIENTE"/>
    <x v="3"/>
    <n v="510512"/>
    <s v="SUBROGACIÓN "/>
    <n v="154"/>
    <n v="699"/>
    <n v="0"/>
    <n v="0"/>
    <n v="0"/>
    <n v="199"/>
    <n v="0"/>
    <n v="0"/>
    <n v="0"/>
    <n v="0"/>
    <n v="200"/>
    <n v="0"/>
    <n v="300"/>
    <n v="0"/>
    <n v="699"/>
    <s v="OK"/>
    <n v="0"/>
    <n v="699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7"/>
    <s v="OPERACIONES"/>
    <s v="CANCELACIÓN DE REMUNERACIONES Y BENEFICIOS SOCIALES"/>
    <n v="1"/>
    <x v="2"/>
    <n v="55"/>
    <n v="0"/>
    <n v="2"/>
    <n v="2300"/>
    <s v="SANTO DOMINGO"/>
    <n v="1"/>
    <n v="0"/>
    <n v="0"/>
    <s v="CORRIENTE"/>
    <x v="3"/>
    <n v="510513"/>
    <s v="ENCARGOS"/>
    <n v="0"/>
    <n v="4152"/>
    <n v="0"/>
    <n v="0"/>
    <n v="0"/>
    <n v="0"/>
    <n v="180"/>
    <n v="700"/>
    <n v="772"/>
    <n v="500"/>
    <n v="500"/>
    <n v="500"/>
    <n v="500"/>
    <n v="500"/>
    <n v="4152"/>
    <s v="OK"/>
    <n v="0"/>
    <n v="4152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7"/>
    <s v="OPERACIONES"/>
    <s v="CANCELACIÓN DE REMUNERACIONES Y BENEFICIOS SOCIALES"/>
    <n v="1"/>
    <x v="2"/>
    <n v="55"/>
    <n v="0"/>
    <n v="2"/>
    <n v="2300"/>
    <s v="SANTO DOMINGO"/>
    <n v="1"/>
    <n v="0"/>
    <n v="0"/>
    <s v="CORRIENTE"/>
    <x v="3"/>
    <n v="510601"/>
    <s v="APORTE PATRONAL"/>
    <n v="53117"/>
    <n v="52117"/>
    <n v="4426"/>
    <n v="4426"/>
    <n v="4426"/>
    <n v="4426"/>
    <n v="4426"/>
    <n v="4426"/>
    <n v="4426"/>
    <n v="4426"/>
    <n v="4426"/>
    <n v="4000"/>
    <n v="4000"/>
    <n v="4283"/>
    <n v="52117"/>
    <s v="OK"/>
    <n v="0"/>
    <n v="52117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7"/>
    <s v="OPERACIONES"/>
    <s v="CANCELACIÓN DE REMUNERACIONES Y BENEFICIOS SOCIALES"/>
    <n v="1"/>
    <x v="2"/>
    <n v="55"/>
    <n v="0"/>
    <n v="2"/>
    <n v="2300"/>
    <s v="SANTO DOMINGO"/>
    <n v="1"/>
    <n v="0"/>
    <n v="0"/>
    <s v="CORRIENTE"/>
    <x v="3"/>
    <n v="510602"/>
    <s v="FONDO DE RESERVA"/>
    <n v="45424"/>
    <n v="42724"/>
    <n v="2785"/>
    <n v="2785"/>
    <n v="3825"/>
    <n v="3825"/>
    <n v="3825"/>
    <n v="3825"/>
    <n v="3825"/>
    <n v="3825"/>
    <n v="3826"/>
    <n v="3700"/>
    <n v="3500"/>
    <n v="3178"/>
    <n v="42724"/>
    <s v="OK"/>
    <n v="0"/>
    <n v="42724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7"/>
    <s v="OPERACIONES"/>
    <s v="CANCELACIÓN DE REMUNERACIONES Y BENEFICIOS SOCIALES"/>
    <n v="1"/>
    <x v="2"/>
    <n v="55"/>
    <n v="0"/>
    <n v="2"/>
    <n v="2300"/>
    <s v="SANTO DOMINGO"/>
    <n v="1"/>
    <n v="0"/>
    <n v="0"/>
    <s v="CORRIENTE"/>
    <x v="3"/>
    <n v="510707"/>
    <s v="COMPENSACIÓN POR VACACIONES NO GOZADAS POR CESACIÓN DE FUNCIONES"/>
    <n v="0"/>
    <n v="1308"/>
    <n v="163"/>
    <n v="163"/>
    <n v="163"/>
    <n v="163"/>
    <n v="163"/>
    <n v="73"/>
    <n v="50"/>
    <n v="50"/>
    <n v="80"/>
    <n v="80"/>
    <n v="80"/>
    <n v="80"/>
    <n v="1308"/>
    <s v="OK"/>
    <n v="0"/>
    <n v="1308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2"/>
    <s v="TECNOLOGÍA"/>
    <s v="CANCELACIÓN DE REMUNERACIONES Y BENEFICIOS SOCIALES"/>
    <n v="1"/>
    <x v="2"/>
    <n v="55"/>
    <n v="0"/>
    <n v="3"/>
    <n v="2300"/>
    <s v="SANTO DOMINGO"/>
    <n v="1"/>
    <n v="0"/>
    <n v="0"/>
    <s v="CORRIENTE"/>
    <x v="3"/>
    <n v="510105"/>
    <s v="REMUNERACIONES UNIFICADAS"/>
    <n v="49200"/>
    <n v="49200"/>
    <n v="4100"/>
    <n v="4100"/>
    <n v="4100"/>
    <n v="4100"/>
    <n v="4100"/>
    <n v="4100"/>
    <n v="4100"/>
    <n v="4100"/>
    <n v="4100"/>
    <n v="4100"/>
    <n v="4100"/>
    <n v="4100"/>
    <n v="49200"/>
    <s v="OK"/>
    <n v="0"/>
    <n v="4920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2"/>
    <s v="TECNOLOGÍA"/>
    <s v="CANCELACIÓN DE REMUNERACIONES Y BENEFICIOS SOCIALES"/>
    <n v="1"/>
    <x v="2"/>
    <n v="55"/>
    <n v="0"/>
    <n v="3"/>
    <n v="2300"/>
    <s v="SANTO DOMINGO"/>
    <n v="1"/>
    <n v="0"/>
    <n v="0"/>
    <s v="CORRIENTE"/>
    <x v="3"/>
    <n v="510203"/>
    <s v="DÉCIMO TERCER SUELDO"/>
    <n v="4100"/>
    <n v="4100"/>
    <n v="0"/>
    <n v="0"/>
    <n v="0"/>
    <n v="0"/>
    <n v="0"/>
    <n v="0"/>
    <n v="0"/>
    <n v="0"/>
    <n v="0"/>
    <n v="0"/>
    <n v="0"/>
    <n v="4100"/>
    <n v="4100"/>
    <s v="OK"/>
    <n v="0"/>
    <n v="410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2"/>
    <s v="TECNOLOGÍA"/>
    <s v="CANCELACIÓN DE REMUNERACIONES Y BENEFICIOS SOCIALES"/>
    <n v="1"/>
    <x v="2"/>
    <n v="55"/>
    <n v="0"/>
    <n v="3"/>
    <n v="2300"/>
    <s v="SANTO DOMINGO"/>
    <n v="1"/>
    <n v="0"/>
    <n v="0"/>
    <s v="CORRIENTE"/>
    <x v="3"/>
    <n v="510204"/>
    <s v="DÉCIMO CUARTO SUELDO"/>
    <n v="1275"/>
    <n v="1350"/>
    <n v="0"/>
    <n v="0"/>
    <n v="0"/>
    <n v="1350"/>
    <n v="0"/>
    <n v="0"/>
    <n v="0"/>
    <n v="0"/>
    <n v="0"/>
    <n v="0"/>
    <n v="0"/>
    <n v="0"/>
    <n v="1350"/>
    <s v="OK"/>
    <n v="0"/>
    <n v="135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2"/>
    <s v="TECNOLOGÍA"/>
    <s v="CANCELACIÓN DE REMUNERACIONES Y BENEFICIOS SOCIALES"/>
    <n v="1"/>
    <x v="2"/>
    <n v="55"/>
    <n v="0"/>
    <n v="3"/>
    <n v="2300"/>
    <s v="SANTO DOMINGO"/>
    <n v="1"/>
    <n v="0"/>
    <n v="0"/>
    <s v="CORRIENTE"/>
    <x v="3"/>
    <n v="510304"/>
    <s v="COMPENSACION POR TRANSPORTE"/>
    <n v="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2"/>
    <s v="TECNOLOGÍA"/>
    <s v="CANCELACIÓN DE REMUNERACIONES Y BENEFICIOS SOCIALES"/>
    <n v="1"/>
    <x v="2"/>
    <n v="55"/>
    <n v="0"/>
    <n v="3"/>
    <n v="2300"/>
    <s v="SANTO DOMINGO"/>
    <n v="1"/>
    <n v="0"/>
    <n v="0"/>
    <s v="CORRIENTE"/>
    <x v="3"/>
    <n v="510306"/>
    <s v="ALIMENTACION"/>
    <n v="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2"/>
    <s v="TECNOLOGÍA"/>
    <s v="CANCELACIÓN DE REMUNERACIONES Y BENEFICIOS SOCIALES"/>
    <n v="1"/>
    <x v="2"/>
    <n v="55"/>
    <n v="0"/>
    <n v="3"/>
    <n v="2300"/>
    <s v="SANTO DOMINGO"/>
    <n v="1"/>
    <n v="0"/>
    <n v="0"/>
    <s v="CORRIENTE"/>
    <x v="3"/>
    <n v="510401"/>
    <s v="POR CARGAS FAMILIARES"/>
    <n v="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2"/>
    <s v="TECNOLOGÍA"/>
    <s v="CANCELACIÓN DE REMUNERACIONES Y BENEFICIOS SOCIALES"/>
    <n v="1"/>
    <x v="2"/>
    <n v="55"/>
    <n v="0"/>
    <n v="3"/>
    <n v="2300"/>
    <s v="SANTO DOMINGO"/>
    <n v="1"/>
    <n v="0"/>
    <n v="0"/>
    <s v="CORRIENTE"/>
    <x v="3"/>
    <n v="510408"/>
    <s v="SUBSIDIO DE ANTIGUEDAD"/>
    <n v="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2"/>
    <s v="TECNOLOGÍA"/>
    <s v="CANCELACIÓN DE REMUNERACIONES Y BENEFICIOS SOCIALES"/>
    <n v="1"/>
    <x v="2"/>
    <n v="55"/>
    <n v="0"/>
    <n v="3"/>
    <n v="2300"/>
    <s v="SANTO DOMINGO"/>
    <n v="1"/>
    <n v="0"/>
    <n v="0"/>
    <s v="CORRIENTE"/>
    <x v="3"/>
    <n v="510512"/>
    <s v="SUBROGACIÓN "/>
    <n v="150"/>
    <n v="53"/>
    <n v="0"/>
    <n v="0"/>
    <n v="0"/>
    <n v="0"/>
    <n v="53"/>
    <n v="0"/>
    <n v="0"/>
    <n v="0"/>
    <n v="0"/>
    <n v="0"/>
    <n v="0"/>
    <n v="0"/>
    <n v="53"/>
    <s v="OK"/>
    <n v="0"/>
    <n v="53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2"/>
    <s v="TECNOLOGÍA"/>
    <s v="CANCELACIÓN DE REMUNERACIONES Y BENEFICIOS SOCIALES"/>
    <n v="1"/>
    <x v="2"/>
    <n v="55"/>
    <n v="0"/>
    <n v="3"/>
    <n v="2300"/>
    <s v="SANTO DOMINGO"/>
    <n v="1"/>
    <n v="0"/>
    <n v="0"/>
    <s v="CORRIENTE"/>
    <x v="3"/>
    <n v="510513"/>
    <s v="ENCARGOS"/>
    <n v="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2"/>
    <s v="TECNOLOGÍA"/>
    <s v="CANCELACIÓN DE REMUNERACIONES Y BENEFICIOS SOCIALES"/>
    <n v="1"/>
    <x v="2"/>
    <n v="55"/>
    <n v="0"/>
    <n v="3"/>
    <n v="2300"/>
    <s v="SANTO DOMINGO"/>
    <n v="1"/>
    <n v="0"/>
    <n v="0"/>
    <s v="CORRIENTE"/>
    <x v="3"/>
    <n v="510601"/>
    <s v="APORTE PATRONAL"/>
    <n v="4748"/>
    <n v="4798"/>
    <n v="395"/>
    <n v="395"/>
    <n v="395"/>
    <n v="395"/>
    <n v="396"/>
    <n v="396"/>
    <n v="396"/>
    <n v="396"/>
    <n v="396"/>
    <n v="396"/>
    <n v="396"/>
    <n v="446"/>
    <n v="4798"/>
    <s v="OK"/>
    <n v="0"/>
    <n v="4798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2"/>
    <s v="TECNOLOGÍA"/>
    <s v="CANCELACIÓN DE REMUNERACIONES Y BENEFICIOS SOCIALES"/>
    <n v="1"/>
    <x v="2"/>
    <n v="55"/>
    <n v="0"/>
    <n v="3"/>
    <n v="2300"/>
    <s v="SANTO DOMINGO"/>
    <n v="1"/>
    <n v="0"/>
    <n v="0"/>
    <s v="CORRIENTE"/>
    <x v="3"/>
    <n v="510602"/>
    <s v="FONDO DE RESERVA"/>
    <n v="4100"/>
    <n v="4100"/>
    <n v="341"/>
    <n v="341"/>
    <n v="341"/>
    <n v="341"/>
    <n v="342"/>
    <n v="342"/>
    <n v="342"/>
    <n v="342"/>
    <n v="342"/>
    <n v="342"/>
    <n v="342"/>
    <n v="342"/>
    <n v="4100"/>
    <s v="OK"/>
    <n v="0"/>
    <n v="410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2"/>
    <s v="TECNOLOGÍA"/>
    <s v="CANCELACIÓN DE REMUNERACIONES Y BENEFICIOS SOCIALES"/>
    <n v="1"/>
    <x v="2"/>
    <n v="55"/>
    <n v="0"/>
    <n v="3"/>
    <n v="2300"/>
    <s v="SANTO DOMINGO"/>
    <n v="1"/>
    <n v="0"/>
    <n v="0"/>
    <s v="CORRIENTE"/>
    <x v="3"/>
    <n v="510707"/>
    <s v="COMPENSACIÓN POR VACACIONES NO GOZADAS POR CESACIÓN DE FUNCIONES"/>
    <n v="0"/>
    <n v="500"/>
    <n v="42"/>
    <n v="42"/>
    <n v="42"/>
    <n v="42"/>
    <n v="42"/>
    <n v="42"/>
    <n v="42"/>
    <n v="42"/>
    <n v="42"/>
    <n v="42"/>
    <n v="42"/>
    <n v="38"/>
    <n v="500"/>
    <s v="OK"/>
    <n v="0"/>
    <n v="50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0"/>
    <s v="ADMINISTRACIÓN CENTRAL"/>
    <s v="AGUA POTABLE Y ALCANTARILLADO DEL CENTRO OPERATIVO LOCAL ECU 911 SANTO DOMINGO DE LA COORDINACIÓN ZONAL 4_x000a_"/>
    <n v="1"/>
    <x v="2"/>
    <n v="1"/>
    <n v="0"/>
    <n v="1"/>
    <n v="2301"/>
    <s v="SANTO DOMINGO "/>
    <n v="1"/>
    <n v="0"/>
    <n v="0"/>
    <s v="CORRIENTE"/>
    <x v="0"/>
    <n v="530101"/>
    <s v="AGUA POTABLE"/>
    <n v="1080"/>
    <n v="2239.7200000000003"/>
    <n v="180"/>
    <n v="180"/>
    <n v="180"/>
    <n v="180"/>
    <n v="180"/>
    <n v="180"/>
    <n v="190"/>
    <n v="190"/>
    <n v="190"/>
    <n v="190"/>
    <n v="199.72"/>
    <n v="200"/>
    <n v="2239.7200000000003"/>
    <s v="OK"/>
    <n v="2239.7200000000003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0"/>
    <s v="ADMINISTRACIÓN CENTRAL"/>
    <s v="ABASTECIMIENTO DE ENERGÍA ELÉCTRICA DE LAS INSTALACIONES Y CÁMARA LECTORA DE PLACAS DEL CENTRO OPERATIVO LOCAL ECU 911 SANTO DOMINGO DE LA COORDINACIÓN ZONAL 4"/>
    <n v="1"/>
    <x v="2"/>
    <n v="1"/>
    <n v="0"/>
    <n v="1"/>
    <n v="2301"/>
    <s v="SANTO DOMINGO "/>
    <n v="1"/>
    <n v="0"/>
    <n v="0"/>
    <s v="CORRIENTE"/>
    <x v="0"/>
    <n v="530104"/>
    <s v="ENERGÍA ELÉCTRICA"/>
    <n v="27000"/>
    <n v="52923.67"/>
    <n v="4080"/>
    <n v="4080"/>
    <n v="4080"/>
    <n v="4550"/>
    <n v="4550"/>
    <n v="4550"/>
    <n v="4533.67"/>
    <n v="4500"/>
    <n v="4500"/>
    <n v="4500"/>
    <n v="4500"/>
    <n v="4500"/>
    <n v="52923.67"/>
    <s v="OK"/>
    <n v="52923.67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0"/>
    <s v="ADMINISTRACIÓN CENTRAL"/>
    <s v="SERVICIO DE TRANSPORTE PARA EL PERSONAL OPERATIVO DEL CENTRO LOCAL ECU 911 SANTO DOMINGO DE LA COORDINACIÓN ZONAL 4"/>
    <n v="1"/>
    <x v="2"/>
    <n v="1"/>
    <n v="0"/>
    <n v="1"/>
    <n v="2301"/>
    <s v="SANTO DOMINGO "/>
    <n v="1"/>
    <n v="0"/>
    <n v="0"/>
    <s v="CORRIENTE"/>
    <x v="0"/>
    <n v="530201"/>
    <s v="TRANSPORTE DE PERSONAL"/>
    <n v="39000"/>
    <n v="29791.17"/>
    <n v="3000"/>
    <n v="3000"/>
    <n v="3000"/>
    <n v="3000"/>
    <n v="3000"/>
    <n v="2200"/>
    <n v="2200"/>
    <n v="2200"/>
    <n v="2000"/>
    <n v="2000"/>
    <n v="2114.33"/>
    <n v="2076.84"/>
    <n v="29791.170000000002"/>
    <s v="OK"/>
    <n v="29226.570000000003"/>
    <n v="564.59999999999491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0"/>
    <s v="ADMINISTRACIÓN CENTRAL"/>
    <s v="SERVICIO DE LIMPIEZA DE INTERIORES Y EXTERIORES TIPO III PARA EL CENTRO OPERATIVO LOCAL ECU 911 SANTO DOMINGO DE LA COORDINACIÓN ZONAL 4"/>
    <n v="1"/>
    <x v="2"/>
    <n v="1"/>
    <n v="0"/>
    <n v="1"/>
    <n v="2301"/>
    <s v="SANTO DOMINGO "/>
    <n v="1"/>
    <n v="0"/>
    <n v="0"/>
    <s v="CORRIENTE"/>
    <x v="0"/>
    <n v="530209"/>
    <s v="SERVICIOS DE ASEO, LAVADO DE VESTIMENTA DE TRABAJO, FUMIGACIÓN, DESINFECCIÓN, LIMPIEZA DE INSTALACIONES, MANEJO DE DESECHOS CONTAMINADOS, RECUPERACIÓN Y CLASIFICACIÓN DE MATERIALES RECICLABLES"/>
    <n v="39225"/>
    <n v="59806.96"/>
    <n v="4950"/>
    <n v="4950"/>
    <n v="4950"/>
    <n v="4950"/>
    <n v="4950"/>
    <n v="4950"/>
    <n v="6000"/>
    <n v="6000"/>
    <n v="5000"/>
    <n v="5606.96"/>
    <n v="5000"/>
    <n v="2500"/>
    <n v="59806.96"/>
    <s v="OK"/>
    <n v="59806.96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0"/>
    <s v="ADMINISTRACIÓN CENTRAL"/>
    <s v="CANCELACIÓN POR SERVICIO DE GUARDERÍA PARA LOS HIJOS MENORES DE 5 AÑOS DE LOS SERVIDORES DEL CENTRO OPERATIVO LOCAL ECU 911 SANTO DOMINGO DE LA COORDINACIÓN ZONAL 4"/>
    <n v="1"/>
    <x v="2"/>
    <n v="1"/>
    <n v="0"/>
    <n v="1"/>
    <n v="2301"/>
    <s v="SANTO DOMINGO "/>
    <n v="1"/>
    <n v="0"/>
    <n v="0"/>
    <s v="CORRIENTE"/>
    <x v="0"/>
    <n v="530210"/>
    <s v="SERVICIO DE GUARDERÍA"/>
    <n v="0"/>
    <n v="3906"/>
    <n v="0"/>
    <n v="0"/>
    <n v="0"/>
    <n v="0"/>
    <n v="0"/>
    <n v="0"/>
    <n v="0"/>
    <n v="0"/>
    <n v="0"/>
    <n v="0"/>
    <n v="1953"/>
    <n v="1953"/>
    <n v="3906"/>
    <s v="OK"/>
    <n v="3906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0"/>
    <s v="ADMINISTRACIÓN CENTRAL"/>
    <s v="SERVICIO DE ABASTECIMIENTO DE COMBUSTIBLE PARA LA FLOTA VEHICULAR DEL SERVICIO INTEGRADO DE SEGURIDAD ECU 911 Y GENERADORES DEL CENTRO LOCAL SANTO DOMINGO DE LOS TSACHILAS"/>
    <n v="1"/>
    <x v="2"/>
    <n v="1"/>
    <n v="0"/>
    <n v="1"/>
    <n v="2301"/>
    <s v="SANTO DOMINGO "/>
    <n v="1"/>
    <n v="0"/>
    <n v="0"/>
    <s v="CORRIENTE"/>
    <x v="0"/>
    <n v="530255"/>
    <s v="COMBUSTIBLES"/>
    <n v="0"/>
    <n v="3650"/>
    <n v="0"/>
    <n v="331"/>
    <n v="331"/>
    <n v="331"/>
    <n v="331"/>
    <n v="331"/>
    <n v="331"/>
    <n v="331"/>
    <n v="331"/>
    <n v="331"/>
    <n v="331"/>
    <n v="340"/>
    <n v="3650"/>
    <s v="OK"/>
    <n v="365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0"/>
    <s v="ADMINISTRACIÓN CENTRAL"/>
    <s v="REEMBOLSO POR PAGO DE COMBUSTIBLE EN COMISIÓN DE SERVICIOS AL PERSONAL DEL CENTRO OPERATIVO LOCAL ECU 911 SANTO DOMINGO DE LA COORDINACIÓN ZONAL 4"/>
    <n v="1"/>
    <x v="2"/>
    <n v="1"/>
    <n v="0"/>
    <n v="1"/>
    <n v="2301"/>
    <s v="SANTO DOMINGO "/>
    <n v="1"/>
    <n v="0"/>
    <n v="0"/>
    <s v="CORRIENTE"/>
    <x v="0"/>
    <n v="530255"/>
    <s v="COMBUSTIBLES"/>
    <n v="0"/>
    <n v="4.1000000000000014"/>
    <n v="0"/>
    <n v="0"/>
    <n v="0"/>
    <n v="0"/>
    <n v="0"/>
    <n v="0"/>
    <n v="0"/>
    <n v="0"/>
    <n v="0"/>
    <n v="0"/>
    <n v="0"/>
    <n v="4.0999999999999996"/>
    <n v="4.0999999999999996"/>
    <s v="OK"/>
    <n v="0"/>
    <n v="4.1000000000000014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0"/>
    <s v="ADMINISTRACIÓN CENTRAL"/>
    <s v="REINTEGRO POR PAGO DE PASAJES EN COMISIÓN DE SERVICIOS AL PERSONAL DEL CENTRO OPERATIVO LOCAL ECU 911 DE LA COORDINACIÓN ZONAL 4"/>
    <n v="1"/>
    <x v="2"/>
    <n v="1"/>
    <n v="0"/>
    <n v="1"/>
    <n v="2301"/>
    <s v="SANTO DOMINGO "/>
    <n v="1"/>
    <n v="0"/>
    <n v="0"/>
    <s v="CORRIENTE"/>
    <x v="0"/>
    <n v="530301"/>
    <s v="PASAJES AL INTERIOR"/>
    <n v="100"/>
    <n v="200"/>
    <n v="0"/>
    <n v="0"/>
    <n v="0"/>
    <n v="0"/>
    <n v="0"/>
    <n v="0"/>
    <n v="0"/>
    <n v="0"/>
    <n v="0"/>
    <n v="0"/>
    <n v="0"/>
    <n v="200"/>
    <n v="200"/>
    <s v="OK"/>
    <n v="20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0"/>
    <s v="ADMINISTRACIÓN CENTRAL"/>
    <s v="PAGO DE VIÁTICOS POR COMISIÓN DE SERVICIOS AL PERSONAL DEL CENTRO OPERATIVO LOCAL ECU 911 DE LA COORDIANCIÓN ZONAL 4"/>
    <n v="1"/>
    <x v="2"/>
    <n v="1"/>
    <n v="0"/>
    <n v="1"/>
    <n v="2301"/>
    <s v="SANTO DOMINGO "/>
    <n v="1"/>
    <n v="0"/>
    <n v="0"/>
    <s v="CORRIENTE"/>
    <x v="0"/>
    <n v="530303"/>
    <s v="VIÁTICOS Y SUBSISTENCIAS EN EL INTERIOR"/>
    <n v="930"/>
    <n v="3981.3900000000003"/>
    <n v="0"/>
    <n v="0"/>
    <n v="0"/>
    <n v="0"/>
    <n v="0"/>
    <n v="0"/>
    <n v="0"/>
    <n v="0"/>
    <n v="0"/>
    <n v="0"/>
    <n v="0"/>
    <n v="3981.39"/>
    <n v="3981.39"/>
    <s v="OK"/>
    <n v="3981.39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0"/>
    <s v="ADMINISTRACIÓN CENTRAL"/>
    <s v="SERVICIO DE MANTENIMIENTO PREVENTIVO Y CORRECTIVO DE LOS EQUIPOS Y SISTEMAS ELÉCTRICOS DEL CENTRO OPERATIVO LOCAL ECU911 SANTO DOMINGO DE LA COORDINACIÓN ZONAL 4"/>
    <n v="1"/>
    <x v="2"/>
    <n v="1"/>
    <n v="0"/>
    <n v="1"/>
    <n v="2301"/>
    <s v="SANTO DOMINGO "/>
    <n v="1"/>
    <n v="0"/>
    <n v="0"/>
    <s v="CORRIENTE"/>
    <x v="0"/>
    <n v="530402"/>
    <s v="EDIFICIOS, LOCALES, RESIDENCIAS Y CABLEADO ESTRUCTURADO (INSTALACIÓN, MANTENIMIENTO Y REPARACIÓN)"/>
    <n v="34000"/>
    <n v="18000"/>
    <n v="0"/>
    <n v="0"/>
    <n v="0"/>
    <n v="0"/>
    <n v="0"/>
    <n v="0"/>
    <n v="0"/>
    <n v="0"/>
    <n v="18000"/>
    <n v="0"/>
    <n v="0"/>
    <n v="0"/>
    <n v="18000"/>
    <s v="OK"/>
    <n v="17494.009999999998"/>
    <n v="505.9900000000016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0"/>
    <s v="ADMINISTRACIÓN CENTRAL"/>
    <s v="CONTRATACIÓN DEL SERVICIO DE IMPERMEABILIZACIÓN DE TERRAZAS Y ANTEPECHOS COM MALLA IMPERMEABILIZANTE PARA EL EDIFICIO DEL CENTRO OPERATIVO LOCAL ECU 911 SANTO DOMINGO DE LA COORDINACIÓN ZONAL 4"/>
    <n v="1"/>
    <x v="2"/>
    <n v="1"/>
    <n v="0"/>
    <n v="1"/>
    <n v="2301"/>
    <s v="SANTO DOMINGO "/>
    <n v="1"/>
    <n v="0"/>
    <n v="0"/>
    <s v="CORRIENTE"/>
    <x v="0"/>
    <n v="530402"/>
    <s v="EDIFICIOS, LOCALES, RESIDENCIAS Y CABLEADO ESTRUCTURADO (INSTALACIÓN, MANTENIMIENTO Y REPARACIÓN)"/>
    <n v="0"/>
    <n v="3750"/>
    <n v="0"/>
    <n v="0"/>
    <n v="0"/>
    <n v="0"/>
    <n v="0"/>
    <n v="0"/>
    <n v="0"/>
    <n v="0"/>
    <n v="0"/>
    <n v="0"/>
    <n v="3750"/>
    <n v="0"/>
    <n v="3750"/>
    <s v="OK"/>
    <n v="0"/>
    <n v="375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0"/>
    <s v="ADMINISTRACIÓN CENTRAL"/>
    <s v="CONTRATACIÓN DEL SERVICIO DE INSTALACIÓN DE LÁMINAS DE SEGURIDAD EN LOS VENTANALES DEL EDIFICIO DEL CENTRO OPERATIVO LOCAL ECU 911DE LA COORDINACIÓN ZONAL 4"/>
    <n v="1"/>
    <x v="2"/>
    <n v="1"/>
    <n v="0"/>
    <n v="1"/>
    <n v="2301"/>
    <s v="SANTO DOMINGO "/>
    <n v="1"/>
    <n v="0"/>
    <n v="0"/>
    <s v="CORRIENTE"/>
    <x v="0"/>
    <n v="530402"/>
    <s v="EDIFICIOS, LOCALES, RESIDENCIAS Y CABLEADO ESTRUCTURADO (INSTALACIÓN, MANTENIMIENTO Y REPARACIÓN)"/>
    <n v="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0"/>
    <s v="ADMINISTRACIÓN CENTRAL"/>
    <s v="INSTALACIÓN DE PUERTAS Y VENTANA EN VIDRIO TEMPLADO PARA EL INGRESO, SALIDA, Y VENTANA DE RECEPCIÓN; Y PUERTA DEL COMEDOR DEL EDIFICIO DEL CENTRO OPERATIVO LOCAL ECU 911 SANTO DOMINGO DE LA COORDIANCIÓN ZONAL 4"/>
    <n v="1"/>
    <x v="2"/>
    <n v="1"/>
    <n v="0"/>
    <n v="1"/>
    <n v="2301"/>
    <s v="SANTO DOMINGO "/>
    <n v="1"/>
    <n v="0"/>
    <n v="0"/>
    <s v="CORRIENTE"/>
    <x v="0"/>
    <n v="530402"/>
    <s v="EDIFICIOS, LOCALES, RESIDENCIAS Y CABLEADO ESTRUCTURADO (INSTALACIÓN, MANTENIMIENTO Y REPARACIÓN)"/>
    <n v="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0"/>
    <s v="ADMINISTRACIÓN CENTRAL"/>
    <s v="IMPLEMENTACIÓN DE CUBIERTA METÁLICA EN BODEGAS EXTERNAS DEL CENTRO OPERATIVO LOCAL ECU911 SANTO DOMINGO DE LA COORDINACIÓN ZONAL 4"/>
    <n v="1"/>
    <x v="2"/>
    <n v="1"/>
    <n v="0"/>
    <n v="1"/>
    <n v="2301"/>
    <s v="SANTO DOMINGO "/>
    <n v="1"/>
    <n v="0"/>
    <n v="0"/>
    <s v="CORRIENTE"/>
    <x v="0"/>
    <n v="530402"/>
    <s v="EDIFICIOS, LOCALES, RESIDENCIAS Y CABLEADO ESTRUCTURADO (INSTALACIÓN, MANTENIMIENTO Y REPARACIÓN)"/>
    <n v="0"/>
    <n v="6240"/>
    <n v="0"/>
    <n v="0"/>
    <n v="0"/>
    <n v="0"/>
    <n v="0"/>
    <n v="0"/>
    <n v="0"/>
    <n v="0"/>
    <n v="0"/>
    <n v="0"/>
    <n v="6240"/>
    <n v="0"/>
    <n v="6240"/>
    <s v="OK"/>
    <n v="6170.5"/>
    <n v="69.5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0"/>
    <s v="ADMINISTRACIÓN CENTRAL"/>
    <s v="ADQUISICION DE REPUESTOS PARA MANTENIMIENTO CORRECTIVO PARA EL EQUIPO DE UPS 1 MARCA EATON DEL CENTRO OPERATIVO LOCAL ECU911 SANTO DOMINGO DE LA COORDINACIÓN ZONAL 4"/>
    <n v="1"/>
    <x v="2"/>
    <n v="1"/>
    <n v="0"/>
    <n v="1"/>
    <n v="2301"/>
    <s v="SANTO DOMINGO "/>
    <n v="1"/>
    <n v="0"/>
    <n v="0"/>
    <s v="CORRIENTE"/>
    <x v="0"/>
    <n v="530402"/>
    <s v="EDIFICIOS, LOCALES, RESIDENCIAS Y CABLEADO ESTRUCTURADO (INSTALACIÓN, MANTENIMIENTO Y REPARACIÓN)"/>
    <n v="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0"/>
    <s v="ADMINISTRACIÓN CENTRAL"/>
    <s v="SERVICIO DE MANTENIMIENTO PREVENTIVO Y CORRECTIVO DE LOS EQUIPOS DE CLIMATIZACIÓN DEL CENTRO OPERATIVO LOCAL ECU911 SANTO DOMINGO DE LA COORDINACIÓN ZONAL 4"/>
    <n v="1"/>
    <x v="2"/>
    <n v="1"/>
    <n v="0"/>
    <n v="1"/>
    <n v="2301"/>
    <s v="SANTO DOMINGO "/>
    <n v="1"/>
    <n v="0"/>
    <n v="0"/>
    <s v="CORRIENTE"/>
    <x v="0"/>
    <n v="530402"/>
    <s v="EDIFICIOS, LOCALES, RESIDENCIAS Y CABLEADO ESTRUCTURADO (INSTALACIÓN, MANTENIMIENTO Y REPARACIÓN)"/>
    <n v="28000"/>
    <n v="22022.720000000001"/>
    <n v="0"/>
    <n v="0"/>
    <n v="0"/>
    <n v="0"/>
    <n v="0"/>
    <n v="0"/>
    <n v="0"/>
    <n v="8000"/>
    <n v="0"/>
    <n v="7000"/>
    <n v="7022.72"/>
    <n v="0"/>
    <n v="22022.720000000001"/>
    <s v="OK"/>
    <n v="22022.720000000001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0"/>
    <s v="ADMINISTRACIÓN CENTRAL"/>
    <s v="MANTENIMIENTO PREVENTIVO Y CORRECTIVO PARA LOS VEHÍCULOS DEL CENTRO OPERATIVO LOCAL ECU 911 SANTO DOMINGO"/>
    <n v="1"/>
    <x v="2"/>
    <n v="1"/>
    <n v="0"/>
    <n v="1"/>
    <n v="2301"/>
    <s v="SANTO DOMINGO "/>
    <n v="1"/>
    <n v="0"/>
    <n v="0"/>
    <s v="CORRIENTE"/>
    <x v="0"/>
    <n v="530405"/>
    <s v="VEHÍCULOS (SERVICIO PARA MANTENIMIENTO Y REPARACIÓN)"/>
    <n v="2500"/>
    <n v="2071.0700000000002"/>
    <n v="0"/>
    <n v="0"/>
    <n v="500"/>
    <n v="0"/>
    <n v="0"/>
    <n v="500"/>
    <n v="0"/>
    <n v="0"/>
    <n v="300"/>
    <n v="300"/>
    <n v="300"/>
    <n v="171.07"/>
    <n v="2071.0700000000002"/>
    <s v="OK"/>
    <n v="2071.0700000000002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0"/>
    <s v="ADMINISTRACIÓN CENTRAL"/>
    <s v="REEMBOLSO POR PAGO DE COMBUSTIBLE EN COMISIÓN DE SERVICIOS AL PERSONAL DEL CENTRO OPERATIVO LOCAL ECU 911 SANTO DOMINGO DE LA COORDINACIÓN ZONAL 4"/>
    <n v="1"/>
    <x v="2"/>
    <n v="1"/>
    <n v="0"/>
    <n v="1"/>
    <n v="2301"/>
    <s v="SANTO DOMINGO "/>
    <n v="1"/>
    <n v="0"/>
    <n v="0"/>
    <s v="CORRIENTE"/>
    <x v="0"/>
    <n v="530803"/>
    <s v="LUBRICANTES"/>
    <n v="10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0"/>
    <s v="ADMINISTRACIÓN CENTRAL"/>
    <s v="MANTENIMIENTO PREVENTIVO Y CORRECTIVO PARA LOS VEHÍCULOS DEL CENTRO OPERATIVO LOCAL ECU 911 SANTO DOMINGO"/>
    <n v="1"/>
    <x v="2"/>
    <n v="1"/>
    <n v="0"/>
    <n v="1"/>
    <n v="2301"/>
    <s v="SANTO DOMINGO "/>
    <n v="1"/>
    <n v="0"/>
    <n v="0"/>
    <s v="CORRIENTE"/>
    <x v="0"/>
    <n v="530803"/>
    <s v="LUBRICANTES"/>
    <n v="1100"/>
    <n v="1162.1100000000001"/>
    <n v="0"/>
    <n v="0"/>
    <n v="300"/>
    <n v="0"/>
    <n v="0"/>
    <n v="300"/>
    <n v="0"/>
    <n v="0"/>
    <n v="285"/>
    <n v="100"/>
    <n v="100"/>
    <n v="77.11"/>
    <n v="1162.1099999999999"/>
    <s v="OK"/>
    <n v="1162.1100000000001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0"/>
    <s v="ADMINISTRACIÓN CENTRAL"/>
    <s v="SERVICIO DE ABASTECIMIENTO DE COMBUSTIBLE PARA LA FLOTA VEHICULAR DEL SERVICIO INTEGRADO DE SEGURIDAD ECU911 Y GENERADORES DEL CENTRO LOCAL SANTO DOMINGO DE LOS TSÁCHILAS."/>
    <n v="1"/>
    <x v="2"/>
    <n v="1"/>
    <n v="0"/>
    <n v="1"/>
    <n v="2301"/>
    <s v="SANTO DOMINGO "/>
    <n v="1"/>
    <n v="0"/>
    <n v="0"/>
    <s v="CORRIENTE"/>
    <x v="0"/>
    <n v="530803"/>
    <s v="LUBRICANTES"/>
    <n v="450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0"/>
    <s v="ADMINISTRACIÓN CENTRAL"/>
    <s v="ADQUISICIÓN DE MATERIALES DE OFICINA PARA EL CENTRO OPERATIVO LOCAL ECU 911 SANTO DOMINGO DE LA COORDINACIÓN ZONAL 4"/>
    <n v="1"/>
    <x v="2"/>
    <n v="1"/>
    <n v="0"/>
    <n v="1"/>
    <n v="2301"/>
    <s v="SANTO DOMINGO "/>
    <n v="1"/>
    <n v="0"/>
    <n v="0"/>
    <s v="CORRIENTE"/>
    <x v="0"/>
    <n v="530804"/>
    <s v="MATERIALES DE OFICINA"/>
    <n v="0"/>
    <n v="300"/>
    <n v="0"/>
    <n v="0"/>
    <n v="0"/>
    <n v="0"/>
    <n v="0"/>
    <n v="0"/>
    <n v="300"/>
    <n v="0"/>
    <n v="0"/>
    <n v="0"/>
    <n v="0"/>
    <n v="0"/>
    <n v="300"/>
    <s v="OK"/>
    <n v="299.94"/>
    <n v="6.0000000000002274E-2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0"/>
    <s v="ADMINISTRACIÓN CENTRAL"/>
    <s v="ADQUISICIÓN DE MATERIALES DE ASEO PARA EL CENTRO OPERATIVO LOCAL ECU 911 SANTO DOMINGO DE LA COORDINACIÓN ZONAL 4"/>
    <n v="1"/>
    <x v="2"/>
    <n v="1"/>
    <n v="0"/>
    <n v="1"/>
    <n v="2301"/>
    <s v="SANTO DOMINGO "/>
    <n v="1"/>
    <n v="0"/>
    <n v="0"/>
    <s v="CORRIENTE"/>
    <x v="0"/>
    <n v="530805"/>
    <s v="MATERIALES DE ASEO"/>
    <n v="0"/>
    <n v="100"/>
    <n v="0"/>
    <n v="0"/>
    <n v="0"/>
    <n v="0"/>
    <n v="0"/>
    <n v="0"/>
    <n v="100"/>
    <n v="0"/>
    <n v="0"/>
    <n v="0"/>
    <n v="0"/>
    <n v="0"/>
    <n v="100"/>
    <s v="OK"/>
    <n v="99.47"/>
    <n v="0.53000000000000114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0"/>
    <s v="ADMINISTRACIÓN CENTRAL"/>
    <s v="ADQUISICION DE REPUESTOS PARA MANTENIMIENTO CORRECTIVO PARA EL EQUIPO DE UPS 1 MARCA EATON DEL CENTRO OPERATIVO LOCAL ECU911 SANTO DOMINGO DE LA COORDINACIÓN ZONAL 4"/>
    <n v="1"/>
    <x v="2"/>
    <n v="1"/>
    <n v="0"/>
    <n v="1"/>
    <n v="2301"/>
    <s v="SANTO DOMINGO "/>
    <n v="1"/>
    <n v="0"/>
    <n v="0"/>
    <s v="CORRIENTE"/>
    <x v="0"/>
    <n v="530811"/>
    <s v="INSUMOS, MATERIALES Y SUMINISTROS PARA CONSTRUCCIÓN, ELECTRICIDAD, PLOMERÍA, CARPINTERÍA, SEÑALIZACIÓN VIAL, NAVEGACIÓN, CONTRA INCENDIOS Y PLACAS"/>
    <n v="0"/>
    <n v="0"/>
    <n v="0"/>
    <n v="0"/>
    <n v="0"/>
    <n v="0"/>
    <n v="0"/>
    <n v="0"/>
    <n v="0"/>
    <n v="0"/>
    <n v="0"/>
    <n v="0"/>
    <n v="0"/>
    <n v="0"/>
    <n v="0"/>
    <s v="OK"/>
    <n v="0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0"/>
    <s v="ADMINISTRACIÓN CENTRAL"/>
    <s v="CAJA CHICA"/>
    <n v="1"/>
    <x v="2"/>
    <n v="1"/>
    <n v="0"/>
    <n v="1"/>
    <n v="2301"/>
    <s v="SANTO DOMINGO "/>
    <n v="1"/>
    <n v="0"/>
    <n v="0"/>
    <s v="CORRIENTE"/>
    <x v="0"/>
    <n v="530811"/>
    <s v="INSUMOS, MATERIALES Y SUMINISTROS PARA CONSTRUCCIÓN, ELECTRICIDAD, PLOMERÍA, CARPINTERÍA, SEÑALIZACIÓN VIAL, NAVEGACIÓN, CONTRA INCENDIOS Y PLACAS"/>
    <n v="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0"/>
    <s v="ADMINISTRACIÓN CENTRAL"/>
    <s v="ADQUISICIÓN DE EQUIPOS DE ALMACENAMIENTO, DVR Y CAMARAS DE VIGILANCIA DE CCTV QUE INCLUYE INSTALACIÓN, CONFIGURACIÓN Y PUESTA EN FUNCIONAMIENTO PARA EL CENTRO OPERATIVO LOCAL ECU911 SANTO DOMINGO DE LA COORDINACIÓN ZONAL 4"/>
    <n v="1"/>
    <x v="2"/>
    <n v="1"/>
    <n v="0"/>
    <n v="1"/>
    <n v="2301"/>
    <s v="SANTO DOMINGO "/>
    <n v="1"/>
    <n v="0"/>
    <n v="0"/>
    <s v="CORRIENTE"/>
    <x v="0"/>
    <n v="530811"/>
    <s v="INSUMOS, MATERIALES Y SUMINISTROS PARA CONSTRUCCIÓN, ELECTRICIDAD, PLOMERÍA, CARPINTERÍA, SEÑALIZACIÓN VIAL, NAVEGACIÓN, CONTRA INCENDIOS Y PLACAS"/>
    <n v="0"/>
    <n v="228"/>
    <n v="0"/>
    <n v="0"/>
    <n v="0"/>
    <n v="0"/>
    <n v="0"/>
    <n v="0"/>
    <n v="0"/>
    <n v="0"/>
    <n v="0"/>
    <n v="0"/>
    <n v="228"/>
    <n v="0"/>
    <n v="228"/>
    <s v="OK"/>
    <n v="209.92"/>
    <n v="18.080000000000013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0"/>
    <s v="ADMINISTRACIÓN CENTRAL"/>
    <s v="ADQUISICIÓN DE NEUMÁTICOS PARA LOS VEHÍCULOS  DEL CENTRO OPERATIVO LOCAL ECU911 SANTO DOMINGO"/>
    <n v="1"/>
    <x v="2"/>
    <n v="1"/>
    <n v="0"/>
    <n v="1"/>
    <n v="2301"/>
    <s v="SANTO DOMINGO "/>
    <n v="1"/>
    <n v="0"/>
    <n v="0"/>
    <s v="CORRIENTE"/>
    <x v="0"/>
    <n v="530813"/>
    <s v="REPUESTOS Y ACCESORIOS"/>
    <n v="0"/>
    <n v="317.11"/>
    <n v="0"/>
    <n v="0"/>
    <n v="0"/>
    <n v="317.11"/>
    <n v="0"/>
    <n v="0"/>
    <n v="0"/>
    <n v="0"/>
    <n v="0"/>
    <n v="0"/>
    <n v="0"/>
    <n v="0"/>
    <n v="317.11"/>
    <s v="OK"/>
    <n v="317.11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0"/>
    <s v="ADMINISTRACIÓN CENTRAL"/>
    <s v="ADQUISICION DE REPUESTOS PARA MANTENIMIENTO CORRECTIVO PARA EL EQUIPO DE UPS 1 MARCA EATON DEL CENTRO OPERATIVO LOCAL ECU911 SANTO DOMINGO DE LA COORDINACIÓN ZONAL 4"/>
    <n v="1"/>
    <x v="2"/>
    <n v="1"/>
    <n v="0"/>
    <n v="1"/>
    <n v="2301"/>
    <s v="SANTO DOMINGO "/>
    <n v="1"/>
    <n v="0"/>
    <n v="0"/>
    <s v="CORRIENTE"/>
    <x v="0"/>
    <n v="530813"/>
    <s v="REPUESTOS Y ACCESORIOS"/>
    <n v="0"/>
    <n v="0"/>
    <n v="0"/>
    <n v="0"/>
    <n v="0"/>
    <n v="0"/>
    <n v="0"/>
    <n v="0"/>
    <n v="0"/>
    <n v="0"/>
    <n v="0"/>
    <n v="0"/>
    <n v="0"/>
    <n v="0"/>
    <n v="0"/>
    <s v="OK"/>
    <n v="0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0"/>
    <s v="ADMINISTRACIÓN CENTRAL"/>
    <s v="MANTENIMIENTO PREVENTIVO Y CORRECTIVO PARA LOS VEHÍCULOS DEL CENTRO OPERATIVO LOCAL ECU 911 SANTO DOMINGO"/>
    <n v="1"/>
    <x v="2"/>
    <n v="1"/>
    <n v="0"/>
    <n v="1"/>
    <n v="2301"/>
    <s v="SANTO DOMINGO "/>
    <n v="1"/>
    <n v="0"/>
    <n v="0"/>
    <s v="CORRIENTE"/>
    <x v="0"/>
    <n v="530813"/>
    <s v="REPUESTOS Y ACCESORIOS"/>
    <n v="0"/>
    <n v="3032.89"/>
    <n v="0"/>
    <n v="180"/>
    <n v="180"/>
    <n v="192.89"/>
    <n v="200"/>
    <n v="500"/>
    <n v="0"/>
    <n v="0"/>
    <n v="470"/>
    <n v="400"/>
    <n v="400"/>
    <n v="510"/>
    <n v="3032.89"/>
    <s v="OK"/>
    <n v="3032.89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0"/>
    <s v="ADMINISTRACIÓN CENTRAL"/>
    <s v="ADQUISICIÓN DE EQUIPOS DE ALMACENAMIENTO, DVR Y CAMARAS DE VIGILANCIA DE CCTV QUE INCLUYE INSTALACIÓN, CONFIGURACIÓN Y PUESTA EN FUNCIONAMIENTO PARA EL CENTRO OPERATIVO LOCAL ECU911 SANTO DOMINGO DE LA COORDINACIÓN ZONAL 4"/>
    <n v="1"/>
    <x v="2"/>
    <n v="1"/>
    <n v="0"/>
    <n v="1"/>
    <n v="2301"/>
    <s v="SANTO DOMINGO "/>
    <n v="1"/>
    <n v="0"/>
    <n v="0"/>
    <s v="CORRIENTE"/>
    <x v="0"/>
    <n v="531404"/>
    <s v="MAQUINARIAS Y EQUIPOS"/>
    <n v="0"/>
    <n v="4308"/>
    <n v="0"/>
    <n v="0"/>
    <n v="0"/>
    <n v="0"/>
    <n v="0"/>
    <n v="0"/>
    <n v="0"/>
    <n v="0"/>
    <n v="0"/>
    <n v="0"/>
    <n v="4308"/>
    <n v="0"/>
    <n v="4308"/>
    <s v="OK"/>
    <n v="4270"/>
    <n v="38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0"/>
    <s v="ADMINISTRACIÓN CENTRAL"/>
    <s v="ADQUISICIÓN DE EQUIPOS DE ALMACENAMIENTO, DVR Y CAMARAS DE VIGILANCIA DE CCTV QUE INCLUYE INSTALACIÓN, CONFIGURACIÓN Y PUESTA EN FUNCIONAMIENTO PARA EL CENTRO OPERATIVO LOCAL ECU911 SANTO DOMINGO DE LA COORDINACIÓN ZONAL 4"/>
    <n v="1"/>
    <x v="2"/>
    <n v="1"/>
    <n v="0"/>
    <n v="1"/>
    <n v="2301"/>
    <s v="SANTO DOMINGO "/>
    <n v="1"/>
    <n v="0"/>
    <n v="0"/>
    <s v="CORRIENTE"/>
    <x v="0"/>
    <n v="531407"/>
    <s v="EQUIPOS, SISTEMAS Y PAQUETES INFORMÁTICOS"/>
    <n v="0"/>
    <n v="1821"/>
    <n v="0"/>
    <n v="0"/>
    <n v="0"/>
    <n v="0"/>
    <n v="0"/>
    <n v="0"/>
    <n v="0"/>
    <n v="0"/>
    <n v="0"/>
    <n v="0"/>
    <n v="1821"/>
    <n v="0"/>
    <n v="1821"/>
    <s v="OK"/>
    <n v="1798"/>
    <n v="23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0"/>
    <s v="ADMINISTRACIÓN CENTRAL"/>
    <s v="PAGO DE IMPUESTO PREDIAL Y CONTRIBUCIÓN DE MEJORAS DE LOS PREDIOS DEL CENTRO OPERATIVO LOCAL ECU 911 SANTO DOMINGO DE LA COORDINACIÓN ZONAL 4"/>
    <n v="1"/>
    <x v="2"/>
    <n v="1"/>
    <n v="0"/>
    <n v="1"/>
    <n v="2301"/>
    <s v="SANTO DOMINGO "/>
    <n v="1"/>
    <n v="0"/>
    <n v="0"/>
    <s v="CORRIENTE"/>
    <x v="1"/>
    <n v="570102"/>
    <s v="TASAS GENERALES, IMPUESTOS, CONTRIBUCIONES, PERMISOS, LICENCIAS Y PATENTES"/>
    <n v="1800"/>
    <n v="1584.56"/>
    <n v="0"/>
    <n v="0"/>
    <n v="1584.56"/>
    <n v="0"/>
    <n v="0"/>
    <n v="0"/>
    <n v="0"/>
    <n v="0"/>
    <n v="0"/>
    <n v="0"/>
    <n v="0"/>
    <n v="0"/>
    <n v="1584.56"/>
    <s v="OK"/>
    <n v="1584.56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0"/>
    <s v="ADMINISTRACIÓN CENTRAL"/>
    <s v="PAGO DE MATRICULACIÓN, REVISIÓN TÉCNICA VEHICULAR, TASA POR IMPUESTO AL RODAJE Y STICKER DE REVISIÓN TÉCNICA VEHICULAR DEL PARQUE AUTOMOTOR DEL CENTRO OPERATIVO LOCAL ECU 911 SANTO DOMINGO"/>
    <n v="1"/>
    <x v="2"/>
    <n v="1"/>
    <n v="0"/>
    <n v="1"/>
    <n v="2301"/>
    <s v="SANTO DOMINGO "/>
    <n v="1"/>
    <n v="0"/>
    <n v="0"/>
    <s v="CORRIENTE"/>
    <x v="1"/>
    <n v="570102"/>
    <s v="TASAS GENERALES, IMPUESTOS, CONTRIBUCIONES, PERMISOS, LICENCIAS Y PATENTES"/>
    <n v="425"/>
    <n v="425"/>
    <n v="0"/>
    <n v="0"/>
    <n v="425"/>
    <n v="0"/>
    <n v="0"/>
    <n v="0"/>
    <n v="0"/>
    <n v="0"/>
    <n v="0"/>
    <n v="0"/>
    <n v="0"/>
    <n v="0"/>
    <n v="425"/>
    <s v="OK"/>
    <n v="425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0"/>
    <s v="ADMINISTRACIÓN CENTRAL"/>
    <s v="REEMBOLSO POR PAGO DE PEAJES EN COMISIÓN DE SERVICIOS AL PERSONAL DEL CENTRO OPERATIVO LOCAL ECU 911 SANTO DOMINGO DE LA COORDINACIÓN ZONAL 4"/>
    <n v="1"/>
    <x v="2"/>
    <n v="1"/>
    <n v="0"/>
    <n v="1"/>
    <n v="2301"/>
    <s v="SANTO DOMINGO "/>
    <n v="1"/>
    <n v="0"/>
    <n v="0"/>
    <s v="CORRIENTE"/>
    <x v="1"/>
    <n v="570102"/>
    <s v="TASAS GENERALES, IMPUESTOS, CONTRIBUCIONES, PERMISOS, LICENCIAS Y PATENTES"/>
    <n v="100"/>
    <n v="100"/>
    <n v="0"/>
    <n v="0"/>
    <n v="100"/>
    <n v="0"/>
    <n v="0"/>
    <n v="0"/>
    <n v="0"/>
    <n v="0"/>
    <n v="0"/>
    <n v="0"/>
    <n v="0"/>
    <n v="0"/>
    <n v="100"/>
    <s v="OK"/>
    <n v="10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0"/>
    <s v="ADMINISTRACIÓN CENTRAL"/>
    <s v="PAGO DE IMPUESTO PREDIAL Y CONTRIBUCIÓN DE MEJORAS DE LOS PREDIOS DEL CENTRO OPERATIVO LOCAL ECU 911 SANTO DOMINGO DE LA COORDINACIÓN ZONAL 4"/>
    <n v="1"/>
    <x v="2"/>
    <n v="1"/>
    <n v="0"/>
    <n v="1"/>
    <n v="2301"/>
    <s v="SANTO DOMINGO "/>
    <n v="1"/>
    <n v="0"/>
    <n v="0"/>
    <s v="CORRIENTE"/>
    <x v="1"/>
    <n v="570104"/>
    <s v="CONTRIBUCIONES ESPECIALES Y DE MEJORA"/>
    <n v="2800"/>
    <n v="3359.1"/>
    <n v="0"/>
    <n v="0"/>
    <n v="0"/>
    <n v="3359.1"/>
    <n v="0"/>
    <n v="0"/>
    <n v="0"/>
    <n v="0"/>
    <n v="0"/>
    <n v="0"/>
    <n v="0"/>
    <n v="0"/>
    <n v="3359.1"/>
    <s v="OK"/>
    <n v="3359.1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0"/>
    <s v="ADMINISTRACIÓN CENTRAL"/>
    <s v="CAJA CHICA"/>
    <n v="1"/>
    <x v="2"/>
    <n v="1"/>
    <n v="0"/>
    <n v="1"/>
    <n v="2301"/>
    <s v="SANTO DOMINGO "/>
    <n v="1"/>
    <n v="0"/>
    <n v="0"/>
    <s v="CORRIENTE"/>
    <x v="1"/>
    <n v="570206"/>
    <s v="COSTAS JUDICIALES, TRÁMITES NOTARIALES,  LEGALIZACIÓN DE DOCUMENTOS Y ARREGLOS EXTRAJUDICIALES"/>
    <n v="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2 INCREMENTAR LA ARTICULACIÓN INTERINSTITUCIONAL EN LA PRESTACIÓN DE SERVICIOS DE ATENCIÓN DE EMERGENCIAS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2"/>
    <s v="TECNOLOGÍA"/>
    <s v="PROVISIÓN DEL SERVICIO DE TELEFONÍA FIJA, ENLACES DE DATOS, INTERNET, SERVICIOS MÓVILES Y SERVICIOS DE SEGURIDAD INFORMÁTICA PARA EL CENTRO OPERATIVO LOCAL ECU 911 SANTO DOMINGO"/>
    <n v="1"/>
    <x v="2"/>
    <n v="55"/>
    <n v="0"/>
    <n v="3"/>
    <n v="2301"/>
    <s v="SANTO DOMINGO "/>
    <n v="1"/>
    <n v="0"/>
    <n v="0"/>
    <s v="CORRIENTE"/>
    <x v="0"/>
    <n v="530105"/>
    <s v="TELECOMUNICACIONES"/>
    <n v="150000"/>
    <n v="88315.550000000017"/>
    <n v="9060"/>
    <n v="9060"/>
    <n v="9060"/>
    <n v="9060"/>
    <n v="9060"/>
    <n v="5000"/>
    <n v="5000"/>
    <n v="7000"/>
    <n v="7000"/>
    <n v="7000"/>
    <n v="6200"/>
    <n v="5815.55"/>
    <n v="88315.55"/>
    <s v="OK"/>
    <n v="67140.399999999994"/>
    <n v="21175.150000000023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2 INCREMENTAR LA ARTICULACIÓN INTERINSTITUCIONAL EN LA PRESTACIÓN DE SERVICIOS DE ATENCIÓN DE EMERGENCIAS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2"/>
    <s v="TECNOLOGÍA"/>
    <s v="ADQUISICIÓN DE LICENCIAS DE FUNCIONAMIENTO ANUAL PARA LOS EQUIPOS DE RED INALAMBRICA MERAKI CISCO, DEL CENTRO OPERATIVO LOCAL ECU911 SANTO DOMINGO"/>
    <n v="1"/>
    <x v="2"/>
    <n v="55"/>
    <n v="0"/>
    <n v="3"/>
    <n v="2301"/>
    <s v="SANTO DOMINGO "/>
    <n v="1"/>
    <n v="0"/>
    <n v="0"/>
    <s v="CORRIENTE"/>
    <x v="0"/>
    <n v="530702"/>
    <s v="ARRENDAMIENTO Y LICENCIAS DE USO DE PAQUETES INFORMÁTICOS"/>
    <n v="80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2 INCREMENTAR LA ARTICULACIÓN INTERINSTITUCIONAL EN LA PRESTACIÓN DE SERVICIOS DE ATENCIÓN DE EMERGENCIAS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2"/>
    <s v="TECNOLOGÍA"/>
    <s v="SERVICIO DE MANTENIMIENTO CORRECTIVO PARA LOS MONITORES LCD DE LA COORDINACIÓN ZONAL 4 SIS ECU 911"/>
    <n v="1"/>
    <x v="2"/>
    <n v="55"/>
    <n v="0"/>
    <n v="3"/>
    <n v="2301"/>
    <s v="SANTO DOMINGO "/>
    <n v="1"/>
    <n v="0"/>
    <n v="0"/>
    <s v="CORRIENTE"/>
    <x v="0"/>
    <n v="530704"/>
    <s v="MANTENIMIENTO Y REPARACIÓN DE EQUIPOS Y SISTEMAS INFORMÁTICOS "/>
    <n v="0"/>
    <n v="2177.9499999999998"/>
    <n v="0"/>
    <n v="0"/>
    <n v="0"/>
    <n v="0"/>
    <n v="0"/>
    <n v="0"/>
    <n v="0"/>
    <n v="2177.9499999999998"/>
    <n v="0"/>
    <n v="0"/>
    <n v="0"/>
    <n v="0"/>
    <n v="2177.9499999999998"/>
    <s v="OK"/>
    <n v="2020"/>
    <n v="157.94999999999982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2 INCREMENTAR LA ARTICULACIÓN INTERINSTITUCIONAL EN LA PRESTACIÓN DE SERVICIOS DE ATENCIÓN DE EMERGENCIAS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2"/>
    <s v="TECNOLOGÍA"/>
    <s v="SOSTENIMIENTO TECNOLÓGICO DE SITIOS DE VIDEO VIGILANCIA PARA LA COORDINACIÓN ZONAL 4 DEL SIS ECU 911"/>
    <n v="1"/>
    <x v="2"/>
    <n v="55"/>
    <n v="0"/>
    <n v="3"/>
    <n v="2301"/>
    <s v="SANTO DOMINGO "/>
    <n v="1"/>
    <n v="0"/>
    <n v="0"/>
    <s v="CORRIENTE"/>
    <x v="0"/>
    <n v="530704"/>
    <s v="MANTENIMIENTO Y REPARACIÓN DE EQUIPOS Y SISTEMAS INFORMÁTICOS "/>
    <n v="42000"/>
    <n v="40663.43"/>
    <n v="0"/>
    <n v="0"/>
    <n v="0"/>
    <n v="4667"/>
    <n v="4667"/>
    <n v="4667"/>
    <n v="4667"/>
    <n v="4667"/>
    <n v="4667"/>
    <n v="4667"/>
    <n v="4667"/>
    <n v="3327.43"/>
    <n v="40663.43"/>
    <s v="OK"/>
    <n v="40663.43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2 INCREMENTAR LA ARTICULACIÓN INTERINSTITUCIONAL EN LA PRESTACIÓN DE SERVICIOS DE ATENCIÓN DE EMERGENCIAS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2"/>
    <s v="TECNOLOGÍA"/>
    <s v="SERVICIO DE MANTENIMIENTO CORRECTIVO DE EQUIPOS ELECTRÓNICOS PARA LA COORDINACIÓN ZONAL 4 SIS ECU 911"/>
    <n v="1"/>
    <x v="2"/>
    <n v="55"/>
    <n v="0"/>
    <n v="3"/>
    <n v="2301"/>
    <s v="SANTO DOMINGO "/>
    <n v="1"/>
    <n v="0"/>
    <n v="0"/>
    <s v="CORRIENTE"/>
    <x v="0"/>
    <n v="530704"/>
    <s v="MANTENIMIENTO Y REPARACIÓN DE EQUIPOS Y SISTEMAS INFORMÁTICOS "/>
    <n v="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2 INCREMENTAR LA ARTICULACIÓN INTERINSTITUCIONAL EN LA PRESTACIÓN DE SERVICIOS DE ATENCIÓN DE EMERGENCIAS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2"/>
    <s v="TECNOLOGÍA"/>
    <s v="SERVICIO DE MANTENIMIENTO EMERGENTE DE SERVIDORES PARA LA  COORDINACIÓN ZONAL 4 SIS ECU 911"/>
    <n v="1"/>
    <x v="2"/>
    <n v="55"/>
    <n v="0"/>
    <n v="3"/>
    <n v="2301"/>
    <s v="SANTO DOMINGO "/>
    <n v="1"/>
    <n v="0"/>
    <n v="0"/>
    <s v="CORRIENTE"/>
    <x v="0"/>
    <n v="530704"/>
    <s v="MANTENIMIENTO Y REPARACIÓN DE EQUIPOS Y SISTEMAS INFORMÁTICOS "/>
    <n v="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2 INCREMENTAR LA ARTICULACIÓN INTERINSTITUCIONAL EN LA PRESTACIÓN DE SERVICIOS DE ATENCIÓN DE EMERGENCIAS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2"/>
    <s v="TECNOLOGÍA"/>
    <s v="ADQUISICIÓN DE REPUESTOS, PARTES Y ACCESORIOS INCLUIDO EL MANTENIMIENTO Y REPARACION PARA LAS IMPRESORAS DE LA COORDINACION ZONAL 4 DEL SIS ECU 911"/>
    <n v="1"/>
    <x v="2"/>
    <n v="55"/>
    <n v="0"/>
    <n v="3"/>
    <n v="2301"/>
    <s v="SANTO DOMINGO "/>
    <n v="1"/>
    <n v="0"/>
    <n v="0"/>
    <s v="CORRIENTE"/>
    <x v="0"/>
    <n v="530704"/>
    <s v="MANTENIMIENTO Y REPARACIÓN DE EQUIPOS Y SISTEMAS INFORMÁTICOS "/>
    <n v="500"/>
    <n v="500"/>
    <n v="0"/>
    <n v="0"/>
    <n v="0"/>
    <n v="500"/>
    <n v="0"/>
    <n v="0"/>
    <n v="0"/>
    <n v="0"/>
    <n v="0"/>
    <n v="0"/>
    <n v="0"/>
    <n v="0"/>
    <n v="500"/>
    <s v="OK"/>
    <n v="365"/>
    <n v="135"/>
    <s v="R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2 INCREMENTAR LA ARTICULACIÓN INTERINSTITUCIONAL EN LA PRESTACIÓN DE SERVICIOS DE ATENCIÓN DE EMERGENCIAS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2"/>
    <s v="TECNOLOGÍA"/>
    <s v="ADQUISICIÓN DE REPUESTOS, EQUIPOS, HERRAMIENTAS, MATERIALES E INSUMOS TECNOLÓGICOS PARA LA COORDINACIÓN ZONAL 4 DEL SIS ECU 911"/>
    <n v="3"/>
    <x v="2"/>
    <n v="55"/>
    <n v="0"/>
    <n v="3"/>
    <n v="2301"/>
    <s v="SANTO DOMINGO "/>
    <n v="1"/>
    <n v="0"/>
    <n v="0"/>
    <s v="CORRIENTE"/>
    <x v="0"/>
    <n v="530803"/>
    <s v="LUBRICANTES"/>
    <n v="100"/>
    <n v="80"/>
    <n v="0"/>
    <n v="0"/>
    <n v="0"/>
    <n v="0"/>
    <n v="80"/>
    <n v="0"/>
    <n v="0"/>
    <n v="0"/>
    <n v="0"/>
    <n v="0"/>
    <n v="0"/>
    <n v="0"/>
    <n v="80"/>
    <s v="OK"/>
    <n v="60"/>
    <n v="2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2 INCREMENTAR LA ARTICULACIÓN INTERINSTITUCIONAL EN LA PRESTACIÓN DE SERVICIOS DE ATENCIÓN DE EMERGENCIAS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2"/>
    <s v="TECNOLOGÍA"/>
    <s v="ADQUISICIÓN DE REPUESTOS, EQUIPOS, HERRAMIENTAS, MATERIALES E INSUMOS TECNOLÓGICOS PARA LA COORDINACIÓN ZONAL 4 DEL SIS ECU 911"/>
    <n v="3"/>
    <x v="2"/>
    <n v="55"/>
    <n v="0"/>
    <n v="3"/>
    <n v="2301"/>
    <s v="SANTO DOMINGO "/>
    <n v="1"/>
    <n v="0"/>
    <n v="0"/>
    <s v="CORRIENTE"/>
    <x v="0"/>
    <n v="530805"/>
    <s v="MATERIALES DE ASEO"/>
    <n v="100"/>
    <n v="95"/>
    <n v="0"/>
    <n v="0"/>
    <n v="0"/>
    <n v="0"/>
    <n v="95"/>
    <n v="0"/>
    <n v="0"/>
    <n v="0"/>
    <n v="0"/>
    <n v="0"/>
    <n v="0"/>
    <n v="0"/>
    <n v="95"/>
    <s v="OK"/>
    <n v="90"/>
    <n v="5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2 INCREMENTAR LA ARTICULACIÓN INTERINSTITUCIONAL EN LA PRESTACIÓN DE SERVICIOS DE ATENCIÓN DE EMERGENCIAS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2"/>
    <s v="TECNOLOGÍA"/>
    <s v="ADQUISICIÓN DE TÓNERS PARA IMPRESORAS PARA LA COORDINACIÓN ZONAL 4 DEL SERVICIO INTEGRADO DE SEGURIDAD ECU 911 MEDIANTE ÍNFIMA CUANTÍA"/>
    <n v="1"/>
    <x v="2"/>
    <n v="55"/>
    <n v="0"/>
    <n v="3"/>
    <n v="2301"/>
    <s v="SANTO DOMINGO "/>
    <n v="1"/>
    <n v="0"/>
    <n v="0"/>
    <s v="CORRIENTE"/>
    <x v="0"/>
    <n v="530807"/>
    <s v="MATERIALES DE IMPRESIÓN, FOTOGRAFÍA, REPRODUCCIÓN Y PUBLICACIONES"/>
    <n v="0"/>
    <n v="280"/>
    <n v="0"/>
    <n v="0"/>
    <n v="0"/>
    <n v="0"/>
    <n v="0"/>
    <n v="0"/>
    <n v="0"/>
    <n v="280"/>
    <n v="0"/>
    <n v="0"/>
    <n v="0"/>
    <n v="0"/>
    <n v="280"/>
    <s v="OK"/>
    <n v="0"/>
    <n v="28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2 INCREMENTAR LA ARTICULACIÓN INTERINSTITUCIONAL EN LA PRESTACIÓN DE SERVICIOS DE ATENCIÓN DE EMERGENCIAS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2"/>
    <s v="TECNOLOGÍA"/>
    <s v="ADQUISICIÓN DE TÓNERS PARA IMPRESORAS PARA LA COORDINACIÓN ZONAL 4 DEL SERVICIO INTEGRADO DE SEGURIDAD ECU 911 MEDIANTE CATÁLOGO ELECTRÓNICO"/>
    <n v="1"/>
    <x v="2"/>
    <n v="55"/>
    <n v="0"/>
    <n v="3"/>
    <n v="2301"/>
    <s v="SANTO DOMINGO "/>
    <n v="1"/>
    <n v="0"/>
    <n v="0"/>
    <s v="CORRIENTE"/>
    <x v="0"/>
    <n v="530807"/>
    <s v="MATERIALES DE IMPRESIÓN, FOTOGRAFÍA, REPRODUCCIÓN Y PUBLICACIONES"/>
    <n v="0"/>
    <n v="711.7"/>
    <n v="0"/>
    <n v="0"/>
    <n v="0"/>
    <n v="0"/>
    <n v="0"/>
    <n v="0"/>
    <n v="0"/>
    <n v="0"/>
    <n v="711.7"/>
    <n v="0"/>
    <n v="0"/>
    <n v="0"/>
    <n v="711.7"/>
    <s v="OK"/>
    <n v="711.7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2 INCREMENTAR LA ARTICULACIÓN INTERINSTITUCIONAL EN LA PRESTACIÓN DE SERVICIOS DE ATENCIÓN DE EMERGENCIAS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2"/>
    <s v="TECNOLOGÍA"/>
    <s v="ADQUISICIÓN DE TÓNERS PARA IMPRESORAS PARA LA COORDINACION ZONAL 4 DEL SIS ECU 911"/>
    <n v="1"/>
    <x v="2"/>
    <n v="55"/>
    <n v="0"/>
    <n v="3"/>
    <n v="2301"/>
    <s v="SANTO DOMINGO "/>
    <n v="1"/>
    <n v="0"/>
    <n v="0"/>
    <s v="CORRIENTE"/>
    <x v="0"/>
    <n v="530807"/>
    <s v="MATERIALES DE IMPRESIÓN, FOTOGRAFÍA, REPRODUCCIÓN Y PUBLICACIONES"/>
    <n v="3000"/>
    <n v="0"/>
    <n v="0"/>
    <n v="0"/>
    <n v="0"/>
    <n v="0"/>
    <n v="0"/>
    <n v="0"/>
    <n v="0"/>
    <n v="0"/>
    <n v="0"/>
    <n v="0"/>
    <n v="0"/>
    <n v="0"/>
    <n v="0"/>
    <s v="OK"/>
    <n v="0"/>
    <n v="0"/>
    <s v="R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2 INCREMENTAR LA ARTICULACIÓN INTERINSTITUCIONAL EN LA PRESTACIÓN DE SERVICIOS DE ATENCIÓN DE EMERGENCIAS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2"/>
    <s v="TECNOLOGÍA"/>
    <s v="ADQUISICIÓN DE REPUESTOS, EQUIPOS, HERRAMIENTAS, MATERIALES E INSUMOS TECNOLÓGICOS PARA LA COORDINACIÓN ZONAL 4 DEL SIS ECU 911"/>
    <n v="3"/>
    <x v="2"/>
    <n v="55"/>
    <n v="0"/>
    <n v="3"/>
    <n v="2301"/>
    <s v="SANTO DOMINGO "/>
    <n v="1"/>
    <n v="0"/>
    <n v="0"/>
    <s v="CORRIENTE"/>
    <x v="0"/>
    <n v="530811"/>
    <s v="INSUMOS, MATERIALES Y SUMINISTROS PARA CONSTRUCCIÓN, ELECTRICIDAD, PLOMERÍA, CARPINTERÍA, SEÑALIZACIÓN VIAL, NAVEGACIÓN, CONTRA INCENDIOS Y PLACAS"/>
    <n v="800"/>
    <n v="746"/>
    <n v="0"/>
    <n v="0"/>
    <n v="0"/>
    <n v="0"/>
    <n v="746"/>
    <n v="0"/>
    <n v="0"/>
    <n v="0"/>
    <n v="0"/>
    <n v="0"/>
    <n v="0"/>
    <n v="0"/>
    <n v="746"/>
    <s v="OK"/>
    <n v="692"/>
    <n v="54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2 INCREMENTAR LA ARTICULACIÓN INTERINSTITUCIONAL EN LA PRESTACIÓN DE SERVICIOS DE ATENCIÓN DE EMERGENCIAS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2"/>
    <s v="TECNOLOGÍA"/>
    <s v="ADQUISICIÓN DE REPUESTOS, EQUIPOS, HERRAMIENTAS, MATERIALES E INSUMOS TECNOLÓGICOS PARA LA COORDINACIÓN ZONAL 4 DEL SIS ECU 911"/>
    <n v="3"/>
    <x v="2"/>
    <n v="55"/>
    <n v="0"/>
    <n v="3"/>
    <n v="2301"/>
    <s v="SANTO DOMINGO "/>
    <n v="1"/>
    <n v="0"/>
    <n v="0"/>
    <s v="CORRIENTE"/>
    <x v="0"/>
    <n v="530813"/>
    <s v="REPUESTOS Y ACCESORIOS"/>
    <n v="1000"/>
    <n v="480.5"/>
    <n v="0"/>
    <n v="0"/>
    <n v="0"/>
    <n v="0"/>
    <n v="480.5"/>
    <n v="0"/>
    <n v="0"/>
    <n v="0"/>
    <n v="0"/>
    <n v="0"/>
    <n v="0"/>
    <n v="0"/>
    <n v="480.5"/>
    <s v="OK"/>
    <n v="0"/>
    <n v="480.5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2 INCREMENTAR LA ARTICULACIÓN INTERINSTITUCIONAL EN LA PRESTACIÓN DE SERVICIOS DE ATENCIÓN DE EMERGENCIAS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2"/>
    <s v="TECNOLOGÍA"/>
    <s v="ADQUISICIÓN DE REPUESTOS, PARTES Y ACCESORIOS INCLUIDO EL MANTENIMIENTO Y REPARACION PARA LAS IMPRESORAS DE LA COORDINACION ZONAL 4 DEL SIS ECU 911"/>
    <n v="1"/>
    <x v="2"/>
    <n v="55"/>
    <n v="0"/>
    <n v="3"/>
    <n v="2301"/>
    <s v="SANTO DOMINGO "/>
    <n v="1"/>
    <n v="0"/>
    <n v="0"/>
    <s v="CORRIENTE"/>
    <x v="0"/>
    <n v="530813"/>
    <s v="REPUESTOS Y ACCESORIOS"/>
    <n v="2500"/>
    <n v="2500"/>
    <n v="0"/>
    <n v="0"/>
    <n v="0"/>
    <n v="2500"/>
    <n v="0"/>
    <n v="0"/>
    <n v="0"/>
    <n v="0"/>
    <n v="0"/>
    <n v="0"/>
    <n v="0"/>
    <n v="0"/>
    <n v="2500"/>
    <s v="OK"/>
    <n v="2461"/>
    <n v="39"/>
    <s v="R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2 INCREMENTAR LA ARTICULACIÓN INTERINSTITUCIONAL EN LA PRESTACIÓN DE SERVICIOS DE ATENCIÓN DE EMERGENCIAS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2"/>
    <s v="TECNOLOGÍA"/>
    <s v="ADQUISICIÓN DE BASES TELEFONICAS PARA ATENDER LLAMADAS DE EMERGENCIA EN LOS CENTROS OPERATIVOS DE LA COORDINACIÓN ZONAL 4 DEL SIS ECU 911"/>
    <n v="1"/>
    <x v="2"/>
    <n v="55"/>
    <n v="0"/>
    <n v="3"/>
    <n v="2301"/>
    <s v="SANTO DOMINGO "/>
    <n v="1"/>
    <n v="0"/>
    <n v="0"/>
    <s v="CORRIENTE"/>
    <x v="0"/>
    <n v="531404"/>
    <s v="MAQUINARIAS Y EQUIPOS"/>
    <n v="0"/>
    <n v="2240"/>
    <n v="0"/>
    <n v="0"/>
    <n v="0"/>
    <n v="0"/>
    <n v="0"/>
    <n v="0"/>
    <n v="0"/>
    <n v="0"/>
    <n v="0"/>
    <n v="0"/>
    <n v="2240"/>
    <n v="0"/>
    <n v="2240"/>
    <s v="OK"/>
    <n v="2240"/>
    <n v="0"/>
    <s v="R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2 INCREMENTAR LA ARTICULACIÓN INTERINSTITUCIONAL EN LA PRESTACIÓN DE SERVICIOS DE ATENCIÓN DE EMERGENCIAS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2"/>
    <s v="TECNOLOGÍA"/>
    <s v="ADQUISICIÓN DE REPUESTOS, EQUIPOS, HERRAMIENTAS, MATERIALES E INSUMOS TECNOLÓGICOS PARA LA COORDINACIÓN ZONAL 4 DEL SIS ECU 911"/>
    <n v="3"/>
    <x v="2"/>
    <n v="55"/>
    <n v="0"/>
    <n v="3"/>
    <n v="2301"/>
    <s v="SANTO DOMINGO "/>
    <n v="1"/>
    <n v="0"/>
    <n v="0"/>
    <s v="CORRIENTE"/>
    <x v="0"/>
    <n v="531406"/>
    <s v="HERRAMIENTAS Y EQUIPOS MENORES"/>
    <n v="200"/>
    <n v="195"/>
    <n v="0"/>
    <n v="0"/>
    <n v="0"/>
    <n v="0"/>
    <n v="195"/>
    <n v="0"/>
    <n v="0"/>
    <n v="0"/>
    <n v="0"/>
    <n v="0"/>
    <n v="0"/>
    <n v="0"/>
    <n v="195"/>
    <s v="OK"/>
    <n v="190"/>
    <n v="5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2 INCREMENTAR LA ARTICULACIÓN INTERINSTITUCIONAL EN LA PRESTACIÓN DE SERVICIOS DE ATENCIÓN DE EMERGENCIAS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2"/>
    <s v="TECNOLOGÍA"/>
    <s v="ADQUISICIÓN DE REPUESTOS, EQUIPOS, HERRAMIENTAS, MATERIALES E INSUMOS TECNOLÓGICOS PARA LA COORDINACIÓN ZONAL 4 DEL SIS ECU 911"/>
    <n v="3"/>
    <x v="2"/>
    <n v="55"/>
    <n v="0"/>
    <n v="3"/>
    <n v="2301"/>
    <s v="SANTO DOMINGO "/>
    <n v="1"/>
    <n v="0"/>
    <n v="0"/>
    <s v="CORRIENTE"/>
    <x v="0"/>
    <n v="531407"/>
    <s v="EQUIPOS, SISTEMAS Y PAQUETES INFORMÁTICOS"/>
    <n v="1500"/>
    <n v="1415.5"/>
    <n v="0"/>
    <n v="0"/>
    <n v="0"/>
    <n v="0"/>
    <n v="1415.5"/>
    <n v="0"/>
    <n v="0"/>
    <n v="0"/>
    <n v="0"/>
    <n v="0"/>
    <n v="0"/>
    <n v="0"/>
    <n v="1415.5"/>
    <s v="OK"/>
    <n v="1331"/>
    <n v="84.5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2 INCREMENTAR LA ARTICULACIÓN INTERINSTITUCIONAL EN LA PRESTACIÓN DE SERVICIOS DE ATENCIÓN DE EMERGENCIAS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2"/>
    <x v="2"/>
    <s v="TECNOLOGÍA"/>
    <s v="ADQUISICIÓN DE REPUESTOS, EQUIPOS, HERRAMIENTAS, MATERIALES E INSUMOS TECNOLÓGICOS PARA LA COORDINACIÓN ZONAL 4 DEL SIS ECU 911"/>
    <n v="3"/>
    <x v="2"/>
    <n v="55"/>
    <n v="0"/>
    <n v="3"/>
    <n v="2301"/>
    <s v="SANTO DOMINGO "/>
    <n v="1"/>
    <n v="0"/>
    <n v="0"/>
    <s v="CORRIENTE"/>
    <x v="0"/>
    <n v="531411"/>
    <s v="PARTES Y REPUESTOS"/>
    <n v="300"/>
    <n v="150"/>
    <n v="0"/>
    <n v="0"/>
    <n v="0"/>
    <n v="0"/>
    <n v="150"/>
    <n v="0"/>
    <n v="0"/>
    <n v="0"/>
    <n v="0"/>
    <n v="0"/>
    <n v="0"/>
    <n v="0"/>
    <n v="150"/>
    <s v="OK"/>
    <n v="0"/>
    <n v="15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3"/>
    <s v="ADMINISTRACIÓN CENTRAL"/>
    <s v="CANCELACIÓN DE REMUNERACIONES Y BENEFICIOS SOCIALES"/>
    <n v="1"/>
    <x v="3"/>
    <n v="1"/>
    <n v="0"/>
    <s v="001"/>
    <n v="900"/>
    <s v="SAMBORONDÓN"/>
    <n v="1"/>
    <n v="0"/>
    <n v="0"/>
    <s v="CORRIENTE"/>
    <x v="3"/>
    <n v="510105"/>
    <s v="REMUNERACIONES UNIFICADAS"/>
    <n v="270564"/>
    <n v="278561"/>
    <n v="22547"/>
    <n v="22547"/>
    <n v="22547"/>
    <n v="22547"/>
    <n v="22547"/>
    <n v="22547"/>
    <n v="22547"/>
    <n v="22547"/>
    <n v="22547"/>
    <n v="22547"/>
    <n v="22547"/>
    <n v="30544"/>
    <n v="278561"/>
    <s v="OK"/>
    <n v="0"/>
    <n v="278561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3"/>
    <s v="ADMINISTRACIÓN CENTRAL"/>
    <s v="CANCELACIÓN DE REMUNERACIONES Y BENEFICIOS SOCIALES"/>
    <n v="1"/>
    <x v="3"/>
    <n v="1"/>
    <n v="0"/>
    <s v="001"/>
    <n v="900"/>
    <s v="SAMBORONDÓN"/>
    <n v="1"/>
    <n v="0"/>
    <n v="0"/>
    <s v="CORRIENTE"/>
    <x v="3"/>
    <n v="510106"/>
    <s v="SALARIOS UNIFICADOS"/>
    <n v="37764"/>
    <n v="37653.47"/>
    <n v="3147"/>
    <n v="3147"/>
    <n v="3147"/>
    <n v="3147"/>
    <n v="3147"/>
    <n v="3147"/>
    <n v="3147"/>
    <n v="3147"/>
    <n v="3147"/>
    <n v="3147"/>
    <n v="3147"/>
    <n v="3036.47"/>
    <n v="37653.47"/>
    <s v="OK"/>
    <n v="0"/>
    <n v="37653.47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3"/>
    <s v="ADMINISTRACIÓN CENTRAL"/>
    <s v="CANCELACIÓN DE REMUNERACIONES Y BENEFICIOS SOCIALES"/>
    <n v="1"/>
    <x v="3"/>
    <n v="1"/>
    <n v="0"/>
    <s v="001"/>
    <n v="900"/>
    <s v="SAMBORONDÓN"/>
    <n v="1"/>
    <n v="0"/>
    <n v="0"/>
    <s v="CORRIENTE"/>
    <x v="3"/>
    <n v="510203"/>
    <s v="DÉCIMO TERCER SUELDO"/>
    <n v="27160"/>
    <n v="25212.82"/>
    <n v="0"/>
    <n v="0"/>
    <n v="0"/>
    <n v="0"/>
    <n v="0"/>
    <n v="0"/>
    <n v="0"/>
    <n v="0"/>
    <n v="0"/>
    <n v="0"/>
    <n v="0"/>
    <n v="25212.82"/>
    <n v="25212.82"/>
    <s v="OK"/>
    <n v="0"/>
    <n v="25212.82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3"/>
    <s v="ADMINISTRACIÓN CENTRAL"/>
    <s v="CANCELACIÓN DE REMUNERACIONES Y BENEFICIOS SOCIALES"/>
    <n v="1"/>
    <x v="3"/>
    <n v="1"/>
    <n v="0"/>
    <s v="001"/>
    <n v="900"/>
    <s v="SAMBORONDÓN"/>
    <n v="1"/>
    <n v="0"/>
    <n v="0"/>
    <s v="CORRIENTE"/>
    <x v="3"/>
    <n v="510204"/>
    <s v="DÉCIMO CUARTO SUELDO"/>
    <n v="11625"/>
    <n v="11829.55"/>
    <n v="0"/>
    <n v="0"/>
    <n v="0"/>
    <n v="11829.55"/>
    <n v="0"/>
    <n v="0"/>
    <n v="0"/>
    <n v="0"/>
    <n v="0"/>
    <n v="0"/>
    <n v="0"/>
    <n v="0"/>
    <n v="11829.55"/>
    <s v="OK"/>
    <n v="0"/>
    <n v="11829.55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3"/>
    <s v="ADMINISTRACIÓN CENTRAL"/>
    <s v="CANCELACIÓN DE REMUNERACIONES Y BENEFICIOS SOCIALES"/>
    <n v="1"/>
    <x v="3"/>
    <n v="1"/>
    <n v="0"/>
    <s v="001"/>
    <n v="900"/>
    <s v="SAMBORONDÓN"/>
    <n v="1"/>
    <n v="0"/>
    <n v="0"/>
    <s v="CORRIENTE"/>
    <x v="3"/>
    <n v="510509"/>
    <s v="HORAS EXTRAORDINARIAS Y SUPLEMENTARIAS"/>
    <n v="2000"/>
    <n v="4278"/>
    <n v="166"/>
    <n v="166"/>
    <n v="166"/>
    <n v="166"/>
    <n v="167"/>
    <n v="167"/>
    <n v="167"/>
    <n v="167"/>
    <n v="567"/>
    <n v="824"/>
    <n v="824"/>
    <n v="731"/>
    <n v="4278"/>
    <s v="OK"/>
    <n v="0"/>
    <n v="4278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3"/>
    <s v="ADMINISTRACIÓN CENTRAL"/>
    <s v="CANCELACIÓN DE REMUNERACIONES Y BENEFICIOS SOCIALES"/>
    <n v="1"/>
    <x v="3"/>
    <n v="1"/>
    <n v="0"/>
    <s v="001"/>
    <n v="900"/>
    <s v="SAMBORONDÓN"/>
    <n v="1"/>
    <n v="0"/>
    <n v="0"/>
    <s v="CORRIENTE"/>
    <x v="3"/>
    <n v="510510"/>
    <s v="SERVICIOS PERSONALES POR CONTRATO"/>
    <n v="17648"/>
    <n v="4400"/>
    <n v="1470"/>
    <n v="1470"/>
    <n v="167.25"/>
    <n v="167.25"/>
    <n v="167.25"/>
    <n v="167.25"/>
    <n v="167.25"/>
    <n v="167.25"/>
    <n v="167.25"/>
    <n v="167.25"/>
    <n v="65"/>
    <n v="57"/>
    <n v="4400"/>
    <s v="OK"/>
    <n v="0"/>
    <n v="440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3"/>
    <s v="ADMINISTRACIÓN CENTRAL"/>
    <s v="SUBROGACIÓN"/>
    <n v="1"/>
    <x v="3"/>
    <n v="1"/>
    <n v="0"/>
    <s v="001"/>
    <n v="900"/>
    <s v="SAMBORONDÓN"/>
    <n v="1"/>
    <n v="0"/>
    <n v="0"/>
    <s v="CORRIENTE"/>
    <x v="3"/>
    <n v="510512"/>
    <s v="SUBROGACIÓN "/>
    <n v="500"/>
    <n v="850"/>
    <n v="70.83"/>
    <n v="70.83"/>
    <n v="70.83"/>
    <n v="70.83"/>
    <n v="70.83"/>
    <n v="70.83"/>
    <n v="70.83"/>
    <n v="70.83"/>
    <n v="70.83"/>
    <n v="70.83"/>
    <n v="70.83"/>
    <n v="70.87"/>
    <n v="850.00000000000011"/>
    <s v="OK"/>
    <n v="0"/>
    <n v="85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3"/>
    <s v="ADMINISTRACIÓN CENTRAL"/>
    <s v="CANCELACIÓN DE REMUNERACIONES Y BENEFICIOS SOCIALES"/>
    <n v="1"/>
    <x v="3"/>
    <n v="1"/>
    <n v="0"/>
    <s v="001"/>
    <n v="900"/>
    <s v="SAMBORONDÓN"/>
    <n v="1"/>
    <n v="0"/>
    <n v="0"/>
    <s v="CORRIENTE"/>
    <x v="3"/>
    <n v="510513"/>
    <s v="ENCARGOS"/>
    <n v="500"/>
    <n v="1504.05"/>
    <n v="279.42"/>
    <n v="279.42"/>
    <n v="110.28"/>
    <n v="97.78"/>
    <n v="97.78"/>
    <n v="97.78"/>
    <n v="97.78"/>
    <n v="97.78"/>
    <n v="97.78"/>
    <n v="97.78"/>
    <n v="97.78"/>
    <n v="52.69"/>
    <n v="1504.05"/>
    <s v="OK"/>
    <n v="0"/>
    <n v="1504.05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3"/>
    <s v="ADMINISTRACIÓN CENTRAL"/>
    <s v="CANCELACIÓN DE REMUNERACIONES Y BENEFICIOS SOCIALES"/>
    <n v="1"/>
    <x v="3"/>
    <n v="1"/>
    <n v="0"/>
    <s v="001"/>
    <n v="900"/>
    <s v="SAMBORONDÓN"/>
    <n v="1"/>
    <n v="0"/>
    <n v="0"/>
    <s v="CORRIENTE"/>
    <x v="3"/>
    <n v="510601"/>
    <s v="APORTE PATRONAL"/>
    <n v="32396"/>
    <n v="31254.81"/>
    <n v="2699"/>
    <n v="2699"/>
    <n v="2699"/>
    <n v="2699"/>
    <n v="2700"/>
    <n v="2700"/>
    <n v="2700"/>
    <n v="2700"/>
    <n v="2700"/>
    <n v="2700"/>
    <n v="2500"/>
    <n v="1758.81"/>
    <n v="31254.81"/>
    <s v="OK"/>
    <n v="0"/>
    <n v="31254.81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3"/>
    <s v="ADMINISTRACIÓN CENTRAL"/>
    <s v="CANCELACIÓN DE REMUNERACIONES Y BENEFICIOS SOCIALES"/>
    <n v="1"/>
    <x v="3"/>
    <n v="1"/>
    <n v="0"/>
    <s v="001"/>
    <n v="900"/>
    <s v="SAMBORONDÓN"/>
    <n v="1"/>
    <n v="0"/>
    <n v="0"/>
    <s v="CORRIENTE"/>
    <x v="3"/>
    <n v="510602"/>
    <s v="FONDO DE RESERVA"/>
    <n v="27150"/>
    <n v="23994.84"/>
    <n v="2263"/>
    <n v="2263"/>
    <n v="2263"/>
    <n v="2263"/>
    <n v="2263"/>
    <n v="2263"/>
    <n v="2262"/>
    <n v="2262"/>
    <n v="2262"/>
    <n v="2262"/>
    <n v="650"/>
    <n v="718.84"/>
    <n v="23994.84"/>
    <s v="OK"/>
    <n v="0"/>
    <n v="23994.84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3"/>
    <s v="ADMINISTRACIÓN CENTRAL"/>
    <s v="DESPIDO INTEMPESTIVO"/>
    <n v="1"/>
    <x v="3"/>
    <n v="1"/>
    <n v="0"/>
    <n v="1"/>
    <n v="900"/>
    <s v="SAMBORONDÓN"/>
    <n v="1"/>
    <n v="0"/>
    <n v="0"/>
    <s v="CORRIENTE"/>
    <x v="3"/>
    <n v="510703"/>
    <s v="DESPIDO INTEMPESTIVO"/>
    <n v="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3"/>
    <s v="ADMINISTRACIÓN CENTRAL"/>
    <s v="COMPENSACIÓN POR DESAHUCIO"/>
    <n v="1"/>
    <x v="3"/>
    <n v="1"/>
    <n v="0"/>
    <n v="1"/>
    <n v="900"/>
    <s v="SAMBORONDÓN"/>
    <n v="1"/>
    <n v="0"/>
    <n v="0"/>
    <s v="CORRIENTE"/>
    <x v="3"/>
    <n v="510704"/>
    <s v="COMPENSACIÓN POR DESAHUCIO"/>
    <n v="0"/>
    <n v="2964"/>
    <n v="247"/>
    <n v="247"/>
    <n v="247"/>
    <n v="247"/>
    <n v="247"/>
    <n v="247"/>
    <n v="247"/>
    <n v="247"/>
    <n v="247"/>
    <n v="247"/>
    <n v="247"/>
    <n v="247"/>
    <n v="2964"/>
    <s v="OK"/>
    <n v="0"/>
    <n v="2964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3"/>
    <s v="ADMINISTRACIÓN CENTRAL"/>
    <s v="COMPENSACIÓN POR VACACIONES NO GOZADAS POR CESASIÓN DE FUNCIONES"/>
    <n v="1"/>
    <x v="3"/>
    <n v="1"/>
    <n v="0"/>
    <n v="1"/>
    <n v="900"/>
    <s v="SAMBORONDÓN"/>
    <n v="1"/>
    <n v="0"/>
    <n v="0"/>
    <s v="CORRIENTE"/>
    <x v="3"/>
    <n v="510707"/>
    <s v="COMPENSACIÓN POR VACACIONES NO GOZADAS POR CESACIÓN DE FUNCIONES"/>
    <n v="0"/>
    <n v="811"/>
    <n v="6.75"/>
    <n v="6.75"/>
    <n v="6.75"/>
    <n v="6.75"/>
    <n v="6.75"/>
    <n v="125"/>
    <n v="125"/>
    <n v="125"/>
    <n v="125"/>
    <n v="125"/>
    <n v="125"/>
    <n v="27.25"/>
    <n v="811"/>
    <s v="OK"/>
    <n v="0"/>
    <n v="811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4"/>
    <s v="OPERACIONES"/>
    <s v="CANCELACIÓN DE REMUNERACIONES Y BENEFICIOS SOCIALES"/>
    <n v="1"/>
    <x v="3"/>
    <n v="55"/>
    <n v="0"/>
    <s v="002"/>
    <n v="900"/>
    <s v="SAMBORONDÓN"/>
    <n v="1"/>
    <n v="0"/>
    <n v="0"/>
    <s v="CORRIENTE"/>
    <x v="3"/>
    <n v="510105"/>
    <s v="REMUNERACIONES UNIFICADAS"/>
    <n v="1645920"/>
    <n v="1642221"/>
    <n v="137160"/>
    <n v="137160"/>
    <n v="137160"/>
    <n v="137160"/>
    <n v="137160"/>
    <n v="137160"/>
    <n v="137160"/>
    <n v="137160"/>
    <n v="137160"/>
    <n v="137160"/>
    <n v="137160"/>
    <n v="133461"/>
    <n v="1642221"/>
    <s v="OK"/>
    <n v="0"/>
    <n v="1642221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4"/>
    <s v="OPERACIONES"/>
    <s v="CANCELACIÓN DE REMUNERACIONES Y BENEFICIOS SOCIALES"/>
    <n v="1"/>
    <x v="3"/>
    <n v="55"/>
    <n v="0"/>
    <s v="002"/>
    <n v="900"/>
    <s v="SAMBORONDÓN"/>
    <n v="1"/>
    <n v="0"/>
    <n v="0"/>
    <s v="CORRIENTE"/>
    <x v="3"/>
    <n v="510203"/>
    <s v="DÉCIMO TERCER SUELDO"/>
    <n v="139132"/>
    <n v="139192.93"/>
    <n v="0"/>
    <n v="0"/>
    <n v="0"/>
    <n v="0"/>
    <n v="0"/>
    <n v="0"/>
    <n v="0"/>
    <n v="0"/>
    <n v="0"/>
    <n v="0"/>
    <n v="0"/>
    <n v="139192.93"/>
    <n v="139192.93"/>
    <s v="OK"/>
    <n v="0"/>
    <n v="139192.93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4"/>
    <s v="OPERACIONES"/>
    <s v="CANCELACIÓN DE REMUNERACIONES Y BENEFICIOS SOCIALES"/>
    <n v="1"/>
    <x v="3"/>
    <n v="55"/>
    <n v="0"/>
    <s v="002"/>
    <n v="900"/>
    <s v="SAMBORONDÓN"/>
    <n v="1"/>
    <n v="0"/>
    <n v="0"/>
    <s v="CORRIENTE"/>
    <x v="3"/>
    <n v="510204"/>
    <s v="DÉCIMO CUARTO SUELDO"/>
    <n v="79650"/>
    <n v="79184.44"/>
    <n v="0"/>
    <n v="0"/>
    <n v="0"/>
    <n v="79184.44"/>
    <n v="0"/>
    <n v="0"/>
    <n v="0"/>
    <n v="0"/>
    <n v="0"/>
    <n v="0"/>
    <n v="0"/>
    <n v="0"/>
    <n v="79184.44"/>
    <s v="OK"/>
    <n v="0"/>
    <n v="79184.44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4"/>
    <s v="OPERACIONES"/>
    <s v="CANCELACIÓN DE REMUNERACIONES Y BENEFICIOS SOCIALES"/>
    <n v="1"/>
    <x v="3"/>
    <n v="55"/>
    <n v="0"/>
    <s v="002"/>
    <n v="900"/>
    <s v="SAMBORONDÓN"/>
    <n v="1"/>
    <n v="0"/>
    <n v="0"/>
    <s v="CORRIENTE"/>
    <x v="3"/>
    <n v="510510"/>
    <s v="SERVICIOS PERSONALES POR CONTRATO"/>
    <n v="23664"/>
    <n v="23664"/>
    <n v="1972"/>
    <n v="1972"/>
    <n v="1972"/>
    <n v="1972"/>
    <n v="1972"/>
    <n v="1972"/>
    <n v="1972"/>
    <n v="1972"/>
    <n v="1972"/>
    <n v="1972"/>
    <n v="1972"/>
    <n v="1972"/>
    <n v="23664"/>
    <s v="OK"/>
    <n v="0"/>
    <n v="23664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4"/>
    <s v="OPERACIONES"/>
    <s v="SUBROGACIÓN"/>
    <n v="1"/>
    <x v="3"/>
    <n v="55"/>
    <n v="0"/>
    <n v="2"/>
    <n v="900"/>
    <s v="SAMBORONDÓN"/>
    <n v="1"/>
    <n v="0"/>
    <n v="0"/>
    <s v="CORRIENTE"/>
    <x v="3"/>
    <n v="510512"/>
    <s v="SUBROGACIÓN "/>
    <n v="0"/>
    <n v="23"/>
    <n v="0"/>
    <n v="0"/>
    <n v="0"/>
    <n v="23"/>
    <n v="0"/>
    <n v="0"/>
    <n v="0"/>
    <n v="0"/>
    <n v="0"/>
    <n v="0"/>
    <n v="0"/>
    <n v="0"/>
    <n v="23"/>
    <s v="OK"/>
    <n v="0"/>
    <n v="23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4"/>
    <s v="OPERACIONES"/>
    <s v="CANCELACIÓN DE REMUNERACIONES Y BENEFICIOS SOCIALES"/>
    <n v="1"/>
    <x v="3"/>
    <n v="55"/>
    <n v="0"/>
    <n v="2"/>
    <n v="900"/>
    <s v="SAMBORONDÓN"/>
    <n v="1"/>
    <n v="0"/>
    <n v="0"/>
    <s v="CORRIENTE"/>
    <x v="3"/>
    <n v="510513"/>
    <s v="ENCARGOS"/>
    <n v="0"/>
    <n v="4090"/>
    <n v="57.66"/>
    <n v="57.66"/>
    <n v="125"/>
    <n v="124"/>
    <n v="125"/>
    <n v="725"/>
    <n v="725"/>
    <n v="725"/>
    <n v="725"/>
    <n v="240"/>
    <n v="240"/>
    <n v="220.68"/>
    <n v="4089.9999999999995"/>
    <s v="OK"/>
    <n v="0"/>
    <n v="409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4"/>
    <s v="OPERACIONES"/>
    <s v="CANCELACIÓN DE REMUNERACIONES Y BENEFICIOS SOCIALES"/>
    <n v="1"/>
    <x v="3"/>
    <n v="55"/>
    <n v="0"/>
    <s v="002"/>
    <n v="900"/>
    <s v="SAMBORONDÓN"/>
    <n v="1"/>
    <n v="0"/>
    <n v="0"/>
    <s v="CORRIENTE"/>
    <x v="3"/>
    <n v="510601"/>
    <s v="APORTE PATRONAL"/>
    <n v="161115"/>
    <n v="159884.4"/>
    <n v="13426"/>
    <n v="13426"/>
    <n v="13426"/>
    <n v="13426"/>
    <n v="13426"/>
    <n v="13426"/>
    <n v="13426"/>
    <n v="13426"/>
    <n v="13426"/>
    <n v="13426"/>
    <n v="13426"/>
    <n v="12198.4"/>
    <n v="159884.4"/>
    <s v="OK"/>
    <n v="0"/>
    <n v="159884.4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4"/>
    <s v="OPERACIONES"/>
    <s v="CANCELACIÓN DE REMUNERACIONES Y BENEFICIOS SOCIALES"/>
    <n v="1"/>
    <x v="3"/>
    <n v="55"/>
    <n v="0"/>
    <s v="002"/>
    <n v="900"/>
    <s v="SAMBORONDÓN"/>
    <n v="1"/>
    <n v="0"/>
    <n v="0"/>
    <s v="CORRIENTE"/>
    <x v="3"/>
    <n v="510602"/>
    <s v="FONDO DE RESERVA"/>
    <n v="69485"/>
    <n v="128183.73000000001"/>
    <n v="11184.5"/>
    <n v="11184.5"/>
    <n v="11184.5"/>
    <n v="11184.5"/>
    <n v="11184.5"/>
    <n v="11184.5"/>
    <n v="11184.5"/>
    <n v="11184.5"/>
    <n v="11184.5"/>
    <n v="11184.5"/>
    <n v="11184.5"/>
    <n v="5154.2299999999996"/>
    <n v="128183.73"/>
    <s v="OK"/>
    <n v="0"/>
    <n v="128183.73000000001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4"/>
    <s v="OPERACIONES"/>
    <s v="COMPENSACIÓN POR VACACIONES NO GOZADAS POR CESASIÓN DE FUNCIONES"/>
    <n v="1"/>
    <x v="3"/>
    <n v="55"/>
    <n v="0"/>
    <n v="2"/>
    <n v="900"/>
    <s v="SAMBORONDÓN"/>
    <n v="1"/>
    <n v="0"/>
    <n v="0"/>
    <s v="CORRIENTE"/>
    <x v="3"/>
    <n v="510707"/>
    <s v="COMPENSACIÓN POR VACACIONES NO GOZADAS POR CESACIÓN DE FUNCIONES"/>
    <n v="0"/>
    <n v="2450"/>
    <n v="0"/>
    <n v="0"/>
    <n v="0"/>
    <n v="0"/>
    <n v="52.5"/>
    <n v="302.5"/>
    <n v="302.5"/>
    <n v="302.5"/>
    <n v="302.5"/>
    <n v="302.5"/>
    <n v="302.5"/>
    <n v="582.5"/>
    <n v="2450"/>
    <s v="OK"/>
    <n v="0"/>
    <n v="245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5"/>
    <s v="TECNOLOGÍA"/>
    <s v="CANCELACIÓN DE REMUNERACIONES Y BENEFICIOS SOCIALES"/>
    <n v="1"/>
    <x v="3"/>
    <n v="55"/>
    <n v="0"/>
    <s v="003"/>
    <n v="900"/>
    <s v="SAMBORONDÓN"/>
    <n v="1"/>
    <n v="0"/>
    <n v="0"/>
    <s v="CORRIENTE"/>
    <x v="3"/>
    <n v="510105"/>
    <s v="REMUNERACIONES UNIFICADAS"/>
    <n v="106704"/>
    <n v="104300"/>
    <n v="8892"/>
    <n v="8892"/>
    <n v="8892"/>
    <n v="8892"/>
    <n v="8892"/>
    <n v="8892"/>
    <n v="8892"/>
    <n v="8892"/>
    <n v="8892"/>
    <n v="8892"/>
    <n v="8892"/>
    <n v="6488"/>
    <n v="104300"/>
    <s v="OK"/>
    <n v="0"/>
    <n v="10430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5"/>
    <s v="TECNOLOGÍA"/>
    <s v="CANCELACIÓN DE REMUNERACIONES Y BENEFICIOS SOCIALES"/>
    <n v="1"/>
    <x v="3"/>
    <n v="55"/>
    <n v="0"/>
    <s v="003"/>
    <n v="900"/>
    <s v="SAMBORONDÓN"/>
    <n v="1"/>
    <n v="0"/>
    <n v="0"/>
    <s v="CORRIENTE"/>
    <x v="3"/>
    <n v="510203"/>
    <s v="DÉCIMO TERCER SUELDO"/>
    <n v="10104"/>
    <n v="9512"/>
    <n v="0"/>
    <n v="0"/>
    <n v="0"/>
    <n v="0"/>
    <n v="0"/>
    <n v="0"/>
    <n v="0"/>
    <n v="0"/>
    <n v="0"/>
    <n v="0"/>
    <n v="0"/>
    <n v="9512"/>
    <n v="9512"/>
    <s v="OK"/>
    <n v="0"/>
    <n v="9512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5"/>
    <s v="TECNOLOGÍA"/>
    <s v="CANCELACIÓN DE REMUNERACIONES Y BENEFICIOS SOCIALES"/>
    <n v="1"/>
    <x v="3"/>
    <n v="55"/>
    <n v="0"/>
    <s v="003"/>
    <n v="900"/>
    <s v="SAMBORONDÓN"/>
    <n v="1"/>
    <n v="0"/>
    <n v="0"/>
    <s v="CORRIENTE"/>
    <x v="3"/>
    <n v="510204"/>
    <s v="DÉCIMO CUARTO SUELDO"/>
    <n v="3150"/>
    <n v="2683.3"/>
    <n v="0"/>
    <n v="0"/>
    <n v="0"/>
    <n v="2683.3"/>
    <n v="0"/>
    <n v="0"/>
    <n v="0"/>
    <n v="0"/>
    <n v="0"/>
    <n v="0"/>
    <n v="0"/>
    <n v="0"/>
    <n v="2683.3"/>
    <s v="OK"/>
    <n v="0"/>
    <n v="2683.3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5"/>
    <s v="TECNOLOGÍA"/>
    <s v="CANCELACIÓN DE REMUNERACIONES Y BENEFICIOS SOCIALES"/>
    <n v="1"/>
    <x v="3"/>
    <n v="55"/>
    <n v="0"/>
    <s v="003"/>
    <n v="900"/>
    <s v="SAMBORONDÓN"/>
    <n v="1"/>
    <n v="0"/>
    <n v="0"/>
    <s v="CORRIENTE"/>
    <x v="3"/>
    <n v="510510"/>
    <s v="SERVICIOS PERSONALES POR CONTRATO"/>
    <n v="14544"/>
    <n v="14544"/>
    <n v="1212"/>
    <n v="1212"/>
    <n v="1212"/>
    <n v="1212"/>
    <n v="1212"/>
    <n v="1212"/>
    <n v="1212"/>
    <n v="1212"/>
    <n v="1212"/>
    <n v="1212"/>
    <n v="1212"/>
    <n v="1212"/>
    <n v="14544"/>
    <s v="OK"/>
    <n v="0"/>
    <n v="14544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5"/>
    <s v="TECNOLOGÍA"/>
    <s v="SUBROGACIÓN"/>
    <n v="1"/>
    <x v="3"/>
    <n v="55"/>
    <n v="0"/>
    <n v="3"/>
    <n v="900"/>
    <s v="SAMBORONDÓN"/>
    <n v="1"/>
    <n v="0"/>
    <n v="0"/>
    <s v="CORRIENTE"/>
    <x v="3"/>
    <n v="510512"/>
    <s v="SUBROGACIÓN "/>
    <n v="0"/>
    <n v="126"/>
    <n v="0"/>
    <n v="0"/>
    <n v="0"/>
    <n v="0"/>
    <n v="0"/>
    <n v="70"/>
    <n v="0"/>
    <n v="0"/>
    <n v="56"/>
    <n v="0"/>
    <n v="0"/>
    <n v="0"/>
    <n v="126"/>
    <s v="OK"/>
    <n v="0"/>
    <n v="126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5"/>
    <s v="TECNOLOGÍA"/>
    <s v="CANCELACIÓN DE REMUNERACIONES Y BENEFICIOS SOCIALES"/>
    <n v="1"/>
    <x v="3"/>
    <n v="55"/>
    <n v="0"/>
    <n v="3"/>
    <n v="900"/>
    <s v="SAMBORONDÓN"/>
    <n v="1"/>
    <n v="0"/>
    <n v="0"/>
    <s v="CORRIENTE"/>
    <x v="3"/>
    <n v="510513"/>
    <s v="ENCARGOS"/>
    <n v="0"/>
    <n v="2076"/>
    <n v="0"/>
    <n v="0"/>
    <n v="0"/>
    <n v="0"/>
    <n v="0"/>
    <n v="0"/>
    <n v="0"/>
    <n v="0"/>
    <n v="0"/>
    <n v="0"/>
    <n v="0"/>
    <n v="2076"/>
    <n v="2076"/>
    <s v="OK"/>
    <n v="0"/>
    <n v="2076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5"/>
    <s v="TECNOLOGÍA"/>
    <s v="CANCELACIÓN DE REMUNERACIONES Y BENEFICIOS SOCIALES"/>
    <n v="1"/>
    <x v="3"/>
    <n v="55"/>
    <n v="0"/>
    <s v="003"/>
    <n v="900"/>
    <s v="SAMBORONDÓN"/>
    <n v="1"/>
    <n v="0"/>
    <n v="0"/>
    <s v="CORRIENTE"/>
    <x v="3"/>
    <n v="510601"/>
    <s v="APORTE PATRONAL"/>
    <n v="11701"/>
    <n v="11221.47"/>
    <n v="975"/>
    <n v="975"/>
    <n v="975"/>
    <n v="975"/>
    <n v="975"/>
    <n v="975"/>
    <n v="975"/>
    <n v="975"/>
    <n v="975"/>
    <n v="150"/>
    <n v="150"/>
    <n v="2146.4699999999998"/>
    <n v="11221.47"/>
    <s v="OK"/>
    <n v="0"/>
    <n v="11221.47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5"/>
    <s v="TECNOLOGÍA"/>
    <s v="CANCELACIÓN DE REMUNERACIONES Y BENEFICIOS SOCIALES"/>
    <n v="1"/>
    <x v="3"/>
    <n v="55"/>
    <n v="0"/>
    <s v="003"/>
    <n v="900"/>
    <s v="SAMBORONDÓN"/>
    <n v="1"/>
    <n v="0"/>
    <n v="0"/>
    <s v="CORRIENTE"/>
    <x v="3"/>
    <n v="510602"/>
    <s v="FONDO DE RESERVA"/>
    <n v="10100"/>
    <n v="8426.83"/>
    <n v="841"/>
    <n v="841"/>
    <n v="841"/>
    <n v="841"/>
    <n v="842"/>
    <n v="842"/>
    <n v="842"/>
    <n v="442"/>
    <n v="442"/>
    <n v="442"/>
    <n v="842"/>
    <n v="368.83"/>
    <n v="8426.83"/>
    <s v="OK"/>
    <n v="0"/>
    <n v="8426.83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3"/>
    <s v="ADMINISTRACIÓN CENTRAL"/>
    <s v="PAGO MENSUAL POR SUMINISTRO DE AGUA POTABLE PARA EL CENTRO ZONAL SAMBORONDÓN"/>
    <n v="1"/>
    <x v="3"/>
    <n v="1"/>
    <n v="0"/>
    <n v="1"/>
    <n v="916"/>
    <s v="SAMBORONDÓN"/>
    <n v="1"/>
    <n v="0"/>
    <n v="0"/>
    <s v="CORRIENTE"/>
    <x v="0"/>
    <n v="530101"/>
    <s v="AGUA POTABLE"/>
    <n v="3120"/>
    <n v="3120"/>
    <n v="0"/>
    <n v="284"/>
    <n v="284"/>
    <n v="284"/>
    <n v="284"/>
    <n v="284"/>
    <n v="284"/>
    <n v="284"/>
    <n v="284"/>
    <n v="284"/>
    <n v="284"/>
    <n v="280"/>
    <n v="3120"/>
    <s v="OK"/>
    <n v="312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3"/>
    <s v="ADMINISTRACIÓN CENTRAL"/>
    <s v="PAGO MENSUAL POR SUMINISTRO DE ENERGÍA ELÉCTRICA DEL CENTRO ZONAL SAMBORONDÓN"/>
    <n v="1"/>
    <x v="3"/>
    <n v="1"/>
    <n v="0"/>
    <n v="1"/>
    <n v="916"/>
    <s v="SAMBORONDÓN"/>
    <n v="1"/>
    <n v="0"/>
    <n v="0"/>
    <s v="CORRIENTE"/>
    <x v="0"/>
    <n v="530104"/>
    <s v="ENERGÍA ELÉCTRICA"/>
    <n v="145000"/>
    <n v="129700"/>
    <n v="0"/>
    <n v="13637"/>
    <n v="13637"/>
    <n v="10550"/>
    <n v="10550"/>
    <n v="10550"/>
    <n v="10484"/>
    <n v="10500"/>
    <n v="10550"/>
    <n v="18142"/>
    <n v="10550"/>
    <n v="10550"/>
    <n v="129700"/>
    <s v="OK"/>
    <n v="12970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3"/>
    <s v="ADMINISTRACIÓN CENTRAL"/>
    <s v="SERVICIO DE CORRESPONDENCIA Y CARGA A NIVEL NACIONAL PARA LA COORDINACIÓN 5 Y 8 SERVICIO INTEGRADO DE SEGURIDAD ECU 911"/>
    <n v="1"/>
    <x v="3"/>
    <n v="1"/>
    <n v="0"/>
    <n v="1"/>
    <n v="916"/>
    <s v="SAMBORONDÓN"/>
    <n v="1"/>
    <n v="0"/>
    <n v="0"/>
    <s v="CORRIENTE"/>
    <x v="0"/>
    <n v="530106"/>
    <s v="SERVICIO DE CORREO"/>
    <n v="2464"/>
    <n v="1810.3"/>
    <n v="0"/>
    <n v="0"/>
    <n v="0"/>
    <n v="0"/>
    <n v="175"/>
    <n v="175"/>
    <n v="175"/>
    <n v="175"/>
    <n v="175"/>
    <n v="175"/>
    <n v="175"/>
    <n v="585.29999999999995"/>
    <n v="1810.3"/>
    <s v="OK"/>
    <n v="1810.3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3"/>
    <s v="ADMINISTRACIÓN CENTRAL"/>
    <s v="CONTRATACIÓN DEL SERVICIO DE TRANSPORTE PARA LAS Y LOS SERVIDORES PÚBLICOS DEL CENTRO ZONAL ECU 911 SAMBORONDÓN DE LA COORDINACIÓN ZONAL 5 Y 8 SIS ECU 911"/>
    <n v="1"/>
    <x v="3"/>
    <n v="1"/>
    <n v="0"/>
    <n v="1"/>
    <n v="916"/>
    <s v="SAMBORONDÓN"/>
    <n v="1"/>
    <n v="0"/>
    <n v="0"/>
    <s v="CORRIENTE"/>
    <x v="0"/>
    <n v="530201"/>
    <s v="TRANSPORTE DE PERSONAL"/>
    <n v="175000"/>
    <n v="218295.12999999998"/>
    <n v="0"/>
    <n v="27748.87"/>
    <n v="19721.88"/>
    <n v="19721.88"/>
    <n v="19721.88"/>
    <n v="19721.88"/>
    <n v="19721.88"/>
    <n v="19721.88"/>
    <n v="19721.88"/>
    <n v="19721.88"/>
    <n v="16975.46"/>
    <n v="15795.76"/>
    <n v="218295.13000000003"/>
    <s v="OK"/>
    <n v="218295.13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3"/>
    <s v="ADMINISTRACIÓN CENTRAL"/>
    <s v="CONTRATACIÓN DEL SERVICIO DE  RECARGA DE EXTINTORES PORTÁTILES INSTALADOS EN EL CENTRO ZONAL ECU 911 SAMBORONDÓN Y CENTRO OPERATIVO LOCAL ECU 911 BABAHOYO "/>
    <n v="1"/>
    <x v="3"/>
    <n v="1"/>
    <n v="0"/>
    <n v="1"/>
    <n v="916"/>
    <s v="SAMBORONDÓN"/>
    <n v="1"/>
    <n v="0"/>
    <n v="0"/>
    <s v="CORRIENTE"/>
    <x v="0"/>
    <n v="530203"/>
    <s v="ALMACENAMIENTO, EMBALAJE, DESEMBALAJE, ENVASE, DESENVASE Y RECARGA DE EXTINTORES"/>
    <n v="3125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3"/>
    <s v="ADMINISTRACIÓN CENTRAL"/>
    <s v="SERVICIO DE IMPRESIÓN DE CREDENCIALES, PORTACREDENCIALES Y CORDONES INSTITUCIONALES PARA EL PERSONAL DE LA COORDINACIÓN ZONAL 5 Y 8 SERVICIO_x000a_INTEGRADO DE SEGURIDAD ECU 911"/>
    <n v="2"/>
    <x v="3"/>
    <n v="1"/>
    <n v="0"/>
    <n v="1"/>
    <n v="916"/>
    <s v="SAMBORONDÓN"/>
    <n v="1"/>
    <n v="0"/>
    <n v="0"/>
    <s v="CORRIENTE"/>
    <x v="0"/>
    <n v="530204"/>
    <s v="EDICIÓN, IMPRESIÓN, REPRODUCCIÓN, PUBLICACIONES, SUSCRIPCIONES, FOTOCOPIADO, TRADUCCIÓN, EMPASTADO, ENMARCACIÓN, SERIGRAFÍA, FOTOGRAFÍA, CARNETIZACIÓN, FILMACIÓN E IMÁGENES SATELITALES"/>
    <n v="0"/>
    <n v="4041"/>
    <n v="0"/>
    <n v="0"/>
    <n v="0"/>
    <n v="0"/>
    <n v="4041"/>
    <n v="0"/>
    <n v="0"/>
    <n v="0"/>
    <n v="0"/>
    <n v="0"/>
    <n v="0"/>
    <n v="0"/>
    <n v="4041"/>
    <s v="OK"/>
    <n v="4041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3"/>
    <s v="ADMINISTRACIÓN CENTRAL"/>
    <s v="SERVICIO DE BRANDEO PUBLICITARIO INTERNO PARA CENTRO ZONAL SAMBORONDÓN DE LA COORDINACIÓN ZONAL 5 Y 8 DEL SERVICIO INTEGRADO DE SEGURIDAD ECU 911"/>
    <n v="1"/>
    <x v="3"/>
    <n v="1"/>
    <n v="0"/>
    <n v="1"/>
    <n v="916"/>
    <s v="SAMBORONDÓN"/>
    <n v="1"/>
    <n v="0"/>
    <n v="0"/>
    <s v="CORRIENTE"/>
    <x v="0"/>
    <n v="530207"/>
    <s v="DIFUSIÓN, INFORMACIÓN Y PUBLICIDAD"/>
    <n v="6250"/>
    <n v="2240.2600000000002"/>
    <n v="0"/>
    <n v="0"/>
    <n v="0"/>
    <n v="0"/>
    <n v="2240.2600000000002"/>
    <n v="0"/>
    <n v="0"/>
    <n v="0"/>
    <n v="0"/>
    <n v="0"/>
    <n v="0"/>
    <n v="0"/>
    <n v="2240.2600000000002"/>
    <s v="OK"/>
    <n v="2240.2600000000002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3"/>
    <s v="ADMINISTRACIÓN CENTRAL"/>
    <s v="PROCESO DE CONTRATACIÓN DEL SERVICIO DE ELABORACIÓN DE MATERIAL PUBLICITARIO PARA LA EJECUCIÓN DE ACTIVIDADES DE COMUNICACIÓN INSTITUCIONAL Y DE VINCULACIÓN CON LA COMUNIDAD DE LA COORDINACIÓN ZONAL 5 Y 8"/>
    <n v="1"/>
    <x v="3"/>
    <n v="1"/>
    <n v="0"/>
    <n v="1"/>
    <n v="916"/>
    <s v="SAMBORONDÓN"/>
    <n v="1"/>
    <n v="0"/>
    <n v="0"/>
    <s v="CORRIENTE"/>
    <x v="0"/>
    <n v="530207"/>
    <s v="DIFUSIÓN, INFORMACIÓN Y PUBLICIDAD"/>
    <n v="6250"/>
    <n v="9200"/>
    <n v="0"/>
    <n v="0"/>
    <n v="0"/>
    <n v="0"/>
    <n v="0"/>
    <n v="9200"/>
    <n v="0"/>
    <n v="0"/>
    <n v="0"/>
    <n v="0"/>
    <n v="0"/>
    <n v="0"/>
    <n v="9200"/>
    <s v="OK"/>
    <n v="9200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3"/>
    <s v="ADMINISTRACIÓN CENTRAL"/>
    <s v="CONTRATACIÓN DEL SERVICIO DE VIGILANCIA, SEGURIDAD ARMADA Y SUPERVISADA, PARA CUSTODIAR Y PROTEGER EL PATRIMONIO INSTITUCIONAL DEL CENTRO ZONAL ECU 911 SAMBORONDÓN "/>
    <n v="1"/>
    <x v="3"/>
    <n v="1"/>
    <n v="0"/>
    <n v="1"/>
    <n v="916"/>
    <s v="SAMBORONDÓN"/>
    <n v="1"/>
    <n v="0"/>
    <n v="0"/>
    <s v="CORRIENTE"/>
    <x v="0"/>
    <n v="530208"/>
    <s v="SERVICIO DE SEGURIDAD Y VIGILANCIA"/>
    <n v="79372"/>
    <n v="39249.64"/>
    <n v="0"/>
    <n v="7248"/>
    <n v="7248"/>
    <n v="3400"/>
    <n v="3400"/>
    <n v="3400"/>
    <n v="3500"/>
    <n v="3400"/>
    <n v="3400"/>
    <n v="1500"/>
    <n v="1500"/>
    <n v="1253.6400000000001"/>
    <n v="39249.64"/>
    <s v="OK"/>
    <n v="39249.64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3"/>
    <s v="ADMINISTRACIÓN CENTRAL"/>
    <s v="CONTRATACIÓN DEL SERVICIO DE LIMPIEZA DE INTERIORES Y EXTERIORES TIPO III PARA EL CENTRO ZONAL SAMBORONDÓN"/>
    <n v="1"/>
    <x v="3"/>
    <n v="1"/>
    <n v="0"/>
    <n v="1"/>
    <n v="916"/>
    <s v="SAMBORONDÓN"/>
    <n v="1"/>
    <n v="0"/>
    <n v="0"/>
    <s v="CORRIENTE"/>
    <x v="0"/>
    <n v="530209"/>
    <s v="SERVICIOS DE ASEO, LAVADO DE VESTIMENTA DE TRABAJO, FUMIGACIÓN, DESINFECCIÓN, LIMPIEZA DE INSTALACIONES, MANEJO DE DESECHOS CONTAMINADOS, RECUPERACIÓN Y CLASIFICACIÓN DE MATERIALES RECICLABLES"/>
    <n v="80621"/>
    <n v="106038"/>
    <n v="0"/>
    <n v="28700"/>
    <n v="5192"/>
    <n v="8836.5"/>
    <n v="8836.5"/>
    <n v="8836.5"/>
    <n v="7703.25"/>
    <n v="7120.25"/>
    <n v="7703.25"/>
    <n v="7703.25"/>
    <n v="7703.25"/>
    <n v="7703.25"/>
    <n v="106038"/>
    <s v="OK"/>
    <n v="106038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3"/>
    <s v="ADMINISTRACIÓN CENTRAL"/>
    <s v="CONTRATACIÓN DEL SERVICIO DE AROMATIZACIÓN Y DESODORIZACIÓN PARA BAÑOS Y AMBIENTES DEL CENTRO OPERATIVO LOCAL ECU 911 BABAHOYO Y EL CENTRO ZONAL ECU 911 SAMBORONDÓN"/>
    <n v="2"/>
    <x v="3"/>
    <n v="1"/>
    <n v="0"/>
    <n v="1"/>
    <n v="916"/>
    <s v="SAMBORONDÓN"/>
    <n v="1"/>
    <n v="0"/>
    <n v="0"/>
    <s v="CORRIENTE"/>
    <x v="0"/>
    <n v="530209"/>
    <s v="SERVICIOS DE ASEO, LAVADO DE VESTIMENTA DE TRABAJO, FUMIGACIÓN, DESINFECCIÓN, LIMPIEZA DE INSTALACIONES, MANEJO DE DESECHOS CONTAMINADOS, RECUPERACIÓN Y CLASIFICACIÓN DE MATERIALES RECICLABLES"/>
    <n v="625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3"/>
    <s v="ADMINISTRACIÓN CENTRAL"/>
    <s v="CANCELACIÓN DE SERVICIOS DE GUARDERÍA DE LA COORDINACIÓN ZONAL 5 Y 8 EN CUMPLIMIENTO AL ACUERDO MINISTERIAL NRO. MDT-2023-085"/>
    <n v="1"/>
    <x v="3"/>
    <n v="1"/>
    <n v="0"/>
    <n v="1"/>
    <n v="916"/>
    <s v="SAMBORONDÓN"/>
    <n v="1"/>
    <n v="0"/>
    <n v="0"/>
    <s v="CORRIENTE"/>
    <x v="0"/>
    <n v="530210"/>
    <s v="SERVICIO DE GUARDERÍA"/>
    <n v="0"/>
    <n v="5730.3"/>
    <n v="0"/>
    <n v="0"/>
    <n v="0"/>
    <n v="0"/>
    <n v="0"/>
    <n v="0"/>
    <n v="0"/>
    <n v="0"/>
    <n v="0"/>
    <n v="5730.3"/>
    <n v="0"/>
    <n v="0"/>
    <n v="5730.3"/>
    <s v="OK"/>
    <n v="5730.3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3"/>
    <s v="ADMINISTRACIÓN CENTRAL"/>
    <s v="SERVICIO DE RASTREO SATELITAL GPS, INCLUYE EQUIPOS A PRÉSTAMO PARA EL PARQUE AUTOMOTOR DE LA COORDINACIÓN ZONAL 5 Y 8 SERVICIO INTEGRADO DE SEGURIDAD ECU 911"/>
    <n v="1"/>
    <x v="3"/>
    <n v="1"/>
    <n v="0"/>
    <n v="1"/>
    <n v="916"/>
    <s v="SAMBORONDÓN"/>
    <n v="1"/>
    <n v="0"/>
    <n v="0"/>
    <s v="CORRIENTE"/>
    <x v="0"/>
    <n v="530246"/>
    <s v="SERVICIOS DE IDENTIFICACIÓN, MARCACIÓN, AUTENTIFICACIÓN, RASTREO, MONITOREO, SEGUIMIENTO Y/O TRAZABILIDAD"/>
    <n v="2679"/>
    <n v="1395"/>
    <n v="0"/>
    <n v="0"/>
    <n v="0"/>
    <n v="0"/>
    <n v="1395"/>
    <n v="0"/>
    <n v="0"/>
    <n v="0"/>
    <n v="0"/>
    <n v="0"/>
    <n v="0"/>
    <n v="0"/>
    <n v="1395"/>
    <s v="OK"/>
    <n v="1395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3"/>
    <s v="ADMINISTRACIÓN CENTRAL"/>
    <s v="SERVICIO DE COMUNICACIÓN INTERNA PARA REFORZAR LA SEGURIDAD PERIMETRAL DEL CENTRO ZONAL ECU 911 SAMBORONDÓN, CENTRO OPERATIVO SAN CRISTÓBAL Y SALA DESCONCENTRADA SANTA ELENA"/>
    <n v="2"/>
    <x v="3"/>
    <n v="1"/>
    <n v="0"/>
    <n v="1"/>
    <n v="916"/>
    <s v="SAMBORONDÓN"/>
    <n v="1"/>
    <n v="0"/>
    <n v="0"/>
    <s v="CORRIENTE"/>
    <x v="0"/>
    <n v="530246"/>
    <s v="SERVICIOS DE IDENTIFICACIÓN, MARCACIÓN, AUTENTIFICACIÓN, RASTREO, MONITOREO, SEGUIMIENTO Y/O TRAZABILIDAD"/>
    <n v="0"/>
    <n v="6294.96"/>
    <n v="0"/>
    <n v="0"/>
    <n v="0"/>
    <n v="0"/>
    <n v="0"/>
    <n v="0"/>
    <n v="0"/>
    <n v="6294.96"/>
    <n v="0"/>
    <n v="0"/>
    <n v="0"/>
    <n v="0"/>
    <n v="6294.96"/>
    <s v="OK"/>
    <n v="6294.96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3"/>
    <s v="ADMINISTRACIÓN CENTRAL"/>
    <s v="CONTRATACIÓN DEL SERVICIO DE ABASTECIMIENTO DE COMBUSTIBLE PARA LOS GENERADORES Y VEHÍCULOS INSTITUCIONALES DEL CENTRO ZONAL ECU 911 SAMBORONDÓN"/>
    <n v="1"/>
    <x v="3"/>
    <n v="1"/>
    <n v="0"/>
    <n v="1"/>
    <n v="916"/>
    <s v="SAMBORONDÓN"/>
    <n v="1"/>
    <n v="0"/>
    <n v="0"/>
    <s v="CORRIENTE"/>
    <x v="0"/>
    <n v="530255"/>
    <s v="COMBUSTIBLES"/>
    <n v="0"/>
    <n v="6296.43"/>
    <n v="0"/>
    <n v="0"/>
    <n v="0"/>
    <n v="0"/>
    <n v="0"/>
    <n v="6296.43"/>
    <n v="0"/>
    <n v="0"/>
    <n v="0"/>
    <n v="0"/>
    <n v="0"/>
    <n v="0"/>
    <n v="6296.43"/>
    <s v="OK"/>
    <n v="6296.43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3"/>
    <s v="ADMINISTRACIÓN CENTRAL"/>
    <s v="REEMBOLSO POR ADQUISICIÓN DE PASAJES EN CUMPLIMIENTO DE COMISIÓN DE SERVICIO INSTITUCIONALES DEL CENTRO ZONAL ECU 911 SAMBORONDÓN"/>
    <n v="1"/>
    <x v="3"/>
    <n v="1"/>
    <n v="0"/>
    <n v="1"/>
    <n v="916"/>
    <s v="SAMBORONDÓN"/>
    <n v="1"/>
    <n v="0"/>
    <n v="0"/>
    <s v="CORRIENTE"/>
    <x v="0"/>
    <n v="530301"/>
    <s v="PASAJES AL INTERIOR"/>
    <n v="100"/>
    <n v="6400"/>
    <n v="0"/>
    <n v="0"/>
    <n v="0"/>
    <n v="600"/>
    <n v="400"/>
    <n v="0"/>
    <n v="0"/>
    <n v="0"/>
    <n v="0"/>
    <n v="0"/>
    <n v="2327.9"/>
    <n v="3072.1"/>
    <n v="6400"/>
    <s v="OK"/>
    <n v="640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3"/>
    <s v="ADMINISTRACIÓN CENTRAL"/>
    <s v="PROVISIÓN DE PASAJES AÉREOS EN LAS RUTAS NACIONALES PARA FUNCIONARIOS Y SERVIDORES PÚBLICOS DE LA COORDINACIÓN ZONAL 5 Y 8 SIS ECU 911"/>
    <n v="2"/>
    <x v="3"/>
    <n v="1"/>
    <n v="0"/>
    <n v="1"/>
    <n v="916"/>
    <s v="SAMBORONDÓN"/>
    <n v="1"/>
    <n v="0"/>
    <n v="0"/>
    <s v="CORRIENTE"/>
    <x v="0"/>
    <n v="530301"/>
    <s v="PASAJES AL INTERIOR"/>
    <n v="4000"/>
    <n v="6311.8"/>
    <n v="0"/>
    <n v="0"/>
    <n v="0"/>
    <n v="0"/>
    <n v="464"/>
    <n v="0"/>
    <n v="864"/>
    <n v="0"/>
    <n v="864"/>
    <n v="0"/>
    <n v="519.79999999999995"/>
    <n v="3600"/>
    <n v="6311.8"/>
    <s v="OK"/>
    <n v="6311.8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3"/>
    <s v="ADMINISTRACIÓN CENTRAL"/>
    <s v="PAGOS POR VIÁTICOS Y SUBSISTENCIAS EN EL INTERIOR EFECTUADAS POR LOS SERVIDORES, FUNCIONARIOS DEL ECU 911 SAMBORONDÓN"/>
    <n v="1"/>
    <x v="3"/>
    <n v="1"/>
    <n v="0"/>
    <n v="1"/>
    <n v="916"/>
    <s v="SAMBORONDÓN"/>
    <n v="1"/>
    <n v="0"/>
    <n v="0"/>
    <s v="CORRIENTE"/>
    <x v="0"/>
    <n v="530303"/>
    <s v="VIÁTICOS Y SUBSISTENCIAS EN EL INTERIOR"/>
    <n v="5500"/>
    <n v="18519.169999999998"/>
    <n v="0"/>
    <n v="0"/>
    <n v="1833"/>
    <n v="0"/>
    <n v="0"/>
    <n v="0"/>
    <n v="7852.17"/>
    <n v="0"/>
    <n v="0"/>
    <n v="0"/>
    <n v="8834"/>
    <n v="0"/>
    <n v="18519.169999999998"/>
    <s v="OK"/>
    <n v="18519.170000000002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3"/>
    <s v="ADMINISTRACIÓN CENTRAL"/>
    <s v="CONTRATACIÓN DEL SERVICIO DE MANTENIMIENTO PREVENTIVO Y CORRECTIVO DE LOS SISTEMAS DEL EQUIPAMIENTO ELÉCTRICO EN LOS EDIFICIOS DE LA COORDINACIÓN ZONAL 5 Y 8 Y SUS 3 SALAS DESCONCENTRADAS DEL SIS ECU 911"/>
    <n v="1"/>
    <x v="3"/>
    <n v="1"/>
    <n v="0"/>
    <n v="1"/>
    <n v="916"/>
    <s v="SAMBORONDÓN"/>
    <n v="1"/>
    <n v="0"/>
    <n v="0"/>
    <s v="CORRIENTE"/>
    <x v="0"/>
    <n v="530402"/>
    <s v="EDIFICIOS, LOCALES, RESIDENCIAS Y CABLEADO ESTRUCTURADO (INSTALACIÓN, MANTENIMIENTO Y REPARACIÓN)"/>
    <n v="100621"/>
    <n v="94720"/>
    <n v="0"/>
    <n v="0"/>
    <n v="0"/>
    <n v="0"/>
    <n v="0"/>
    <n v="23210.9"/>
    <n v="0"/>
    <n v="23210.9"/>
    <n v="0"/>
    <n v="23210.9"/>
    <n v="0"/>
    <n v="25087.3"/>
    <n v="94720.000000000015"/>
    <s v="OK"/>
    <n v="94720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3"/>
    <s v="ADMINISTRACIÓN CENTRAL"/>
    <s v="SERVICIO DE MANTENIMIENTO INTEGRAL DEL EDIFICIO E IMPERMEABILIZACIÓN DE TERRAZAS DEL CENTRO ZONAL ECU 911 SAMBORONDON"/>
    <n v="1"/>
    <x v="3"/>
    <n v="1"/>
    <n v="0"/>
    <n v="1"/>
    <n v="916"/>
    <s v="SAMBORONDÓN"/>
    <n v="1"/>
    <n v="0"/>
    <n v="0"/>
    <s v="CORRIENTE"/>
    <x v="0"/>
    <n v="530402"/>
    <s v="EDIFICIOS, LOCALES, RESIDENCIAS Y CABLEADO ESTRUCTURADO (INSTALACIÓN, MANTENIMIENTO Y REPARACIÓN)"/>
    <n v="0"/>
    <n v="94699.98"/>
    <n v="0"/>
    <n v="0"/>
    <n v="0"/>
    <n v="0"/>
    <n v="0"/>
    <n v="0"/>
    <n v="0"/>
    <n v="0"/>
    <n v="0"/>
    <n v="0"/>
    <n v="94699.98"/>
    <n v="0"/>
    <n v="94699.98"/>
    <s v="OK"/>
    <n v="92574.670000000013"/>
    <n v="2125.3099999999831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3"/>
    <s v="ADMINISTRACIÓN CENTRAL"/>
    <s v="MANTENIMIENTO PREVENTIVO Y CORRECTIVO DEL SISTEMA DE ALARMA CONTRA INCENDIOS Y SISTEMA HIDRÁULICO CONTRA INCENDIO DE LOS CENTROS DE_x000a_LA COORDINACIÓN ZONAL 5-8 SIS ECU 911"/>
    <n v="1"/>
    <x v="3"/>
    <n v="1"/>
    <n v="0"/>
    <n v="1"/>
    <n v="916"/>
    <s v="SAMBORONDÓN"/>
    <n v="1"/>
    <n v="0"/>
    <n v="0"/>
    <s v="CORRIENTE"/>
    <x v="0"/>
    <n v="530402"/>
    <s v="EDIFICIOS, LOCALES, RESIDENCIAS Y CABLEADO ESTRUCTURADO (INSTALACIÓN, MANTENIMIENTO Y REPARACIÓN)"/>
    <n v="0"/>
    <n v="42229.84"/>
    <n v="0"/>
    <n v="0"/>
    <n v="0"/>
    <n v="0"/>
    <n v="0"/>
    <n v="0"/>
    <n v="0"/>
    <n v="0"/>
    <n v="0"/>
    <n v="0"/>
    <n v="0"/>
    <n v="42229.84"/>
    <n v="42229.84"/>
    <s v="OK"/>
    <n v="27400.15"/>
    <n v="14829.689999999995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3"/>
    <s v="ADMINISTRACIÓN CENTRAL"/>
    <s v="SERVICIO DE FABRICACIÓN E INSTALACIÓN DE PUERTA ENROLLABLE DE LA TERRAZA DEL SEGUNDO PISO Y MANTENIMIENTO CORRECTIVO DE PUERTA ENROLLABLE DEL INGRESO PRINCIPAL DE CENTRO ZONAL ECU 911 SAMBORONDÓN"/>
    <n v="1"/>
    <x v="3"/>
    <n v="1"/>
    <n v="0"/>
    <n v="1"/>
    <n v="916"/>
    <s v="SAMBORONDÓN"/>
    <n v="1"/>
    <n v="0"/>
    <n v="0"/>
    <s v="CORRIENTE"/>
    <x v="0"/>
    <n v="530402"/>
    <s v="EDIFICIOS, LOCALES, RESIDENCIAS Y CABLEADO ESTRUCTURADO (INSTALACIÓN, MANTENIMIENTO Y REPARACIÓN)"/>
    <n v="0"/>
    <n v="4095.2799999999997"/>
    <n v="0"/>
    <n v="0"/>
    <n v="0"/>
    <n v="0"/>
    <n v="0"/>
    <n v="0"/>
    <n v="0"/>
    <n v="4095.28"/>
    <n v="0"/>
    <n v="0"/>
    <n v="0"/>
    <n v="0"/>
    <n v="4095.28"/>
    <s v="OK"/>
    <n v="4095.28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3"/>
    <s v="ADMINISTRACIÓN CENTRAL"/>
    <s v="SERVICIO DE MANTENIMIENTO PREVENTIDO Y CORRECTIVO DEL CIRCUITO CERRADO DE TELEVISIÓN DEL CENTRO ZONAL ECU 911 SAMBORONDÓN"/>
    <n v="1"/>
    <x v="3"/>
    <n v="1"/>
    <n v="0"/>
    <n v="1"/>
    <n v="916"/>
    <s v="SAMBORONDÓN"/>
    <n v="1"/>
    <n v="0"/>
    <n v="0"/>
    <s v="CORRIENTE"/>
    <x v="0"/>
    <n v="530402"/>
    <s v="EDIFICIOS, LOCALES, RESIDENCIAS Y CABLEADO ESTRUCTURADO (INSTALACIÓN, MANTENIMIENTO Y REPARACIÓN)"/>
    <n v="0"/>
    <n v="6099"/>
    <n v="0"/>
    <n v="0"/>
    <n v="0"/>
    <n v="0"/>
    <n v="6099"/>
    <n v="0"/>
    <n v="0"/>
    <n v="0"/>
    <n v="0"/>
    <n v="0"/>
    <n v="0"/>
    <n v="0"/>
    <n v="6099"/>
    <s v="OK"/>
    <n v="6099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3"/>
    <s v="ADMINISTRACIÓN CENTRAL"/>
    <s v="CONTRATACIÓN DEL SERVICIO DE MANTENIMIENTO PREVENTIVO Y CORRECTIVO DE LOS ASCENSORES DEL CENTRO ZONAL ECU 911 SAMBORONDÓN Y EL CENTRO OPERATIVO LOCAL ECU 911 BABAHOYO"/>
    <n v="1"/>
    <x v="3"/>
    <n v="1"/>
    <n v="0"/>
    <n v="1"/>
    <n v="916"/>
    <s v="SAMBORONDÓN"/>
    <n v="1"/>
    <n v="0"/>
    <n v="0"/>
    <s v="CORRIENTE"/>
    <x v="0"/>
    <n v="530402"/>
    <s v="EDIFICIOS, LOCALES, RESIDENCIAS Y CABLEADO ESTRUCTURADO (INSTALACIÓN, MANTENIMIENTO Y REPARACIÓN)"/>
    <n v="6000"/>
    <n v="5765.07"/>
    <n v="0"/>
    <n v="0"/>
    <n v="600"/>
    <n v="302.39999999999998"/>
    <n v="302.39999999999998"/>
    <n v="600"/>
    <n v="600"/>
    <n v="600"/>
    <n v="600"/>
    <n v="600"/>
    <n v="897.6"/>
    <n v="662.67"/>
    <n v="5765.0700000000006"/>
    <s v="OK"/>
    <n v="5765.07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3"/>
    <s v="ADMINISTRACIÓN CENTRAL"/>
    <s v="MANTENIMIENTO DE ANAQUELES DE COCINA Y BAÑOS DEL CENTRO ZONAL ECU 911 SAMBORONDÓN"/>
    <n v="1"/>
    <x v="3"/>
    <n v="1"/>
    <n v="0"/>
    <n v="1"/>
    <n v="916"/>
    <s v="SAMBORONDÓN"/>
    <n v="1"/>
    <n v="0"/>
    <n v="0"/>
    <s v="CORRIENTE"/>
    <x v="0"/>
    <n v="530402"/>
    <s v="EDIFICIOS, LOCALES, RESIDENCIAS Y CABLEADO ESTRUCTURADO (INSTALACIÓN, MANTENIMIENTO Y REPARACIÓN)"/>
    <n v="3126"/>
    <n v="4537"/>
    <n v="0"/>
    <n v="0"/>
    <n v="0"/>
    <n v="0"/>
    <n v="0"/>
    <n v="4537"/>
    <n v="0"/>
    <n v="0"/>
    <n v="0"/>
    <n v="0"/>
    <n v="0"/>
    <n v="0"/>
    <n v="4537"/>
    <s v="OK"/>
    <n v="4537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3"/>
    <s v="ADMINISTRACIÓN CENTRAL"/>
    <s v="SERVICIO DE MANTENIMIENTO PREVENTIVO Y CORRECTIVO PARA EL SOSTENIMIENTO TECNOLÓGICO DEL SISTEMA DE CLIMATIZACIÓN DE LOS 3 CENTROS  DE LA COORDINACIÓN ZONAL 5 Y 8 SERVICIO INTEGRADO DE SEGURIDAD ECU 911 Y SUS  3 SALAS DESCONCENTRADAS ECU 911"/>
    <n v="1"/>
    <x v="3"/>
    <n v="1"/>
    <n v="0"/>
    <n v="1"/>
    <n v="916"/>
    <s v="SAMBORONDÓN"/>
    <n v="1"/>
    <n v="0"/>
    <n v="0"/>
    <s v="CORRIENTE"/>
    <x v="0"/>
    <n v="530404"/>
    <s v="MAQUINARIAS Y EQUIPOS (INSTALACIÓN, MANTENIMIENTO Y REPARACIÓN)"/>
    <n v="89286"/>
    <n v="72914.61"/>
    <n v="0"/>
    <n v="0"/>
    <n v="0"/>
    <n v="0"/>
    <n v="0"/>
    <n v="0"/>
    <n v="20014.330000000002"/>
    <n v="0"/>
    <n v="20014.330000000002"/>
    <n v="0"/>
    <n v="20014.34"/>
    <n v="12871.61"/>
    <n v="72914.61"/>
    <s v="OK"/>
    <n v="72914.61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3"/>
    <s v="ADMINISTRACIÓN CENTRAL"/>
    <s v="CONTRATACIÓN DEL SERVICIO DE MANTENIMIENTO Y REPARACIÓN DE EQUIPO DE PURIFICACIÓN DE AGUA DEL CENTRO ZONAL ECU 911 SAMBORONDÓN"/>
    <n v="2"/>
    <x v="3"/>
    <n v="1"/>
    <n v="0"/>
    <n v="1"/>
    <n v="916"/>
    <s v="SAMBORONDÓN"/>
    <n v="1"/>
    <n v="0"/>
    <n v="0"/>
    <s v="CORRIENTE"/>
    <x v="0"/>
    <n v="530404"/>
    <s v="MAQUINARIAS Y EQUIPOS (INSTALACIÓN, MANTENIMIENTO Y REPARACIÓN)"/>
    <n v="4000"/>
    <n v="4000"/>
    <n v="0"/>
    <n v="0"/>
    <n v="0"/>
    <n v="0"/>
    <n v="0"/>
    <n v="4000"/>
    <n v="0"/>
    <n v="0"/>
    <n v="0"/>
    <n v="0"/>
    <n v="0"/>
    <n v="0"/>
    <n v="4000"/>
    <s v="OK"/>
    <n v="400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3"/>
    <s v="ADMINISTRACIÓN CENTRAL"/>
    <s v="SERVICIO DE MANTENIMIENTO PREVENTIVO Y/O CORRECTIVO DE LOS VEHÍCULOS INSTITUCIONALES, PERTENECIENTES A LA COORDINACIÓN ZONAL 5 Y 8 SERVICIO INTEGRADO DE SEGURIDAD 911, CENTRO ZONAL ECU 911 SAMBORONDÓN"/>
    <n v="1"/>
    <x v="3"/>
    <n v="1"/>
    <n v="0"/>
    <n v="1"/>
    <n v="916"/>
    <s v="SAMBORONDÓN"/>
    <n v="1"/>
    <n v="0"/>
    <n v="0"/>
    <s v="CORRIENTE"/>
    <x v="0"/>
    <n v="530405"/>
    <s v="VEHÍCULOS (SERVICIO PARA MANTENIMIENTO Y REPARACIÓN)"/>
    <n v="7590"/>
    <n v="6300"/>
    <n v="0"/>
    <n v="0"/>
    <n v="0"/>
    <n v="1265"/>
    <n v="0"/>
    <n v="1265"/>
    <n v="1265"/>
    <n v="0"/>
    <n v="1265"/>
    <n v="0"/>
    <n v="1240"/>
    <n v="0"/>
    <n v="6300"/>
    <s v="OK"/>
    <n v="630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3"/>
    <s v="ADMINISTRACIÓN CENTRAL"/>
    <s v="SERVICIO DE MANTENIMIENTO CORRECTIVO DEL VEHÍCULO CHEVROLET GRAND VITARA SZ GEA-1459, PERTENECIENTE A LA COORDINACIÓN ZONAL 5 Y 8 SERVICIO INTEGRADO DE SEGURIDAD 911, CENTRO ZONAL ECU 911 SAMBORONDON"/>
    <n v="1"/>
    <x v="3"/>
    <n v="1"/>
    <n v="0"/>
    <n v="1"/>
    <n v="916"/>
    <s v="SAMBORONDÓN"/>
    <n v="1"/>
    <n v="0"/>
    <n v="0"/>
    <s v="CORRIENTE"/>
    <x v="0"/>
    <n v="530405"/>
    <s v="VEHÍCULOS (SERVICIO PARA MANTENIMIENTO Y REPARACIÓN)"/>
    <n v="0"/>
    <n v="6100"/>
    <n v="0"/>
    <n v="0"/>
    <n v="0"/>
    <n v="0"/>
    <n v="0"/>
    <n v="0"/>
    <n v="0"/>
    <n v="0"/>
    <n v="6100"/>
    <n v="0"/>
    <n v="0"/>
    <n v="0"/>
    <n v="6100"/>
    <s v="OK"/>
    <n v="610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3"/>
    <s v="ADMINISTRACIÓN CENTRAL"/>
    <s v="LIQUIDACIÓN DE CAJA CHICA DEL CENTRO ZONAL SAMBORONDÓN DE PERIODOS ANTERIORES"/>
    <n v="2"/>
    <x v="3"/>
    <n v="1"/>
    <n v="0"/>
    <n v="1"/>
    <n v="916"/>
    <s v="SAMBORONDÓN"/>
    <n v="1"/>
    <n v="0"/>
    <n v="0"/>
    <s v="CORRIENTE"/>
    <x v="0"/>
    <n v="530405"/>
    <s v="VEHÍCULOS (SERVICIO PARA MANTENIMIENTO Y REPARACIÓN)"/>
    <n v="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3"/>
    <s v="ADMINISTRACIÓN CENTRAL"/>
    <s v="REEMBOLSO DE CAJA CHICA DEL CENTRO ZONAL SAMBORONDÓN"/>
    <n v="1"/>
    <x v="3"/>
    <n v="1"/>
    <n v="0"/>
    <n v="1"/>
    <n v="916"/>
    <s v="SAMBORONDÓN"/>
    <n v="1"/>
    <n v="0"/>
    <n v="0"/>
    <s v="CORRIENTE"/>
    <x v="0"/>
    <n v="530405"/>
    <s v="VEHÍCULOS (SERVICIO PARA MANTENIMIENTO Y REPARACIÓN)"/>
    <n v="400"/>
    <n v="143.88"/>
    <n v="0"/>
    <n v="0"/>
    <n v="0"/>
    <n v="143.88"/>
    <n v="0"/>
    <n v="0"/>
    <n v="0"/>
    <n v="0"/>
    <n v="0"/>
    <n v="0"/>
    <n v="0"/>
    <n v="0"/>
    <n v="143.88"/>
    <s v="OK"/>
    <n v="0"/>
    <n v="143.88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3"/>
    <s v="ADMINISTRACIÓN CENTRAL"/>
    <s v="LIQUIDACIÓN DE CAJA CHICA DEL CENTRO ZONAL SAMBORONDÓN DE PERIODOS ANTERIORES"/>
    <n v="2"/>
    <x v="3"/>
    <n v="1"/>
    <n v="0"/>
    <n v="1"/>
    <n v="916"/>
    <s v="SAMBORONDÓN"/>
    <n v="1"/>
    <n v="0"/>
    <n v="0"/>
    <s v="CORRIENTE"/>
    <x v="0"/>
    <n v="530502"/>
    <s v="EDIFICIOS, LOCALES Y RESIDENCIAS, PARQUEADEROS, CASILLEROS JUDICIALES Y BANCARIOS (ARRENDAMIENTO)"/>
    <n v="0"/>
    <n v="840.11"/>
    <n v="0"/>
    <n v="0"/>
    <n v="0"/>
    <n v="284.72000000000003"/>
    <n v="555.39"/>
    <n v="0"/>
    <n v="0"/>
    <n v="0"/>
    <n v="0"/>
    <n v="0"/>
    <n v="0"/>
    <n v="0"/>
    <n v="840.11"/>
    <s v="OK"/>
    <n v="840.11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3"/>
    <s v="ADMINISTRACIÓN CENTRAL"/>
    <s v="CONTRATACIÓN DEL SERVICIO DE SUMINISTRO DE INFORMACIÓN EN LÍNEA DE NORMATIVAS LEGALES ACTUALIZADAS PARA LA COORDINACIÓN ZONAL 5-8"/>
    <n v="1"/>
    <x v="3"/>
    <n v="1"/>
    <n v="0"/>
    <n v="1"/>
    <n v="916"/>
    <s v="SAMBORONDÓN"/>
    <n v="1"/>
    <n v="0"/>
    <n v="0"/>
    <s v="CORRIENTE"/>
    <x v="0"/>
    <n v="530702"/>
    <s v="ARRENDAMIENTO Y LICENCIAS DE USO DE PAQUETES INFORMÁTICOS"/>
    <n v="0"/>
    <n v="700"/>
    <n v="0"/>
    <n v="0"/>
    <n v="0"/>
    <n v="0"/>
    <n v="0"/>
    <n v="0"/>
    <n v="0"/>
    <n v="0"/>
    <n v="0"/>
    <n v="0"/>
    <n v="700"/>
    <n v="0"/>
    <n v="700"/>
    <s v="OK"/>
    <n v="0"/>
    <n v="70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3"/>
    <s v="ADMINISTRACIÓN CENTRAL"/>
    <s v="ADQUISICIÓN DE VESTIMENTA Y EQUIPOS DE PROTECCIÓN PAR EL PERSONAL DE LA COORDINACIÓN ZONAL 5 Y 8 SERVICIO INTEGRADO DE SEGURIDAD ECU 911"/>
    <n v="1"/>
    <x v="3"/>
    <n v="1"/>
    <n v="0"/>
    <n v="1"/>
    <n v="916"/>
    <s v="SAMBORONDÓN"/>
    <n v="1"/>
    <n v="0"/>
    <n v="0"/>
    <s v="CORRIENTE"/>
    <x v="0"/>
    <n v="530802"/>
    <s v="VESTUARIO, LENCERÍA, PRENDAS DE PROTECCIÓN Y ACCESORIOS PARA UNIFORMES DEL PERSONAL DE PROTECCIÓN, VIGILANCIA Y SEGURIDAD"/>
    <n v="0"/>
    <n v="4000"/>
    <n v="0"/>
    <n v="0"/>
    <n v="0"/>
    <n v="0"/>
    <n v="0"/>
    <n v="0"/>
    <n v="0"/>
    <n v="0"/>
    <n v="0"/>
    <n v="0"/>
    <n v="4000"/>
    <n v="0"/>
    <n v="4000"/>
    <s v="OK"/>
    <n v="0"/>
    <n v="400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3"/>
    <s v="ADMINISTRACIÓN CENTRAL"/>
    <s v="CONTRATACIÓN DEL SERVICIO DE ABASTECIMIENTO DE COMBUSTIBLE PARA LOS GENERADORES Y VEHÍCULOS INSTITUCIONALES DEL CENTRO ZONAL SAMBORONDÓN"/>
    <n v="1"/>
    <x v="3"/>
    <n v="1"/>
    <n v="0"/>
    <n v="1"/>
    <n v="916"/>
    <s v="SAMBORONDÓN"/>
    <n v="1"/>
    <n v="0"/>
    <n v="0"/>
    <s v="CORRIENTE"/>
    <x v="0"/>
    <n v="530803"/>
    <s v="LUBRICANTES"/>
    <n v="5536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3"/>
    <s v="ADMINISTRACIÓN CENTRAL"/>
    <s v="ADQUISICIÓN DE SUMINISTROS DE OFICINA PARA EL CENTRO ZONAL ECU 911 SAMBORONDÓN"/>
    <n v="1"/>
    <x v="3"/>
    <n v="1"/>
    <n v="0"/>
    <n v="1"/>
    <n v="916"/>
    <s v="SAMBORONDÓN"/>
    <n v="1"/>
    <n v="0"/>
    <n v="0"/>
    <s v="CORRIENTE"/>
    <x v="0"/>
    <n v="530804"/>
    <s v="MATERIALES DE OFICINA"/>
    <n v="1786"/>
    <n v="1102.8399999999997"/>
    <n v="0"/>
    <n v="0"/>
    <n v="0"/>
    <n v="0"/>
    <n v="0"/>
    <n v="1102.8399999999999"/>
    <n v="0"/>
    <n v="0"/>
    <n v="0"/>
    <n v="0"/>
    <n v="0"/>
    <n v="0"/>
    <n v="1102.8399999999999"/>
    <s v="OK"/>
    <n v="1102.8400000000001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3"/>
    <s v="ADMINISTRACIÓN CENTRAL"/>
    <s v="ADQUISICIÓN DE RESMA DE PAPEL BOND A4 DE 75GR Y CUADERNOS ESPIRAL UNIVERSITARIO CUADROS 100 HOJAS PARA EL CENTRO ZONAL ECU 911 "/>
    <n v="1"/>
    <x v="3"/>
    <n v="1"/>
    <n v="0"/>
    <n v="1"/>
    <n v="916"/>
    <s v="SAMBORONDÓN"/>
    <n v="1"/>
    <n v="0"/>
    <n v="0"/>
    <s v="CORRIENTE"/>
    <x v="0"/>
    <n v="530804"/>
    <s v="MATERIALES DE OFICINA"/>
    <n v="0"/>
    <n v="730.26"/>
    <n v="0"/>
    <n v="0"/>
    <n v="0"/>
    <n v="0"/>
    <n v="730.26"/>
    <n v="0"/>
    <n v="0"/>
    <n v="0"/>
    <n v="0"/>
    <n v="0"/>
    <n v="0"/>
    <n v="0"/>
    <n v="730.26"/>
    <s v="OK"/>
    <n v="730.26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3"/>
    <s v="ADMINISTRACIÓN CENTRAL"/>
    <s v="ADQUISICIÓN DE SUMINISTROS DE IMPRESIÓN (TONER Y CARTUCHOS) PARA LA UTILIZACIÓN DE IMPRESORAS DEL CENTRO DE LA COORDINACIÓN ZONAL Y SUS SALAS DESCONCENTRADAS"/>
    <n v="1"/>
    <x v="3"/>
    <n v="1"/>
    <n v="0"/>
    <n v="1"/>
    <n v="916"/>
    <s v="SAMBORONDÓN"/>
    <n v="1"/>
    <n v="0"/>
    <n v="0"/>
    <s v="CORRIENTE"/>
    <x v="0"/>
    <n v="530804"/>
    <s v="MATERIALES DE OFICINA"/>
    <n v="5804"/>
    <n v="7871.26"/>
    <n v="0"/>
    <n v="0"/>
    <n v="6265.04"/>
    <n v="0"/>
    <n v="0"/>
    <n v="1606.22"/>
    <n v="0"/>
    <n v="0"/>
    <n v="0"/>
    <n v="0"/>
    <n v="0"/>
    <n v="0"/>
    <n v="7871.26"/>
    <s v="OK"/>
    <n v="7871.26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3"/>
    <s v="ADMINISTRACIÓN CENTRAL"/>
    <s v="ADQUSICIÓN DE DISPENSADORES DE PAPEL HIGIÉNICO Y DE TOALLAS DE MANO EN Z, PARA EL CENTRO ZON AL ECU 911 SAMBORONDÓN "/>
    <n v="2"/>
    <x v="3"/>
    <n v="1"/>
    <n v="0"/>
    <n v="1"/>
    <n v="916"/>
    <s v="SAMBORONDÓN"/>
    <n v="1"/>
    <n v="0"/>
    <n v="0"/>
    <s v="CORRIENTE"/>
    <x v="0"/>
    <n v="530805"/>
    <s v="MATERIALES DE ASEO"/>
    <n v="0"/>
    <n v="290.76"/>
    <n v="0"/>
    <n v="0"/>
    <n v="0"/>
    <n v="0"/>
    <n v="0"/>
    <n v="0"/>
    <n v="0"/>
    <n v="0"/>
    <n v="0"/>
    <n v="0"/>
    <n v="290.76"/>
    <n v="0"/>
    <n v="290.76"/>
    <s v="OK"/>
    <n v="290.76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3"/>
    <s v="ADMINISTRACIÓN CENTRAL"/>
    <s v="ADQUISICIÓN DE MATERIALES E INSUMOS DE FERRETERÍA PARA REALIZAR LOS DIFERENTES MANTENIMIENTO EN LOS CENTROS DE LA COORDINACIÓN 5 Y 8 SIS ECU 911"/>
    <n v="1"/>
    <x v="3"/>
    <n v="1"/>
    <n v="0"/>
    <n v="1"/>
    <n v="916"/>
    <s v="SAMBORONDÓN"/>
    <n v="1"/>
    <n v="0"/>
    <n v="0"/>
    <s v="CORRIENTE"/>
    <x v="0"/>
    <n v="530811"/>
    <s v="INSUMOS, MATERIALES Y SUMINISTROS PARA CONSTRUCCIÓN, ELECTRICIDAD, PLOMERÍA, CARPINTERÍA, SEÑALIZACIÓN VIAL, NAVEGACIÓN, CONTRA INCENDIOS Y PLACAS"/>
    <n v="7143"/>
    <n v="5834.64"/>
    <n v="0"/>
    <n v="0"/>
    <n v="0"/>
    <n v="0"/>
    <n v="0"/>
    <n v="0"/>
    <n v="5834.64"/>
    <n v="0"/>
    <n v="0"/>
    <n v="0"/>
    <n v="0"/>
    <n v="0"/>
    <n v="5834.64"/>
    <s v="OK"/>
    <n v="5834.64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3"/>
    <s v="ADMINISTRACIÓN CENTRAL"/>
    <s v="REEMBOLSO DE CAJA CHICA DEL CENTRO ZONAL SAMBORONDÓN"/>
    <n v="1"/>
    <x v="3"/>
    <n v="1"/>
    <n v="0"/>
    <n v="1"/>
    <n v="916"/>
    <s v="SAMBORONDÓN"/>
    <n v="1"/>
    <n v="0"/>
    <n v="0"/>
    <s v="CORRIENTE"/>
    <x v="0"/>
    <n v="530811"/>
    <s v="INSUMOS, MATERIALES Y SUMINISTROS PARA CONSTRUCCIÓN, ELECTRICIDAD, PLOMERÍA, CARPINTERÍA, SEÑALIZACIÓN VIAL, NAVEGACIÓN, CONTRA INCENDIOS Y PLACAS"/>
    <n v="400"/>
    <n v="200"/>
    <n v="0"/>
    <n v="0"/>
    <n v="0"/>
    <n v="100"/>
    <n v="0"/>
    <n v="0"/>
    <n v="0"/>
    <n v="100"/>
    <n v="0"/>
    <n v="0"/>
    <n v="0"/>
    <n v="0"/>
    <n v="200"/>
    <s v="OK"/>
    <n v="0"/>
    <n v="20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3"/>
    <s v="ADMINISTRACIÓN CENTRAL"/>
    <s v="ADQUISICIÓN DE REPUESTOS DEL SISTEMA DE AGUA PARA LOS CENTROS DE SAMBORONDÓN, CENTRO OPERATIVO LOCAL BABAHOYO Y EL CENTRO OPERATIVO SAN CRISTÓBAL DE LA COORDINACIÓN ZONAL 5 Y 8 SIS ECU 911"/>
    <n v="2"/>
    <x v="3"/>
    <n v="1"/>
    <n v="0"/>
    <n v="1"/>
    <n v="916"/>
    <s v="SAMBORONDÓN"/>
    <n v="1"/>
    <n v="0"/>
    <n v="0"/>
    <s v="CORRIENTE"/>
    <x v="0"/>
    <n v="530813"/>
    <s v="REPUESTOS Y ACCESORIOS"/>
    <n v="4018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3"/>
    <s v="ADMINISTRACIÓN CENTRAL"/>
    <s v="ADQUISICIÓN DE NEUMÁTICOS PARA VEHÍCULOS INSTITUCIONALES DEL CENTRO ZONAL ECU 911 SAMBORONDÓN"/>
    <n v="1"/>
    <x v="3"/>
    <n v="1"/>
    <n v="0"/>
    <n v="1"/>
    <n v="916"/>
    <s v="SAMBORONDÓN"/>
    <n v="1"/>
    <n v="0"/>
    <n v="0"/>
    <s v="CORRIENTE"/>
    <x v="0"/>
    <n v="531411"/>
    <s v="PARTES Y REPUESTOS"/>
    <n v="1875"/>
    <n v="1144.73"/>
    <n v="0"/>
    <n v="0"/>
    <n v="0"/>
    <n v="0"/>
    <n v="0"/>
    <n v="0"/>
    <n v="0"/>
    <n v="1144.73"/>
    <n v="0"/>
    <n v="0"/>
    <n v="0"/>
    <n v="0"/>
    <n v="1144.73"/>
    <s v="OK"/>
    <n v="1144.73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3"/>
    <s v="ADMINISTRACIÓN CENTRAL"/>
    <s v="REEMBOLSO DE PEAJES PARA CONDUCTORES DEL CENTRO ZONAL ECU 911 SAMBORONDÓN"/>
    <n v="1"/>
    <x v="3"/>
    <n v="1"/>
    <n v="0"/>
    <n v="1"/>
    <n v="916"/>
    <s v="SAMBORONDÓN"/>
    <n v="1"/>
    <n v="0"/>
    <n v="0"/>
    <s v="CORRIENTE"/>
    <x v="1"/>
    <n v="570102"/>
    <s v="TASAS GENERALES, IMPUESTOS, CONTRIBUCIONES, PERMISOS, LICENCIAS Y PATENTES"/>
    <n v="150"/>
    <n v="308"/>
    <n v="0"/>
    <n v="0"/>
    <n v="60"/>
    <n v="0"/>
    <n v="10"/>
    <n v="0"/>
    <n v="10"/>
    <n v="10"/>
    <n v="10"/>
    <n v="10"/>
    <n v="168"/>
    <n v="30"/>
    <n v="308"/>
    <s v="OK"/>
    <n v="308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3"/>
    <s v="ADMINISTRACIÓN CENTRAL"/>
    <s v="PAGO DE LA MATRICULACIÓN VEHICULAR DE LOS VEHÍCULOS INSTITUCIONALES DEL CENTRO ZONAL SAMBORONDÓN, CORRESPONDIENTE AL AÑO 2023"/>
    <n v="1"/>
    <x v="3"/>
    <n v="1"/>
    <n v="0"/>
    <n v="1"/>
    <n v="916"/>
    <s v="SAMBORONDÓN"/>
    <n v="1"/>
    <n v="0"/>
    <n v="0"/>
    <s v="CORRIENTE"/>
    <x v="1"/>
    <n v="570102"/>
    <s v="TASAS GENERALES, IMPUESTOS, CONTRIBUCIONES, PERMISOS, LICENCIAS Y PATENTES"/>
    <n v="0"/>
    <n v="364"/>
    <n v="0"/>
    <n v="0"/>
    <n v="364"/>
    <n v="0"/>
    <n v="0"/>
    <n v="0"/>
    <n v="0"/>
    <n v="0"/>
    <n v="0"/>
    <n v="0"/>
    <n v="0"/>
    <n v="0"/>
    <n v="364"/>
    <s v="OK"/>
    <n v="364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3"/>
    <s v="ADMINISTRACIÓN CENTRAL"/>
    <s v="PAGO DE LA REVISIÓN TECNICA VEHICULAR DE LOS VEHÍCULOS INSTITUCIONALES DEL CENTRO ZONAL SAMBORONDÓN, CORRESPONDIENTE AL AÑO 2023"/>
    <n v="1"/>
    <x v="3"/>
    <n v="1"/>
    <n v="0"/>
    <n v="1"/>
    <n v="916"/>
    <s v="SAMBORONDÓN"/>
    <n v="1"/>
    <n v="0"/>
    <n v="0"/>
    <s v="CORRIENTE"/>
    <x v="1"/>
    <n v="570102"/>
    <s v="TASAS GENERALES, IMPUESTOS, CONTRIBUCIONES, PERMISOS, LICENCIAS Y PATENTES"/>
    <n v="0"/>
    <n v="125"/>
    <n v="0"/>
    <n v="0"/>
    <n v="125"/>
    <n v="0"/>
    <n v="0"/>
    <n v="0"/>
    <n v="0"/>
    <n v="0"/>
    <n v="0"/>
    <n v="0"/>
    <n v="0"/>
    <n v="0"/>
    <n v="125"/>
    <s v="OK"/>
    <n v="125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3"/>
    <s v="ADMINISTRACIÓN CENTRAL"/>
    <s v="PERMISO DE FUNCIONAMIENTO DEL CUERPO DE BOMBEROS 2023 DEL CENTRO ZONAL ECU 911 SAMBORONDÓN "/>
    <n v="1"/>
    <x v="3"/>
    <n v="1"/>
    <n v="0"/>
    <n v="1"/>
    <n v="916"/>
    <s v="SAMBORONDÓN"/>
    <n v="1"/>
    <n v="0"/>
    <n v="0"/>
    <s v="CORRIENTE"/>
    <x v="1"/>
    <n v="570102"/>
    <s v="TASAS GENERALES, IMPUESTOS, CONTRIBUCIONES, PERMISOS, LICENCIAS Y PATENTES"/>
    <n v="0"/>
    <n v="200"/>
    <n v="0"/>
    <n v="200"/>
    <n v="0"/>
    <n v="0"/>
    <n v="0"/>
    <n v="0"/>
    <n v="0"/>
    <n v="0"/>
    <n v="0"/>
    <n v="0"/>
    <n v="0"/>
    <n v="0"/>
    <n v="200"/>
    <s v="OK"/>
    <n v="20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3"/>
    <s v="ADMINISTRACIÓN CENTRAL"/>
    <s v="PAGO DE TASA POR PERMISO DE FUNCIONAMIENTO ANUAL DEL CUERPO DE BOMBEROS DEL CENTRO ZONAL ECU 911 SAMBORONDÓN"/>
    <n v="1"/>
    <x v="3"/>
    <n v="1"/>
    <n v="0"/>
    <n v="1"/>
    <n v="916"/>
    <s v="SAMBORONDÓN"/>
    <n v="1"/>
    <n v="0"/>
    <n v="0"/>
    <s v="CORRIENTE"/>
    <x v="1"/>
    <n v="570104"/>
    <s v="CONTRIBUCIONES ESPECIALES Y DE MEJORA"/>
    <n v="40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3"/>
    <s v="ADMINISTRACIÓN CENTRAL"/>
    <s v="OBLIGACIONES CON EL IESS POR RESPONSABILIDAD PATRONAL"/>
    <n v="1"/>
    <x v="3"/>
    <n v="1"/>
    <n v="0"/>
    <n v="1"/>
    <n v="916"/>
    <s v="SAMBORONDÓN"/>
    <n v="1"/>
    <n v="0"/>
    <n v="0"/>
    <s v="CORRIENTE"/>
    <x v="1"/>
    <n v="570216"/>
    <s v="OBLIGACIONES CON EL IESS POR RESPONSABILIDAD PATRONAL"/>
    <n v="0"/>
    <n v="2500"/>
    <n v="0"/>
    <n v="0"/>
    <n v="0"/>
    <n v="2500"/>
    <n v="0"/>
    <n v="0"/>
    <n v="0"/>
    <n v="0"/>
    <n v="0"/>
    <n v="0"/>
    <n v="0"/>
    <n v="0"/>
    <n v="2500"/>
    <s v="OK"/>
    <n v="250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3"/>
    <s v="ADMINISTRACIÓN CENTRAL"/>
    <s v="INTERESES POR MORA PATRONAL AL IESS"/>
    <n v="1"/>
    <x v="3"/>
    <n v="1"/>
    <n v="0"/>
    <n v="1"/>
    <n v="916"/>
    <s v="SAMBORONDÓN"/>
    <n v="1"/>
    <n v="0"/>
    <n v="0"/>
    <s v="CORRIENTE"/>
    <x v="1"/>
    <n v="570218"/>
    <s v="INTERESES POR MORA PATRONAL AL IESS"/>
    <n v="0"/>
    <n v="6453.9400000000005"/>
    <n v="0"/>
    <n v="0"/>
    <n v="0"/>
    <n v="2500"/>
    <n v="0"/>
    <n v="0"/>
    <n v="0"/>
    <n v="0"/>
    <n v="0"/>
    <n v="0"/>
    <n v="3953.94"/>
    <n v="0"/>
    <n v="6453.9400000000005"/>
    <s v="OK"/>
    <n v="6453.9400000000005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4"/>
    <s v="OPERACIONES"/>
    <s v="CONTRATACIÓN DEL SERVICIO DE IMPRESIÓN DE MATERIAL ACADÉMICO PARA LOS CURSOS PRESENCIALES DEL SISTEMA DE COMANDO DE INCIDENTES BÁSICO PARA LA COORDINACIÓN ZONAL 5-8 SAMBORONDÓN Y CENTROS LOCALES BABAHOYO Y GALÁPAGOS"/>
    <n v="1"/>
    <x v="3"/>
    <n v="55"/>
    <n v="0"/>
    <n v="2"/>
    <n v="916"/>
    <s v="SAMBORONDÓN"/>
    <n v="1"/>
    <n v="0"/>
    <n v="0"/>
    <s v="CORRIENTE"/>
    <x v="0"/>
    <n v="530204"/>
    <s v="EDICIÓN, IMPRESIÓN, REPRODUCCIÓN, PUBLICACIONES, SUSCRIPCIONES, FOTOCOPIADO, TRADUCCIÓN, EMPASTADO, ENMARCACIÓN, SERIGRAFÍA, FOTOGRAFÍA, CARNETIZACIÓN, FILMACIÓN E IMÁGENES SATELITALES"/>
    <n v="0"/>
    <n v="6300"/>
    <n v="0"/>
    <n v="0"/>
    <n v="0"/>
    <n v="0"/>
    <n v="0"/>
    <n v="0"/>
    <n v="0"/>
    <n v="0"/>
    <n v="0"/>
    <n v="0"/>
    <n v="6300"/>
    <n v="0"/>
    <n v="6300"/>
    <s v="OK"/>
    <n v="6300"/>
    <n v="0"/>
    <s v="R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5"/>
    <s v="TECNOLOGÍA"/>
    <s v="PROVISIÓN DEL SERVICIO DE TELEFONÍA FIJA, ENLACES DE DATOS, INTERNET SERVICIOS MÓVILES (PDA, GPS Y BOTONES DE AUXILIO) Y ANTIVIRUS PARA LA COORDINACIÓN ZONAL 5 Y 8 SERVICIO INTEGRADO DE SEGURIDAD ECU 911 CENTRO ZONAL SAMBORONDÓN"/>
    <n v="1"/>
    <x v="3"/>
    <n v="55"/>
    <n v="0"/>
    <n v="3"/>
    <n v="916"/>
    <s v="SAMBORONDÓN"/>
    <n v="1"/>
    <n v="0"/>
    <n v="0"/>
    <s v="CORRIENTE"/>
    <x v="0"/>
    <n v="530105"/>
    <s v="TELECOMUNICACIONES"/>
    <n v="465972"/>
    <n v="146314.14999999994"/>
    <n v="15300"/>
    <n v="31264"/>
    <n v="11164"/>
    <n v="9650"/>
    <n v="9650"/>
    <n v="9650"/>
    <n v="9650"/>
    <n v="9807.9500000000007"/>
    <n v="9870.9500000000007"/>
    <n v="10870.95"/>
    <n v="8705"/>
    <n v="10731.3"/>
    <n v="146314.14999999997"/>
    <s v="OK"/>
    <n v="146314.15000000005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5"/>
    <s v="TECNOLOGÍA"/>
    <s v="SERVICIO DE REUBICACIÓN DE PUNTOS DE VIDEO VIGILANCIA Y REEMPLAZO DE POSTES PARA LA COORDINACIÓN ZONAL 5-8 CENTRO ZONAL SAMBORONDÓN_x000a_Y EL CENTRO OPERATIVO LOCAL BABAHOYO_x000a_"/>
    <n v="1"/>
    <x v="3"/>
    <n v="55"/>
    <n v="0"/>
    <n v="3"/>
    <n v="916"/>
    <s v="SAMBORONDÓN"/>
    <n v="1"/>
    <n v="0"/>
    <n v="0"/>
    <s v="CORRIENTE"/>
    <x v="0"/>
    <n v="530704"/>
    <s v="MANTENIMIENTO Y REPARACIÓN DE EQUIPOS Y SISTEMAS INFORMÁTICOS "/>
    <n v="0"/>
    <n v="23291.41"/>
    <n v="0"/>
    <n v="0"/>
    <n v="0"/>
    <n v="0"/>
    <n v="0"/>
    <n v="0"/>
    <n v="0"/>
    <n v="0"/>
    <n v="0"/>
    <n v="0"/>
    <n v="0"/>
    <n v="23291.41"/>
    <n v="23291.41"/>
    <s v="OK"/>
    <n v="23291.41"/>
    <n v="0"/>
    <s v="R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5"/>
    <s v="TECNOLOGÍA"/>
    <s v="SOSTENIMIENTO TECNOLÓGICO DE SITIOS DE VIDEO VIGILANCIA DE LA COORDINACIÓN ZONAL 5 Y 8 SIS ECU 911"/>
    <n v="1"/>
    <x v="3"/>
    <n v="55"/>
    <n v="0"/>
    <n v="3"/>
    <n v="916"/>
    <s v="SAMBORONDÓN"/>
    <n v="1"/>
    <n v="0"/>
    <n v="0"/>
    <s v="CORRIENTE"/>
    <x v="0"/>
    <n v="530704"/>
    <s v="MANTENIMIENTO Y REPARACIÓN DE EQUIPOS Y SISTEMAS INFORMÁTICOS "/>
    <n v="221581"/>
    <n v="229938.05"/>
    <n v="0"/>
    <n v="0"/>
    <n v="0"/>
    <n v="0"/>
    <n v="0"/>
    <n v="37000"/>
    <n v="33000"/>
    <n v="33000"/>
    <n v="33000"/>
    <n v="33000"/>
    <n v="33000"/>
    <n v="27938.05"/>
    <n v="229938.05"/>
    <s v="OK"/>
    <n v="229938.05"/>
    <n v="0"/>
    <s v="R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5"/>
    <s v="TECNOLOGÍA"/>
    <s v="SOSTENIMIENTO TECNOLÓGICO PARA LOS PUNTOS DE ALERTA TEMPRANA Y CENTRO DE CONTROL, QUE FORMAN PARTE DEL SISTEMA NACIONAL DE ALERTA TEMPRANA FRENTE A EVENTOS ADVERSOS DE TSUNAMI, DESBORDAMIENTO DE RIOS Y REPRESAS DE LA COORDINACIÓN ZONAL 5-8 DEL SERVICIO INTEGRADO DE SEGURIDAD ECU 911"/>
    <n v="2"/>
    <x v="3"/>
    <n v="55"/>
    <n v="0"/>
    <n v="3"/>
    <n v="916"/>
    <s v="SAMBORONDÓN"/>
    <n v="1"/>
    <n v="0"/>
    <n v="0"/>
    <s v="CORRIENTE"/>
    <x v="0"/>
    <n v="530704"/>
    <s v="MANTENIMIENTO Y REPARACIÓN DE EQUIPOS Y SISTEMAS INFORMÁTICOS "/>
    <n v="0"/>
    <n v="40037.200000000004"/>
    <n v="0"/>
    <n v="0"/>
    <n v="0"/>
    <n v="0"/>
    <n v="0"/>
    <n v="0"/>
    <n v="20300"/>
    <n v="4400"/>
    <n v="4300"/>
    <n v="4800"/>
    <n v="3200"/>
    <n v="3037.2"/>
    <n v="40037.199999999997"/>
    <s v="OK"/>
    <n v="40037.199999999997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5"/>
    <s v="TECNOLOGÍA"/>
    <s v="SERVICIO EMERGENTE DE SOPORTE TECNOLÓGICO PARA LOS SERVIDORES DE LA COORDINACIÓN ZONAL 5-8 SERVICIO INTEGRADO DE SEGURIDAD ECU 911, CENTRO ZONAL SAMBORONDÓN"/>
    <n v="1"/>
    <x v="3"/>
    <n v="55"/>
    <n v="0"/>
    <n v="3"/>
    <n v="916"/>
    <s v="SAMBORONDÓN"/>
    <n v="1"/>
    <n v="0"/>
    <n v="0"/>
    <s v="CORRIENTE"/>
    <x v="0"/>
    <n v="530704"/>
    <s v="MANTENIMIENTO Y REPARACIÓN DE EQUIPOS Y SISTEMAS INFORMÁTICOS "/>
    <n v="0"/>
    <n v="5100"/>
    <n v="0"/>
    <n v="0"/>
    <n v="0"/>
    <n v="0"/>
    <n v="0"/>
    <n v="5100"/>
    <n v="0"/>
    <n v="0"/>
    <n v="0"/>
    <n v="0"/>
    <n v="0"/>
    <n v="0"/>
    <n v="5100"/>
    <s v="OK"/>
    <n v="5100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5"/>
    <s v="TECNOLOGÍA"/>
    <s v="SERVICIO DE MANTENIMIENTO PREVENTIVO Y CORRECTIVO PARA FOTOCOPIADORAS E IMPRESORAS DEL CENTRO ZONAL SAMBORONDÓN Y EL CENTRO OPERATIVO LOCAL BABAHOYO"/>
    <n v="1"/>
    <x v="3"/>
    <n v="55"/>
    <n v="0"/>
    <n v="3"/>
    <n v="916"/>
    <s v="SAMBORONDÓN"/>
    <n v="1"/>
    <n v="0"/>
    <n v="0"/>
    <s v="CORRIENTE"/>
    <x v="0"/>
    <n v="530704"/>
    <s v="MANTENIMIENTO Y REPARACIÓN DE EQUIPOS Y SISTEMAS INFORMÁTICOS "/>
    <n v="6780"/>
    <n v="6280"/>
    <n v="0"/>
    <n v="0"/>
    <n v="0"/>
    <n v="5932"/>
    <n v="0"/>
    <n v="224"/>
    <n v="0"/>
    <n v="0"/>
    <n v="0"/>
    <n v="0"/>
    <n v="124"/>
    <n v="0"/>
    <n v="6280"/>
    <s v="OK"/>
    <n v="6280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5"/>
    <s v="TECNOLOGÍA"/>
    <s v="SOSTENIMIENTO TECNOLÓGICO PARA LOS PUNTOS DE ALERTA TEMPRANA Y CENTRO DE CONTROL, QUE FORMAN PARTE DEL SISTEMA NACIONAL DE ALERTA TEMPRANA FRENTE A EVENTOS ADVERSOS DE TSUNAMI, DESBORDAMIENTO DE RIOS Y REPRESAS DE LA COORDINACIÓN ZONAL 5-8 DEL SERVICIO INTEGRADO DE SEGURIDAD ECU 911"/>
    <n v="2"/>
    <x v="3"/>
    <n v="55"/>
    <n v="0"/>
    <n v="3"/>
    <n v="916"/>
    <s v="SAMBORONDÓN"/>
    <n v="1"/>
    <n v="0"/>
    <n v="0"/>
    <s v="CORRIENTE"/>
    <x v="0"/>
    <n v="530813"/>
    <s v="REPUESTOS Y ACCESORIOS"/>
    <n v="0"/>
    <n v="30977.999999999996"/>
    <n v="0"/>
    <n v="0"/>
    <n v="0"/>
    <n v="0"/>
    <n v="0"/>
    <n v="0"/>
    <n v="16500"/>
    <n v="2000"/>
    <n v="0"/>
    <n v="0"/>
    <n v="7500"/>
    <n v="4978"/>
    <n v="30978"/>
    <s v="OK"/>
    <n v="30978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5"/>
    <s v="TECNOLOGÍA"/>
    <s v="ADQUISICIÓN DE REPUESTOS Y DISPOSITIVOS PARA MANTENIMIENTO DE EQUIPOS TECNOLÓGICOS DE LOS CENTROS OPERATIVOS DE LA COORDINACIÓN ZONAL 5 Y 8 SIS ECU 911 "/>
    <n v="1"/>
    <x v="3"/>
    <n v="55"/>
    <n v="0"/>
    <n v="3"/>
    <n v="916"/>
    <s v="SAMBORONDÓN"/>
    <n v="1"/>
    <n v="0"/>
    <n v="0"/>
    <s v="CORRIENTE"/>
    <x v="0"/>
    <n v="530813"/>
    <s v="REPUESTOS Y ACCESORIOS"/>
    <n v="0"/>
    <n v="12000"/>
    <n v="0"/>
    <n v="0"/>
    <n v="0"/>
    <n v="0"/>
    <n v="0"/>
    <n v="12000"/>
    <n v="0"/>
    <n v="0"/>
    <n v="0"/>
    <n v="0"/>
    <n v="0"/>
    <n v="0"/>
    <n v="12000"/>
    <s v="OK"/>
    <n v="12000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5"/>
    <s v="TECNOLOGÍA"/>
    <s v="ADQUISICIÓN DE UPS PARA PUNTOS DE VIDEO VIGILANCIA DE LA COORDINACIÓN  ZONAL 5 Y 8 DEL SERVICIO INTEGRADO DE SEGURIDAD ECU 911"/>
    <n v="1"/>
    <x v="3"/>
    <n v="55"/>
    <n v="0"/>
    <n v="3"/>
    <n v="916"/>
    <s v="SAMBORONDÓN"/>
    <n v="1"/>
    <n v="0"/>
    <n v="0"/>
    <s v="CORRIENTE"/>
    <x v="0"/>
    <n v="531407"/>
    <s v="EQUIPOS, SISTEMAS Y PAQUETES INFORMÁTICOS"/>
    <n v="11005"/>
    <n v="9655"/>
    <n v="0"/>
    <n v="0"/>
    <n v="0"/>
    <n v="0"/>
    <n v="0"/>
    <n v="0"/>
    <n v="9655"/>
    <n v="0"/>
    <n v="0"/>
    <n v="0"/>
    <n v="0"/>
    <n v="0"/>
    <n v="9655"/>
    <s v="OK"/>
    <n v="9655"/>
    <n v="0"/>
    <s v="R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5"/>
    <s v="TECNOLOGÍA"/>
    <s v="ADQUISICIÓN DE EQUIPOS PORTÁTILES PARA LA COORDINACION ZONAL 5-8 DEL ECU 911"/>
    <n v="1"/>
    <x v="3"/>
    <n v="55"/>
    <n v="0"/>
    <n v="3"/>
    <n v="916"/>
    <s v="SAMBORONDÓN"/>
    <n v="1"/>
    <n v="0"/>
    <n v="0"/>
    <s v="CAPITAL"/>
    <x v="5"/>
    <n v="840107"/>
    <s v="EQUIPOS SISTEMAS Y PAQUETES INFORMÁTICOS"/>
    <n v="0"/>
    <n v="36745.17"/>
    <n v="0"/>
    <n v="0"/>
    <n v="0"/>
    <n v="0"/>
    <n v="0"/>
    <n v="0"/>
    <n v="0"/>
    <n v="0"/>
    <n v="0"/>
    <n v="0"/>
    <n v="36745.17"/>
    <n v="0"/>
    <n v="36745.17"/>
    <s v="OK"/>
    <n v="35574"/>
    <n v="1171.1699999999983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5"/>
    <s v="TECNOLOGÍA"/>
    <s v="ADQUISICIÓN DE EQUIPOS PORTÁTILES E IMPRESORAS LASER MULTIFUNCIONALES PARA LA COORDINACION ZONAL 5-8 DEL ECU 911"/>
    <n v="1"/>
    <x v="3"/>
    <n v="55"/>
    <n v="0"/>
    <n v="3"/>
    <n v="916"/>
    <s v="SAMBORONDÓN"/>
    <n v="1"/>
    <n v="0"/>
    <n v="0"/>
    <s v="CAPITAL"/>
    <x v="5"/>
    <n v="840107"/>
    <s v="EQUIPOS SISTEMAS Y PAQUETES INFORMÁTICOS"/>
    <n v="0"/>
    <n v="23860.83"/>
    <n v="0"/>
    <n v="0"/>
    <n v="0"/>
    <n v="0"/>
    <n v="0"/>
    <n v="0"/>
    <n v="0"/>
    <n v="0"/>
    <n v="0"/>
    <n v="0"/>
    <n v="23860.83"/>
    <n v="0"/>
    <n v="23860.83"/>
    <s v="OK"/>
    <n v="23778.6"/>
    <n v="82.230000000003201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0"/>
    <s v="ADMINISTRACIÓN CENTRAL"/>
    <s v="CANCELACIÓN DE REMUNERACIONES Y BENEFICIOS SOCIALES"/>
    <n v="1"/>
    <x v="3"/>
    <n v="1"/>
    <n v="0"/>
    <n v="1"/>
    <n v="1200"/>
    <s v="BABAHOYO"/>
    <n v="1"/>
    <n v="0"/>
    <n v="0"/>
    <s v="CORRIENTE"/>
    <x v="3"/>
    <n v="510105"/>
    <s v="REMUNERACIONES UNIFICADAS"/>
    <n v="129552"/>
    <n v="128712"/>
    <n v="10796"/>
    <n v="10796"/>
    <n v="10796"/>
    <n v="10796"/>
    <n v="10796"/>
    <n v="10796"/>
    <n v="10796"/>
    <n v="10796"/>
    <n v="10796"/>
    <n v="10796"/>
    <n v="10796"/>
    <n v="9956"/>
    <n v="128712"/>
    <s v="OK"/>
    <n v="0"/>
    <n v="128712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0"/>
    <s v="ADMINISTRACIÓN CENTRAL"/>
    <s v="CANCELACIÓN DE REMUNERACIONES Y BENEFICIOS SOCIALES"/>
    <n v="1"/>
    <x v="3"/>
    <n v="1"/>
    <n v="0"/>
    <s v="001"/>
    <n v="1200"/>
    <s v="BABAHOYO"/>
    <n v="1"/>
    <n v="0"/>
    <n v="0"/>
    <s v="CORRIENTE"/>
    <x v="3"/>
    <n v="510106"/>
    <s v="SALARIOS UNIFICADOS"/>
    <n v="28752"/>
    <n v="28752"/>
    <n v="2396"/>
    <n v="2396"/>
    <n v="2396"/>
    <n v="2396"/>
    <n v="2396"/>
    <n v="2396"/>
    <n v="2396"/>
    <n v="2396"/>
    <n v="2396"/>
    <n v="2396"/>
    <n v="2396"/>
    <n v="2396"/>
    <n v="28752"/>
    <s v="OK"/>
    <n v="0"/>
    <n v="28752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0"/>
    <s v="ADMINISTRACIÓN CENTRAL"/>
    <s v="CANCELACIÓN DE REMUNERACIONES Y BENEFICIOS SOCIALES"/>
    <n v="1"/>
    <x v="3"/>
    <n v="1"/>
    <n v="0"/>
    <s v="001"/>
    <n v="1200"/>
    <s v="BABAHOYO"/>
    <n v="1"/>
    <n v="0"/>
    <n v="0"/>
    <s v="CORRIENTE"/>
    <x v="3"/>
    <n v="510203"/>
    <s v="DÉCIMO TERCER SUELDO"/>
    <n v="13192"/>
    <n v="13192.01"/>
    <n v="0"/>
    <n v="0"/>
    <n v="0"/>
    <n v="0"/>
    <n v="0"/>
    <n v="0"/>
    <n v="0"/>
    <n v="0"/>
    <n v="0"/>
    <n v="0"/>
    <n v="0"/>
    <n v="13192.01"/>
    <n v="13192.01"/>
    <s v="OK"/>
    <n v="0"/>
    <n v="13192.01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0"/>
    <s v="ADMINISTRACIÓN CENTRAL"/>
    <s v="CANCELACIÓN DE REMUNERACIONES Y BENEFICIOS SOCIALES"/>
    <n v="1"/>
    <x v="3"/>
    <n v="1"/>
    <n v="0"/>
    <s v="001"/>
    <n v="1200"/>
    <s v="BABAHOYO"/>
    <n v="1"/>
    <n v="0"/>
    <n v="0"/>
    <s v="CORRIENTE"/>
    <x v="3"/>
    <n v="510204"/>
    <s v="DÉCIMO CUARTO SUELDO"/>
    <n v="5850"/>
    <n v="5755.83"/>
    <n v="0"/>
    <n v="0"/>
    <n v="0"/>
    <n v="5755.83"/>
    <n v="0"/>
    <n v="0"/>
    <n v="0"/>
    <n v="0"/>
    <n v="0"/>
    <n v="0"/>
    <n v="0"/>
    <n v="0"/>
    <n v="5755.83"/>
    <s v="OK"/>
    <n v="0"/>
    <n v="5755.83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0"/>
    <s v="ADMINISTRACIÓN CENTRAL"/>
    <s v="CANCELACIÓN DE REMUNERACIONES Y BENEFICIOS SOCIALES"/>
    <n v="1"/>
    <x v="3"/>
    <n v="1"/>
    <n v="0"/>
    <s v="001"/>
    <n v="1200"/>
    <s v="BABAHOYO"/>
    <n v="1"/>
    <n v="0"/>
    <n v="0"/>
    <s v="CORRIENTE"/>
    <x v="3"/>
    <n v="510509"/>
    <s v="HORAS EXTRAORDINARIAS Y SUPLEMENTARIAS"/>
    <n v="2000"/>
    <n v="2578"/>
    <n v="166"/>
    <n v="166"/>
    <n v="166"/>
    <n v="166"/>
    <n v="167"/>
    <n v="167"/>
    <n v="167"/>
    <n v="167"/>
    <n v="167"/>
    <n v="357"/>
    <n v="357"/>
    <n v="365"/>
    <n v="2578"/>
    <s v="OK"/>
    <n v="0"/>
    <n v="2578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0"/>
    <s v="ADMINISTRACIÓN CENTRAL"/>
    <s v="CANCELACIÓN DE REMUNERACIONES Y BENEFICIOS SOCIALES"/>
    <n v="1"/>
    <x v="3"/>
    <n v="1"/>
    <n v="0"/>
    <n v="1"/>
    <n v="1200"/>
    <s v="BABAHOYO"/>
    <n v="1"/>
    <n v="0"/>
    <n v="0"/>
    <s v="CORRIENTE"/>
    <x v="3"/>
    <n v="510510"/>
    <s v="SERVICIOS PERSONALES POR CONTRATO"/>
    <n v="0"/>
    <n v="4040"/>
    <n v="379.7"/>
    <n v="379.7"/>
    <n v="379.7"/>
    <n v="379.7"/>
    <n v="379.7"/>
    <n v="379.7"/>
    <n v="379.7"/>
    <n v="379.7"/>
    <n v="379.7"/>
    <n v="379.7"/>
    <n v="150"/>
    <n v="93"/>
    <n v="4039.9999999999991"/>
    <s v="OK"/>
    <n v="0"/>
    <n v="404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0"/>
    <s v="ADMINISTRACIÓN CENTRAL"/>
    <s v="CANCELACIÓN DE REMUNERACIONES Y BENEFICIOS SOCIALES"/>
    <n v="1"/>
    <x v="3"/>
    <n v="1"/>
    <n v="0"/>
    <s v="001"/>
    <n v="1200"/>
    <s v="BABAHOYO"/>
    <n v="1"/>
    <n v="0"/>
    <n v="0"/>
    <s v="CORRIENTE"/>
    <x v="3"/>
    <n v="510601"/>
    <s v="APORTE PATRONAL"/>
    <n v="15996"/>
    <n v="16247.68"/>
    <n v="1333"/>
    <n v="1333"/>
    <n v="1333"/>
    <n v="1333"/>
    <n v="1333"/>
    <n v="1333"/>
    <n v="1333"/>
    <n v="1333"/>
    <n v="1333"/>
    <n v="1333"/>
    <n v="1333"/>
    <n v="1584.68"/>
    <n v="16247.68"/>
    <s v="OK"/>
    <n v="0"/>
    <n v="16247.68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0"/>
    <s v="ADMINISTRACIÓN CENTRAL"/>
    <s v="CANCELACIÓN DE REMUNERACIONES Y BENEFICIOS SOCIALES"/>
    <n v="1"/>
    <x v="3"/>
    <n v="1"/>
    <n v="0"/>
    <s v="001"/>
    <n v="1200"/>
    <s v="BABAHOYO"/>
    <n v="1"/>
    <n v="0"/>
    <n v="0"/>
    <s v="CORRIENTE"/>
    <x v="3"/>
    <n v="510602"/>
    <s v="FONDO DE RESERVA"/>
    <n v="13187"/>
    <n v="11963.199999999999"/>
    <n v="1098"/>
    <n v="1099"/>
    <n v="1099"/>
    <n v="1099"/>
    <n v="1099"/>
    <n v="1099"/>
    <n v="1099"/>
    <n v="1099"/>
    <n v="1099"/>
    <n v="1099"/>
    <n v="545"/>
    <n v="429.2"/>
    <n v="11963.2"/>
    <s v="OK"/>
    <n v="0"/>
    <n v="11963.199999999999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0"/>
    <s v="ADMINISTRACIÓN CENTRAL"/>
    <s v="COMPENSACIÓN POR VACACIONES NO GOZADAS POR CESASIÓN DE FUNCIONES"/>
    <n v="1"/>
    <x v="3"/>
    <n v="1"/>
    <n v="0"/>
    <n v="1"/>
    <n v="1200"/>
    <s v="BABAHOYO"/>
    <n v="1"/>
    <n v="0"/>
    <n v="0"/>
    <s v="CORRIENTE"/>
    <x v="3"/>
    <n v="510707"/>
    <s v="COMPENSACIÓN POR VACACIONES NO GOZADAS POR CESACIÓN DE FUNCIONES"/>
    <n v="0"/>
    <n v="840"/>
    <n v="0"/>
    <n v="0"/>
    <n v="0"/>
    <n v="0"/>
    <n v="0"/>
    <n v="840"/>
    <n v="0"/>
    <n v="0"/>
    <n v="0"/>
    <n v="0"/>
    <n v="0"/>
    <n v="0"/>
    <n v="840"/>
    <s v="OK"/>
    <n v="0"/>
    <n v="84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7"/>
    <s v="OPERACIONES"/>
    <s v="CANCELACIÓN DE REMUNERACIONES Y BENEFICIOS SOCIALES"/>
    <n v="1"/>
    <x v="3"/>
    <n v="55"/>
    <n v="0"/>
    <s v="002"/>
    <n v="1200"/>
    <s v="BABAHOYO"/>
    <n v="1"/>
    <n v="0"/>
    <n v="0"/>
    <s v="CORRIENTE"/>
    <x v="3"/>
    <n v="510105"/>
    <s v="REMUNERACIONES UNIFICADAS"/>
    <n v="589080"/>
    <n v="597282.6"/>
    <n v="49090"/>
    <n v="49090"/>
    <n v="49090"/>
    <n v="49090"/>
    <n v="49090"/>
    <n v="49090"/>
    <n v="49090"/>
    <n v="49090"/>
    <n v="49090"/>
    <n v="49090"/>
    <n v="49090"/>
    <n v="57292.6"/>
    <n v="597282.6"/>
    <s v="OK"/>
    <n v="0"/>
    <n v="597282.6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7"/>
    <s v="OPERACIONES"/>
    <s v="CANCELACIÓN DE REMUNERACIONES Y BENEFICIOS SOCIALES"/>
    <n v="1"/>
    <x v="3"/>
    <n v="55"/>
    <n v="0"/>
    <s v="002"/>
    <n v="1200"/>
    <s v="BABAHOYO"/>
    <n v="1"/>
    <n v="0"/>
    <n v="0"/>
    <s v="CORRIENTE"/>
    <x v="3"/>
    <n v="510203"/>
    <s v="DÉCIMO TERCER SUELDO"/>
    <n v="56899"/>
    <n v="57448.74"/>
    <n v="0"/>
    <n v="0"/>
    <n v="0"/>
    <n v="0"/>
    <n v="0"/>
    <n v="0"/>
    <n v="0"/>
    <n v="0"/>
    <n v="0"/>
    <n v="0"/>
    <n v="0"/>
    <n v="57448.74"/>
    <n v="57448.74"/>
    <s v="OK"/>
    <n v="0"/>
    <n v="57448.74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7"/>
    <s v="OPERACIONES"/>
    <s v="CANCELACIÓN DE REMUNERACIONES Y BENEFICIOS SOCIALES"/>
    <n v="1"/>
    <x v="3"/>
    <n v="55"/>
    <n v="0"/>
    <s v="002"/>
    <n v="1200"/>
    <s v="BABAHOYO"/>
    <n v="1"/>
    <n v="0"/>
    <n v="0"/>
    <s v="CORRIENTE"/>
    <x v="3"/>
    <n v="510204"/>
    <s v="DÉCIMO CUARTO SUELDO"/>
    <n v="31950"/>
    <n v="30483.22"/>
    <n v="0"/>
    <n v="0"/>
    <n v="0"/>
    <n v="30483.22"/>
    <n v="0"/>
    <n v="0"/>
    <n v="0"/>
    <n v="0"/>
    <n v="0"/>
    <n v="0"/>
    <n v="0"/>
    <n v="0"/>
    <n v="30483.22"/>
    <s v="OK"/>
    <n v="0"/>
    <n v="30483.22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7"/>
    <s v="OPERACIONES"/>
    <s v="CANCELACIÓN DE REMUNERACIONES Y BENEFICIOS SOCIALES"/>
    <n v="1"/>
    <x v="3"/>
    <n v="55"/>
    <n v="0"/>
    <s v="002"/>
    <n v="1200"/>
    <s v="BABAHOYO"/>
    <n v="1"/>
    <n v="0"/>
    <n v="0"/>
    <s v="CORRIENTE"/>
    <x v="3"/>
    <n v="510510"/>
    <s v="SERVICIOS PERSONALES POR CONTRATO"/>
    <n v="93708"/>
    <n v="93708"/>
    <n v="7809"/>
    <n v="7809"/>
    <n v="7809"/>
    <n v="7809"/>
    <n v="7809"/>
    <n v="7809"/>
    <n v="7809"/>
    <n v="7809"/>
    <n v="7809"/>
    <n v="7809"/>
    <n v="7809"/>
    <n v="7809"/>
    <n v="93708"/>
    <s v="OK"/>
    <n v="0"/>
    <n v="93708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7"/>
    <s v="OPERACIONES"/>
    <s v="SUBROGACIÓN"/>
    <n v="1"/>
    <x v="3"/>
    <n v="55"/>
    <n v="0"/>
    <n v="2"/>
    <n v="1200"/>
    <s v="BABAHOYO"/>
    <n v="1"/>
    <n v="0"/>
    <n v="0"/>
    <s v="CORRIENTE"/>
    <x v="3"/>
    <n v="510512"/>
    <s v="SUBROGACIÓN "/>
    <n v="0"/>
    <n v="671"/>
    <n v="0"/>
    <n v="0"/>
    <n v="0"/>
    <n v="231"/>
    <n v="0"/>
    <n v="440"/>
    <n v="0"/>
    <n v="0"/>
    <n v="0"/>
    <n v="0"/>
    <n v="0"/>
    <n v="0"/>
    <n v="671"/>
    <s v="OK"/>
    <n v="0"/>
    <n v="671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7"/>
    <s v="OPERACIONES"/>
    <s v="ENCARGOS"/>
    <n v="1"/>
    <x v="3"/>
    <n v="55"/>
    <n v="0"/>
    <n v="2"/>
    <n v="1200"/>
    <s v="BABAHOYO"/>
    <n v="1"/>
    <n v="0"/>
    <n v="0"/>
    <s v="CORRIENTE"/>
    <x v="3"/>
    <n v="510513"/>
    <s v="ENCARGOS"/>
    <n v="0"/>
    <n v="75"/>
    <n v="0"/>
    <n v="0"/>
    <n v="0"/>
    <n v="0"/>
    <n v="0"/>
    <n v="75"/>
    <n v="0"/>
    <n v="0"/>
    <n v="0"/>
    <n v="0"/>
    <n v="0"/>
    <n v="0"/>
    <n v="75"/>
    <s v="OK"/>
    <n v="0"/>
    <n v="75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7"/>
    <s v="OPERACIONES"/>
    <s v="CANCELACIÓN DE REMUNERACIONES Y BENEFICIOS SOCIALES"/>
    <n v="1"/>
    <x v="3"/>
    <n v="55"/>
    <n v="0"/>
    <s v="002"/>
    <n v="1200"/>
    <s v="BABAHOYO"/>
    <n v="1"/>
    <n v="0"/>
    <n v="0"/>
    <s v="CORRIENTE"/>
    <x v="3"/>
    <n v="510601"/>
    <s v="APORTE PATRONAL"/>
    <n v="65890"/>
    <n v="66048.27"/>
    <n v="5490"/>
    <n v="5490"/>
    <n v="5491"/>
    <n v="5491"/>
    <n v="5491"/>
    <n v="5491"/>
    <n v="5491"/>
    <n v="5491"/>
    <n v="5491"/>
    <n v="5491"/>
    <n v="5491"/>
    <n v="5649.27"/>
    <n v="66048.27"/>
    <s v="OK"/>
    <n v="0"/>
    <n v="66048.27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7"/>
    <s v="OPERACIONES"/>
    <s v="CANCELACIÓN DE REMUNERACIONES Y BENEFICIOS SOCIALES"/>
    <n v="1"/>
    <x v="3"/>
    <n v="55"/>
    <n v="0"/>
    <s v="002"/>
    <n v="1200"/>
    <s v="BABAHOYO"/>
    <n v="1"/>
    <n v="0"/>
    <n v="0"/>
    <s v="CORRIENTE"/>
    <x v="3"/>
    <n v="510602"/>
    <s v="FONDO DE RESERVA"/>
    <n v="56877"/>
    <n v="53367.46"/>
    <n v="4740"/>
    <n v="4740"/>
    <n v="4740"/>
    <n v="4740"/>
    <n v="4740"/>
    <n v="4740"/>
    <n v="4740"/>
    <n v="4740"/>
    <n v="4740"/>
    <n v="4739"/>
    <n v="4739"/>
    <n v="1229.46"/>
    <n v="53367.46"/>
    <s v="OK"/>
    <n v="0"/>
    <n v="53367.46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7"/>
    <s v="OPERACIONES"/>
    <s v="COMPENSACIÓN POR VACACIONES NO GOZADAS POR CESASIÓN DE FUNCIONES"/>
    <n v="1"/>
    <x v="3"/>
    <n v="55"/>
    <n v="0"/>
    <n v="2"/>
    <n v="1200"/>
    <s v="BABAHOYO"/>
    <n v="1"/>
    <n v="0"/>
    <n v="0"/>
    <s v="CORRIENTE"/>
    <x v="3"/>
    <n v="510707"/>
    <s v="COMPENSACIÓN POR VACACIONES NO GOZADAS POR CESACIÓN DE FUNCIONES"/>
    <n v="0"/>
    <n v="200"/>
    <n v="0"/>
    <n v="0"/>
    <n v="0"/>
    <n v="0"/>
    <n v="0"/>
    <n v="0"/>
    <n v="200"/>
    <n v="0"/>
    <n v="0"/>
    <n v="0"/>
    <n v="0"/>
    <n v="0"/>
    <n v="200"/>
    <s v="OK"/>
    <n v="0"/>
    <n v="20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7"/>
    <s v="OPERACIONES"/>
    <s v="OBLIGACIONES DE EJERCICIOS ANTERIORES POR EGRESOS DE PERSONAL"/>
    <n v="1"/>
    <x v="3"/>
    <n v="55"/>
    <n v="0"/>
    <n v="2"/>
    <n v="1200"/>
    <s v="BABAHOYO"/>
    <n v="1"/>
    <n v="0"/>
    <n v="0"/>
    <s v="CORRIENTE"/>
    <x v="4"/>
    <n v="990101"/>
    <s v="OBLIGACIONES DE EJERCICIOS ANTERIORES POR EGRESOS DE PERSONAL"/>
    <n v="0"/>
    <n v="120068.17"/>
    <n v="0"/>
    <n v="0"/>
    <n v="0"/>
    <n v="31300"/>
    <n v="0"/>
    <n v="29520.98"/>
    <n v="8058.22"/>
    <n v="0"/>
    <n v="5600"/>
    <n v="0"/>
    <n v="45588.97"/>
    <n v="0"/>
    <n v="120068.17"/>
    <s v="OK"/>
    <n v="74479.199999999997"/>
    <n v="45588.97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2"/>
    <s v="TECNOLOGÍA"/>
    <s v="CANCELACIÓN DE REMUNERACIONES Y BENEFICIOS SOCIALES"/>
    <n v="1"/>
    <x v="3"/>
    <n v="55"/>
    <n v="0"/>
    <s v="003"/>
    <n v="1200"/>
    <s v="BABAHOYO"/>
    <n v="1"/>
    <n v="0"/>
    <n v="0"/>
    <s v="CORRIENTE"/>
    <x v="3"/>
    <n v="510105"/>
    <s v="REMUNERACIONES UNIFICADAS"/>
    <n v="49200"/>
    <n v="49200"/>
    <n v="4100"/>
    <n v="4100"/>
    <n v="4100"/>
    <n v="4100"/>
    <n v="4100"/>
    <n v="4100"/>
    <n v="4100"/>
    <n v="4100"/>
    <n v="4100"/>
    <n v="4100"/>
    <n v="4100"/>
    <n v="4100"/>
    <n v="49200"/>
    <s v="OK"/>
    <n v="0"/>
    <n v="4920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2"/>
    <s v="TECNOLOGÍA"/>
    <s v="CANCELACIÓN DE REMUNERACIONES Y BENEFICIOS SOCIALES"/>
    <n v="1"/>
    <x v="3"/>
    <n v="55"/>
    <n v="0"/>
    <s v="003"/>
    <n v="1200"/>
    <s v="BABAHOYO"/>
    <n v="1"/>
    <n v="0"/>
    <n v="0"/>
    <s v="CORRIENTE"/>
    <x v="3"/>
    <n v="510203"/>
    <s v="DÉCIMO TERCER SUELDO"/>
    <n v="4100"/>
    <n v="4100"/>
    <n v="0"/>
    <n v="0"/>
    <n v="0"/>
    <n v="0"/>
    <n v="0"/>
    <n v="0"/>
    <n v="0"/>
    <n v="0"/>
    <n v="0"/>
    <n v="0"/>
    <n v="0"/>
    <n v="4100"/>
    <n v="4100"/>
    <s v="OK"/>
    <n v="0"/>
    <n v="410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2"/>
    <s v="TECNOLOGÍA"/>
    <s v="CANCELACIÓN DE REMUNERACIONES Y BENEFICIOS SOCIALES"/>
    <n v="1"/>
    <x v="3"/>
    <n v="55"/>
    <n v="0"/>
    <s v="003"/>
    <n v="1200"/>
    <s v="BABAHOYO"/>
    <n v="1"/>
    <n v="0"/>
    <n v="0"/>
    <s v="CORRIENTE"/>
    <x v="3"/>
    <n v="510204"/>
    <s v="DÉCIMO CUARTO SUELDO"/>
    <n v="1350"/>
    <n v="1350"/>
    <n v="0"/>
    <n v="0"/>
    <n v="0"/>
    <n v="1350"/>
    <n v="0"/>
    <n v="0"/>
    <n v="0"/>
    <n v="0"/>
    <n v="0"/>
    <n v="0"/>
    <n v="0"/>
    <n v="0"/>
    <n v="1350"/>
    <s v="OK"/>
    <n v="0"/>
    <n v="135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2"/>
    <s v="TECNOLOGÍA"/>
    <s v="SUBROGACIÓN"/>
    <n v="1"/>
    <x v="3"/>
    <n v="55"/>
    <n v="0"/>
    <n v="3"/>
    <n v="1200"/>
    <s v="BABAHOYO"/>
    <n v="1"/>
    <n v="0"/>
    <n v="0"/>
    <s v="CORRIENTE"/>
    <x v="3"/>
    <n v="510512"/>
    <s v="SUBROGACIÓN "/>
    <n v="0"/>
    <n v="164"/>
    <n v="0"/>
    <n v="0"/>
    <n v="0"/>
    <n v="0"/>
    <n v="0"/>
    <n v="0"/>
    <n v="0"/>
    <n v="0"/>
    <n v="164"/>
    <n v="0"/>
    <n v="0"/>
    <n v="0"/>
    <n v="164"/>
    <s v="OK"/>
    <n v="0"/>
    <n v="164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2"/>
    <s v="TECNOLOGÍA"/>
    <s v="CANCELACIÓN DE REMUNERACIONES Y BENEFICIOS SOCIALES"/>
    <n v="1"/>
    <x v="3"/>
    <n v="55"/>
    <n v="0"/>
    <s v="003"/>
    <n v="1200"/>
    <s v="BABAHOYO"/>
    <n v="1"/>
    <n v="0"/>
    <n v="0"/>
    <s v="CORRIENTE"/>
    <x v="3"/>
    <n v="510601"/>
    <s v="APORTE PATRONAL"/>
    <n v="4748"/>
    <n v="4748.8"/>
    <n v="395"/>
    <n v="395"/>
    <n v="395"/>
    <n v="396"/>
    <n v="395"/>
    <n v="396"/>
    <n v="396"/>
    <n v="396"/>
    <n v="396"/>
    <n v="396"/>
    <n v="396"/>
    <n v="396.8"/>
    <n v="4748.8"/>
    <s v="OK"/>
    <n v="0"/>
    <n v="4748.8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2"/>
    <s v="TECNOLOGÍA"/>
    <s v="CANCELACIÓN DE REMUNERACIONES Y BENEFICIOS SOCIALES"/>
    <n v="1"/>
    <x v="3"/>
    <n v="55"/>
    <n v="0"/>
    <s v="003"/>
    <n v="1200"/>
    <s v="BABAHOYO"/>
    <n v="1"/>
    <n v="0"/>
    <n v="0"/>
    <s v="CORRIENTE"/>
    <x v="3"/>
    <n v="510602"/>
    <s v="FONDO DE RESERVA"/>
    <n v="4099"/>
    <n v="4099.7299999999996"/>
    <n v="341"/>
    <n v="341"/>
    <n v="341"/>
    <n v="341"/>
    <n v="341"/>
    <n v="342"/>
    <n v="342"/>
    <n v="342"/>
    <n v="342"/>
    <n v="342"/>
    <n v="342"/>
    <n v="342.73"/>
    <n v="4099.7299999999996"/>
    <s v="OK"/>
    <n v="0"/>
    <n v="4099.7299999999996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0"/>
    <s v="ADMINISTRACIÓN CENTRAL"/>
    <s v="PAGO MENSUAL POR SUMINISTRO DE AGUA POTABLE PARA EL CENTRO OPERATIVO LOCAL ECU 911 BABAHOYO"/>
    <n v="1"/>
    <x v="3"/>
    <n v="1"/>
    <n v="0"/>
    <n v="1"/>
    <n v="1201"/>
    <s v="BABAHOYO"/>
    <n v="1"/>
    <n v="0"/>
    <n v="0"/>
    <s v="CORRIENTE"/>
    <x v="0"/>
    <n v="530101"/>
    <s v="AGUA POTABLE"/>
    <n v="240"/>
    <n v="940"/>
    <n v="0"/>
    <n v="40"/>
    <n v="20"/>
    <n v="20"/>
    <n v="20"/>
    <n v="140"/>
    <n v="140"/>
    <n v="140"/>
    <n v="120"/>
    <n v="100"/>
    <n v="100"/>
    <n v="100"/>
    <n v="940"/>
    <s v="OK"/>
    <n v="94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0"/>
    <s v="ADMINISTRACIÓN CENTRAL"/>
    <s v="PAGO MENSUAL POR SUMINISTRO DE AGUA POTABLE PARA EL CENTRO OPERATIVO PARA LA SALA OPERATIVA ECU 911 QUEVEDO"/>
    <n v="1"/>
    <x v="3"/>
    <n v="1"/>
    <n v="0"/>
    <n v="1"/>
    <n v="1201"/>
    <s v="BABAHOYO"/>
    <n v="1"/>
    <n v="0"/>
    <n v="0"/>
    <s v="CORRIENTE"/>
    <x v="0"/>
    <n v="530101"/>
    <s v="AGUA POTABLE"/>
    <n v="600"/>
    <n v="0"/>
    <n v="0"/>
    <n v="0"/>
    <n v="0"/>
    <n v="0"/>
    <n v="0"/>
    <n v="0"/>
    <n v="0"/>
    <n v="0"/>
    <n v="0"/>
    <n v="0"/>
    <n v="0"/>
    <n v="0"/>
    <n v="0"/>
    <s v="OK"/>
    <n v="0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0"/>
    <s v="ADMINISTRACIÓN CENTRAL"/>
    <s v="PAGO MENSUAL POR SUMINISTRO DE ENERGÍA ELÉCTRICA DEL CENTRO OPERATIVO LOCAL ECU 911 BABAHOYO"/>
    <n v="1"/>
    <x v="3"/>
    <n v="1"/>
    <n v="0"/>
    <n v="1"/>
    <n v="1201"/>
    <s v="BABAHOYO"/>
    <n v="1"/>
    <n v="0"/>
    <n v="0"/>
    <s v="CORRIENTE"/>
    <x v="0"/>
    <n v="530104"/>
    <s v="ENERGÍA ELÉCTRICA"/>
    <n v="60000"/>
    <n v="55720.78"/>
    <n v="0"/>
    <n v="5000"/>
    <n v="5000"/>
    <n v="4000"/>
    <n v="4000"/>
    <n v="4000"/>
    <n v="6000"/>
    <n v="6000"/>
    <n v="6000"/>
    <n v="5000"/>
    <n v="5000"/>
    <n v="5720.78"/>
    <n v="55720.78"/>
    <s v="OK"/>
    <n v="55720.780000000006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0"/>
    <s v="ADMINISTRACIÓN CENTRAL"/>
    <s v="PAGO MENSUAL POR SUMINISTRO DE ENERGÍA ELÉCTRICA DE LA SALA OPERATIVA ECU 911 GUARANDA"/>
    <n v="1"/>
    <x v="3"/>
    <n v="1"/>
    <n v="0"/>
    <n v="1"/>
    <n v="1201"/>
    <s v="BABAHOYO"/>
    <n v="1"/>
    <n v="0"/>
    <n v="0"/>
    <s v="CORRIENTE"/>
    <x v="0"/>
    <n v="530104"/>
    <s v="ENERGÍA ELÉCTRICA"/>
    <n v="3600"/>
    <n v="1817.17"/>
    <n v="0"/>
    <n v="170"/>
    <n v="170"/>
    <n v="170"/>
    <n v="170"/>
    <n v="170"/>
    <n v="170"/>
    <n v="170"/>
    <n v="170"/>
    <n v="170"/>
    <n v="170"/>
    <n v="117.17"/>
    <n v="1817.17"/>
    <s v="OK"/>
    <n v="1817.17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0"/>
    <s v="ADMINISTRACIÓN CENTRAL"/>
    <s v="PAGO MENSUAL POR SUMINISTRO DE ENERGÍA ELÉCTRICA DE LA SALA OPERATIVA ECU 911 QUEVEDO"/>
    <n v="1"/>
    <x v="3"/>
    <n v="1"/>
    <n v="0"/>
    <n v="1"/>
    <n v="1201"/>
    <s v="BABAHOYO"/>
    <n v="1"/>
    <n v="0"/>
    <n v="0"/>
    <s v="CORRIENTE"/>
    <x v="0"/>
    <n v="530104"/>
    <s v="ENERGÍA ELÉCTRICA"/>
    <n v="6000"/>
    <n v="2500"/>
    <n v="0"/>
    <n v="250"/>
    <n v="250"/>
    <n v="250"/>
    <n v="250"/>
    <n v="0"/>
    <n v="0"/>
    <n v="250"/>
    <n v="250"/>
    <n v="250"/>
    <n v="287.95"/>
    <n v="462.05"/>
    <n v="2500"/>
    <s v="OK"/>
    <n v="2500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0"/>
    <s v="ADMINISTRACIÓN CENTRAL"/>
    <s v="CONTRATACIÓN DEL SERVICIO DE TRANSPORTE OPERATIVO PARA PERSONAL DE ÁREA DE OPERACIONES DEL CENTRO OPERATIVO LOCAL ECU 911 BABAHOYO"/>
    <n v="1"/>
    <x v="3"/>
    <n v="1"/>
    <n v="0"/>
    <n v="1"/>
    <n v="1201"/>
    <s v="BABAHOYO"/>
    <n v="1"/>
    <n v="0"/>
    <n v="0"/>
    <s v="CORRIENTE"/>
    <x v="0"/>
    <n v="530201"/>
    <s v="TRANSPORTE DE PERSONAL"/>
    <n v="37200"/>
    <n v="35265.599999999999"/>
    <n v="0"/>
    <n v="3100"/>
    <n v="3100"/>
    <n v="3100"/>
    <n v="3100"/>
    <n v="3100"/>
    <n v="3100"/>
    <n v="3100"/>
    <n v="3100"/>
    <n v="3100"/>
    <n v="3100"/>
    <n v="4265.6000000000004"/>
    <n v="35265.599999999999"/>
    <s v="OK"/>
    <n v="35265.599999999999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0"/>
    <s v="ADMINISTRACIÓN CENTRAL"/>
    <s v="CONTRATACIÓN DEL SERVICIO DE VIGILANCIA, SEGURIDAD ARMADA Y SUPERVISADA, PARA CUSTODIAR Y PROTEGER EL PATRIMONIO INSTITUCIONAL DEL  CENTRO OPERATIVO  LOCAL  ECU 911 BABAHOYO"/>
    <n v="1"/>
    <x v="3"/>
    <n v="1"/>
    <n v="0"/>
    <n v="1"/>
    <n v="1201"/>
    <s v="BABAHOYO"/>
    <n v="1"/>
    <n v="0"/>
    <n v="0"/>
    <s v="CORRIENTE"/>
    <x v="0"/>
    <n v="530208"/>
    <s v="SERVICIO DE SEGURIDAD Y VIGILANCIA"/>
    <n v="0"/>
    <n v="80245.849999999991"/>
    <n v="0"/>
    <n v="7808.53"/>
    <n v="7808.53"/>
    <n v="6700"/>
    <n v="6700"/>
    <n v="6700"/>
    <n v="7808.53"/>
    <n v="7808.53"/>
    <n v="8808.5300000000007"/>
    <n v="8808.5300000000007"/>
    <n v="8808.5300000000007"/>
    <n v="2486.14"/>
    <n v="80245.849999999991"/>
    <s v="OK"/>
    <n v="80245.849999999991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0"/>
    <s v="ADMINISTRACIÓN CENTRAL"/>
    <s v="CONTRATACIÓN DEL SERVICIO DE VIGILANCIA, SEGURIDAD ARMADA Y SUPERVISADA, PARA CUSTODIAR Y PROTEGER EL PATRIMONIO INSTITUCIONAL DE LA SALA OPERATIVA ECU 911 QUEVEDO"/>
    <n v="1"/>
    <x v="3"/>
    <n v="1"/>
    <n v="0"/>
    <n v="1"/>
    <n v="1201"/>
    <s v="BABAHOYO"/>
    <n v="1"/>
    <n v="0"/>
    <n v="0"/>
    <s v="CORRIENTE"/>
    <x v="0"/>
    <n v="530208"/>
    <s v="SERVICIO DE SEGURIDAD Y VIGILANCIA"/>
    <n v="0"/>
    <n v="9069.33"/>
    <n v="0"/>
    <n v="0"/>
    <n v="0"/>
    <n v="0"/>
    <n v="0"/>
    <n v="0"/>
    <n v="0"/>
    <n v="0"/>
    <n v="0"/>
    <n v="0"/>
    <n v="4550"/>
    <n v="4519.33"/>
    <n v="9069.33"/>
    <s v="OK"/>
    <n v="9069.33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0"/>
    <s v="ADMINISTRACIÓN CENTRAL"/>
    <s v="CONTRATACIÓN DEL SERVICIO DE LIMPIEZA DE INTERIORES Y EXTERIORES TIPO III PARA EL CENTRO OPERATIVO LOCAL ECU 911 BABAHOYO"/>
    <n v="1"/>
    <x v="3"/>
    <n v="1"/>
    <n v="0"/>
    <n v="1"/>
    <n v="1201"/>
    <s v="BABAHOYO"/>
    <n v="1"/>
    <n v="0"/>
    <n v="0"/>
    <s v="CORRIENTE"/>
    <x v="0"/>
    <n v="530209"/>
    <s v="SERVICIOS DE ASEO, LAVADO DE VESTIMENTA DE TRABAJO, FUMIGACIÓN, DESINFECCIÓN, LIMPIEZA DE INSTALACIONES, MANEJO DE DESECHOS CONTAMINADOS, RECUPERACIÓN Y CLASIFICACIÓN DE MATERIALES RECICLABLES"/>
    <n v="69750"/>
    <n v="69660"/>
    <n v="0"/>
    <n v="6340"/>
    <n v="6340"/>
    <n v="5672.54"/>
    <n v="5672.54"/>
    <n v="6460.04"/>
    <n v="6460.04"/>
    <n v="6460.04"/>
    <n v="6460.04"/>
    <n v="6460.04"/>
    <n v="6460.04"/>
    <n v="6874.68"/>
    <n v="69660"/>
    <s v="OK"/>
    <n v="6966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0"/>
    <s v="ADMINISTRACIÓN CENTRAL"/>
    <s v="CONTRATACIÓN DEL SERVICIO DE LIMPIEZA DE INTERIORES Y EXTERIORES TIPO III PARA  LA  SALA OPERATIVA ECU 911 QUEVEDO"/>
    <n v="1"/>
    <x v="3"/>
    <n v="1"/>
    <n v="0"/>
    <n v="1"/>
    <n v="1201"/>
    <s v="BABAHOYO"/>
    <n v="1"/>
    <n v="0"/>
    <n v="0"/>
    <s v="CORRIENTE"/>
    <x v="0"/>
    <n v="530209"/>
    <s v="SERVICIOS DE ASEO, LAVADO DE VESTIMENTA DE TRABAJO, FUMIGACIÓN, DESINFECCIÓN, LIMPIEZA DE INSTALACIONES, MANEJO DE DESECHOS CONTAMINADOS, RECUPERACIÓN Y CLASIFICACIÓN DE MATERIALES RECICLABLES"/>
    <n v="11400"/>
    <n v="13932"/>
    <n v="0"/>
    <n v="1935.77"/>
    <n v="1935.77"/>
    <n v="1200"/>
    <n v="1200"/>
    <n v="1200"/>
    <n v="1200"/>
    <n v="1200"/>
    <n v="1200"/>
    <n v="1200"/>
    <n v="1200"/>
    <n v="460.46"/>
    <n v="13932"/>
    <s v="OK"/>
    <n v="13932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0"/>
    <s v="ADMINISTRACIÓN CENTRAL"/>
    <s v="CONTRATACIÓN DEL SERVICIO DE ABASTECIMIENTO DE COMBUSTIBLE PARA LOS GENERADORES Y VEHÍCULOS INSTITUCIONALES DEL CENTRO OPERATIVO LOCAL ECU 911 BABAHOYO"/>
    <n v="1"/>
    <x v="3"/>
    <n v="1"/>
    <n v="0"/>
    <n v="1"/>
    <n v="1201"/>
    <s v="BABAHOYO"/>
    <n v="1"/>
    <n v="0"/>
    <n v="0"/>
    <s v="CORRIENTE"/>
    <x v="0"/>
    <n v="530255"/>
    <s v="COMBUSTIBLES"/>
    <n v="0"/>
    <n v="4107.1499999999996"/>
    <n v="0"/>
    <n v="0"/>
    <n v="4107.1499999999996"/>
    <n v="0"/>
    <n v="0"/>
    <n v="0"/>
    <n v="0"/>
    <n v="0"/>
    <n v="0"/>
    <n v="0"/>
    <n v="0"/>
    <n v="0"/>
    <n v="4107.1499999999996"/>
    <s v="OK"/>
    <n v="4107.1499999999996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0"/>
    <s v="ADMINISTRACIÓN CENTRAL"/>
    <s v="REEMBOLSO POR ADQUISICIÓN DE PASAJES EN CUMPLIMIENTO DE COMISIÓN DE SERVICIO INSTITUCIONALES DEL CENTRO OPERATIVO LOCAL ECU 911 BABAHOYO"/>
    <n v="2"/>
    <x v="3"/>
    <n v="1"/>
    <n v="0"/>
    <n v="1"/>
    <n v="1201"/>
    <s v="BABAHOYO"/>
    <n v="1"/>
    <n v="0"/>
    <n v="0"/>
    <s v="CORRIENTE"/>
    <x v="0"/>
    <n v="530301"/>
    <s v="PASAJES AL INTERIOR"/>
    <n v="100"/>
    <n v="200"/>
    <n v="0"/>
    <n v="0"/>
    <n v="0"/>
    <n v="20"/>
    <n v="0"/>
    <n v="80"/>
    <n v="0"/>
    <n v="0"/>
    <n v="0"/>
    <n v="80"/>
    <n v="0"/>
    <n v="20"/>
    <n v="200"/>
    <s v="OK"/>
    <n v="20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0"/>
    <s v="ADMINISTRACIÓN CENTRAL"/>
    <s v="PAGO POR VIÁTICOS Y SUBSISTENCIAS EN EL INTERIOR EFECTUADAS POR FUNCIONARIOS DEL CENTRO OPERATIVO LOCAL ECU 911 BABAHOYO"/>
    <n v="1"/>
    <x v="3"/>
    <n v="1"/>
    <n v="0"/>
    <n v="1"/>
    <n v="1201"/>
    <s v="BABAHOYO"/>
    <n v="1"/>
    <n v="0"/>
    <n v="0"/>
    <s v="CORRIENTE"/>
    <x v="0"/>
    <n v="530303"/>
    <s v="VIÁTICOS Y SUBSISTENCIAS EN EL INTERIOR"/>
    <n v="2000"/>
    <n v="7582.8300000000008"/>
    <n v="0"/>
    <n v="0"/>
    <n v="0"/>
    <n v="525"/>
    <n v="0"/>
    <n v="500"/>
    <n v="0"/>
    <n v="808.33"/>
    <n v="579.46"/>
    <n v="1657.52"/>
    <n v="1855"/>
    <n v="1657.52"/>
    <n v="7582.83"/>
    <s v="OK"/>
    <n v="7158.83"/>
    <n v="424.00000000000091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0"/>
    <s v="ADMINISTRACIÓN CENTRAL"/>
    <s v="SERVICIO DE ADECUACIONES Y MANTENIMIENTO DE INFRAESTRUCTURA DEL CENTRO OPERATIVO LOCAL ECU 911 BABAHOYO Y DE SUS SALAS OPERATIVAS ECU 911 QUEVEDO Y SALA OPERATIVA ECU 911 GUARANDA"/>
    <n v="1"/>
    <x v="3"/>
    <n v="1"/>
    <n v="0"/>
    <n v="1"/>
    <n v="1201"/>
    <s v="BABAHOYO"/>
    <n v="1"/>
    <n v="0"/>
    <n v="0"/>
    <s v="CORRIENTE"/>
    <x v="0"/>
    <n v="530402"/>
    <s v="EDIFICIOS, LOCALES, RESIDENCIAS Y CABLEADO ESTRUCTURADO (INSTALACIÓN, MANTENIMIENTO Y REPARACIÓN)"/>
    <n v="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0"/>
    <s v="ADMINISTRACIÓN CENTRAL"/>
    <s v="SERVICIO DE FABRICACIÓN E INSTALACIÓN DE PUERTAS DE SEGURIDAD Y REJAS METÁLICAS PARA LAS INSTALACIONES DEL CENTRO OPERATIVO LOCAL ECU 911 BABAHOYO Y SALA OPERATIVA ECU 911 QUEVEDO"/>
    <n v="1"/>
    <x v="3"/>
    <n v="1"/>
    <n v="0"/>
    <n v="1"/>
    <n v="1201"/>
    <s v="BABAHOYO"/>
    <n v="1"/>
    <n v="0"/>
    <n v="0"/>
    <s v="CORRIENTE"/>
    <x v="0"/>
    <n v="530402"/>
    <s v="EDIFICIOS, LOCALES, RESIDENCIAS Y CABLEADO ESTRUCTURADO (INSTALACIÓN, MANTENIMIENTO Y REPARACIÓN)"/>
    <n v="0"/>
    <n v="4110"/>
    <n v="0"/>
    <n v="0"/>
    <n v="0"/>
    <n v="0"/>
    <n v="0"/>
    <n v="0"/>
    <n v="0"/>
    <n v="0"/>
    <n v="0"/>
    <n v="4110"/>
    <n v="0"/>
    <n v="0"/>
    <n v="4110"/>
    <s v="OK"/>
    <n v="411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0"/>
    <s v="ADMINISTRACIÓN CENTRAL"/>
    <s v="REEMBOLSO DE CAJA CHICA DEL CENTRO OPERATIVO LOCAL BABAHOYO"/>
    <n v="2"/>
    <x v="3"/>
    <n v="1"/>
    <n v="0"/>
    <n v="1"/>
    <n v="1201"/>
    <s v="BABAHOYO"/>
    <n v="1"/>
    <n v="0"/>
    <n v="0"/>
    <s v="CORRIENTE"/>
    <x v="0"/>
    <n v="530402"/>
    <s v="EDIFICIOS, LOCALES, RESIDENCIAS Y CABLEADO ESTRUCTURADO (INSTALACIÓN, MANTENIMIENTO Y REPARACIÓN)"/>
    <n v="0"/>
    <n v="400"/>
    <n v="0"/>
    <n v="0"/>
    <n v="0"/>
    <n v="0"/>
    <n v="0"/>
    <n v="0"/>
    <n v="0"/>
    <n v="0"/>
    <n v="200"/>
    <n v="200"/>
    <n v="0"/>
    <n v="0"/>
    <n v="400"/>
    <s v="OK"/>
    <n v="194.64"/>
    <n v="205.36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0"/>
    <s v="ADMINISTRACIÓN CENTRAL"/>
    <s v="CONTRATACIÓN DEL SERVICIO DE MANTENIMIENTO DE MOBILIARIOS DEL CENTRO OPERATIVO LOCAL ECU 911 BABAHOYO Y DE SUS SALAS OPERATIVAS ECU 911 GUARANDA Y ECU 911 QUEVEDO"/>
    <n v="2"/>
    <x v="3"/>
    <n v="1"/>
    <n v="0"/>
    <n v="1"/>
    <n v="1201"/>
    <s v="BABAHOYO"/>
    <n v="1"/>
    <n v="0"/>
    <n v="0"/>
    <s v="CORRIENTE"/>
    <x v="0"/>
    <n v="530403"/>
    <s v="MOBILIARIOS (INSTALACIÓN, MANTENIMIENTO Y REPARACIÓN)"/>
    <n v="4465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0"/>
    <s v="ADMINISTRACIÓN CENTRAL"/>
    <s v="LIQUIDACIÓN DE CAJA CHICA DEL CENTRO BABAHOYO DE PERIODOS ANTERIORES"/>
    <n v="2"/>
    <x v="3"/>
    <n v="1"/>
    <n v="0"/>
    <n v="1"/>
    <n v="1201"/>
    <s v="BABAHOYO"/>
    <n v="1"/>
    <n v="0"/>
    <n v="0"/>
    <s v="CORRIENTE"/>
    <x v="0"/>
    <n v="530403"/>
    <s v="MOBILIARIOS (INSTALACIÓN, MANTENIMIENTO Y REPARACIÓN)"/>
    <n v="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0"/>
    <s v="ADMINISTRACIÓN CENTRAL"/>
    <s v="SERVICIO DE MANTENIMIENTO CORRECTIVO DEL EQUIPO DE CLIMATIZACIÓN TIPO VRF MULTI V III - UC 2 DEL CENTRO OPERATIVO LOCAL ECU 911 BABAHOYO"/>
    <n v="2"/>
    <x v="3"/>
    <n v="1"/>
    <n v="0"/>
    <n v="1"/>
    <n v="1201"/>
    <s v="BABAHOYO"/>
    <n v="1"/>
    <n v="0"/>
    <n v="0"/>
    <s v="CORRIENTE"/>
    <x v="0"/>
    <n v="530404"/>
    <s v="MAQUINARIAS Y EQUIPOS (INSTALACIÓN, MANTENIMIENTO Y REPARACIÓN)"/>
    <n v="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0"/>
    <s v="ADMINISTRACIÓN CENTRAL"/>
    <s v="CONTRATACIÓN DEL SERVICIO DE MANTENIMIENTO PREVENTIVO Y CORRECTIVO DE LOS VEHÍCULOS LIVIANOS Y PESADOS DEL CENTRO OPERATIVO LOCAL ECU 911 BABAHOYO"/>
    <n v="1"/>
    <x v="3"/>
    <n v="1"/>
    <n v="0"/>
    <n v="1"/>
    <n v="1201"/>
    <s v="BABAHOYO"/>
    <n v="1"/>
    <n v="0"/>
    <n v="0"/>
    <s v="CORRIENTE"/>
    <x v="0"/>
    <n v="530405"/>
    <s v="VEHÍCULOS (SERVICIO PARA MANTENIMIENTO Y REPARACIÓN)"/>
    <n v="6697"/>
    <n v="6300"/>
    <n v="0"/>
    <n v="0"/>
    <n v="669"/>
    <n v="669"/>
    <n v="669"/>
    <n v="669"/>
    <n v="669"/>
    <n v="669"/>
    <n v="669"/>
    <n v="669"/>
    <n v="669"/>
    <n v="279"/>
    <n v="6300"/>
    <s v="OK"/>
    <n v="630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0"/>
    <s v="ADMINISTRACIÓN CENTRAL"/>
    <s v="REEMBOLSO DE CAJA CHICA  DEL CENTRO OPERATIVO LOCAL BABAHOYO"/>
    <n v="2"/>
    <x v="3"/>
    <n v="1"/>
    <n v="0"/>
    <n v="1"/>
    <n v="1201"/>
    <s v="BABAHOYO"/>
    <n v="1"/>
    <n v="0"/>
    <n v="0"/>
    <s v="CORRIENTE"/>
    <x v="0"/>
    <n v="530405"/>
    <s v="VEHÍCULOS (SERVICIO PARA MANTENIMIENTO Y REPARACIÓN)"/>
    <n v="10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0"/>
    <s v="ADMINISTRACIÓN CENTRAL"/>
    <s v="LIQUIDACIÓN DE CAJA CHICA DEL CENTRO BABAHOYO DE PERIODOS ANTERIORES"/>
    <n v="2"/>
    <x v="3"/>
    <n v="1"/>
    <n v="0"/>
    <n v="1"/>
    <n v="1201"/>
    <s v="BABAHOYO"/>
    <n v="1"/>
    <n v="0"/>
    <n v="0"/>
    <s v="CORRIENTE"/>
    <x v="0"/>
    <n v="530405"/>
    <s v="VEHÍCULOS (SERVICIO PARA MANTENIMIENTO Y REPARACIÓN)"/>
    <n v="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0"/>
    <s v="ADMINISTRACIÓN CENTRAL"/>
    <s v="LIQUIDACIÓN DE CAJA CHICA DEL CENTRO BABAHOYO DE PERIODOS ANTERIORES"/>
    <n v="2"/>
    <x v="3"/>
    <n v="1"/>
    <n v="0"/>
    <n v="1"/>
    <n v="1201"/>
    <s v="BABAHOYO"/>
    <n v="1"/>
    <n v="0"/>
    <n v="0"/>
    <s v="CORRIENTE"/>
    <x v="0"/>
    <n v="530502"/>
    <s v="EDIFICIOS, LOCALES Y RESIDENCIAS, PARQUEADEROS, CASILLEROS JUDICIALES Y BANCARIOS (ARRENDAMIENTO)"/>
    <n v="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0"/>
    <s v="ADMINISTRACIÓN CENTRAL"/>
    <s v="PAGO POR HONORARIOS DETERMINADOS POR SENTENCIA JUDICIAL_x000a_"/>
    <n v="2"/>
    <x v="3"/>
    <n v="1"/>
    <n v="0"/>
    <n v="1"/>
    <n v="1201"/>
    <s v="BABAHOYO"/>
    <n v="1"/>
    <n v="0"/>
    <n v="0"/>
    <s v="CORRIENTE"/>
    <x v="0"/>
    <n v="530604"/>
    <s v="FISCALIZACIÓN E INSPECCIONES TÉCNICAS"/>
    <n v="0"/>
    <n v="1102.56"/>
    <n v="0"/>
    <n v="0"/>
    <n v="0"/>
    <n v="0"/>
    <n v="0"/>
    <n v="0"/>
    <n v="400"/>
    <n v="0"/>
    <n v="450"/>
    <n v="0"/>
    <n v="252.56"/>
    <n v="0"/>
    <n v="1102.56"/>
    <s v="OK"/>
    <n v="850"/>
    <n v="252.55999999999995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0"/>
    <s v="ADMINISTRACIÓN CENTRAL"/>
    <s v="CONTRATACIÓN DEL SERVICIO DE ABASTECIMIENTO DE COMBUSTIBLE PARA LOS GENERADORES Y VEHÍCULOS INSTITUCIONALES DEL CENTRO OPERATIVO LOCAL ECU 911 BABAHOYO"/>
    <n v="1"/>
    <x v="3"/>
    <n v="1"/>
    <n v="0"/>
    <n v="1"/>
    <n v="1201"/>
    <s v="BABAHOYO"/>
    <n v="1"/>
    <n v="0"/>
    <n v="0"/>
    <s v="CORRIENTE"/>
    <x v="0"/>
    <n v="530803"/>
    <s v="LUBRICANTES"/>
    <n v="4108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0"/>
    <s v="ADMINISTRACIÓN CENTRAL"/>
    <s v="ADQUISICIÓN DE SUMINISTROS DE OFICINA PARA EL CENTRO OPERATIVO LOCAL ECU 911 BABAHOYO Y DE SUS SALAS OPERATIVAS ECU 911 GUARANDA Y ECU 911 QUEVEDO"/>
    <n v="2"/>
    <x v="3"/>
    <n v="1"/>
    <n v="0"/>
    <n v="1"/>
    <n v="1201"/>
    <s v="BABAHOYO"/>
    <n v="1"/>
    <n v="0"/>
    <n v="0"/>
    <s v="CORRIENTE"/>
    <x v="0"/>
    <n v="530804"/>
    <s v="MATERIALES DE OFICINA"/>
    <n v="893"/>
    <n v="808.42"/>
    <n v="0"/>
    <n v="0"/>
    <n v="0"/>
    <n v="0"/>
    <n v="808.42"/>
    <n v="0"/>
    <n v="0"/>
    <n v="0"/>
    <n v="0"/>
    <n v="0"/>
    <n v="0"/>
    <n v="0"/>
    <n v="808.42"/>
    <s v="OK"/>
    <n v="808.42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0"/>
    <s v="ADMINISTRACIÓN CENTRAL"/>
    <s v="LIQUIDACIÓN DE CAJA CHICA DEL CENTRO BABAHOYO DE PERIODOS ANTERIORES"/>
    <n v="2"/>
    <x v="3"/>
    <n v="1"/>
    <n v="0"/>
    <n v="1"/>
    <n v="1201"/>
    <s v="BABAHOYO"/>
    <n v="1"/>
    <n v="0"/>
    <n v="0"/>
    <s v="CORRIENTE"/>
    <x v="0"/>
    <n v="530804"/>
    <s v="MATERIALES DE OFICINA"/>
    <n v="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0"/>
    <s v="ADMINISTRACIÓN CENTRAL"/>
    <s v="REEMBOLSO DE CAJA CHICA  DEL CENTRO OPERATIVO LOCAL BABAHOYO"/>
    <n v="2"/>
    <x v="3"/>
    <n v="1"/>
    <n v="0"/>
    <n v="1"/>
    <n v="1201"/>
    <s v="BABAHOYO"/>
    <n v="1"/>
    <n v="0"/>
    <n v="0"/>
    <s v="CORRIENTE"/>
    <x v="0"/>
    <n v="530811"/>
    <s v="INSUMOS, MATERIALES Y SUMINISTROS PARA CONSTRUCCIÓN, ELECTRICIDAD, PLOMERÍA, CARPINTERÍA, SEÑALIZACIÓN VIAL, NAVEGACIÓN, CONTRA INCENDIOS Y PLACAS"/>
    <n v="20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0"/>
    <s v="ADMINISTRACIÓN CENTRAL"/>
    <s v="ADQUISICIÓN DE MICROONDAS PARA EL CENTRO OPERATIVO LOCAL ECU 911 BABAHOYO Y SUS SALAS OPERATIVOAS  ECU 911 "/>
    <n v="1"/>
    <x v="3"/>
    <n v="1"/>
    <n v="0"/>
    <n v="1"/>
    <n v="1201"/>
    <s v="BABAHOYO"/>
    <n v="1"/>
    <n v="0"/>
    <n v="0"/>
    <s v="CORRIENTE"/>
    <x v="0"/>
    <n v="531404"/>
    <s v="MAQUINARIAS Y EQUIPOS"/>
    <n v="0"/>
    <n v="875.28"/>
    <n v="0"/>
    <n v="0"/>
    <n v="0"/>
    <n v="0"/>
    <n v="0"/>
    <n v="0"/>
    <n v="0"/>
    <n v="0"/>
    <n v="0"/>
    <n v="0"/>
    <n v="0"/>
    <n v="875.28"/>
    <n v="875.28"/>
    <s v="OK"/>
    <n v="0"/>
    <n v="875.28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0"/>
    <s v="ADMINISTRACIÓN CENTRAL"/>
    <s v="PAGO DE MATRÍCULA ANUAL DE VEHÍCULOS INSTITUCIONALES QUE FORMAN PARTE DEL PARQUE AUTOMOTOR DEL CENTRO OPERATIVO LOCAL ECU 911 BABAHOYO"/>
    <n v="1"/>
    <x v="3"/>
    <n v="1"/>
    <n v="0"/>
    <n v="1"/>
    <n v="1201"/>
    <s v="BABAHOYO"/>
    <n v="1"/>
    <n v="0"/>
    <n v="0"/>
    <s v="CORRIENTE"/>
    <x v="1"/>
    <n v="570102"/>
    <s v="TASAS GENERALES, IMPUESTOS, CONTRIBUCIONES, PERMISOS, LICENCIAS Y PATENTES"/>
    <n v="250"/>
    <n v="287.42"/>
    <n v="0"/>
    <n v="0"/>
    <n v="287.42"/>
    <n v="0"/>
    <n v="0"/>
    <n v="0"/>
    <n v="0"/>
    <n v="0"/>
    <n v="0"/>
    <n v="0"/>
    <n v="0"/>
    <n v="0"/>
    <n v="287.42"/>
    <s v="OK"/>
    <n v="287.42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0"/>
    <s v="ADMINISTRACIÓN CENTRAL"/>
    <s v="PAGO DE REVISIÓN TÉCNICA VEHICULAR ANUAL DE LOS VEHÍCULOS INSTITUCIONALES QUE FORMAN PARTE DEL PARQUE AUTOMOTOR DEL CENTRO OPERATIVO LOCAL ECU 911 BABAHOYO"/>
    <n v="1"/>
    <x v="3"/>
    <n v="1"/>
    <n v="0"/>
    <n v="1"/>
    <n v="1201"/>
    <s v="BABAHOYO"/>
    <n v="1"/>
    <n v="0"/>
    <n v="0"/>
    <s v="CORRIENTE"/>
    <x v="1"/>
    <n v="570102"/>
    <s v="TASAS GENERALES, IMPUESTOS, CONTRIBUCIONES, PERMISOS, LICENCIAS Y PATENTES"/>
    <n v="18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0"/>
    <s v="ADMINISTRACIÓN CENTRAL"/>
    <s v="PAGO DE TASA POR PERMISO DE FUNCIONAMIENTO ANUAL DEL CUERPO DE BOMBEROS DE LA SALA OPERATIVA ECU 911 QUEVEDO"/>
    <n v="1"/>
    <x v="3"/>
    <n v="1"/>
    <n v="0"/>
    <n v="1"/>
    <n v="1201"/>
    <s v="BABAHOYO"/>
    <n v="1"/>
    <n v="0"/>
    <n v="0"/>
    <s v="CORRIENTE"/>
    <x v="1"/>
    <n v="570102"/>
    <s v="TASAS GENERALES, IMPUESTOS, CONTRIBUCIONES, PERMISOS, LICENCIAS Y PATENTES"/>
    <n v="200"/>
    <n v="0"/>
    <n v="0"/>
    <n v="0"/>
    <n v="0"/>
    <n v="0"/>
    <n v="0"/>
    <n v="0"/>
    <n v="0"/>
    <n v="0"/>
    <n v="0"/>
    <n v="0"/>
    <n v="0"/>
    <n v="0"/>
    <n v="0"/>
    <s v="OK"/>
    <n v="0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0"/>
    <s v="ADMINISTRACIÓN CENTRAL"/>
    <s v="PAGO DE TASA POR PERMISO DE FUNCIONAMIENTO ANUAL DEL CUERPO DE BOMBEROS DEL CENTRO OPERATIVO LOCAL ECU 911 BABAHOYO"/>
    <n v="1"/>
    <x v="3"/>
    <n v="1"/>
    <n v="0"/>
    <n v="1"/>
    <n v="1201"/>
    <s v="BABAHOYO"/>
    <n v="1"/>
    <n v="0"/>
    <n v="0"/>
    <s v="CORRIENTE"/>
    <x v="1"/>
    <n v="570102"/>
    <s v="TASAS GENERALES, IMPUESTOS, CONTRIBUCIONES, PERMISOS, LICENCIAS Y PATENTES"/>
    <n v="200"/>
    <n v="281.93"/>
    <n v="0"/>
    <n v="0"/>
    <n v="281.93"/>
    <n v="0"/>
    <n v="0"/>
    <n v="0"/>
    <n v="0"/>
    <n v="0"/>
    <n v="0"/>
    <n v="0"/>
    <n v="0"/>
    <n v="0"/>
    <n v="281.93"/>
    <s v="OK"/>
    <n v="281.93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0"/>
    <s v="ADMINISTRACIÓN CENTRAL"/>
    <s v="PAGO DE TASA MUNICIPAL ADMINISTRATIVA ANUAL (PATENTES) DE LA SALA OPERATIVA ECU 911 QUEVEDO"/>
    <n v="1"/>
    <x v="3"/>
    <n v="1"/>
    <n v="0"/>
    <n v="1"/>
    <n v="1201"/>
    <s v="BABAHOYO"/>
    <n v="1"/>
    <n v="0"/>
    <n v="0"/>
    <s v="CORRIENTE"/>
    <x v="1"/>
    <n v="570102"/>
    <s v="TASAS GENERALES, IMPUESTOS, CONTRIBUCIONES, PERMISOS, LICENCIAS Y PATENTES"/>
    <n v="15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0"/>
    <s v="ADMINISTRACIÓN CENTRAL"/>
    <s v="PAGO DE TASA MUNICIPAL ADMINISTRATIVA ANUAL (SAD) DEL CENTRO OPERATIVO LOCAL ECU 911 BABAHOYO"/>
    <n v="1"/>
    <x v="3"/>
    <n v="1"/>
    <n v="0"/>
    <n v="1"/>
    <n v="1201"/>
    <s v="BABAHOYO"/>
    <n v="1"/>
    <n v="0"/>
    <n v="0"/>
    <s v="CORRIENTE"/>
    <x v="1"/>
    <n v="570102"/>
    <s v="TASAS GENERALES, IMPUESTOS, CONTRIBUCIONES, PERMISOS, LICENCIAS Y PATENTES"/>
    <n v="200"/>
    <n v="356.53"/>
    <n v="0"/>
    <n v="0"/>
    <n v="356.53"/>
    <n v="0"/>
    <n v="0"/>
    <n v="0"/>
    <n v="0"/>
    <n v="0"/>
    <n v="0"/>
    <n v="0"/>
    <n v="0"/>
    <n v="0"/>
    <n v="356.53"/>
    <s v="OK"/>
    <n v="356.53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0"/>
    <s v="ADMINISTRACIÓN CENTRAL"/>
    <s v="PAGO DE TASA POR PERMISO DE TRASLADO DE COMBUSTIBLE PARA EL CENTRO OPERATIVO LOCAL ECU 911 BABAHOYO"/>
    <n v="1"/>
    <x v="3"/>
    <n v="1"/>
    <n v="0"/>
    <n v="1"/>
    <n v="1201"/>
    <s v="BABAHOYO"/>
    <n v="1"/>
    <n v="0"/>
    <n v="0"/>
    <s v="CORRIENTE"/>
    <x v="1"/>
    <n v="570102"/>
    <s v="TASAS GENERALES, IMPUESTOS, CONTRIBUCIONES, PERMISOS, LICENCIAS Y PATENTES"/>
    <n v="0"/>
    <n v="35.090000000000003"/>
    <n v="0"/>
    <n v="0"/>
    <n v="35.090000000000003"/>
    <n v="0"/>
    <n v="0"/>
    <n v="0"/>
    <n v="0"/>
    <n v="0"/>
    <n v="0"/>
    <n v="0"/>
    <n v="0"/>
    <n v="0"/>
    <n v="35.090000000000003"/>
    <s v="OK"/>
    <n v="35.090000000000003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0"/>
    <s v="ADMINISTRACIÓN CENTRAL"/>
    <s v="PAGO POR REEMBOLSO DE PEAJES EN EL CUMPLIMIENTO DE COMISIONES DE SERVICIOS INSTITUCIONALES DEL CENTRO OPERATIVO LOCAL ECU 911 BABAHOYO"/>
    <n v="1"/>
    <x v="3"/>
    <n v="1"/>
    <n v="0"/>
    <n v="1"/>
    <n v="1201"/>
    <s v="BABAHOYO"/>
    <n v="1"/>
    <n v="0"/>
    <n v="0"/>
    <s v="CORRIENTE"/>
    <x v="1"/>
    <n v="570102"/>
    <s v="TASAS GENERALES, IMPUESTOS, CONTRIBUCIONES, PERMISOS, LICENCIAS Y PATENTES"/>
    <n v="0"/>
    <n v="80"/>
    <n v="0"/>
    <n v="0"/>
    <n v="0"/>
    <n v="0"/>
    <n v="10"/>
    <n v="10"/>
    <n v="10"/>
    <n v="10"/>
    <n v="10"/>
    <n v="10"/>
    <n v="10"/>
    <n v="10"/>
    <n v="80"/>
    <s v="OK"/>
    <n v="8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0"/>
    <s v="ADMINISTRACIÓN CENTRAL"/>
    <s v="SERVICIO DE RECARGA DE PEAJE DE VEHÍCULOS INSTITUCIONALES QUE FORMAN PARTE DEL PARQUE AUTOMOTOR DEL CENTRO OPERATIVO LOCAL ECU 911 BABAHOYO"/>
    <n v="1"/>
    <x v="3"/>
    <n v="1"/>
    <n v="0"/>
    <n v="1"/>
    <n v="1201"/>
    <s v="BABAHOYO"/>
    <n v="1"/>
    <n v="0"/>
    <n v="0"/>
    <s v="CORRIENTE"/>
    <x v="1"/>
    <n v="570102"/>
    <s v="TASAS GENERALES, IMPUESTOS, CONTRIBUCIONES, PERMISOS, LICENCIAS Y PATENTES"/>
    <n v="250"/>
    <n v="450"/>
    <n v="0"/>
    <n v="0"/>
    <n v="0"/>
    <n v="0"/>
    <n v="250"/>
    <n v="0"/>
    <n v="0"/>
    <n v="200"/>
    <n v="0"/>
    <n v="0"/>
    <n v="0"/>
    <n v="0"/>
    <n v="450"/>
    <s v="OK"/>
    <n v="45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0"/>
    <s v="ADMINISTRACIÓN CENTRAL"/>
    <s v="PAGO DE ESCRITURA PÚBLICA DE CONTRATO DE COMODATO ENTRE EL SIS ECU 911 Y EL GAD MUNICIPAL DEL CANTÓN QUEVEDO "/>
    <n v="1"/>
    <x v="3"/>
    <n v="1"/>
    <n v="0"/>
    <n v="1"/>
    <n v="1201"/>
    <s v="BABAHOYO"/>
    <n v="1"/>
    <n v="0"/>
    <n v="0"/>
    <s v="CORRIENTE"/>
    <x v="1"/>
    <n v="570206"/>
    <s v="COSTAS JUDICIALES, TRÁMITES NOTARIALES,  LEGALIZACIÓN DE DOCUMENTOS Y ARREGLOS EXTRAJUDICIALES"/>
    <n v="0"/>
    <n v="1000"/>
    <n v="0"/>
    <n v="0"/>
    <n v="0"/>
    <n v="0"/>
    <n v="0"/>
    <n v="0"/>
    <n v="0"/>
    <n v="0"/>
    <n v="0"/>
    <n v="0"/>
    <n v="1000"/>
    <n v="0"/>
    <n v="1000"/>
    <s v="OK"/>
    <n v="567.6"/>
    <n v="432.4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2"/>
    <s v="TECNOLOGÍA"/>
    <s v="PROVISIÓN DEL SERVICIO DE TELEFONÍA FIJA, ENLACES DE DATOS, INTERNET, SERVICIOS MÓVILES PDA Y BOTONES DE AUXILIO, Y ANTIVIRUS PARA LA COORDINACIÓN ZONAL 5 Y 8 DEL SERVICIO INTEGRADO DE SEGURIDAD ECU 911 CENTRO OPERATIVO LOCAL BABAHOYO"/>
    <n v="1"/>
    <x v="3"/>
    <n v="55"/>
    <n v="0"/>
    <n v="3"/>
    <n v="1201"/>
    <s v="BABAHOYO"/>
    <n v="1"/>
    <n v="0"/>
    <n v="0"/>
    <s v="CORRIENTE"/>
    <x v="0"/>
    <n v="530105"/>
    <s v="TELECOMUNICACIONES"/>
    <n v="209000"/>
    <n v="72724.680000000008"/>
    <n v="0"/>
    <n v="28553.96"/>
    <n v="17260"/>
    <n v="11837.9"/>
    <n v="9999.15"/>
    <n v="2577.86"/>
    <n v="1570.02"/>
    <n v="925.79"/>
    <n v="0"/>
    <n v="0"/>
    <n v="0"/>
    <n v="0"/>
    <n v="72724.679999999993"/>
    <s v="OK"/>
    <n v="72724.680000000022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0"/>
    <s v="ADMINISTRACIÓN CENTRAL"/>
    <s v="CANCELACIÓN DE REMUNERACIONES Y BENEFICIOS SOCIALES"/>
    <n v="1"/>
    <x v="3"/>
    <n v="1"/>
    <n v="0"/>
    <s v="001"/>
    <n v="2000"/>
    <s v="SAN CRISTÓBAL"/>
    <n v="1"/>
    <n v="0"/>
    <n v="0"/>
    <s v="CORRIENTE"/>
    <x v="3"/>
    <n v="510105"/>
    <s v="REMUNERACIONES UNIFICADAS"/>
    <n v="77328"/>
    <n v="73065.600000000006"/>
    <n v="6444"/>
    <n v="6444"/>
    <n v="6444"/>
    <n v="6444"/>
    <n v="6444"/>
    <n v="6444"/>
    <n v="6444"/>
    <n v="6444"/>
    <n v="6444"/>
    <n v="6444"/>
    <n v="6444"/>
    <n v="2181.6"/>
    <n v="73065.600000000006"/>
    <s v="OK"/>
    <n v="0"/>
    <n v="73065.600000000006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0"/>
    <s v="ADMINISTRACIÓN CENTRAL"/>
    <s v="CANCELACIÓN DE REMUNERACIONES Y BENEFICIOS SOCIALES"/>
    <n v="1"/>
    <x v="3"/>
    <n v="1"/>
    <n v="0"/>
    <s v="001"/>
    <n v="2000"/>
    <s v="SAN CRISTÓBAL"/>
    <n v="1"/>
    <n v="0"/>
    <n v="0"/>
    <s v="CORRIENTE"/>
    <x v="3"/>
    <n v="510106"/>
    <s v="SALARIOS UNIFICADOS"/>
    <n v="109920"/>
    <n v="109920"/>
    <n v="9160"/>
    <n v="9160"/>
    <n v="9160"/>
    <n v="9160"/>
    <n v="9160"/>
    <n v="9160"/>
    <n v="9160"/>
    <n v="9160"/>
    <n v="9160"/>
    <n v="9160"/>
    <n v="9160"/>
    <n v="9160"/>
    <n v="109920"/>
    <s v="OK"/>
    <n v="0"/>
    <n v="10992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0"/>
    <s v="ADMINISTRACIÓN CENTRAL"/>
    <s v="CANCELACIÓN DE REMUNERACIONES Y BENEFICIOS SOCIALES"/>
    <n v="1"/>
    <x v="3"/>
    <n v="1"/>
    <n v="0"/>
    <s v="001"/>
    <n v="2000"/>
    <s v="SAN CRISTÓBAL"/>
    <n v="1"/>
    <n v="0"/>
    <n v="0"/>
    <s v="CORRIENTE"/>
    <x v="3"/>
    <n v="510203"/>
    <s v="DÉCIMO TERCER SUELDO"/>
    <n v="17075"/>
    <n v="17074.599999999999"/>
    <n v="0"/>
    <n v="0"/>
    <n v="0"/>
    <n v="0"/>
    <n v="0"/>
    <n v="0"/>
    <n v="0"/>
    <n v="0"/>
    <n v="0"/>
    <n v="0"/>
    <n v="0"/>
    <n v="17074.599999999999"/>
    <n v="17074.599999999999"/>
    <s v="OK"/>
    <n v="0"/>
    <n v="17074.599999999999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0"/>
    <s v="ADMINISTRACIÓN CENTRAL"/>
    <s v="CANCELACIÓN DE REMUNERACIONES Y BENEFICIOS SOCIALES"/>
    <n v="1"/>
    <x v="3"/>
    <n v="1"/>
    <n v="0"/>
    <s v="001"/>
    <n v="2000"/>
    <s v="SAN CRISTÓBAL"/>
    <n v="1"/>
    <n v="0"/>
    <n v="0"/>
    <s v="CORRIENTE"/>
    <x v="3"/>
    <n v="510204"/>
    <s v="DÉCIMO CUARTO SUELDO"/>
    <n v="8100"/>
    <n v="8036.6"/>
    <n v="0"/>
    <n v="0"/>
    <n v="0"/>
    <n v="8036.6"/>
    <n v="0"/>
    <n v="0"/>
    <n v="0"/>
    <n v="0"/>
    <n v="0"/>
    <n v="0"/>
    <n v="0"/>
    <n v="0"/>
    <n v="8036.6"/>
    <s v="OK"/>
    <n v="0"/>
    <n v="8036.6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0"/>
    <s v="ADMINISTRACIÓN CENTRAL"/>
    <s v="HORAS EXTRAORDINARIAS Y SUPLEMENTARIAS"/>
    <n v="1"/>
    <x v="3"/>
    <n v="1"/>
    <n v="0"/>
    <n v="1"/>
    <n v="2000"/>
    <s v="SAN CRISTÓBAL"/>
    <n v="1"/>
    <n v="0"/>
    <n v="0"/>
    <s v="CORRIENTE"/>
    <x v="3"/>
    <n v="510509"/>
    <s v="HORAS EXTRAORDINARIAS Y SUPLEMENTARIAS"/>
    <n v="0"/>
    <n v="1000"/>
    <n v="0"/>
    <n v="1000"/>
    <n v="0"/>
    <n v="0"/>
    <n v="0"/>
    <n v="0"/>
    <n v="0"/>
    <n v="0"/>
    <n v="0"/>
    <n v="0"/>
    <n v="0"/>
    <n v="0"/>
    <n v="1000"/>
    <s v="OK"/>
    <n v="0"/>
    <n v="100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0"/>
    <s v="ADMINISTRACIÓN CENTRAL"/>
    <s v="CANCELACIÓN DE REMUNERACIONES Y BENEFICIOS SOCIALES"/>
    <n v="1"/>
    <x v="3"/>
    <n v="1"/>
    <n v="0"/>
    <s v="001"/>
    <n v="2000"/>
    <s v="SAN CRISTÓBAL"/>
    <n v="1"/>
    <n v="0"/>
    <n v="0"/>
    <s v="CORRIENTE"/>
    <x v="3"/>
    <n v="510510"/>
    <s v="SERVICIOS PERSONALES POR CONTRATO"/>
    <n v="17592"/>
    <n v="17647.2"/>
    <n v="1466"/>
    <n v="1466"/>
    <n v="1466"/>
    <n v="1466"/>
    <n v="1466"/>
    <n v="1466"/>
    <n v="1466"/>
    <n v="1466"/>
    <n v="1466"/>
    <n v="1466"/>
    <n v="1466"/>
    <n v="1521.2"/>
    <n v="17647.2"/>
    <s v="OK"/>
    <n v="0"/>
    <n v="17647.2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0"/>
    <s v="ADMINISTRACIÓN CENTRAL"/>
    <s v="CANCELACIÓN DE REMUNERACIONES Y BENEFICIOS SOCIALES"/>
    <n v="1"/>
    <x v="3"/>
    <n v="1"/>
    <n v="0"/>
    <s v="001"/>
    <n v="2000"/>
    <s v="SAN CRISTÓBAL"/>
    <n v="1"/>
    <n v="0"/>
    <n v="0"/>
    <s v="CORRIENTE"/>
    <x v="3"/>
    <n v="510601"/>
    <s v="APORTE PATRONAL"/>
    <n v="22521"/>
    <n v="22230.51"/>
    <n v="1876"/>
    <n v="1876"/>
    <n v="1876"/>
    <n v="1877"/>
    <n v="1877"/>
    <n v="1877"/>
    <n v="1877"/>
    <n v="1877"/>
    <n v="1877"/>
    <n v="1877"/>
    <n v="1877"/>
    <n v="1586.51"/>
    <n v="22230.51"/>
    <s v="OK"/>
    <n v="0"/>
    <n v="22230.51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0"/>
    <s v="ADMINISTRACIÓN CENTRAL"/>
    <s v="CANCELACIÓN DE REMUNERACIONES Y BENEFICIOS SOCIALES"/>
    <n v="1"/>
    <x v="3"/>
    <n v="1"/>
    <n v="0"/>
    <s v="001"/>
    <n v="2000"/>
    <s v="SAN CRISTÓBAL"/>
    <n v="1"/>
    <n v="0"/>
    <n v="0"/>
    <s v="CORRIENTE"/>
    <x v="3"/>
    <n v="510602"/>
    <s v="FONDO DE RESERVA"/>
    <n v="17068"/>
    <n v="16446.649999999998"/>
    <n v="1422"/>
    <n v="1422"/>
    <n v="1422"/>
    <n v="1422"/>
    <n v="1422"/>
    <n v="1422"/>
    <n v="1422"/>
    <n v="1422"/>
    <n v="1423"/>
    <n v="1423"/>
    <n v="1423"/>
    <n v="801.65"/>
    <n v="16446.650000000001"/>
    <s v="OK"/>
    <n v="0"/>
    <n v="16446.649999999998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7"/>
    <s v="OPERACIONES"/>
    <s v="CANCELACIÓN DE REMUNERACIONES Y BENEFICIOS SOCIALES"/>
    <n v="1"/>
    <x v="3"/>
    <n v="55"/>
    <n v="0"/>
    <s v="002"/>
    <n v="2000"/>
    <s v="SAN CRISTÓBAL"/>
    <n v="1"/>
    <n v="0"/>
    <n v="0"/>
    <s v="CORRIENTE"/>
    <x v="3"/>
    <n v="510105"/>
    <s v="REMUNERACIONES UNIFICADAS"/>
    <n v="161069"/>
    <n v="161068.79999999999"/>
    <n v="13422"/>
    <n v="13422"/>
    <n v="13422"/>
    <n v="13422"/>
    <n v="13422"/>
    <n v="13422"/>
    <n v="13422"/>
    <n v="13422"/>
    <n v="13423"/>
    <n v="13423"/>
    <n v="13423"/>
    <n v="13423.8"/>
    <n v="161068.79999999999"/>
    <s v="OK"/>
    <n v="0"/>
    <n v="161068.79999999999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7"/>
    <s v="OPERACIONES"/>
    <s v="CANCELACIÓN DE REMUNERACIONES Y BENEFICIOS SOCIALES"/>
    <n v="1"/>
    <x v="3"/>
    <n v="55"/>
    <n v="0"/>
    <s v="002"/>
    <n v="2000"/>
    <s v="SAN CRISTÓBAL"/>
    <n v="1"/>
    <n v="0"/>
    <n v="0"/>
    <s v="CORRIENTE"/>
    <x v="3"/>
    <n v="510203"/>
    <s v="DÉCIMO TERCER SUELDO"/>
    <n v="17381"/>
    <n v="17380.59"/>
    <n v="0"/>
    <n v="0"/>
    <n v="0"/>
    <n v="0"/>
    <n v="0"/>
    <n v="0"/>
    <n v="0"/>
    <n v="0"/>
    <n v="0"/>
    <n v="0"/>
    <n v="0"/>
    <n v="17380.59"/>
    <n v="17380.59"/>
    <s v="OK"/>
    <n v="0"/>
    <n v="17380.59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7"/>
    <s v="OPERACIONES"/>
    <s v="CANCELACIÓN DE REMUNERACIONES Y BENEFICIOS SOCIALES"/>
    <n v="1"/>
    <x v="3"/>
    <n v="55"/>
    <n v="0"/>
    <s v="002"/>
    <n v="2000"/>
    <s v="SAN CRISTÓBAL"/>
    <n v="1"/>
    <n v="0"/>
    <n v="0"/>
    <s v="CORRIENTE"/>
    <x v="3"/>
    <n v="510204"/>
    <s v="DÉCIMO CUARTO SUELDO"/>
    <n v="10080"/>
    <n v="9889"/>
    <n v="0"/>
    <n v="0"/>
    <n v="0"/>
    <n v="9889"/>
    <n v="0"/>
    <n v="0"/>
    <n v="0"/>
    <n v="0"/>
    <n v="0"/>
    <n v="0"/>
    <n v="0"/>
    <n v="0"/>
    <n v="9889"/>
    <s v="OK"/>
    <n v="0"/>
    <n v="9889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7"/>
    <s v="OPERACIONES"/>
    <s v="CANCELACIÓN DE REMUNERACIONES Y BENEFICIOS SOCIALES"/>
    <n v="1"/>
    <x v="3"/>
    <n v="55"/>
    <n v="0"/>
    <s v="002"/>
    <n v="2000"/>
    <s v="SAN CRISTÓBAL"/>
    <n v="1"/>
    <n v="0"/>
    <n v="0"/>
    <s v="CORRIENTE"/>
    <x v="3"/>
    <n v="510510"/>
    <s v="SERVICIOS PERSONALES POR CONTRATO"/>
    <n v="47499"/>
    <n v="47498.400000000001"/>
    <n v="3958"/>
    <n v="3958"/>
    <n v="3958"/>
    <n v="3958"/>
    <n v="3958"/>
    <n v="3958"/>
    <n v="3958"/>
    <n v="3958"/>
    <n v="3958"/>
    <n v="3959"/>
    <n v="3959"/>
    <n v="3958.4"/>
    <n v="47498.400000000001"/>
    <s v="OK"/>
    <n v="0"/>
    <n v="47498.400000000001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7"/>
    <s v="OPERACIONES"/>
    <s v="CANCELACIÓN DE REMUNERACIONES Y BENEFICIOS SOCIALES"/>
    <n v="1"/>
    <x v="3"/>
    <n v="55"/>
    <n v="0"/>
    <s v="002"/>
    <n v="2000"/>
    <s v="SAN CRISTÓBAL"/>
    <n v="1"/>
    <n v="0"/>
    <n v="0"/>
    <s v="CORRIENTE"/>
    <x v="3"/>
    <n v="510601"/>
    <s v="APORTE PATRONAL"/>
    <n v="20127"/>
    <n v="20127.84"/>
    <n v="1677"/>
    <n v="1677"/>
    <n v="1677"/>
    <n v="1677"/>
    <n v="1677"/>
    <n v="1677"/>
    <n v="1677"/>
    <n v="1677"/>
    <n v="1677"/>
    <n v="1678"/>
    <n v="1678"/>
    <n v="1678.84"/>
    <n v="20127.84"/>
    <s v="OK"/>
    <n v="0"/>
    <n v="20127.84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7"/>
    <s v="OPERACIONES"/>
    <s v="CANCELACIÓN DE REMUNERACIONES Y BENEFICIOS SOCIALES"/>
    <n v="1"/>
    <x v="3"/>
    <n v="55"/>
    <n v="0"/>
    <s v="002"/>
    <n v="2000"/>
    <s v="SAN CRISTÓBAL"/>
    <n v="1"/>
    <n v="0"/>
    <n v="0"/>
    <s v="CORRIENTE"/>
    <x v="3"/>
    <n v="510602"/>
    <s v="FONDO DE RESERVA"/>
    <n v="17374"/>
    <n v="16280.17"/>
    <n v="1447"/>
    <n v="1447"/>
    <n v="1448"/>
    <n v="1448"/>
    <n v="1448"/>
    <n v="1448"/>
    <n v="1448"/>
    <n v="1448"/>
    <n v="1448"/>
    <n v="1448"/>
    <n v="1448"/>
    <n v="354.17"/>
    <n v="16280.17"/>
    <s v="OK"/>
    <n v="0"/>
    <n v="16280.17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2"/>
    <s v="TECNOLOGÍA"/>
    <s v="CANCELACIÓN DE REMUNERACIONES Y BENEFICIOS SOCIALES"/>
    <n v="1"/>
    <x v="3"/>
    <n v="55"/>
    <n v="0"/>
    <s v="003"/>
    <n v="2000"/>
    <s v="SAN CRISTÓBAL"/>
    <n v="1"/>
    <n v="0"/>
    <n v="0"/>
    <s v="CORRIENTE"/>
    <x v="3"/>
    <n v="510105"/>
    <s v="REMUNERACIONES UNIFICADAS"/>
    <n v="40224"/>
    <n v="40224"/>
    <n v="3352"/>
    <n v="3352"/>
    <n v="3352"/>
    <n v="3352"/>
    <n v="3352"/>
    <n v="3352"/>
    <n v="3352"/>
    <n v="3352"/>
    <n v="3352"/>
    <n v="3352"/>
    <n v="3352"/>
    <n v="3352"/>
    <n v="40224"/>
    <s v="OK"/>
    <n v="0"/>
    <n v="40224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2"/>
    <s v="TECNOLOGÍA"/>
    <s v="CANCELACIÓN DE REMUNERACIONES Y BENEFICIOS SOCIALES"/>
    <n v="1"/>
    <x v="3"/>
    <n v="55"/>
    <n v="0"/>
    <s v="003"/>
    <n v="2000"/>
    <s v="SAN CRISTÓBAL"/>
    <n v="1"/>
    <n v="0"/>
    <n v="0"/>
    <s v="CORRIENTE"/>
    <x v="3"/>
    <n v="510203"/>
    <s v="DÉCIMO TERCER SUELDO"/>
    <n v="3352"/>
    <n v="3427.86"/>
    <n v="0"/>
    <n v="0"/>
    <n v="0"/>
    <n v="0"/>
    <n v="0"/>
    <n v="0"/>
    <n v="0"/>
    <n v="0"/>
    <n v="0"/>
    <n v="0"/>
    <n v="0"/>
    <n v="3427.86"/>
    <n v="3427.86"/>
    <s v="OK"/>
    <n v="0"/>
    <n v="3427.86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2"/>
    <s v="TECNOLOGÍA"/>
    <s v="CANCELACIÓN DE REMUNERACIONES Y BENEFICIOS SOCIALES"/>
    <n v="1"/>
    <x v="3"/>
    <n v="55"/>
    <n v="0"/>
    <s v="003"/>
    <n v="2000"/>
    <s v="SAN CRISTÓBAL"/>
    <n v="1"/>
    <n v="0"/>
    <n v="0"/>
    <s v="CORRIENTE"/>
    <x v="3"/>
    <n v="510204"/>
    <s v="DÉCIMO CUARTO SUELDO"/>
    <n v="900"/>
    <n v="941.6"/>
    <n v="0"/>
    <n v="0"/>
    <n v="0"/>
    <n v="941.6"/>
    <n v="0"/>
    <n v="0"/>
    <n v="0"/>
    <n v="0"/>
    <n v="0"/>
    <n v="0"/>
    <n v="0"/>
    <n v="0"/>
    <n v="941.6"/>
    <s v="OK"/>
    <n v="0"/>
    <n v="941.6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2"/>
    <s v="TECNOLOGÍA"/>
    <s v="COMPENSACIÓN POR TRANSPORTE"/>
    <n v="1"/>
    <x v="3"/>
    <n v="55"/>
    <n v="0"/>
    <n v="3"/>
    <n v="2000"/>
    <s v="SAN CRISTÓBAL"/>
    <n v="1"/>
    <n v="0"/>
    <n v="0"/>
    <s v="CORRIENTE"/>
    <x v="3"/>
    <n v="510304"/>
    <s v="COMPENSACION POR TRANSPORTE"/>
    <n v="0"/>
    <n v="363"/>
    <n v="30.25"/>
    <n v="30.25"/>
    <n v="30.25"/>
    <n v="30.25"/>
    <n v="30.25"/>
    <n v="30.25"/>
    <n v="30.25"/>
    <n v="30.25"/>
    <n v="30.25"/>
    <n v="30.25"/>
    <n v="30.25"/>
    <n v="30.25"/>
    <n v="363"/>
    <s v="OK"/>
    <n v="0"/>
    <n v="363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2"/>
    <s v="TECNOLOGÍA"/>
    <s v="ALIMENTACIÓN"/>
    <n v="1"/>
    <x v="3"/>
    <n v="55"/>
    <n v="0"/>
    <n v="3"/>
    <n v="2000"/>
    <s v="SAN CRISTÓBAL"/>
    <n v="1"/>
    <n v="0"/>
    <n v="0"/>
    <s v="CORRIENTE"/>
    <x v="3"/>
    <n v="510306"/>
    <s v="ALIMENTACION"/>
    <n v="0"/>
    <n v="2640"/>
    <n v="220"/>
    <n v="220"/>
    <n v="220"/>
    <n v="220"/>
    <n v="220"/>
    <n v="220"/>
    <n v="220"/>
    <n v="220"/>
    <n v="220"/>
    <n v="220"/>
    <n v="220"/>
    <n v="220"/>
    <n v="2640"/>
    <s v="OK"/>
    <n v="0"/>
    <n v="264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2"/>
    <s v="TECNOLOGÍA"/>
    <s v="POR CARGAS FAMILIARES"/>
    <n v="1"/>
    <x v="3"/>
    <n v="55"/>
    <n v="0"/>
    <n v="3"/>
    <n v="2000"/>
    <s v="SAN CRISTÓBAL"/>
    <n v="1"/>
    <n v="0"/>
    <n v="0"/>
    <s v="CORRIENTE"/>
    <x v="3"/>
    <n v="510401"/>
    <s v="POR CARGAS FAMILIARES"/>
    <n v="0"/>
    <n v="281"/>
    <n v="23.41"/>
    <n v="23.41"/>
    <n v="23.41"/>
    <n v="23.41"/>
    <n v="23.41"/>
    <n v="23.41"/>
    <n v="23.41"/>
    <n v="23.41"/>
    <n v="23.41"/>
    <n v="23.41"/>
    <n v="23.41"/>
    <n v="23.49"/>
    <n v="281"/>
    <s v="OK"/>
    <n v="0"/>
    <n v="281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2"/>
    <s v="TECNOLOGÍA"/>
    <s v="SUBSIDIO DE ANTIGÜEDAD"/>
    <n v="1"/>
    <x v="3"/>
    <n v="55"/>
    <n v="0"/>
    <n v="3"/>
    <n v="2000"/>
    <s v="SAN CRISTÓBAL"/>
    <n v="1"/>
    <n v="0"/>
    <n v="0"/>
    <s v="CORRIENTE"/>
    <x v="3"/>
    <n v="510408"/>
    <s v="SUBSIDIO DE ANTIGUEDAD"/>
    <n v="0"/>
    <n v="704"/>
    <n v="58.66"/>
    <n v="58.66"/>
    <n v="58.66"/>
    <n v="58.66"/>
    <n v="58.66"/>
    <n v="58.66"/>
    <n v="58.66"/>
    <n v="58.66"/>
    <n v="58.66"/>
    <n v="58.66"/>
    <n v="58.66"/>
    <n v="58.74"/>
    <n v="703.99999999999977"/>
    <s v="OK"/>
    <n v="0"/>
    <n v="704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2"/>
    <s v="TECNOLOGÍA"/>
    <s v="CANCELACIÓN DE REMUNERACIONES Y BENEFICIOS SOCIALES"/>
    <n v="1"/>
    <x v="3"/>
    <n v="55"/>
    <n v="0"/>
    <n v="3"/>
    <n v="2000"/>
    <s v="SAN CRISTÓBAL"/>
    <n v="1"/>
    <n v="0"/>
    <n v="0"/>
    <s v="CORRIENTE"/>
    <x v="3"/>
    <n v="510513"/>
    <s v="ENCARGOS"/>
    <n v="0"/>
    <n v="910.4"/>
    <n v="0"/>
    <n v="0"/>
    <n v="0"/>
    <n v="0"/>
    <n v="0"/>
    <n v="0"/>
    <n v="0"/>
    <n v="0"/>
    <n v="0"/>
    <n v="0"/>
    <n v="0"/>
    <n v="910.4"/>
    <n v="910.4"/>
    <s v="OK"/>
    <n v="0"/>
    <n v="910.4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2"/>
    <s v="TECNOLOGÍA"/>
    <s v="CANCELACIÓN DE REMUNERACIONES Y BENEFICIOS SOCIALES"/>
    <n v="1"/>
    <x v="3"/>
    <n v="55"/>
    <n v="0"/>
    <s v="003"/>
    <n v="2000"/>
    <s v="SAN CRISTÓBAL"/>
    <n v="1"/>
    <n v="0"/>
    <n v="0"/>
    <s v="CORRIENTE"/>
    <x v="3"/>
    <n v="510601"/>
    <s v="APORTE PATRONAL"/>
    <n v="4082"/>
    <n v="3970.47"/>
    <n v="341"/>
    <n v="341"/>
    <n v="341"/>
    <n v="341"/>
    <n v="341"/>
    <n v="341"/>
    <n v="341"/>
    <n v="341"/>
    <n v="341"/>
    <n v="341"/>
    <n v="341"/>
    <n v="219.47"/>
    <n v="3970.47"/>
    <s v="OK"/>
    <n v="0"/>
    <n v="3970.47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2"/>
    <s v="TECNOLOGÍA"/>
    <s v="CANCELACIÓN DE REMUNERACIONES Y BENEFICIOS SOCIALES"/>
    <n v="1"/>
    <x v="3"/>
    <n v="55"/>
    <n v="0"/>
    <s v="003"/>
    <n v="2000"/>
    <s v="SAN CRISTÓBAL"/>
    <n v="1"/>
    <n v="0"/>
    <n v="0"/>
    <s v="CORRIENTE"/>
    <x v="3"/>
    <n v="510602"/>
    <s v="FONDO DE RESERVA"/>
    <n v="3351"/>
    <n v="3427.61"/>
    <n v="279"/>
    <n v="279"/>
    <n v="279"/>
    <n v="279"/>
    <n v="279"/>
    <n v="279"/>
    <n v="279"/>
    <n v="279"/>
    <n v="279"/>
    <n v="280"/>
    <n v="280"/>
    <n v="356.61"/>
    <n v="3427.61"/>
    <s v="OK"/>
    <n v="0"/>
    <n v="3427.61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0"/>
    <s v="ADMINISTRACIÓN CENTRAL"/>
    <s v="PAGO MENSUAL POR SUMINISTRO DE AGUA POTABLE PARA EL CENTRO OPERATIVO LOCAL ECU 911 GALÁPAGOS"/>
    <n v="1"/>
    <x v="3"/>
    <n v="1"/>
    <n v="0"/>
    <n v="1"/>
    <n v="2001"/>
    <s v="SAN CRISTÓBAL"/>
    <n v="1"/>
    <n v="0"/>
    <n v="0"/>
    <s v="CORRIENTE"/>
    <x v="0"/>
    <n v="530101"/>
    <s v="AGUA POTABLE"/>
    <n v="588"/>
    <n v="212.89999999999998"/>
    <n v="0"/>
    <n v="15"/>
    <n v="15"/>
    <n v="15"/>
    <n v="15"/>
    <n v="15"/>
    <n v="15"/>
    <n v="15"/>
    <n v="15"/>
    <n v="15"/>
    <n v="15"/>
    <n v="62.9"/>
    <n v="212.9"/>
    <s v="OK"/>
    <n v="212.9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0"/>
    <s v="ADMINISTRACIÓN CENTRAL"/>
    <s v="PAGO MENSUAL POR SUMINISTRO DE ENERGÍA ELÉCTRICA DEL CENTRO OPERATIVO LOCAL ECU 911 GALÁPAGOS"/>
    <n v="1"/>
    <x v="3"/>
    <n v="1"/>
    <n v="0"/>
    <n v="1"/>
    <n v="2001"/>
    <s v="SAN CRISTÓBAL"/>
    <n v="1"/>
    <n v="0"/>
    <n v="0"/>
    <s v="CORRIENTE"/>
    <x v="0"/>
    <n v="530104"/>
    <s v="ENERGÍA ELÉCTRICA"/>
    <n v="35000"/>
    <n v="24920.61"/>
    <n v="0"/>
    <n v="2200"/>
    <n v="2200"/>
    <n v="2200"/>
    <n v="2200"/>
    <n v="2200"/>
    <n v="2000"/>
    <n v="2000"/>
    <n v="2500"/>
    <n v="2500"/>
    <n v="2500"/>
    <n v="2420.61"/>
    <n v="24920.61"/>
    <s v="OK"/>
    <n v="24520.61"/>
    <n v="40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0"/>
    <s v="ADMINISTRACIÓN CENTRAL"/>
    <s v="CONTRATACIÓN DEL SERVICIO DE ABASTECIMIENTO DE COMBUSTIBLE PARA LOS GENERADORES Y VEHÍCULOS INSTITUCIONALES DEL CENTRO OPERATIVO LOCAL ECU 911 GALÁPAGOS"/>
    <n v="1"/>
    <x v="3"/>
    <n v="1"/>
    <n v="0"/>
    <n v="1"/>
    <n v="2001"/>
    <s v="SAN CRISTÓBAL"/>
    <n v="1"/>
    <n v="0"/>
    <n v="0"/>
    <s v="CORRIENTE"/>
    <x v="0"/>
    <n v="530255"/>
    <s v="COMBUSTIBLES"/>
    <n v="0"/>
    <n v="916.96"/>
    <n v="0"/>
    <n v="0"/>
    <n v="0"/>
    <n v="0"/>
    <n v="0"/>
    <n v="916.96"/>
    <n v="0"/>
    <n v="0"/>
    <n v="0"/>
    <n v="0"/>
    <n v="0"/>
    <n v="0"/>
    <n v="916.96"/>
    <s v="OK"/>
    <n v="916.96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0"/>
    <s v="ADMINISTRACIÓN CENTRAL"/>
    <s v="REEMBOLSO POR ADQUISICIÓN DE PASAJES AÉREOS EN CUMPLIMIENTO DE COMISIÓN DE SERVICIO INSTITUCIONALES DEL CENTRO ZONAL ECU 911 GALÁPAGOS"/>
    <n v="2"/>
    <x v="3"/>
    <n v="1"/>
    <n v="0"/>
    <n v="1"/>
    <n v="2001"/>
    <s v="SAN CRISTÓBAL"/>
    <n v="1"/>
    <n v="0"/>
    <n v="0"/>
    <s v="CORRIENTE"/>
    <x v="0"/>
    <n v="530301"/>
    <s v="PASAJES AL INTERIOR"/>
    <n v="0"/>
    <n v="200"/>
    <n v="0"/>
    <n v="0"/>
    <n v="0"/>
    <n v="0"/>
    <n v="0"/>
    <n v="0"/>
    <n v="0"/>
    <n v="0"/>
    <n v="0"/>
    <n v="0"/>
    <n v="200"/>
    <n v="0"/>
    <n v="200"/>
    <s v="OK"/>
    <n v="20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0"/>
    <s v="ADMINISTRACIÓN CENTRAL"/>
    <s v="PAGO DE PASAJES MARÍTIMOS PARA LOS SERVIDORES, FUNCIONARIOS DEL  CENTRO OPERATIVO LOCAL  ECU 911 GALÁPAGOS"/>
    <n v="2"/>
    <x v="3"/>
    <n v="1"/>
    <n v="0"/>
    <n v="1"/>
    <n v="2001"/>
    <s v="SAN CRISTÓBAL"/>
    <n v="1"/>
    <n v="0"/>
    <n v="0"/>
    <s v="CORRIENTE"/>
    <x v="0"/>
    <n v="530301"/>
    <s v="PASAJES AL INTERIOR"/>
    <n v="480"/>
    <n v="980"/>
    <n v="0"/>
    <n v="160"/>
    <n v="0"/>
    <n v="0"/>
    <n v="160"/>
    <n v="0"/>
    <n v="0"/>
    <n v="0"/>
    <n v="160"/>
    <n v="100"/>
    <n v="300"/>
    <n v="100"/>
    <n v="980"/>
    <s v="OK"/>
    <n v="480"/>
    <n v="50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0"/>
    <s v="ADMINISTRACIÓN CENTRAL"/>
    <s v="PAGOS POR VIÁTICOS Y SUBSISTENCIAS EN EL INTERIOR EFECTUADAS POR LOS SERVIDORES, FUNCIONARIOS DEL COL ECU 911 GALÁPAGOS"/>
    <n v="2"/>
    <x v="3"/>
    <n v="1"/>
    <n v="0"/>
    <n v="1"/>
    <n v="2001"/>
    <s v="SAN CRISTÓBAL"/>
    <n v="1"/>
    <n v="0"/>
    <n v="0"/>
    <s v="CORRIENTE"/>
    <x v="0"/>
    <n v="530303"/>
    <s v="VIÁTICOS Y SUBSISTENCIAS EN EL INTERIOR"/>
    <n v="2500"/>
    <n v="5038.91"/>
    <n v="0"/>
    <n v="834"/>
    <n v="0"/>
    <n v="0"/>
    <n v="834"/>
    <n v="0"/>
    <n v="0"/>
    <n v="0"/>
    <n v="1832"/>
    <n v="500"/>
    <n v="1038.9100000000001"/>
    <n v="0"/>
    <n v="5038.91"/>
    <s v="OK"/>
    <n v="3500"/>
    <n v="1538.9099999999999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0"/>
    <s v="ADMINISTRACIÓN CENTRAL"/>
    <s v="SERVICIO DE MANTENIMIENTO DE LA PUERTA ELÉCTRICA, COLOCACIÓN DE SILICONA EN VENTANALES, COLOCACIÓN DE LAMINAS ANTISOLARES Y CAMBIO DE CERRADURA DE LA PUERTA DE EMERGENCIA Y OFICINA ADMINISTRATIVA DEL CENTRO OPERATIVO LOCAL ECU 911 GALÁPAGOS"/>
    <n v="2"/>
    <x v="3"/>
    <n v="1"/>
    <n v="0"/>
    <n v="1"/>
    <n v="2001"/>
    <s v="SAN CRISTÓBAL"/>
    <n v="1"/>
    <n v="0"/>
    <n v="0"/>
    <s v="CORRIENTE"/>
    <x v="0"/>
    <n v="530402"/>
    <s v="EDIFICIOS, LOCALES, RESIDENCIAS Y CABLEADO ESTRUCTURADO (INSTALACIÓN, MANTENIMIENTO Y REPARACIÓN)"/>
    <n v="0"/>
    <n v="5500"/>
    <n v="0"/>
    <n v="0"/>
    <n v="0"/>
    <n v="0"/>
    <n v="0"/>
    <n v="0"/>
    <n v="0"/>
    <n v="0"/>
    <n v="0"/>
    <n v="0"/>
    <n v="5500"/>
    <n v="0"/>
    <n v="5500"/>
    <s v="OK"/>
    <n v="0"/>
    <n v="550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0"/>
    <s v="ADMINISTRACIÓN CENTRAL"/>
    <s v="ADQUISICIÓN DE SEÑALÉTICA PARA LAS INSTALACIONES DEL COL ECU 911 GALÁPAGOS"/>
    <n v="2"/>
    <x v="3"/>
    <n v="1"/>
    <n v="0"/>
    <n v="1"/>
    <n v="2001"/>
    <s v="SAN CRISTÓBAL"/>
    <n v="1"/>
    <n v="0"/>
    <n v="0"/>
    <s v="CORRIENTE"/>
    <x v="0"/>
    <n v="530402"/>
    <s v="EDIFICIOS, LOCALES, RESIDENCIAS Y CABLEADO ESTRUCTURADO (INSTALACIÓN, MANTENIMIENTO Y REPARACIÓN)"/>
    <n v="536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0"/>
    <s v="ADMINISTRACIÓN CENTRAL"/>
    <s v="SERVICIO DE IMPERMEABILIZACIÓN DE LA LOSA DEL CENTRO OPERATIVO LOCAL ECU 911 GALÁPAGOS"/>
    <n v="2"/>
    <x v="3"/>
    <n v="1"/>
    <n v="0"/>
    <n v="1"/>
    <n v="2001"/>
    <s v="SAN CRISTÓBAL"/>
    <n v="1"/>
    <n v="0"/>
    <n v="0"/>
    <s v="CORRIENTE"/>
    <x v="0"/>
    <n v="530402"/>
    <s v="EDIFICIOS, LOCALES, RESIDENCIAS Y CABLEADO ESTRUCTURADO (INSTALACIÓN, MANTENIMIENTO Y REPARACIÓN)"/>
    <n v="0"/>
    <n v="12968.1"/>
    <n v="0"/>
    <n v="0"/>
    <n v="0"/>
    <n v="0"/>
    <n v="0"/>
    <n v="0"/>
    <n v="0"/>
    <n v="12968.1"/>
    <n v="0"/>
    <n v="0"/>
    <n v="0"/>
    <n v="0"/>
    <n v="12968.1"/>
    <s v="OK"/>
    <n v="12751.2"/>
    <n v="216.89999999999964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0"/>
    <s v="ADMINISTRACIÓN CENTRAL"/>
    <s v="SERVICIO DE MANTENIMIENTO DE INFRAESTRUCTURA DEL CENTRO OPERATIVO LOCAL ECU 911 GALÁPAGOS"/>
    <n v="1"/>
    <x v="3"/>
    <n v="1"/>
    <n v="0"/>
    <n v="1"/>
    <n v="2001"/>
    <s v="SAN CRISTÓBAL"/>
    <n v="1"/>
    <n v="0"/>
    <n v="0"/>
    <s v="CORRIENTE"/>
    <x v="0"/>
    <n v="530402"/>
    <s v="EDIFICIOS, LOCALES, RESIDENCIAS Y CABLEADO ESTRUCTURADO (INSTALACIÓN, MANTENIMIENTO Y REPARACIÓN)"/>
    <n v="150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0"/>
    <s v="ADMINISTRACIÓN CENTRAL"/>
    <s v="SERVICIO DE MANTENIMIENTO PREVENTIVO Y CORRECTIVO DE LAS INSTALACIONES ELÉCTRICAS DEL ÁREA DE PARQUEADERO DEL CENTRO OPERATIVO LOCAL ECU 911 GALÁPAGOS"/>
    <n v="1"/>
    <x v="3"/>
    <n v="1"/>
    <n v="0"/>
    <n v="1"/>
    <n v="2001"/>
    <s v="SAN CRISTÓBAL"/>
    <n v="1"/>
    <n v="0"/>
    <n v="0"/>
    <s v="CORRIENTE"/>
    <x v="0"/>
    <n v="530402"/>
    <s v="EDIFICIOS, LOCALES, RESIDENCIAS Y CABLEADO ESTRUCTURADO (INSTALACIÓN, MANTENIMIENTO Y REPARACIÓN)"/>
    <n v="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0"/>
    <s v="ADMINISTRACIÓN CENTRAL"/>
    <s v="CONTRATACIÓN DEL SERVICIO DEL MANTENIMIENTO PREVENTIVO Y CORRECTIVO DE LOS VEHÍCULOS DEL PARQUE AUTOMOTOR DEL  CENTRO OPERATIVO LOCAL  ECU 911 GALÁPAGOS"/>
    <n v="1"/>
    <x v="3"/>
    <n v="1"/>
    <n v="0"/>
    <n v="1"/>
    <n v="2001"/>
    <s v="SAN CRISTÓBAL"/>
    <n v="1"/>
    <n v="0"/>
    <n v="0"/>
    <s v="CORRIENTE"/>
    <x v="0"/>
    <n v="530405"/>
    <s v="VEHÍCULOS (SERVICIO PARA MANTENIMIENTO Y REPARACIÓN)"/>
    <n v="4465"/>
    <n v="3985"/>
    <n v="0"/>
    <n v="0"/>
    <n v="0"/>
    <n v="0"/>
    <n v="3985"/>
    <n v="0"/>
    <n v="0"/>
    <n v="0"/>
    <n v="0"/>
    <n v="0"/>
    <n v="0"/>
    <n v="0"/>
    <n v="3985"/>
    <s v="OK"/>
    <n v="3985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0"/>
    <s v="ADMINISTRACIÓN CENTRAL"/>
    <s v="SERVICIO DE LIMPIEZA Y DESBROCE DE LOS EXTERIORES DEL CENTRO OPERATIVO LOCAL ECU 911 GALÁPAGOS"/>
    <n v="1"/>
    <x v="3"/>
    <n v="1"/>
    <n v="0"/>
    <n v="1"/>
    <n v="2001"/>
    <s v="SAN CRISTÓBAL"/>
    <n v="1"/>
    <n v="0"/>
    <n v="0"/>
    <s v="CORRIENTE"/>
    <x v="0"/>
    <n v="530418"/>
    <s v="MANTENIMIENTO DE ÁREAS VERDES Y ARREGLO DE VÍAS INTERNAS"/>
    <n v="0"/>
    <n v="1054.1999999999998"/>
    <n v="0"/>
    <n v="0"/>
    <n v="0"/>
    <n v="0"/>
    <n v="0"/>
    <n v="0"/>
    <n v="1054.2"/>
    <n v="0"/>
    <n v="0"/>
    <n v="0"/>
    <n v="0"/>
    <n v="0"/>
    <n v="1054.2"/>
    <s v="OK"/>
    <n v="1054.2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0"/>
    <s v="ADMINISTRACIÓN CENTRAL"/>
    <s v="LIQUIDACIÓN DE CAJA CHICA DEL CENTRO LOCAL SAN CRISTÓBAL DE PERIODOS ANTERIORES"/>
    <n v="2"/>
    <x v="3"/>
    <n v="1"/>
    <n v="0"/>
    <n v="1"/>
    <n v="2001"/>
    <s v="SAN CRISTÓBAL"/>
    <n v="1"/>
    <n v="0"/>
    <n v="0"/>
    <s v="CORRIENTE"/>
    <x v="0"/>
    <n v="530502"/>
    <s v="EDIFICIOS, LOCALES Y RESIDENCIAS, PARQUEADEROS, CASILLEROS JUDICIALES Y BANCARIOS (ARRENDAMIENTO)"/>
    <n v="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0"/>
    <s v="ADMINISTRACIÓN CENTRAL"/>
    <s v="CONSULTORÍA PARA LA ELABORACIÓN DE LA FICHA AMBIENTALY PLAN DE MANEJO AMBIENTAL DEL CENTRO OPERATIVO LOCAL ECU 911 GALÁPAGOS"/>
    <n v="2"/>
    <x v="3"/>
    <n v="1"/>
    <n v="0"/>
    <n v="1"/>
    <n v="2001"/>
    <s v="SAN CRISTÓBAL"/>
    <n v="1"/>
    <n v="0"/>
    <n v="0"/>
    <s v="CORRIENTE"/>
    <x v="0"/>
    <n v="530601"/>
    <s v="CONSULTORÍA, ASESORÍA E INVESTIGACIÓN ESPECIALIZADA"/>
    <n v="0"/>
    <n v="5064.1499999999996"/>
    <n v="0"/>
    <n v="0"/>
    <n v="0"/>
    <n v="0"/>
    <n v="0"/>
    <n v="0"/>
    <n v="0"/>
    <n v="5064.1499999999996"/>
    <n v="0"/>
    <n v="0"/>
    <n v="0"/>
    <n v="0"/>
    <n v="5064.1499999999996"/>
    <s v="OK"/>
    <n v="10"/>
    <n v="5054.1499999999996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0"/>
    <s v="ADMINISTRACIÓN CENTRAL"/>
    <s v="MANTENIMIENTO PREVENTIVO Y CORRECTIVO DEL SISTEMA DE CONTROL DE ACCESOS HONEYWLL NETAXS 4 DEL CENTRO OPERATIVO LOCAL ECU 911 GALAPAGOS"/>
    <n v="1"/>
    <x v="3"/>
    <n v="1"/>
    <n v="0"/>
    <n v="1"/>
    <n v="2001"/>
    <s v="SAN CRISTÓBAL"/>
    <n v="1"/>
    <n v="0"/>
    <n v="0"/>
    <s v="CORRIENTE"/>
    <x v="0"/>
    <n v="530704"/>
    <s v="MANTENIMIENTO Y REPARACIÓN DE EQUIPOS Y SISTEMAS INFORMÁTICOS "/>
    <n v="0"/>
    <n v="6250"/>
    <n v="0"/>
    <n v="0"/>
    <n v="0"/>
    <n v="0"/>
    <n v="0"/>
    <n v="0"/>
    <n v="0"/>
    <n v="0"/>
    <n v="0"/>
    <n v="0"/>
    <n v="6250"/>
    <n v="0"/>
    <n v="6250"/>
    <s v="OK"/>
    <n v="0"/>
    <n v="625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0"/>
    <s v="ADMINISTRACIÓN CENTRAL"/>
    <s v="CONTRATACIÓN DEL SERVICIO DE ABASTECIMIENTO DE COMBUSTIBLE PARA LOS GENERADORES Y VEHÍCULOS INSTITUCIONALES DEL CENTRO OPERATIVO LOCAL  ECU 911 GALÁPAGOS"/>
    <n v="1"/>
    <x v="3"/>
    <n v="1"/>
    <n v="0"/>
    <n v="1"/>
    <n v="2001"/>
    <s v="SAN CRISTÓBAL"/>
    <n v="1"/>
    <n v="0"/>
    <n v="0"/>
    <s v="CORRIENTE"/>
    <x v="0"/>
    <n v="530803"/>
    <s v="LUBRICANTES"/>
    <n v="143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0"/>
    <s v="ADMINISTRACIÓN CENTRAL"/>
    <s v="ADQUISICIÓN DE SUMINISTROS DE OFICINA PARA EL CENTRO OPERATIVO LOCAL  ECU 911 GALÁPAGOS"/>
    <n v="2"/>
    <x v="3"/>
    <n v="1"/>
    <n v="0"/>
    <n v="1"/>
    <n v="2001"/>
    <s v="SAN CRISTÓBAL"/>
    <n v="1"/>
    <n v="0"/>
    <n v="0"/>
    <s v="CORRIENTE"/>
    <x v="0"/>
    <n v="530804"/>
    <s v="MATERIALES DE OFICINA"/>
    <n v="2322"/>
    <n v="1257.24"/>
    <n v="0"/>
    <n v="0"/>
    <n v="1257.24"/>
    <n v="0"/>
    <n v="0"/>
    <n v="0"/>
    <n v="0"/>
    <n v="0"/>
    <n v="0"/>
    <n v="0"/>
    <n v="0"/>
    <n v="0"/>
    <n v="1257.24"/>
    <s v="OK"/>
    <n v="1257.24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0"/>
    <s v="ADMINISTRACIÓN CENTRAL"/>
    <s v="ADQUISICIÓN DE MATERIALES DE ASEO PARA EL CENTRO OPERATIVO LOCAL  ECU 911 GALÁPAGOS"/>
    <n v="2"/>
    <x v="3"/>
    <n v="1"/>
    <n v="0"/>
    <n v="1"/>
    <n v="2001"/>
    <s v="SAN CRISTÓBAL"/>
    <n v="1"/>
    <n v="0"/>
    <n v="0"/>
    <s v="CORRIENTE"/>
    <x v="0"/>
    <n v="530805"/>
    <s v="MATERIALES DE ASEO"/>
    <n v="2322"/>
    <n v="2321.89"/>
    <n v="0"/>
    <n v="0"/>
    <n v="0"/>
    <n v="0"/>
    <n v="0"/>
    <n v="2321.89"/>
    <n v="0"/>
    <n v="0"/>
    <n v="0"/>
    <n v="0"/>
    <n v="0"/>
    <n v="0"/>
    <n v="2321.89"/>
    <s v="OK"/>
    <n v="2321.89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0"/>
    <s v="ADMINISTRACIÓN CENTRAL"/>
    <s v="PAGO DE TASA DEL PLAN DE MANEJO AMBIENTAL DEL CENTRO OPERATIVO LOCAL ECU 911 GALÁPAGOS - PARQUE NACIONAL GALÁPAGOS"/>
    <n v="2"/>
    <x v="3"/>
    <n v="1"/>
    <n v="0"/>
    <n v="1"/>
    <n v="2001"/>
    <s v="SAN CRISTÓBAL"/>
    <n v="1"/>
    <n v="0"/>
    <n v="0"/>
    <s v="CORRIENTE"/>
    <x v="1"/>
    <n v="570102"/>
    <s v="TASAS GENERALES, IMPUESTOS, CONTRIBUCIONES, PERMISOS, LICENCIAS Y PATENTES"/>
    <n v="0"/>
    <n v="200"/>
    <n v="0"/>
    <n v="0"/>
    <n v="0"/>
    <n v="0"/>
    <n v="0"/>
    <n v="0"/>
    <n v="200"/>
    <n v="0"/>
    <n v="0"/>
    <n v="0"/>
    <n v="0"/>
    <n v="0"/>
    <n v="200"/>
    <s v="OK"/>
    <n v="20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0"/>
    <s v="ADMINISTRACIÓN CENTRAL"/>
    <s v="PAGO DE TASA DEL SEGUIMIENTO AL CUMPLIMIENTO AL PLAN DE MANEJO AMBIENTAL DEL CENTRO OPERATIVO LOCAL ECU 911 GALÁPAGOS - PARQUE NACIONAL_x000a_GALÁPAGOS"/>
    <n v="2"/>
    <x v="3"/>
    <n v="1"/>
    <n v="0"/>
    <n v="1"/>
    <n v="2001"/>
    <s v="SAN CRISTÓBAL"/>
    <n v="1"/>
    <n v="0"/>
    <n v="0"/>
    <s v="CORRIENTE"/>
    <x v="1"/>
    <n v="570102"/>
    <s v="TASAS GENERALES, IMPUESTOS, CONTRIBUCIONES, PERMISOS, LICENCIAS Y PATENTES"/>
    <n v="0"/>
    <n v="100"/>
    <n v="0"/>
    <n v="0"/>
    <n v="0"/>
    <n v="0"/>
    <n v="0"/>
    <n v="0"/>
    <n v="100"/>
    <n v="0"/>
    <n v="0"/>
    <n v="0"/>
    <n v="0"/>
    <n v="0"/>
    <n v="100"/>
    <s v="OK"/>
    <n v="10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0"/>
    <s v="ADMINISTRACIÓN CENTRAL"/>
    <s v="PAGO DE TASA DE RECOLECCIÓN DE BASURA DEL CENTRO OPERATIVO LOCAL ECU 911 GALÁPAGOS"/>
    <n v="2"/>
    <x v="3"/>
    <n v="1"/>
    <n v="0"/>
    <n v="1"/>
    <n v="2001"/>
    <s v="SAN CRISTÓBAL"/>
    <n v="1"/>
    <n v="0"/>
    <n v="0"/>
    <s v="CORRIENTE"/>
    <x v="1"/>
    <n v="570102"/>
    <s v="TASAS GENERALES, IMPUESTOS, CONTRIBUCIONES, PERMISOS, LICENCIAS Y PATENTES"/>
    <n v="1000"/>
    <n v="1000"/>
    <n v="0"/>
    <n v="164"/>
    <n v="164"/>
    <n v="164"/>
    <n v="164"/>
    <n v="164"/>
    <n v="180"/>
    <n v="0"/>
    <n v="0"/>
    <n v="0"/>
    <n v="0"/>
    <n v="0"/>
    <n v="1000"/>
    <s v="OK"/>
    <n v="100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0"/>
    <s v="ADMINISTRACIÓN CENTRAL"/>
    <s v="PAGO DE MATRÍCULA DEL PARQUE AUTOMOTOR DEL CENTRO OPERATIVO LOCAL ECU 911 GALÁPAGOS"/>
    <n v="1"/>
    <x v="3"/>
    <n v="1"/>
    <n v="0"/>
    <n v="1"/>
    <n v="2001"/>
    <s v="SAN CRISTÓBAL"/>
    <n v="1"/>
    <n v="0"/>
    <n v="0"/>
    <s v="CORRIENTE"/>
    <x v="1"/>
    <n v="570102"/>
    <s v="TASAS GENERALES, IMPUESTOS, CONTRIBUCIONES, PERMISOS, LICENCIAS Y PATENTES"/>
    <n v="300"/>
    <n v="154.27000000000001"/>
    <n v="0"/>
    <n v="0"/>
    <n v="0"/>
    <n v="154.27000000000001"/>
    <n v="0"/>
    <n v="0"/>
    <n v="0"/>
    <n v="0"/>
    <n v="0"/>
    <n v="0"/>
    <n v="0"/>
    <n v="0"/>
    <n v="154.27000000000001"/>
    <s v="OK"/>
    <n v="154.27000000000001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0"/>
    <s v="ADMINISTRACIÓN CENTRAL"/>
    <s v="PAGO POR TASA DE REVISIÓN TÉCNICA CORRESPONDIENTE AL EJERCICIO FISCAL 2023 DE LOS VEHÍCULOS QUE CONFORMAN EL PARQUE AUTOMOTOR DEL CENTRO OPERATIVO LOCAL ECU 911 GALÁPAGOS"/>
    <n v="1"/>
    <x v="3"/>
    <n v="1"/>
    <n v="0"/>
    <n v="1"/>
    <n v="2001"/>
    <s v="SAN CRISTÓBAL"/>
    <n v="1"/>
    <n v="0"/>
    <n v="0"/>
    <s v="CORRIENTE"/>
    <x v="1"/>
    <n v="570102"/>
    <s v="TASAS GENERALES, IMPUESTOS, CONTRIBUCIONES, PERMISOS, LICENCIAS Y PATENTES"/>
    <n v="304"/>
    <n v="19"/>
    <n v="0"/>
    <n v="0"/>
    <n v="0"/>
    <n v="0"/>
    <n v="0"/>
    <n v="0"/>
    <n v="0"/>
    <n v="0"/>
    <n v="0"/>
    <n v="19"/>
    <n v="0"/>
    <n v="0"/>
    <n v="19"/>
    <s v="OK"/>
    <n v="19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0"/>
    <s v="ADMINISTRACIÓN CENTRAL"/>
    <s v="PAGO DE PERMISO DE FUNCIONAMIENTO DE CUERPO DE BOMBEROS DEL CENTRO OPERATIVO LOCAL ECU 911 GALÁPAGOS"/>
    <n v="1"/>
    <x v="3"/>
    <n v="1"/>
    <n v="0"/>
    <n v="1"/>
    <n v="2001"/>
    <s v="SAN CRISTÓBAL"/>
    <n v="1"/>
    <n v="0"/>
    <n v="0"/>
    <s v="CORRIENTE"/>
    <x v="1"/>
    <n v="570102"/>
    <s v="TASAS GENERALES, IMPUESTOS, CONTRIBUCIONES, PERMISOS, LICENCIAS Y PATENTES"/>
    <n v="330"/>
    <n v="300"/>
    <n v="0"/>
    <n v="0"/>
    <n v="0"/>
    <n v="300"/>
    <n v="0"/>
    <n v="0"/>
    <n v="0"/>
    <n v="0"/>
    <n v="0"/>
    <n v="0"/>
    <n v="0"/>
    <n v="0"/>
    <n v="300"/>
    <s v="OK"/>
    <n v="30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0"/>
    <s v="ADMINISTRACIÓN CENTRAL"/>
    <s v="PAGO DE TASA DEL CENTRO OPERATIVO LOCAL ECU 911 GALÁPAGOS - GAD SAN CRISTÓBAL"/>
    <n v="1"/>
    <x v="3"/>
    <n v="1"/>
    <n v="0"/>
    <n v="1"/>
    <n v="2001"/>
    <s v="SAN CRISTÓBAL"/>
    <n v="1"/>
    <n v="0"/>
    <n v="0"/>
    <s v="CORRIENTE"/>
    <x v="1"/>
    <n v="570102"/>
    <s v="TASAS GENERALES, IMPUESTOS, CONTRIBUCIONES, PERMISOS, LICENCIAS Y PATENTES"/>
    <n v="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0"/>
    <s v="ADMINISTRACIÓN CENTRAL"/>
    <s v="PAGO DE TASA POR PERMISO DE CIRCULACIÓN DEL CUERPO DE BOMBEROS PARA TRASLADO DE COMBUSTIBLE DEL CENTRO OPERATIVO LOCAL ECU 911 GALÁPAGOS"/>
    <n v="2"/>
    <x v="3"/>
    <n v="1"/>
    <n v="0"/>
    <n v="1"/>
    <n v="2001"/>
    <s v="SAN CRISTÓBAL"/>
    <n v="1"/>
    <n v="0"/>
    <n v="0"/>
    <s v="CORRIENTE"/>
    <x v="1"/>
    <n v="570102"/>
    <s v="TASAS GENERALES, IMPUESTOS, CONTRIBUCIONES, PERMISOS, LICENCIAS Y PATENTES"/>
    <n v="10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0"/>
    <s v="ADMINISTRACIÓN CENTRAL"/>
    <s v="PAGO DE TASA DEL CENTRO OPERATIVO LOCAL ECU 911 GALÁPAGOS - GAD SAN CRISTÓBAL"/>
    <n v="2"/>
    <x v="3"/>
    <n v="1"/>
    <n v="0"/>
    <n v="1"/>
    <n v="2001"/>
    <s v="SAN CRISTÓBAL"/>
    <n v="1"/>
    <n v="0"/>
    <n v="0"/>
    <s v="CORRIENTE"/>
    <x v="1"/>
    <n v="570102"/>
    <s v="TASAS GENERALES, IMPUESTOS, CONTRIBUCIONES, PERMISOS, LICENCIAS Y PATENTES"/>
    <n v="0"/>
    <n v="27"/>
    <n v="0"/>
    <n v="0"/>
    <n v="0"/>
    <n v="2"/>
    <n v="0"/>
    <n v="0"/>
    <n v="0"/>
    <n v="0"/>
    <n v="0"/>
    <n v="25"/>
    <n v="0"/>
    <n v="0"/>
    <n v="27"/>
    <s v="OK"/>
    <n v="27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0"/>
    <s v="ADMINISTRACIÓN CENTRAL"/>
    <s v="PAGO POR  ACERAS Y BORDILLOS  DEL CENTRO OPERATIVO LOCAL ECU 911 GALÁPAGOS - GAD SAN CRISTÓBAL"/>
    <n v="1"/>
    <x v="3"/>
    <n v="1"/>
    <n v="0"/>
    <n v="1"/>
    <n v="2001"/>
    <s v="SAN CRISTÓBAL"/>
    <n v="1"/>
    <n v="0"/>
    <n v="0"/>
    <s v="CORRIENTE"/>
    <x v="1"/>
    <n v="570104"/>
    <s v="CONTRIBUCIONES ESPECIALES Y DE MEJORA"/>
    <n v="300"/>
    <n v="2"/>
    <n v="0"/>
    <n v="0"/>
    <n v="0"/>
    <n v="0"/>
    <n v="0"/>
    <n v="2"/>
    <n v="0"/>
    <n v="0"/>
    <n v="0"/>
    <n v="0"/>
    <n v="0"/>
    <n v="0"/>
    <n v="2"/>
    <s v="OK"/>
    <n v="2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2"/>
    <s v="TECNOLOGÍA"/>
    <s v="PROVISIÓN DEL SERVICIO DE TELEFONÍA FIJA, ENLACES DE DATOS, INTERNET, SERVICIOS MÓVILES PDA Y BOTONES DE AUXILIO, Y ANTIVIRUS PARA LA COORDINACIÓN ZONAL 5 Y 8 DEL SERVICIO INTEGRADO DE SEGURIDAD ECU 911 CENTRO OPERATIVO LOCAL SAN CRISTÓBAL"/>
    <n v="1"/>
    <x v="3"/>
    <n v="55"/>
    <n v="0"/>
    <n v="3"/>
    <n v="2001"/>
    <s v="SAN CRISTÓBAL"/>
    <n v="1"/>
    <n v="0"/>
    <n v="0"/>
    <s v="CORRIENTE"/>
    <x v="0"/>
    <n v="530105"/>
    <s v="TELECOMUNICACIONES"/>
    <n v="123838"/>
    <n v="92406.5"/>
    <n v="11925"/>
    <n v="9530"/>
    <n v="9530"/>
    <n v="9530"/>
    <n v="9530"/>
    <n v="9530"/>
    <n v="9530"/>
    <n v="5515"/>
    <n v="5515"/>
    <n v="5500"/>
    <n v="3524"/>
    <n v="3247.5"/>
    <n v="92406.5"/>
    <s v="OK"/>
    <n v="91884.06"/>
    <n v="522.44000000000233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3"/>
    <x v="2"/>
    <s v="TECNOLOGÍA"/>
    <s v="SERVICIO DE MANTENIMIENTO PREVENTIVO Y CORRECTIVO PARA FOTOCOPIADORAS E IMPRESORAS DEL COL ECU 911 GALÁPAGOS"/>
    <n v="2"/>
    <x v="3"/>
    <n v="55"/>
    <n v="0"/>
    <n v="3"/>
    <n v="2001"/>
    <s v="SAN CRISTÓBAL"/>
    <n v="1"/>
    <n v="0"/>
    <n v="0"/>
    <s v="CORRIENTE"/>
    <x v="0"/>
    <n v="530704"/>
    <s v="MANTENIMIENTO Y REPARACIÓN DE EQUIPOS Y SISTEMAS INFORMÁTICOS "/>
    <n v="4018"/>
    <n v="4009"/>
    <n v="0"/>
    <n v="0"/>
    <n v="0"/>
    <n v="0"/>
    <n v="0"/>
    <n v="0"/>
    <n v="0"/>
    <n v="2300"/>
    <n v="0"/>
    <n v="0"/>
    <n v="1709"/>
    <n v="0"/>
    <n v="4009"/>
    <s v="OK"/>
    <n v="4000"/>
    <n v="9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3"/>
    <s v="ADMINISTRACIÓN CENTRAL"/>
    <s v="CANCELACIÓN DE REMUNERACIONES Y BENEFICIOS SOCIALES"/>
    <n v="1"/>
    <x v="4"/>
    <n v="1"/>
    <n v="0"/>
    <n v="1"/>
    <n v="100"/>
    <s v="CUENCA"/>
    <n v="1"/>
    <n v="0"/>
    <n v="0"/>
    <s v="CORRIENTE"/>
    <x v="3"/>
    <n v="510105"/>
    <s v="REMUNERACIONES UNIFICADAS"/>
    <n v="335052"/>
    <n v="335052"/>
    <n v="27921"/>
    <n v="27921"/>
    <n v="27921"/>
    <n v="27921"/>
    <n v="27921"/>
    <n v="27921"/>
    <n v="27921"/>
    <n v="27921"/>
    <n v="27921"/>
    <n v="27921"/>
    <n v="27921"/>
    <n v="27921"/>
    <n v="335052"/>
    <s v="OK"/>
    <n v="0"/>
    <n v="335052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3"/>
    <s v="ADMINISTRACIÓN CENTRAL"/>
    <s v="CANCELACIÓN DE REMUNERACIONES Y BENEFICIOS SOCIALES"/>
    <n v="1"/>
    <x v="4"/>
    <n v="1"/>
    <n v="0"/>
    <n v="1"/>
    <n v="100"/>
    <s v="CUENCA"/>
    <n v="1"/>
    <n v="0"/>
    <n v="0"/>
    <s v="CORRIENTE"/>
    <x v="3"/>
    <n v="510106"/>
    <s v="SALARIOS UNIFICADOS"/>
    <n v="28968"/>
    <n v="28752.05"/>
    <n v="2396"/>
    <n v="2396"/>
    <n v="2396"/>
    <n v="2396"/>
    <n v="2396"/>
    <n v="2396"/>
    <n v="2396"/>
    <n v="2396"/>
    <n v="2396"/>
    <n v="2396"/>
    <n v="2396"/>
    <n v="2396.0500000000002"/>
    <n v="28752.05"/>
    <s v="OK"/>
    <n v="0"/>
    <n v="28752.05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3"/>
    <s v="ADMINISTRACIÓN CENTRAL"/>
    <s v="CANCELACIÓN DE REMUNERACIONES Y BENEFICIOS SOCIALES"/>
    <n v="1"/>
    <x v="4"/>
    <n v="1"/>
    <n v="0"/>
    <n v="1"/>
    <n v="100"/>
    <s v="CUENCA"/>
    <n v="1"/>
    <n v="0"/>
    <n v="0"/>
    <s v="CORRIENTE"/>
    <x v="3"/>
    <n v="510203"/>
    <s v="DÉCIMO TERCER SUELDO"/>
    <n v="30335"/>
    <n v="31134"/>
    <n v="0"/>
    <n v="0"/>
    <n v="0"/>
    <n v="0"/>
    <n v="0"/>
    <n v="0"/>
    <n v="0"/>
    <n v="0"/>
    <n v="0"/>
    <n v="0"/>
    <n v="0"/>
    <n v="31134"/>
    <n v="31134"/>
    <s v="OK"/>
    <n v="0"/>
    <n v="31134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3"/>
    <s v="ADMINISTRACIÓN CENTRAL"/>
    <s v="CANCELACIÓN DE REMUNERACIONES Y BENEFICIOS SOCIALES"/>
    <n v="1"/>
    <x v="4"/>
    <n v="1"/>
    <n v="0"/>
    <n v="1"/>
    <n v="100"/>
    <s v="CUENCA"/>
    <n v="1"/>
    <n v="0"/>
    <n v="0"/>
    <s v="CORRIENTE"/>
    <x v="3"/>
    <n v="510204"/>
    <s v="DÉCIMO CUARTO SUELDO"/>
    <n v="10625"/>
    <n v="11353"/>
    <n v="0"/>
    <n v="0"/>
    <n v="0"/>
    <n v="0"/>
    <n v="0"/>
    <n v="0"/>
    <n v="0"/>
    <n v="11353"/>
    <n v="0"/>
    <n v="0"/>
    <n v="0"/>
    <n v="0"/>
    <n v="11353"/>
    <s v="OK"/>
    <n v="0"/>
    <n v="11353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3"/>
    <s v="ADMINISTRACIÓN CENTRAL"/>
    <s v="CANCELACIÓN DE REMUNERACIONES Y BENEFICIOS SOCIALES"/>
    <n v="1"/>
    <x v="4"/>
    <n v="1"/>
    <n v="0"/>
    <n v="1"/>
    <n v="100"/>
    <s v="CUENCA"/>
    <n v="1"/>
    <n v="0"/>
    <n v="0"/>
    <s v="CORRIENTE"/>
    <x v="3"/>
    <n v="510304"/>
    <s v="COMPENSACION POR TRANSPORTE"/>
    <n v="0"/>
    <n v="132"/>
    <n v="0"/>
    <n v="0"/>
    <n v="0"/>
    <n v="0"/>
    <n v="0"/>
    <n v="0"/>
    <n v="0"/>
    <n v="132"/>
    <n v="0"/>
    <n v="0"/>
    <n v="0"/>
    <n v="0"/>
    <n v="132"/>
    <s v="OK"/>
    <n v="0"/>
    <n v="132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3"/>
    <s v="ADMINISTRACIÓN CENTRAL"/>
    <s v="CANCELACIÓN DE REMUNERACIONES Y BENEFICIOS SOCIALES"/>
    <n v="1"/>
    <x v="4"/>
    <n v="1"/>
    <n v="0"/>
    <n v="1"/>
    <n v="100"/>
    <s v="CUENCA"/>
    <n v="1"/>
    <n v="0"/>
    <n v="0"/>
    <s v="CORRIENTE"/>
    <x v="3"/>
    <n v="510306"/>
    <s v="ALIMENTACION"/>
    <n v="0"/>
    <n v="660"/>
    <n v="0"/>
    <n v="0"/>
    <n v="0"/>
    <n v="0"/>
    <n v="0"/>
    <n v="0"/>
    <n v="0"/>
    <n v="660"/>
    <n v="0"/>
    <n v="0"/>
    <n v="0"/>
    <n v="0"/>
    <n v="660"/>
    <s v="OK"/>
    <n v="0"/>
    <n v="66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3"/>
    <s v="ADMINISTRACIÓN CENTRAL"/>
    <s v="CANCELACIÓN DE REMUNERACIONES Y BENEFICIOS SOCIALES"/>
    <n v="1"/>
    <x v="4"/>
    <n v="1"/>
    <n v="0"/>
    <n v="1"/>
    <n v="100"/>
    <s v="CUENCA"/>
    <n v="1"/>
    <n v="0"/>
    <n v="0"/>
    <s v="CORRIENTE"/>
    <x v="3"/>
    <n v="510401"/>
    <s v="POR CARGAS FAMILIARES"/>
    <n v="0"/>
    <n v="51"/>
    <n v="0"/>
    <n v="0"/>
    <n v="0"/>
    <n v="0"/>
    <n v="0"/>
    <n v="0"/>
    <n v="0"/>
    <n v="51"/>
    <n v="0"/>
    <n v="0"/>
    <n v="0"/>
    <n v="0"/>
    <n v="51"/>
    <s v="OK"/>
    <n v="0"/>
    <n v="51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3"/>
    <s v="ADMINISTRACIÓN CENTRAL"/>
    <s v="CANCELACIÓN DE REMUNERACIONES Y BENEFICIOS SOCIALES"/>
    <n v="1"/>
    <x v="4"/>
    <n v="1"/>
    <n v="0"/>
    <n v="1"/>
    <n v="100"/>
    <s v="CUENCA"/>
    <n v="1"/>
    <n v="0"/>
    <n v="0"/>
    <s v="CORRIENTE"/>
    <x v="3"/>
    <n v="510408"/>
    <s v="SUBSIDIO DE ANTIGUEDAD"/>
    <n v="0"/>
    <n v="50"/>
    <n v="0"/>
    <n v="0"/>
    <n v="50"/>
    <n v="0"/>
    <n v="0"/>
    <n v="0"/>
    <n v="0"/>
    <n v="0"/>
    <n v="0"/>
    <n v="0"/>
    <n v="0"/>
    <n v="0"/>
    <n v="50"/>
    <s v="OK"/>
    <n v="0"/>
    <n v="5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3"/>
    <s v="ADMINISTRACIÓN CENTRAL"/>
    <s v="CANCELACIÓN DE REMUNERACIONES Y BENEFICIOS SOCIALES"/>
    <n v="1"/>
    <x v="4"/>
    <n v="1"/>
    <n v="0"/>
    <n v="1"/>
    <n v="100"/>
    <s v="CUENCA"/>
    <n v="1"/>
    <n v="0"/>
    <n v="0"/>
    <s v="CORRIENTE"/>
    <x v="3"/>
    <n v="510509"/>
    <s v="HORAS EXTRAORDINARIAS Y SUPLEMENTARIAS"/>
    <n v="500"/>
    <n v="1000"/>
    <n v="0"/>
    <n v="40"/>
    <n v="40"/>
    <n v="95.55"/>
    <n v="95.55"/>
    <n v="95.55"/>
    <n v="105.55"/>
    <n v="105.55"/>
    <n v="105.55"/>
    <n v="105.55"/>
    <n v="105.55"/>
    <n v="105.6"/>
    <n v="999.99999999999989"/>
    <s v="OK"/>
    <n v="0"/>
    <n v="100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3"/>
    <s v="ADMINISTRACIÓN CENTRAL"/>
    <s v="CANCELACIÓN DE REMUNERACIONES Y BENEFICIOS SOCIALES"/>
    <n v="1"/>
    <x v="4"/>
    <n v="1"/>
    <n v="0"/>
    <n v="1"/>
    <n v="100"/>
    <s v="CUENCA"/>
    <n v="1"/>
    <n v="0"/>
    <n v="0"/>
    <s v="CORRIENTE"/>
    <x v="3"/>
    <n v="510512"/>
    <s v="SUBROGACIÓN "/>
    <n v="0"/>
    <n v="229.5"/>
    <n v="0"/>
    <n v="114.5"/>
    <n v="0"/>
    <n v="0"/>
    <n v="0"/>
    <n v="0"/>
    <n v="0"/>
    <n v="0"/>
    <n v="0"/>
    <n v="0"/>
    <n v="0"/>
    <n v="115"/>
    <n v="229.5"/>
    <s v="OK"/>
    <n v="0"/>
    <n v="229.5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3"/>
    <s v="ADMINISTRACIÓN CENTRAL"/>
    <s v="CANCELACIÓN DE REMUNERACIONES Y BENEFICIOS SOCIALES"/>
    <n v="1"/>
    <x v="4"/>
    <n v="1"/>
    <n v="0"/>
    <n v="1"/>
    <n v="100"/>
    <s v="CUENCA"/>
    <n v="1"/>
    <n v="0"/>
    <n v="0"/>
    <s v="CORRIENTE"/>
    <x v="3"/>
    <n v="510517"/>
    <s v="SERVICIOS PERSONALES POR CONTRATO DE PROFESIONALES DE LA SALUD"/>
    <n v="0"/>
    <n v="6704"/>
    <n v="0"/>
    <n v="0"/>
    <n v="0"/>
    <n v="0"/>
    <n v="0"/>
    <n v="0"/>
    <n v="1118"/>
    <n v="1118"/>
    <n v="1118"/>
    <n v="1118"/>
    <n v="1118"/>
    <n v="1114"/>
    <n v="6704"/>
    <s v="OK"/>
    <n v="0"/>
    <n v="6704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3"/>
    <s v="ADMINISTRACIÓN CENTRAL"/>
    <s v="CANCELACIÓN DE REMUNERACIONES Y BENEFICIOS SOCIALES"/>
    <n v="1"/>
    <x v="4"/>
    <n v="1"/>
    <n v="0"/>
    <n v="1"/>
    <n v="100"/>
    <s v="CUENCA"/>
    <n v="1"/>
    <n v="0"/>
    <n v="0"/>
    <s v="CORRIENTE"/>
    <x v="3"/>
    <n v="510601"/>
    <s v="APORTE PATRONAL"/>
    <n v="35853"/>
    <n v="36450"/>
    <n v="2992.66"/>
    <n v="2992.66"/>
    <n v="2992.66"/>
    <n v="2992.66"/>
    <n v="2992.67"/>
    <n v="2992.67"/>
    <n v="2992.67"/>
    <n v="2992.67"/>
    <n v="2992.67"/>
    <n v="2992.67"/>
    <n v="2992.67"/>
    <n v="3530.67"/>
    <n v="36449.999999999993"/>
    <s v="OK"/>
    <n v="0"/>
    <n v="3645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3"/>
    <s v="ADMINISTRACIÓN CENTRAL"/>
    <s v="CANCELACIÓN DE REMUNERACIONES Y BENEFICIOS SOCIALES"/>
    <n v="1"/>
    <x v="4"/>
    <n v="1"/>
    <n v="0"/>
    <n v="1"/>
    <n v="100"/>
    <s v="CUENCA"/>
    <n v="1"/>
    <n v="0"/>
    <n v="0"/>
    <s v="CORRIENTE"/>
    <x v="3"/>
    <n v="510602"/>
    <s v="FONDO DE RESERVA"/>
    <n v="30323"/>
    <n v="28166.5"/>
    <n v="2429.87"/>
    <n v="2429.87"/>
    <n v="2429.87"/>
    <n v="2374.3199999999997"/>
    <n v="2374.3199999999997"/>
    <n v="2374.3199999999997"/>
    <n v="2374.33"/>
    <n v="2374.33"/>
    <n v="2174.33"/>
    <n v="2174.33"/>
    <n v="2174.33"/>
    <n v="2482.2800000000002"/>
    <n v="28166.500000000007"/>
    <s v="OK"/>
    <n v="0"/>
    <n v="28166.5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3"/>
    <s v="ADMINISTRACIÓN CENTRAL"/>
    <s v="COMPENSACIÓN POR VACACIONES NO GOZADAS POR CESACIÓN DE FUNCIONES"/>
    <n v="1"/>
    <x v="4"/>
    <n v="1"/>
    <n v="0"/>
    <n v="1"/>
    <n v="100"/>
    <s v="CUENCA"/>
    <n v="1"/>
    <n v="0"/>
    <n v="0"/>
    <s v="CORRIENTE"/>
    <x v="3"/>
    <n v="510707"/>
    <s v="COMPENSACIÓN POR VACACIONES NO GOZADAS POR CESACIÓN DE FUNCIONES"/>
    <n v="0"/>
    <n v="1741"/>
    <n v="0"/>
    <n v="0"/>
    <n v="0"/>
    <n v="152"/>
    <n v="0"/>
    <n v="0"/>
    <n v="0"/>
    <n v="0"/>
    <n v="0"/>
    <n v="0"/>
    <n v="0"/>
    <n v="1589"/>
    <n v="1741"/>
    <s v="OK"/>
    <n v="0"/>
    <n v="1741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4"/>
    <s v="OPERACIONES"/>
    <s v="CANCELACIÓN DE REMUNERACIONES Y BENEFICIOS SOCIALES"/>
    <n v="1"/>
    <x v="4"/>
    <n v="55"/>
    <n v="0"/>
    <n v="2"/>
    <n v="100"/>
    <s v="CUENCA"/>
    <n v="1"/>
    <n v="0"/>
    <n v="0"/>
    <s v="CORRIENTE"/>
    <x v="3"/>
    <n v="510105"/>
    <s v="REMUNERACIONES UNIFICADAS"/>
    <n v="899976"/>
    <n v="896940"/>
    <n v="74998"/>
    <n v="74998"/>
    <n v="74998"/>
    <n v="74998"/>
    <n v="74998"/>
    <n v="74998"/>
    <n v="74998"/>
    <n v="74596.800000000003"/>
    <n v="74596.800000000003"/>
    <n v="74596.800000000003"/>
    <n v="74596.800000000003"/>
    <n v="73566.8"/>
    <n v="896940.00000000023"/>
    <s v="OK"/>
    <n v="0"/>
    <n v="896940"/>
    <s v="R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4"/>
    <s v="OPERACIONES"/>
    <s v="CANCELACIÓN DE REMUNERACIONES Y BENEFICIOS SOCIALES"/>
    <n v="1"/>
    <x v="4"/>
    <n v="55"/>
    <n v="0"/>
    <n v="2"/>
    <n v="100"/>
    <s v="CUENCA"/>
    <n v="1"/>
    <n v="0"/>
    <n v="0"/>
    <s v="CORRIENTE"/>
    <x v="3"/>
    <n v="510203"/>
    <s v="DÉCIMO TERCER SUELDO"/>
    <n v="78183"/>
    <n v="77946.990000000005"/>
    <n v="0"/>
    <n v="0"/>
    <n v="0"/>
    <n v="0"/>
    <n v="0"/>
    <n v="0"/>
    <n v="0"/>
    <n v="0"/>
    <n v="0"/>
    <n v="0"/>
    <n v="0"/>
    <n v="77946.990000000005"/>
    <n v="77946.990000000005"/>
    <s v="OK"/>
    <n v="0"/>
    <n v="77946.990000000005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4"/>
    <s v="OPERACIONES"/>
    <s v="CANCELACIÓN DE REMUNERACIONES Y BENEFICIOS SOCIALES"/>
    <n v="1"/>
    <x v="4"/>
    <n v="55"/>
    <n v="0"/>
    <n v="2"/>
    <n v="100"/>
    <s v="CUENCA"/>
    <n v="1"/>
    <n v="0"/>
    <n v="0"/>
    <s v="CORRIENTE"/>
    <x v="3"/>
    <n v="510204"/>
    <s v="DÉCIMO CUARTO SUELDO"/>
    <n v="42500"/>
    <n v="45114"/>
    <n v="0"/>
    <n v="0"/>
    <n v="0"/>
    <n v="0"/>
    <n v="0"/>
    <n v="0"/>
    <n v="0"/>
    <n v="45114"/>
    <n v="0"/>
    <n v="0"/>
    <n v="0"/>
    <n v="0"/>
    <n v="45114"/>
    <s v="OK"/>
    <n v="0"/>
    <n v="45114"/>
    <s v="R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4"/>
    <s v="OPERACIONES"/>
    <s v="CANCELACIÓN DE REMUNERACIONES Y BENEFICIOS SOCIALES"/>
    <n v="1"/>
    <x v="4"/>
    <n v="55"/>
    <n v="0"/>
    <n v="2"/>
    <n v="100"/>
    <s v="CUENCA"/>
    <n v="1"/>
    <n v="0"/>
    <n v="0"/>
    <s v="CORRIENTE"/>
    <x v="3"/>
    <n v="510510"/>
    <s v="SERVICIOS PERSONALES POR CONTRATO"/>
    <n v="38220"/>
    <n v="37258.449999999997"/>
    <n v="4173.83"/>
    <n v="4173.83"/>
    <n v="4173.83"/>
    <n v="3769.83"/>
    <n v="3769.83"/>
    <n v="3769.83"/>
    <n v="2237.91"/>
    <n v="2237.91"/>
    <n v="2237.91"/>
    <n v="2237.91"/>
    <n v="2237.91"/>
    <n v="2237.92"/>
    <n v="37258.449999999997"/>
    <s v="OK"/>
    <n v="0"/>
    <n v="37258.449999999997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4"/>
    <s v="OPERACIONES"/>
    <s v="CANCELACIÓN DE REMUNERACIONES Y BENEFICIOS SOCIALES"/>
    <n v="1"/>
    <x v="4"/>
    <n v="55"/>
    <n v="0"/>
    <n v="2"/>
    <n v="100"/>
    <s v="CUENCA"/>
    <n v="1"/>
    <n v="0"/>
    <n v="0"/>
    <s v="CORRIENTE"/>
    <x v="6"/>
    <n v="510512"/>
    <s v="SUBROGACIÓN "/>
    <n v="0"/>
    <n v="1848"/>
    <n v="0"/>
    <n v="462"/>
    <n v="0"/>
    <n v="0"/>
    <n v="1386"/>
    <n v="0"/>
    <n v="0"/>
    <n v="0"/>
    <n v="0"/>
    <n v="0"/>
    <n v="0"/>
    <n v="0"/>
    <n v="1848"/>
    <s v="OK"/>
    <n v="0"/>
    <n v="1848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4"/>
    <s v="OPERACIONES"/>
    <s v="CANCELACIÓN DE REMUNERACIONES Y BENEFICIOS SOCIALES"/>
    <n v="1"/>
    <x v="4"/>
    <n v="55"/>
    <n v="0"/>
    <n v="2"/>
    <n v="100"/>
    <s v="CUENCA"/>
    <n v="1"/>
    <n v="0"/>
    <n v="0"/>
    <s v="CORRIENTE"/>
    <x v="3"/>
    <n v="510601"/>
    <s v="APORTE PATRONAL"/>
    <n v="90536"/>
    <n v="90481"/>
    <n v="7640.08"/>
    <n v="7640.08"/>
    <n v="7640.08"/>
    <n v="7628.97"/>
    <n v="7628.97"/>
    <n v="7628.97"/>
    <n v="7628.97"/>
    <n v="7628.97"/>
    <n v="7628.97"/>
    <n v="7258.97"/>
    <n v="7258.97"/>
    <n v="7269"/>
    <n v="90481"/>
    <s v="OK"/>
    <n v="0"/>
    <n v="90481"/>
    <s v="R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4"/>
    <s v="OPERACIONES"/>
    <s v="CANCELACIÓN DE REMUNERACIONES Y BENEFICIOS SOCIALES"/>
    <n v="1"/>
    <x v="4"/>
    <n v="55"/>
    <n v="0"/>
    <n v="2"/>
    <n v="100"/>
    <s v="CUENCA"/>
    <n v="1"/>
    <n v="0"/>
    <n v="0"/>
    <s v="CORRIENTE"/>
    <x v="3"/>
    <n v="510602"/>
    <s v="FONDO DE RESERVA"/>
    <n v="55059"/>
    <n v="70992"/>
    <n v="5357.08"/>
    <n v="5357.08"/>
    <n v="5357.08"/>
    <n v="6220.41"/>
    <n v="6220.41"/>
    <n v="6220.41"/>
    <n v="6180.41"/>
    <n v="6180.41"/>
    <n v="6180.41"/>
    <n v="5810.41"/>
    <n v="5810.41"/>
    <n v="6097.48"/>
    <n v="70992.000000000015"/>
    <s v="OK"/>
    <n v="0"/>
    <n v="70992"/>
    <s v="R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4"/>
    <s v="OPERACIONES"/>
    <s v="CANCELACIÓN DE REMUNERACIONES Y BENEFICIOS SOCIALES"/>
    <n v="1"/>
    <x v="4"/>
    <n v="55"/>
    <n v="0"/>
    <n v="2"/>
    <n v="100"/>
    <s v="CUENCA"/>
    <n v="1"/>
    <n v="0"/>
    <n v="0"/>
    <s v="CORRIENTE"/>
    <x v="3"/>
    <n v="510707"/>
    <s v="COMPENSACIÓN POR VACACIONES NO GOZADAS POR CESACIÓN DE FUNCIONES"/>
    <n v="0"/>
    <n v="1106.72"/>
    <n v="0"/>
    <n v="0"/>
    <n v="32.72"/>
    <n v="0"/>
    <n v="0"/>
    <n v="0"/>
    <n v="0"/>
    <n v="0"/>
    <n v="0"/>
    <n v="0"/>
    <n v="0"/>
    <n v="1074"/>
    <n v="1106.72"/>
    <s v="OK"/>
    <n v="0"/>
    <n v="1106.72"/>
    <s v="R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5"/>
    <s v="TECNOLOGÍA"/>
    <s v="CANCELACIÓN DE REMUNERACIONES Y BENEFICIOS SOCIALES"/>
    <n v="1"/>
    <x v="4"/>
    <n v="55"/>
    <n v="0"/>
    <n v="3"/>
    <n v="100"/>
    <s v="CUENCA"/>
    <n v="1"/>
    <n v="0"/>
    <n v="0"/>
    <s v="CORRIENTE"/>
    <x v="3"/>
    <n v="510105"/>
    <s v="REMUNERACIONES UNIFICADAS"/>
    <n v="63744"/>
    <n v="63744"/>
    <n v="5312"/>
    <n v="5312"/>
    <n v="5312"/>
    <n v="5312"/>
    <n v="5312"/>
    <n v="5312"/>
    <n v="5312"/>
    <n v="5312"/>
    <n v="5312"/>
    <n v="5312"/>
    <n v="5312"/>
    <n v="5312"/>
    <n v="63744"/>
    <s v="OK"/>
    <n v="0"/>
    <n v="63744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5"/>
    <s v="TECNOLOGÍA"/>
    <s v="CANCELACIÓN DE REMUNERACIONES Y BENEFICIOS SOCIALES"/>
    <n v="1"/>
    <x v="4"/>
    <n v="55"/>
    <n v="0"/>
    <n v="3"/>
    <n v="100"/>
    <s v="CUENCA"/>
    <n v="1"/>
    <n v="0"/>
    <n v="0"/>
    <s v="CORRIENTE"/>
    <x v="3"/>
    <n v="510203"/>
    <s v="DÉCIMO TERCER SUELDO"/>
    <n v="5312"/>
    <n v="5370"/>
    <n v="0"/>
    <n v="0"/>
    <n v="0"/>
    <n v="0"/>
    <n v="0"/>
    <n v="0"/>
    <n v="0"/>
    <n v="0"/>
    <n v="0"/>
    <n v="0"/>
    <n v="0"/>
    <n v="5370"/>
    <n v="5370"/>
    <s v="OK"/>
    <n v="0"/>
    <n v="537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5"/>
    <s v="TECNOLOGÍA"/>
    <s v="CANCELACIÓN DE REMUNERACIONES Y BENEFICIOS SOCIALES"/>
    <n v="1"/>
    <x v="4"/>
    <n v="55"/>
    <n v="0"/>
    <n v="3"/>
    <n v="100"/>
    <s v="CUENCA"/>
    <n v="1"/>
    <n v="0"/>
    <n v="0"/>
    <s v="CORRIENTE"/>
    <x v="3"/>
    <n v="510204"/>
    <s v="DÉCIMO CUARTO SUELDO"/>
    <n v="1700"/>
    <n v="1812.5"/>
    <n v="0"/>
    <n v="0"/>
    <n v="0"/>
    <n v="0"/>
    <n v="0"/>
    <n v="0"/>
    <n v="0"/>
    <n v="1812.5"/>
    <n v="0"/>
    <n v="0"/>
    <n v="0"/>
    <n v="0"/>
    <n v="1812.5"/>
    <s v="OK"/>
    <n v="0"/>
    <n v="1812.5"/>
    <s v="R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5"/>
    <s v="TECNOLOGÍA"/>
    <s v="CANCELACIÓN DE REMUNERACIONES Y BENEFICIOS SOCIALES"/>
    <n v="1"/>
    <x v="4"/>
    <n v="55"/>
    <n v="0"/>
    <n v="3"/>
    <n v="100"/>
    <s v="CUENCA"/>
    <n v="1"/>
    <n v="0"/>
    <n v="0"/>
    <s v="CORRIENTE"/>
    <x v="3"/>
    <n v="510512"/>
    <s v="SUBROGACIÓN "/>
    <n v="0"/>
    <n v="692"/>
    <n v="0"/>
    <n v="346"/>
    <n v="0"/>
    <n v="0"/>
    <n v="0"/>
    <n v="0"/>
    <n v="0"/>
    <n v="0"/>
    <n v="0"/>
    <n v="0"/>
    <n v="0"/>
    <n v="346"/>
    <n v="692"/>
    <s v="OK"/>
    <n v="0"/>
    <n v="692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5"/>
    <s v="TECNOLOGÍA"/>
    <s v="CANCELACIÓN DE REMUNERACIONES Y BENEFICIOS SOCIALES"/>
    <n v="1"/>
    <x v="4"/>
    <n v="55"/>
    <n v="0"/>
    <n v="3"/>
    <n v="100"/>
    <s v="CUENCA"/>
    <n v="1"/>
    <n v="0"/>
    <n v="0"/>
    <s v="CORRIENTE"/>
    <x v="3"/>
    <n v="510601"/>
    <s v="APORTE PATRONAL"/>
    <n v="6152"/>
    <n v="6222"/>
    <n v="512"/>
    <n v="512"/>
    <n v="512"/>
    <n v="519.77"/>
    <n v="520.77"/>
    <n v="520.77"/>
    <n v="520.77"/>
    <n v="520.77"/>
    <n v="520.77"/>
    <n v="520.77"/>
    <n v="520.77"/>
    <n v="520.84"/>
    <n v="6222.0000000000018"/>
    <s v="OK"/>
    <n v="0"/>
    <n v="6222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5"/>
    <s v="TECNOLOGÍA"/>
    <s v="CANCELACIÓN DE REMUNERACIONES Y BENEFICIOS SOCIALES"/>
    <n v="1"/>
    <x v="4"/>
    <n v="55"/>
    <n v="0"/>
    <n v="3"/>
    <n v="100"/>
    <s v="CUENCA"/>
    <n v="1"/>
    <n v="0"/>
    <n v="0"/>
    <s v="CORRIENTE"/>
    <x v="3"/>
    <n v="510602"/>
    <s v="FONDO DE RESERVA"/>
    <n v="5310"/>
    <n v="5368"/>
    <n v="409"/>
    <n v="409"/>
    <n v="409"/>
    <n v="460.11"/>
    <n v="460.11"/>
    <n v="460.11"/>
    <n v="460.11"/>
    <n v="460.11"/>
    <n v="460.11"/>
    <n v="460.11"/>
    <n v="460.11"/>
    <n v="460.12"/>
    <n v="5368"/>
    <s v="OK"/>
    <n v="0"/>
    <n v="5368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3"/>
    <s v="ADMINISTRACIÓN CENTRAL"/>
    <s v="ADMINISTRACIÓN Y GESTIÓN"/>
    <n v="1"/>
    <x v="4"/>
    <n v="1"/>
    <n v="0"/>
    <n v="1"/>
    <n v="101"/>
    <s v="CUENCA"/>
    <n v="1"/>
    <n v="0"/>
    <n v="0"/>
    <s v="CORRIENTE"/>
    <x v="0"/>
    <n v="530101"/>
    <s v="AGUA POTABLE"/>
    <n v="3360"/>
    <n v="3360"/>
    <n v="280"/>
    <n v="280"/>
    <n v="280"/>
    <n v="280"/>
    <n v="280"/>
    <n v="280"/>
    <n v="280"/>
    <n v="280"/>
    <n v="280"/>
    <n v="280"/>
    <n v="280"/>
    <n v="280"/>
    <n v="3360"/>
    <s v="OK"/>
    <n v="336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3"/>
    <s v="ADMINISTRACIÓN CENTRAL"/>
    <s v="ADMINISTRACIÓN Y GESTIÓN"/>
    <n v="1"/>
    <x v="4"/>
    <n v="1"/>
    <n v="0"/>
    <n v="1"/>
    <n v="101"/>
    <s v="CUENCA"/>
    <n v="1"/>
    <n v="0"/>
    <n v="0"/>
    <s v="CORRIENTE"/>
    <x v="0"/>
    <n v="530104"/>
    <s v="ENERGÍA ELÉCTRICA"/>
    <n v="54000"/>
    <n v="54000"/>
    <n v="4500"/>
    <n v="4500"/>
    <n v="4500"/>
    <n v="4500"/>
    <n v="4500"/>
    <n v="4500"/>
    <n v="4500"/>
    <n v="4500"/>
    <n v="4500"/>
    <n v="4500"/>
    <n v="4500"/>
    <n v="4500"/>
    <n v="54000"/>
    <s v="OK"/>
    <n v="5400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3"/>
    <s v="ADMINISTRACIÓN CENTRAL"/>
    <s v="CONTRATACIÓN DEL SERVICIO DE CORRESPONDENCIA PARA LA COORDINACIÓN ZONAL 6 SIS ECU 911"/>
    <n v="1"/>
    <x v="4"/>
    <n v="1"/>
    <n v="0"/>
    <n v="1"/>
    <n v="101"/>
    <s v="CUENCA"/>
    <n v="1"/>
    <n v="0"/>
    <n v="0"/>
    <s v="CORRIENTE"/>
    <x v="0"/>
    <n v="530106"/>
    <s v="SERVICIO DE CORREO"/>
    <n v="480"/>
    <n v="239.25"/>
    <n v="40"/>
    <n v="40"/>
    <n v="15.92"/>
    <n v="15.92"/>
    <n v="15.92"/>
    <n v="15.92"/>
    <n v="15.92"/>
    <n v="15.92"/>
    <n v="15.92"/>
    <n v="15.92"/>
    <n v="15.92"/>
    <n v="15.97"/>
    <n v="239.24999999999994"/>
    <s v="OK"/>
    <n v="239.25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3"/>
    <s v="ADMINISTRACIÓN CENTRAL"/>
    <s v="CONTRATACIÓN DEL SERVICIO DE TRANSPORTE PARA EL PERSONAL OPERATIVO DE LA CZ6 SIS ECU 911"/>
    <n v="1"/>
    <x v="4"/>
    <n v="1"/>
    <n v="0"/>
    <n v="1"/>
    <n v="101"/>
    <s v="CUENCA"/>
    <n v="1"/>
    <n v="0"/>
    <n v="0"/>
    <s v="CORRIENTE"/>
    <x v="0"/>
    <n v="530201"/>
    <s v="TRANSPORTE DE PERSONAL"/>
    <n v="27600"/>
    <n v="25200.33"/>
    <n v="2100.0300000000002"/>
    <n v="2100.0300000000002"/>
    <n v="2100.0300000000002"/>
    <n v="2100.0300000000002"/>
    <n v="2100.0300000000002"/>
    <n v="2100.0300000000002"/>
    <n v="2100.0300000000002"/>
    <n v="2100.0300000000002"/>
    <n v="2100.0300000000002"/>
    <n v="2100.0300000000002"/>
    <n v="2100.0100000000002"/>
    <n v="2100.02"/>
    <n v="25200.329999999998"/>
    <s v="OK"/>
    <n v="25200.33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3"/>
    <s v="ADMINISTRACIÓN CENTRAL"/>
    <s v="CONTRATACIÓN DEL SERVICIO DE RECARGA DE EXTINTORES"/>
    <n v="1"/>
    <x v="4"/>
    <n v="1"/>
    <n v="0"/>
    <n v="1"/>
    <n v="101"/>
    <s v="CUENCA"/>
    <n v="1"/>
    <n v="0"/>
    <n v="0"/>
    <s v="CORRIENTE"/>
    <x v="0"/>
    <n v="530203"/>
    <s v="ALMACENAMIENTO, EMBALAJE, DESEMBALAJE, ENVASE, DESENVASE Y RECARGA DE EXTINTORES"/>
    <n v="170"/>
    <n v="157.19"/>
    <n v="0"/>
    <n v="0"/>
    <n v="0"/>
    <n v="0"/>
    <n v="0"/>
    <n v="0"/>
    <n v="0"/>
    <n v="0"/>
    <n v="0"/>
    <n v="157.19"/>
    <n v="0"/>
    <n v="0"/>
    <n v="157.19"/>
    <s v="OK"/>
    <n v="144.38"/>
    <n v="12.810000000000002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3"/>
    <s v="ADMINISTRACIÓN CENTRAL"/>
    <s v="CONTRATACIÓN DEL SERVICIO DE IMPRESIÓN DE MATERIAL POP PARA LAS ACTIVIDADES DE VINCULACIÓN DE LA COORDINACIÓN ZONAL 6 SIS ECU 911"/>
    <n v="1"/>
    <x v="4"/>
    <n v="1"/>
    <n v="0"/>
    <n v="1"/>
    <n v="101"/>
    <s v="CUENCA"/>
    <n v="1"/>
    <n v="0"/>
    <n v="0"/>
    <s v="CORRIENTE"/>
    <x v="0"/>
    <n v="530204"/>
    <s v="EDICIÓN, IMPRESIÓN, REPRODUCCIÓN, PUBLICACIONES, SUSCRIPCIONES, FOTOCOPIADO, TRADUCCIÓN, EMPASTADO, ENMARCACIÓN, SERIGRAFÍA, FOTOGRAFÍA, CARNETIZACIÓN, FILMACIÓN E IMÁGENES SATELITALES"/>
    <n v="0"/>
    <n v="15850"/>
    <n v="0"/>
    <n v="0"/>
    <n v="0"/>
    <n v="0"/>
    <n v="0"/>
    <n v="0"/>
    <n v="0"/>
    <n v="0"/>
    <n v="0"/>
    <n v="0"/>
    <n v="15850"/>
    <n v="0"/>
    <n v="15850"/>
    <s v="OK"/>
    <n v="0"/>
    <n v="1585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3"/>
    <s v="ADMINISTRACIÓN CENTRAL"/>
    <s v="CONTRATACIÓN DEL SERVICIO DE IMPRESIÓN DE MATERIAL EDUCOMUNICACIONAL PARA LAS ACTIVIDADES DE VINCULACIÓN DE LA CZ6 SIS ECU 911"/>
    <n v="1"/>
    <x v="4"/>
    <n v="1"/>
    <n v="0"/>
    <n v="1"/>
    <n v="101"/>
    <s v="CUENCA"/>
    <n v="1"/>
    <n v="0"/>
    <n v="0"/>
    <s v="CORRIENTE"/>
    <x v="0"/>
    <n v="530204"/>
    <s v="EDICIÓN, IMPRESIÓN, REPRODUCCIÓN, PUBLICACIONES, SUSCRIPCIONES, FOTOCOPIADO, TRADUCCIÓN, EMPASTADO, ENMARCACIÓN, SERIGRAFÍA, FOTOGRAFÍA, CARNETIZACIÓN, FILMACIÓN E IMÁGENES SATELITALES"/>
    <n v="500"/>
    <n v="6315"/>
    <n v="0"/>
    <n v="0"/>
    <n v="0"/>
    <n v="0"/>
    <n v="0"/>
    <n v="0"/>
    <n v="0"/>
    <n v="0"/>
    <n v="0"/>
    <n v="0"/>
    <n v="0"/>
    <n v="6315"/>
    <n v="6315"/>
    <s v="OK"/>
    <n v="6130"/>
    <n v="185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3"/>
    <s v="ADMINISTRACIÓN CENTRAL"/>
    <s v="CONTRATACIÓN DEL SERVICIO DE VIGILANCIA, SEGURIDAD ARMADA Y SUPERVISADA, PARA CUSTODIAR Y PROTEGER EL PATRIMONIO INSTITUCIONAL DE LA COORDINACIÓN ZONAL 6 SERVICIO INTEGRADO DE SEGURIDAD ECU 911 CUENCA Y MACAS"/>
    <n v="1"/>
    <x v="4"/>
    <n v="1"/>
    <n v="0"/>
    <n v="1"/>
    <n v="101"/>
    <s v="CUENCA"/>
    <n v="1"/>
    <n v="0"/>
    <n v="0"/>
    <s v="CORRIENTE"/>
    <x v="0"/>
    <n v="530208"/>
    <s v="SERVICIO DE SEGURIDAD Y VIGILANCIA"/>
    <n v="93540"/>
    <n v="123394.43"/>
    <n v="10611.47"/>
    <n v="10611.47"/>
    <n v="10611.47"/>
    <n v="10312.4"/>
    <n v="10312.4"/>
    <n v="10312.4"/>
    <n v="17728.400000000001"/>
    <n v="8707.2199999999993"/>
    <n v="8707.2199999999993"/>
    <n v="8707.2199999999993"/>
    <n v="8707.2199999999993"/>
    <n v="8065.54"/>
    <n v="123394.43000000001"/>
    <s v="OK"/>
    <n v="123394.43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3"/>
    <s v="ADMINISTRACIÓN CENTRAL"/>
    <s v="CONTRATACIÓN DEL SERVICIO DE LIMPIEZA DEL EDIFICIO DE LA COORDINACIÓN ZONAL 6"/>
    <n v="1"/>
    <x v="4"/>
    <n v="1"/>
    <n v="0"/>
    <n v="1"/>
    <n v="101"/>
    <s v="CUENCA"/>
    <n v="1"/>
    <n v="0"/>
    <n v="0"/>
    <s v="CORRIENTE"/>
    <x v="0"/>
    <n v="530209"/>
    <s v="SERVICIOS DE ASEO, LAVADO DE VESTIMENTA DE TRABAJO, FUMIGACIÓN, DESINFECCIÓN, LIMPIEZA DE INSTALACIONES, MANEJO DE DESECHOS CONTAMINADOS, RECUPERACIÓN Y CLASIFICACIÓN DE MATERIALES RECICLABLES"/>
    <n v="17586"/>
    <n v="18062.88"/>
    <n v="3010.48"/>
    <n v="3010.48"/>
    <n v="1204.19"/>
    <n v="1204.19"/>
    <n v="1204.19"/>
    <n v="1204.19"/>
    <n v="1204.19"/>
    <n v="1204.19"/>
    <n v="1204.19"/>
    <n v="1204.19"/>
    <n v="1204.19"/>
    <n v="1204.21"/>
    <n v="18062.88"/>
    <s v="OK"/>
    <n v="18062.88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3"/>
    <s v="ADMINISTRACIÓN CENTRAL"/>
    <s v="CANCELACIÓN DEL  SERVICIO DE RECOLECCIÓN DE BASURA  DEL EDIFICIO DE LA COORDINACIÓN ZONAL 6"/>
    <n v="1"/>
    <x v="4"/>
    <n v="1"/>
    <n v="0"/>
    <n v="1"/>
    <n v="101"/>
    <s v="CUENCA"/>
    <n v="1"/>
    <n v="0"/>
    <n v="0"/>
    <s v="CORRIENTE"/>
    <x v="0"/>
    <n v="530209"/>
    <s v="SERVICIOS DE ASEO, LAVADO DE VESTIMENTA DE TRABAJO, FUMIGACIÓN, DESINFECCIÓN, LIMPIEZA DE INSTALACIONES, MANEJO DE DESECHOS CONTAMINADOS, RECUPERACIÓN Y CLASIFICACIÓN DE MATERIALES RECICLABLES"/>
    <n v="1020"/>
    <n v="2100"/>
    <n v="350"/>
    <n v="350"/>
    <n v="140"/>
    <n v="140"/>
    <n v="140"/>
    <n v="140"/>
    <n v="140"/>
    <n v="140"/>
    <n v="140"/>
    <n v="140"/>
    <n v="140"/>
    <n v="140"/>
    <n v="2100"/>
    <s v="OK"/>
    <n v="2100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3"/>
    <s v="ADMINISTRACIÓN CENTRAL"/>
    <s v="CONTRATACIÓN DEL SERVICIO DE FUMIGACIÓN DEL EDIFICIO"/>
    <n v="1"/>
    <x v="4"/>
    <n v="1"/>
    <n v="0"/>
    <n v="1"/>
    <n v="101"/>
    <s v="CUENCA"/>
    <n v="1"/>
    <n v="0"/>
    <n v="0"/>
    <s v="CORRIENTE"/>
    <x v="0"/>
    <n v="530209"/>
    <s v="SERVICIOS DE ASEO, LAVADO DE VESTIMENTA DE TRABAJO, FUMIGACIÓN, DESINFECCIÓN, LIMPIEZA DE INSTALACIONES, MANEJO DE DESECHOS CONTAMINADOS, RECUPERACIÓN Y CLASIFICACIÓN DE MATERIALES RECICLABLES"/>
    <n v="270"/>
    <n v="268.5"/>
    <n v="0"/>
    <n v="90"/>
    <n v="0"/>
    <n v="35.4"/>
    <n v="0"/>
    <n v="35.4"/>
    <n v="0"/>
    <n v="35.4"/>
    <n v="0"/>
    <n v="35.4"/>
    <n v="0"/>
    <n v="36.9"/>
    <n v="268.5"/>
    <s v="OK"/>
    <n v="267"/>
    <n v="1.5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3"/>
    <s v="ADMINISTRACIÓN CENTRAL"/>
    <s v="SERVICIO DE GUARDERIA PARA LOS HIJOS MENORES DE 5 AÑOS DE LOS FUNCIONARIOS DE LA COORDINACIÓN ZONAL 6 ECU 911 CUENCA Y MACAS"/>
    <n v="1"/>
    <x v="4"/>
    <n v="1"/>
    <n v="0"/>
    <n v="1"/>
    <n v="101"/>
    <s v="CUENCA"/>
    <n v="1"/>
    <n v="0"/>
    <n v="0"/>
    <s v="CORRIENTE"/>
    <x v="0"/>
    <n v="530210"/>
    <s v="SERVICIO DE GUARDERÍA"/>
    <n v="0"/>
    <n v="5580"/>
    <n v="0"/>
    <n v="0"/>
    <n v="0"/>
    <n v="0"/>
    <n v="0"/>
    <n v="0"/>
    <n v="0"/>
    <n v="0"/>
    <n v="0"/>
    <n v="0"/>
    <n v="2790"/>
    <n v="2790"/>
    <n v="5580"/>
    <s v="OK"/>
    <n v="0"/>
    <n v="558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3"/>
    <s v="ADMINISTRACIÓN CENTRAL"/>
    <s v="SERVICIO DE RASTREO SATELITAL PARA REALIZAR EL MONITOREO DE LOS VEHÍCULOS DE LA CZ6 SIS ECU 911 CUECA - MACAS "/>
    <n v="1"/>
    <x v="4"/>
    <n v="1"/>
    <n v="0"/>
    <n v="1"/>
    <n v="101"/>
    <s v="CUENCA"/>
    <n v="1"/>
    <n v="0"/>
    <n v="0"/>
    <s v="CORRIENTE"/>
    <x v="0"/>
    <n v="530246"/>
    <s v="SERVICIOS DE IDENTIFICACIÓN, MARCACIÓN, AUTENTIFICACIÓN, RASTREO, MONITOREO, SEGUIMIENTO Y/O TRAZABILIDAD"/>
    <n v="0"/>
    <n v="720"/>
    <n v="0"/>
    <n v="0"/>
    <n v="0"/>
    <n v="79.989999999999995"/>
    <n v="79.989999999999995"/>
    <n v="79.989999999999995"/>
    <n v="79.989999999999995"/>
    <n v="79.989999999999995"/>
    <n v="79.989999999999995"/>
    <n v="79.989999999999995"/>
    <n v="79.989999999999995"/>
    <n v="80.08"/>
    <n v="720"/>
    <s v="OK"/>
    <n v="72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3"/>
    <s v="ADMINISTRACIÓN CENTRAL"/>
    <s v="ADQUISICIÓN DE COMBUSTIBLE PARA EL PARQUE AUTOMOTOR DE LA CZ6 SIS ECU 911"/>
    <n v="1"/>
    <x v="4"/>
    <n v="1"/>
    <n v="0"/>
    <n v="1"/>
    <n v="101"/>
    <s v="CUENCA"/>
    <n v="1"/>
    <n v="0"/>
    <n v="0"/>
    <s v="CORRIENTE"/>
    <x v="2"/>
    <n v="530255"/>
    <s v="COMBUSTIBLES"/>
    <n v="0"/>
    <n v="559.51000000000022"/>
    <n v="0"/>
    <n v="186.5"/>
    <n v="186.5"/>
    <n v="186.51"/>
    <n v="0"/>
    <n v="0"/>
    <n v="0"/>
    <n v="0"/>
    <n v="0"/>
    <n v="0"/>
    <n v="0"/>
    <n v="0"/>
    <n v="559.51"/>
    <s v="OK"/>
    <n v="559.51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3"/>
    <s v="ADMINISTRACIÓN CENTRAL"/>
    <s v="CONTRATACIÓN DEL SERVICIO PARA LA PROVISIÓN DE COMBUSTIBLE PARA LOS VEHÍCULOS DE LA COORDINACIÓN ZONAL 6 SI ECU 911"/>
    <n v="1"/>
    <x v="4"/>
    <n v="1"/>
    <n v="0"/>
    <n v="1"/>
    <n v="101"/>
    <s v="CUENCA"/>
    <n v="1"/>
    <n v="0"/>
    <n v="0"/>
    <s v="CORRIENTE"/>
    <x v="0"/>
    <n v="530255"/>
    <s v="COMBUSTIBLES"/>
    <n v="0"/>
    <n v="2840.49"/>
    <n v="0"/>
    <n v="0"/>
    <n v="0"/>
    <n v="0"/>
    <n v="355.06"/>
    <n v="355.06"/>
    <n v="355.06"/>
    <n v="355.06"/>
    <n v="355.06"/>
    <n v="355.06"/>
    <n v="355.06"/>
    <n v="355.07"/>
    <n v="2840.4900000000002"/>
    <s v="OK"/>
    <n v="2839.06"/>
    <n v="1.4299999999998363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3"/>
    <s v="ADMINISTRACIÓN CENTRAL"/>
    <s v="ADQUISICIÓN DE COMBUSTIBLE PARA LOS GENERADORES DE LA CZ6 SIS ECU 911"/>
    <n v="1"/>
    <x v="4"/>
    <n v="1"/>
    <n v="0"/>
    <n v="1"/>
    <n v="101"/>
    <s v="CUENCA"/>
    <n v="1"/>
    <n v="0"/>
    <n v="0"/>
    <s v="CORRIENTE"/>
    <x v="2"/>
    <n v="530255"/>
    <s v="COMBUSTIBLES"/>
    <n v="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3"/>
    <s v="ADMINISTRACIÓN CENTRAL"/>
    <s v="CONTRATACIÓN DEL SERVICIO PARA LA PROVISIÓN DE COMBUSTIBLE PARA LOS GENERADORES DE LA COORDINACIÓN ZONAL 6 SIS ECU 911"/>
    <n v="1"/>
    <x v="4"/>
    <n v="1"/>
    <n v="0"/>
    <n v="1"/>
    <n v="101"/>
    <s v="CUENCA"/>
    <n v="1"/>
    <n v="0"/>
    <n v="0"/>
    <s v="CORRIENTE"/>
    <x v="0"/>
    <n v="530255"/>
    <s v="COMBUSTIBLES"/>
    <n v="0"/>
    <n v="193.04"/>
    <n v="0"/>
    <n v="0"/>
    <n v="0"/>
    <n v="0"/>
    <n v="193.04"/>
    <n v="0"/>
    <n v="0"/>
    <n v="0"/>
    <n v="0"/>
    <n v="0"/>
    <n v="0"/>
    <n v="0"/>
    <n v="193.04"/>
    <s v="OK"/>
    <n v="187.5"/>
    <n v="5.539999999999992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3"/>
    <s v="ADMINISTRACIÓN CENTRAL"/>
    <s v="REEMBOLSO POR COMPRA DE COMBUSTIBLE EN COMISIONES DE LA CZ6 SIS ECU 911"/>
    <n v="1"/>
    <x v="4"/>
    <n v="1"/>
    <n v="0"/>
    <n v="1"/>
    <n v="101"/>
    <s v="CUENCA"/>
    <n v="1"/>
    <n v="0"/>
    <n v="0"/>
    <s v="CORRIENTE"/>
    <x v="2"/>
    <n v="530255"/>
    <s v="COMBUSTIBLES"/>
    <n v="0"/>
    <n v="100"/>
    <n v="0"/>
    <n v="0"/>
    <n v="0"/>
    <n v="0"/>
    <n v="0"/>
    <n v="0"/>
    <n v="0"/>
    <n v="0"/>
    <n v="0"/>
    <n v="0"/>
    <n v="0"/>
    <n v="100"/>
    <n v="100"/>
    <s v="OK"/>
    <n v="10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3"/>
    <s v="ADMINISTRACIÓN CENTRAL"/>
    <s v="CONTRATACIÓN DE UNA AGENCIA DE VIAJES QUE BRINDE EL SERVICIO DE EMISIÓN PASAJES AÉREOS NACIONALES PARA LA COORDINACIÓN ZONAL 6 SERVICIO INTEGRADO DE SEGURIDAD ECU 911"/>
    <n v="1"/>
    <x v="4"/>
    <n v="1"/>
    <n v="0"/>
    <n v="1"/>
    <n v="101"/>
    <s v="CUENCA"/>
    <n v="1"/>
    <n v="0"/>
    <n v="0"/>
    <s v="CORRIENTE"/>
    <x v="0"/>
    <n v="530301"/>
    <s v="PASAJES AL INTERIOR"/>
    <n v="0"/>
    <n v="3000"/>
    <n v="0"/>
    <n v="0"/>
    <n v="0"/>
    <n v="0"/>
    <n v="0"/>
    <n v="0"/>
    <n v="0"/>
    <n v="0"/>
    <n v="0"/>
    <n v="0"/>
    <n v="0"/>
    <n v="3000"/>
    <n v="3000"/>
    <s v="OK"/>
    <n v="3000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3"/>
    <s v="ADMINISTRACIÓN CENTRAL"/>
    <s v="REEMBOLSO POR PAGO DE PASAJES AL INTERIOR A FUNCIONARIOS DE LA COORDINACIÓN ZONAL 6 SIS ECU 911"/>
    <n v="1"/>
    <x v="4"/>
    <n v="1"/>
    <n v="0"/>
    <n v="1"/>
    <n v="101"/>
    <s v="CUENCA"/>
    <n v="1"/>
    <n v="0"/>
    <n v="0"/>
    <s v="CORRIENTE"/>
    <x v="0"/>
    <n v="530301"/>
    <s v="PASAJES AL INTERIOR"/>
    <n v="1200"/>
    <n v="208"/>
    <n v="0"/>
    <n v="0"/>
    <n v="0"/>
    <n v="0"/>
    <n v="0"/>
    <n v="0"/>
    <n v="0"/>
    <n v="0"/>
    <n v="0"/>
    <n v="0"/>
    <n v="0"/>
    <n v="208"/>
    <n v="208"/>
    <s v="OK"/>
    <n v="208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3"/>
    <s v="ADMINISTRACIÓN CENTRAL"/>
    <s v="PAGO DE VIÁTICOS DEL PERSONAL DE LA COORDINACIÓN ZONAL 6 SIS ECU 911"/>
    <n v="1"/>
    <x v="4"/>
    <n v="1"/>
    <n v="0"/>
    <n v="1"/>
    <n v="101"/>
    <s v="CUENCA"/>
    <n v="1"/>
    <n v="0"/>
    <n v="0"/>
    <s v="CORRIENTE"/>
    <x v="0"/>
    <n v="530303"/>
    <s v="VIÁTICOS Y SUBSISTENCIAS EN EL INTERIOR"/>
    <n v="2500"/>
    <n v="5737.59"/>
    <n v="0"/>
    <n v="0"/>
    <n v="0"/>
    <n v="0"/>
    <n v="0"/>
    <n v="0"/>
    <n v="600"/>
    <n v="600"/>
    <n v="600"/>
    <n v="600"/>
    <n v="600"/>
    <n v="2737.59"/>
    <n v="5737.59"/>
    <s v="OK"/>
    <n v="5003.03"/>
    <n v="734.5600000000004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3"/>
    <s v="ADMINISTRACIÓN CENTRAL"/>
    <s v="REPOSICIÓN DE CAJA CHICA"/>
    <n v="1"/>
    <x v="4"/>
    <n v="1"/>
    <n v="0"/>
    <n v="1"/>
    <n v="101"/>
    <s v="CUENCA"/>
    <n v="1"/>
    <n v="0"/>
    <n v="0"/>
    <s v="CORRIENTE"/>
    <x v="0"/>
    <n v="530402"/>
    <s v="EDIFICIOS, LOCALES, RESIDENCIAS Y CABLEADO ESTRUCTURADO (INSTALACIÓN, MANTENIMIENTO Y REPARACIÓN)"/>
    <n v="0"/>
    <n v="148"/>
    <n v="0"/>
    <n v="0"/>
    <n v="100"/>
    <n v="0"/>
    <n v="0"/>
    <n v="0"/>
    <n v="0"/>
    <n v="0"/>
    <n v="0"/>
    <n v="0"/>
    <n v="48"/>
    <n v="0"/>
    <n v="148"/>
    <s v="OK"/>
    <n v="148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3"/>
    <s v="ADMINISTRACIÓN CENTRAL"/>
    <s v="CONTRATACIÓN DEL SERVICIO DE MANTENIMIENTO PREVENTIVO Y CORRECTIVO DEL SISTEMA ELÉCTRICO DEL EDIFICIO DE LA COORDINACIÓN ZONAL 6 SIS ECU 911 Y CENTRO OPERATIVO LOCAL MACAS"/>
    <n v="1"/>
    <x v="4"/>
    <n v="1"/>
    <n v="0"/>
    <n v="1"/>
    <n v="101"/>
    <s v="CUENCA"/>
    <n v="1"/>
    <n v="0"/>
    <n v="0"/>
    <s v="CORRIENTE"/>
    <x v="0"/>
    <n v="530402"/>
    <s v="EDIFICIOS, LOCALES, RESIDENCIAS Y CABLEADO ESTRUCTURADO (INSTALACIÓN, MANTENIMIENTO Y REPARACIÓN)"/>
    <n v="20000"/>
    <n v="23171.849999999995"/>
    <n v="0"/>
    <n v="0"/>
    <n v="0"/>
    <n v="0"/>
    <n v="23171.850000000002"/>
    <n v="0"/>
    <n v="0"/>
    <n v="0"/>
    <n v="0"/>
    <n v="0"/>
    <n v="0"/>
    <n v="0"/>
    <n v="23171.850000000002"/>
    <s v="OK"/>
    <n v="23171.85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3"/>
    <s v="ADMINISTRACIÓN CENTRAL"/>
    <s v="CONTRATACIÓN DEL SERVICIO DE MANTENIMIENTO PREVENTIVO Y CORRECTIVO DE LOS EQUIPOS Y SISTEMAS DE CLIMATIZACIÓN DE LA COORDINACIÓN ZONAL 6 SERVICIO INTEGRADO DE SEGURIDAD ECU 911 Y CENTRO OPERATIVO LOCAL MACAS"/>
    <n v="1"/>
    <x v="4"/>
    <n v="1"/>
    <n v="0"/>
    <n v="1"/>
    <n v="101"/>
    <s v="CUENCA"/>
    <n v="1"/>
    <n v="0"/>
    <n v="0"/>
    <s v="CORRIENTE"/>
    <x v="0"/>
    <n v="530402"/>
    <s v="EDIFICIOS, LOCALES, RESIDENCIAS Y CABLEADO ESTRUCTURADO (INSTALACIÓN, MANTENIMIENTO Y REPARACIÓN)"/>
    <n v="3500"/>
    <n v="13999"/>
    <n v="0"/>
    <n v="0"/>
    <n v="0"/>
    <n v="0"/>
    <n v="2649"/>
    <n v="0"/>
    <n v="0"/>
    <n v="6650"/>
    <n v="0"/>
    <n v="0"/>
    <n v="0"/>
    <n v="4700"/>
    <n v="13999"/>
    <s v="OK"/>
    <n v="13999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3"/>
    <s v="ADMINISTRACIÓN CENTRAL"/>
    <s v="CONTRATACIÓN DEL SERVICIO DE MANTENIMIENTO PREVENTIVO Y CORRECTIVO DEL SISTEMA DE DETECCIÓN Y EXTINCIÓN DEL SISTEMA CONTRA INCENDIOS Y CÁMARAS INTERNAS (CCTV) DE LA COORDINACIÓN ZONAL 6 SIS ECU 911 Y CENTRO OPERATIVO LOCAL MACAS"/>
    <n v="1"/>
    <x v="4"/>
    <n v="1"/>
    <n v="0"/>
    <n v="1"/>
    <n v="101"/>
    <s v="CUENCA"/>
    <n v="1"/>
    <n v="0"/>
    <n v="0"/>
    <s v="CORRIENTE"/>
    <x v="0"/>
    <n v="530402"/>
    <s v="EDIFICIOS, LOCALES, RESIDENCIAS Y CABLEADO ESTRUCTURADO (INSTALACIÓN, MANTENIMIENTO Y REPARACIÓN)"/>
    <n v="2000"/>
    <n v="22135.87"/>
    <n v="0"/>
    <n v="0"/>
    <n v="0"/>
    <n v="0"/>
    <n v="0"/>
    <n v="22135.87"/>
    <n v="0"/>
    <n v="0"/>
    <n v="0"/>
    <n v="0"/>
    <n v="0"/>
    <n v="0"/>
    <n v="22135.87"/>
    <s v="OK"/>
    <n v="22135.87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3"/>
    <s v="ADMINISTRACIÓN CENTRAL"/>
    <s v="CONTRATACIÓN DEL SERVICIO DE MANTENIMIENTO PREVENTIVO Y CORRECTIVO DEL EDIFICIO DE LA CZ6 SIS ECU 911"/>
    <n v="1"/>
    <x v="4"/>
    <n v="1"/>
    <n v="0"/>
    <n v="1"/>
    <n v="101"/>
    <s v="CUENCA"/>
    <n v="1"/>
    <n v="0"/>
    <n v="0"/>
    <s v="CORRIENTE"/>
    <x v="0"/>
    <n v="530402"/>
    <s v="EDIFICIOS, LOCALES, RESIDENCIAS Y CABLEADO ESTRUCTURADO (INSTALACIÓN, MANTENIMIENTO Y REPARACIÓN)"/>
    <n v="8659"/>
    <n v="17005"/>
    <n v="0"/>
    <n v="0"/>
    <n v="0"/>
    <n v="0"/>
    <n v="0"/>
    <n v="17005"/>
    <n v="0"/>
    <n v="0"/>
    <n v="0"/>
    <n v="0"/>
    <n v="0"/>
    <n v="0"/>
    <n v="17005"/>
    <s v="OK"/>
    <n v="17005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3"/>
    <s v="ADMINISTRACIÓN CENTRAL"/>
    <s v="CONTRATACIÓN DEL SERVICIO DE MANTENIMIENTO DEL ASCENSOR DEL EDIFICIO DE LA COORDINACIÓN ZONAL 6 SIS ECU 911 CUENCA Y CENTRO OPERATIVO LOCAL MACAS"/>
    <n v="1"/>
    <x v="4"/>
    <n v="1"/>
    <n v="0"/>
    <n v="1"/>
    <n v="101"/>
    <s v="CUENCA"/>
    <n v="1"/>
    <n v="0"/>
    <n v="0"/>
    <s v="CORRIENTE"/>
    <x v="0"/>
    <n v="530402"/>
    <s v="EDIFICIOS, LOCALES, RESIDENCIAS Y CABLEADO ESTRUCTURADO (INSTALACIÓN, MANTENIMIENTO Y REPARACIÓN)"/>
    <n v="3050"/>
    <n v="4812.7199999999993"/>
    <n v="0"/>
    <n v="802.12"/>
    <n v="401.06"/>
    <n v="401.06"/>
    <n v="401.06"/>
    <n v="401.06"/>
    <n v="401.06"/>
    <n v="401.06"/>
    <n v="401.06"/>
    <n v="401.06"/>
    <n v="401.06"/>
    <n v="401.06"/>
    <n v="4812.72"/>
    <s v="OK"/>
    <n v="4812.72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3"/>
    <s v="ADMINISTRACIÓN CENTRAL"/>
    <s v="CONTRATACIÓN DEL SERVICIO DE MANTENIMIENTO CORRECTIVO DE LAS SILLAS ERGONÓMICAS DE LAS SALAS OPERATIVAS DE LA COORDINACIÓN ZONAL 6 SERVICIO INTEGRADO DE SEGURIDAD ECU 911"/>
    <n v="1"/>
    <x v="4"/>
    <n v="1"/>
    <n v="0"/>
    <n v="1"/>
    <n v="101"/>
    <s v="CUENCA"/>
    <n v="1"/>
    <n v="0"/>
    <n v="0"/>
    <s v="CORRIENTE"/>
    <x v="0"/>
    <n v="530403"/>
    <s v="MOBILIARIOS (INSTALACIÓN, MANTENIMIENTO Y REPARACIÓN)"/>
    <n v="0"/>
    <n v="5027.41"/>
    <n v="0"/>
    <n v="0"/>
    <n v="0"/>
    <n v="0"/>
    <n v="0"/>
    <n v="0"/>
    <n v="0"/>
    <n v="0"/>
    <n v="0"/>
    <n v="0"/>
    <n v="5027.41"/>
    <n v="0"/>
    <n v="5027.41"/>
    <s v="OK"/>
    <n v="0"/>
    <n v="5027.41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3"/>
    <s v="ADMINISTRACIÓN CENTRAL"/>
    <s v="REPOSICIÓN DE CAJA CHICA"/>
    <n v="1"/>
    <x v="4"/>
    <n v="1"/>
    <n v="0"/>
    <n v="1"/>
    <n v="101"/>
    <s v="CUENCA"/>
    <n v="1"/>
    <n v="0"/>
    <n v="0"/>
    <s v="CORRIENTE"/>
    <x v="0"/>
    <n v="530405"/>
    <s v="VEHÍCULOS (SERVICIO PARA MANTENIMIENTO Y REPARACIÓN)"/>
    <n v="0"/>
    <n v="140"/>
    <n v="0"/>
    <n v="0"/>
    <n v="100"/>
    <n v="0"/>
    <n v="0"/>
    <n v="0"/>
    <n v="0"/>
    <n v="0"/>
    <n v="0"/>
    <n v="0"/>
    <n v="40"/>
    <n v="0"/>
    <n v="140"/>
    <s v="OK"/>
    <n v="80"/>
    <n v="6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3"/>
    <s v="ADMINISTRACIÓN CENTRAL"/>
    <s v="CONTRATACIÓN DEL SERVICIO DE MANTENIMIENTO PARA VEHÍCULOS DE LA CZ6 SIS ECU 911"/>
    <n v="1"/>
    <x v="4"/>
    <n v="1"/>
    <n v="0"/>
    <n v="1"/>
    <n v="101"/>
    <s v="CUENCA"/>
    <n v="1"/>
    <n v="0"/>
    <n v="0"/>
    <s v="CORRIENTE"/>
    <x v="0"/>
    <n v="530405"/>
    <s v="VEHÍCULOS (SERVICIO PARA MANTENIMIENTO Y REPARACIÓN)"/>
    <n v="2000"/>
    <n v="5475.15"/>
    <n v="0"/>
    <n v="0"/>
    <n v="2000"/>
    <n v="0"/>
    <n v="0"/>
    <n v="1737.57"/>
    <n v="0"/>
    <n v="0"/>
    <n v="0"/>
    <n v="0"/>
    <n v="0"/>
    <n v="1737.58"/>
    <n v="5475.15"/>
    <s v="OK"/>
    <n v="5475.15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3"/>
    <s v="ADMINISTRACIÓN CENTRAL"/>
    <s v="ADQUISICIÓN DE MASCARILLAS DESECHABLES PARA LA COORDINACIÓN ZONAL 6 SIS ECU 911"/>
    <n v="1"/>
    <x v="4"/>
    <n v="1"/>
    <n v="0"/>
    <n v="1"/>
    <n v="101"/>
    <s v="CUENCA"/>
    <n v="1"/>
    <n v="0"/>
    <n v="0"/>
    <s v="CORRIENTE"/>
    <x v="0"/>
    <n v="530802"/>
    <s v="VESTUARIO, LENCERÍA, PRENDAS DE PROTECCIÓN Y ACCESORIOS PARA UNIFORMES DEL PERSONAL DE PROTECCIÓN, VIGILANCIA Y SEGURIDAD"/>
    <n v="924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3"/>
    <s v="ADMINISTRACIÓN CENTRAL"/>
    <s v="ADQUISICIÓN DE PRENDAS DE PROTECCIÓN PARA LA UNIDAD MÉDICA DE LA COORDINACIÓN ZONAL 6 SIS ECU 911"/>
    <n v="1"/>
    <x v="4"/>
    <n v="1"/>
    <n v="0"/>
    <n v="1"/>
    <n v="101"/>
    <s v="CUENCA"/>
    <n v="1"/>
    <n v="0"/>
    <n v="0"/>
    <s v="CORRIENTE"/>
    <x v="0"/>
    <n v="530802"/>
    <s v="VESTUARIO, LENCERÍA, PRENDAS DE PROTECCIÓN Y ACCESORIOS PARA UNIFORMES DEL PERSONAL DE PROTECCIÓN, VIGILANCIA Y SEGURIDAD"/>
    <n v="0"/>
    <n v="450"/>
    <n v="0"/>
    <n v="0"/>
    <n v="0"/>
    <n v="0"/>
    <n v="0"/>
    <n v="0"/>
    <n v="0"/>
    <n v="0"/>
    <n v="0"/>
    <n v="0"/>
    <n v="450"/>
    <n v="0"/>
    <n v="450"/>
    <s v="OK"/>
    <n v="0"/>
    <n v="45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3"/>
    <s v="ADMINISTRACIÓN CENTRAL"/>
    <s v="ADQUISICIÓN DE COMBUSTIBLE PARA EL PARQUE AUTOMOTOR DE LA CZ6 SIS ECU 911"/>
    <n v="1"/>
    <x v="4"/>
    <n v="1"/>
    <n v="0"/>
    <n v="1"/>
    <n v="101"/>
    <s v="CUENCA"/>
    <n v="1"/>
    <n v="0"/>
    <n v="0"/>
    <s v="CORRIENTE"/>
    <x v="0"/>
    <n v="530803"/>
    <s v="LUBRICANTES"/>
    <n v="60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3"/>
    <s v="ADMINISTRACIÓN CENTRAL"/>
    <s v="ADQUISICIÓN DE COMBUSTIBLE PARA LOS GENERADORES DE LA CZ6 SIS ECU 911"/>
    <n v="1"/>
    <x v="4"/>
    <n v="1"/>
    <n v="0"/>
    <n v="1"/>
    <n v="101"/>
    <s v="CUENCA"/>
    <n v="1"/>
    <n v="0"/>
    <n v="0"/>
    <s v="CORRIENTE"/>
    <x v="0"/>
    <n v="530803"/>
    <s v="LUBRICANTES"/>
    <n v="300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3"/>
    <s v="ADMINISTRACIÓN CENTRAL"/>
    <s v="ADQUISICIÓN DE LUBRICANTES Y ADITIVOS PARA EL MANTENIMIENTO DE LOS VEHÍCULOS DE LA CZ6 SIS ECU 911"/>
    <n v="1"/>
    <x v="4"/>
    <n v="1"/>
    <n v="0"/>
    <n v="1"/>
    <n v="101"/>
    <s v="CUENCA"/>
    <n v="1"/>
    <n v="0"/>
    <n v="0"/>
    <s v="CORRIENTE"/>
    <x v="0"/>
    <n v="530803"/>
    <s v="LUBRICANTES"/>
    <n v="20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3"/>
    <s v="ADMINISTRACIÓN CENTRAL"/>
    <s v="ADQUISICIÓN DE MATERIALES DE OFICINA PARA LA CZ6 SIS ECU 911 Y CENTRO OPERATIVO LOCAL MACAS - ÍNFIMA CUANTIA"/>
    <n v="1"/>
    <x v="4"/>
    <n v="1"/>
    <n v="0"/>
    <n v="1"/>
    <n v="101"/>
    <s v="CUENCA"/>
    <n v="1"/>
    <n v="0"/>
    <n v="0"/>
    <s v="CORRIENTE"/>
    <x v="0"/>
    <n v="530804"/>
    <s v="MATERIALES DE OFICINA"/>
    <n v="0"/>
    <n v="336.27"/>
    <n v="0"/>
    <n v="0"/>
    <n v="0"/>
    <n v="0"/>
    <n v="0"/>
    <n v="336.27"/>
    <n v="0"/>
    <n v="0"/>
    <n v="0"/>
    <n v="0"/>
    <n v="0"/>
    <n v="0"/>
    <n v="336.27"/>
    <s v="OK"/>
    <n v="336.27000000000004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3"/>
    <s v="ADMINISTRACIÓN CENTRAL"/>
    <s v="ADQUISICIÓN DE MATERIALES DE OFICINA PARA LA CZ6 SIS ECU 911 Y CENTRO OPERATIVO LOCAL MACAS"/>
    <n v="1"/>
    <x v="4"/>
    <n v="1"/>
    <n v="0"/>
    <n v="1"/>
    <n v="101"/>
    <s v="CUENCA"/>
    <n v="1"/>
    <n v="0"/>
    <n v="0"/>
    <s v="CORRIENTE"/>
    <x v="0"/>
    <n v="530804"/>
    <s v="MATERIALES DE OFICINA"/>
    <n v="800"/>
    <n v="276.23"/>
    <n v="0"/>
    <n v="0"/>
    <n v="0"/>
    <n v="276.23"/>
    <n v="0"/>
    <n v="0"/>
    <n v="0"/>
    <n v="0"/>
    <n v="0"/>
    <n v="0"/>
    <n v="0"/>
    <n v="0"/>
    <n v="276.23"/>
    <s v="OK"/>
    <n v="276.23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3"/>
    <s v="ADMINISTRACIÓN CENTRAL"/>
    <s v="ADQUISICIÓN DE MATERIALES DE ASEO PARA LA CZ6 SIS ECU 911 Y CENTRO OPERATIVO LOCAL MACAS"/>
    <n v="1"/>
    <x v="4"/>
    <n v="1"/>
    <n v="0"/>
    <n v="1"/>
    <n v="101"/>
    <s v="CUENCA"/>
    <n v="1"/>
    <n v="0"/>
    <n v="0"/>
    <s v="CORRIENTE"/>
    <x v="0"/>
    <n v="530805"/>
    <s v="MATERIALES DE ASEO"/>
    <n v="2500"/>
    <n v="2215.87"/>
    <n v="0"/>
    <n v="0"/>
    <n v="0"/>
    <n v="2215.87"/>
    <n v="0"/>
    <n v="0"/>
    <n v="0"/>
    <n v="0"/>
    <n v="0"/>
    <n v="0"/>
    <n v="0"/>
    <n v="0"/>
    <n v="2215.87"/>
    <s v="OK"/>
    <n v="2215.87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3"/>
    <s v="ADMINISTRACIÓN CENTRAL"/>
    <s v="ADQUISICIÓN DE MATERIALES DE ASEO PARA LA CZ6 SIS ECU 911 Y CENTRO OPERATIVO LOCAL MACAS - INFIMA CUANTIA"/>
    <n v="1"/>
    <x v="4"/>
    <n v="1"/>
    <n v="0"/>
    <n v="1"/>
    <n v="101"/>
    <s v="CUENCA"/>
    <n v="1"/>
    <n v="0"/>
    <n v="0"/>
    <s v="CORRIENTE"/>
    <x v="0"/>
    <n v="530805"/>
    <s v="MATERIALES DE ASEO"/>
    <n v="0"/>
    <n v="393.21"/>
    <n v="0"/>
    <n v="0"/>
    <n v="0"/>
    <n v="0"/>
    <n v="0"/>
    <n v="0"/>
    <n v="393.21"/>
    <n v="0"/>
    <n v="0"/>
    <n v="0"/>
    <n v="0"/>
    <n v="0"/>
    <n v="393.21"/>
    <s v="OK"/>
    <n v="393.21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3"/>
    <s v="ADMINISTRACIÓN CENTRAL"/>
    <s v="ADQUISICIÓN DE BASUREROS METÁLICOS PARA LA COORDINACIÓN ZONAL 6 SIS ECU 911"/>
    <n v="1"/>
    <x v="4"/>
    <n v="1"/>
    <n v="0"/>
    <n v="1"/>
    <n v="101"/>
    <s v="CUENCA"/>
    <n v="1"/>
    <n v="0"/>
    <n v="0"/>
    <s v="CORRIENTE"/>
    <x v="0"/>
    <n v="530805"/>
    <s v="MATERIALES DE ASEO"/>
    <n v="550"/>
    <n v="0"/>
    <n v="0"/>
    <n v="0"/>
    <n v="0"/>
    <n v="0"/>
    <n v="0"/>
    <n v="0"/>
    <n v="0"/>
    <n v="0"/>
    <n v="0"/>
    <n v="0"/>
    <n v="0"/>
    <n v="0"/>
    <n v="0"/>
    <s v="OK"/>
    <n v="0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3"/>
    <s v="ADMINISTRACIÓN CENTRAL"/>
    <s v="ADQUISICIÓN DE TONNERS Y CINTAS PARA LAS IMPRESORAS DE LA CZ6 Y CENTRO OPERATIVO LOCAL MACAS"/>
    <n v="1"/>
    <x v="4"/>
    <n v="1"/>
    <n v="0"/>
    <n v="1"/>
    <n v="101"/>
    <s v="CUENCA"/>
    <n v="1"/>
    <n v="0"/>
    <n v="0"/>
    <s v="CORRIENTE"/>
    <x v="0"/>
    <n v="530807"/>
    <s v="MATERIALES DE IMPRESIÓN, FOTOGRAFÍA, REPRODUCCIÓN Y PUBLICACIONES"/>
    <n v="1000"/>
    <n v="3870"/>
    <n v="0"/>
    <n v="0"/>
    <n v="3870"/>
    <n v="0"/>
    <n v="0"/>
    <n v="0"/>
    <n v="0"/>
    <n v="0"/>
    <n v="0"/>
    <n v="0"/>
    <n v="0"/>
    <n v="0"/>
    <n v="3870"/>
    <s v="OK"/>
    <n v="3870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3"/>
    <s v="ADMINISTRACIÓN CENTRAL"/>
    <s v="ADQUISICIÓN DE MEDICAMENTOS E INSUMOS MÉDICOS DE USO GENERAL PARA LA UNIDAD MÉDICA DE LA COORDINACIÓN ZONAL 6 SIS ECU 911"/>
    <n v="1"/>
    <x v="4"/>
    <n v="1"/>
    <n v="0"/>
    <n v="1"/>
    <n v="101"/>
    <s v="CUENCA"/>
    <n v="1"/>
    <n v="0"/>
    <n v="0"/>
    <s v="CORRIENTE"/>
    <x v="0"/>
    <n v="530809"/>
    <s v="MEDICAMENTOS"/>
    <n v="0"/>
    <n v="1125"/>
    <n v="0"/>
    <n v="0"/>
    <n v="0"/>
    <n v="0"/>
    <n v="0"/>
    <n v="0"/>
    <n v="0"/>
    <n v="0"/>
    <n v="0"/>
    <n v="0"/>
    <n v="1125"/>
    <n v="0"/>
    <n v="1125"/>
    <s v="OK"/>
    <n v="0"/>
    <n v="1125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3"/>
    <s v="ADMINISTRACIÓN CENTRAL"/>
    <s v="REPOSICIÓN DE CAJA CHICA"/>
    <n v="1"/>
    <x v="4"/>
    <n v="1"/>
    <n v="0"/>
    <n v="1"/>
    <n v="101"/>
    <s v="CUENCA"/>
    <n v="1"/>
    <n v="0"/>
    <n v="0"/>
    <s v="CORRIENTE"/>
    <x v="0"/>
    <n v="530811"/>
    <s v="INSUMOS, MATERIALES Y SUMINISTROS PARA CONSTRUCCIÓN, ELECTRICIDAD, PLOMERÍA, CARPINTERÍA, SEÑALIZACIÓN VIAL, NAVEGACIÓN, CONTRA INCENDIOS Y PLACAS"/>
    <n v="0"/>
    <n v="100"/>
    <n v="0"/>
    <n v="0"/>
    <n v="50"/>
    <n v="0"/>
    <n v="0"/>
    <n v="0"/>
    <n v="0"/>
    <n v="0"/>
    <n v="0"/>
    <n v="0"/>
    <n v="50"/>
    <n v="0"/>
    <n v="100"/>
    <s v="OK"/>
    <n v="10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3"/>
    <s v="ADMINISTRACIÓN CENTRAL"/>
    <s v="ADQUISICIÓN DE INSUMOS, MATERIALES Y SUMINISTROS PARA MANTENIMIENTO PREVENTIVO Y CORRECTIVO DEL SISTEMA ELÉCTRICO DEL EDIFICIO DE LA COORDINACIÓN ZONAL Y CENTRO OPERATIVO LOCAL MACAS"/>
    <n v="1"/>
    <x v="4"/>
    <n v="1"/>
    <n v="0"/>
    <n v="1"/>
    <n v="101"/>
    <s v="CUENCA"/>
    <n v="1"/>
    <n v="0"/>
    <n v="0"/>
    <s v="CORRIENTE"/>
    <x v="0"/>
    <n v="530811"/>
    <s v="INSUMOS, MATERIALES Y SUMINISTROS PARA CONSTRUCCIÓN, ELECTRICIDAD, PLOMERÍA, CARPINTERÍA, SEÑALIZACIÓN VIAL, NAVEGACIÓN, CONTRA INCENDIOS Y PLACAS"/>
    <n v="500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3"/>
    <s v="ADMINISTRACIÓN CENTRAL"/>
    <s v="ADQUISICIÓN DE INSUMOS PARA EL MANTENIMIENTO PREVENTIVO Y CORRECTIVO DEL SISTEMA DE DETECCIÓN Y EXTINCIÓN DEL SISTEMA CONTRA INCENDIOS Y CÁMARAS INTERNAS (CCTV)"/>
    <n v="1"/>
    <x v="4"/>
    <n v="1"/>
    <n v="0"/>
    <n v="1"/>
    <n v="101"/>
    <s v="CUENCA"/>
    <n v="1"/>
    <n v="0"/>
    <n v="0"/>
    <s v="CORRIENTE"/>
    <x v="0"/>
    <n v="530811"/>
    <s v="INSUMOS, MATERIALES Y SUMINISTROS PARA CONSTRUCCIÓN, ELECTRICIDAD, PLOMERÍA, CARPINTERÍA, SEÑALIZACIÓN VIAL, NAVEGACIÓN, CONTRA INCENDIOS Y PLACAS"/>
    <n v="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3"/>
    <s v="ADMINISTRACIÓN CENTRAL"/>
    <s v="ADQUISICIÓN DE 10 SOPORTES PARA TV PARA LA COORDINACIÓN ZONAL 6 SIS ECU 911"/>
    <n v="1"/>
    <x v="4"/>
    <n v="1"/>
    <n v="0"/>
    <n v="1"/>
    <n v="101"/>
    <s v="CUENCA"/>
    <n v="1"/>
    <n v="0"/>
    <n v="0"/>
    <s v="CORRIENTE"/>
    <x v="2"/>
    <n v="530811"/>
    <s v="INSUMOS, MATERIALES Y SUMINISTROS PARA CONSTRUCCIÓN, ELECTRICIDAD, PLOMERÍA, CARPINTERÍA, SEÑALIZACIÓN VIAL, NAVEGACIÓN, CONTRA INCENDIOS Y PLACAS"/>
    <n v="0"/>
    <n v="163.04"/>
    <n v="0"/>
    <n v="0"/>
    <n v="0"/>
    <n v="163.04"/>
    <n v="0"/>
    <n v="0"/>
    <n v="0"/>
    <n v="0"/>
    <n v="0"/>
    <n v="0"/>
    <n v="0"/>
    <n v="0"/>
    <n v="163.04"/>
    <s v="OK"/>
    <n v="126.08000000000001"/>
    <n v="36.95999999999998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3"/>
    <s v="ADMINISTRACIÓN CENTRAL"/>
    <s v="ADQUISICIÓN DE REPUESTOS PARA EL SERVICIO DE MANTENIMIENTO PREVENTIVO Y CORRECTIVO DEL SISTEMA ELÉCTRICO DEL EDIFICIO DE LA COORDINACIÓN ZONAL"/>
    <n v="1"/>
    <x v="4"/>
    <n v="1"/>
    <n v="0"/>
    <n v="1"/>
    <n v="101"/>
    <s v="CUENCA"/>
    <n v="1"/>
    <n v="0"/>
    <n v="0"/>
    <s v="CORRIENTE"/>
    <x v="0"/>
    <n v="530813"/>
    <s v="REPUESTOS Y ACCESORIOS"/>
    <n v="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3"/>
    <s v="ADMINISTRACIÓN CENTRAL"/>
    <s v="ADQUISICIÓN DE REPUESTOS Y ACCESORIOS PARA EL MANTENIMIENTO PREVENTIVO Y CORRECTIVO DEL SISTEMA DE DETECCIÓN Y EXTINCIÓN DEL SISTEMA CONTRA INCENDIOS Y CÁMARAS INTERNAS (CCTV)"/>
    <n v="1"/>
    <x v="4"/>
    <n v="1"/>
    <n v="0"/>
    <n v="1"/>
    <n v="101"/>
    <s v="CUENCA"/>
    <n v="1"/>
    <n v="0"/>
    <n v="0"/>
    <s v="CORRIENTE"/>
    <x v="0"/>
    <n v="530813"/>
    <s v="REPUESTOS Y ACCESORIOS"/>
    <n v="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3"/>
    <s v="ADMINISTRACIÓN CENTRAL"/>
    <s v="ADQUISICIÓN DE REPUESTOS Y ACCESORIOS PARA EL MANTENIMIENTO DE VEHÍCULOS DE LA CZ6 SIS ECU 911"/>
    <n v="1"/>
    <x v="4"/>
    <n v="1"/>
    <n v="0"/>
    <n v="1"/>
    <n v="101"/>
    <s v="CUENCA"/>
    <n v="1"/>
    <n v="0"/>
    <n v="0"/>
    <s v="CORRIENTE"/>
    <x v="0"/>
    <n v="530813"/>
    <s v="REPUESTOS Y ACCESORIOS"/>
    <n v="2264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3"/>
    <s v="ADMINISTRACIÓN CENTRAL"/>
    <s v="ADQUISICIÓN DE REPUESTOS PARA EL MANTENIMIENTO DE LOS EQUIPOS DE CLIMATIZACIÓN DE LA COORDINACIÓN ZONAL 6 SIS ECU 911 Y CENTRO OPERATIVO LOCAL MACAS "/>
    <n v="1"/>
    <x v="4"/>
    <n v="1"/>
    <n v="0"/>
    <n v="1"/>
    <n v="101"/>
    <s v="CUENCA"/>
    <n v="1"/>
    <n v="0"/>
    <n v="0"/>
    <s v="CORRIENTE"/>
    <x v="0"/>
    <n v="530813"/>
    <s v="REPUESTOS Y ACCESORIOS"/>
    <n v="300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3"/>
    <s v="ADMINISTRACIÓN CENTRAL"/>
    <s v="ADQUISICIÓN DE BASES PARA EQUIPOS PORTÁTILES PARA LA COORDINACIÓN ZONAL 6 SIS ECU 911 CUENCA – MACAS"/>
    <n v="1"/>
    <x v="4"/>
    <n v="1"/>
    <n v="0"/>
    <n v="1"/>
    <n v="101"/>
    <s v="CUENCA"/>
    <n v="1"/>
    <n v="0"/>
    <n v="0"/>
    <s v="CORRIENTE"/>
    <x v="0"/>
    <n v="530813"/>
    <s v="REPUESTOS Y ACCESORIOS"/>
    <n v="0"/>
    <n v="720"/>
    <n v="0"/>
    <n v="0"/>
    <n v="0"/>
    <n v="0"/>
    <n v="0"/>
    <n v="0"/>
    <n v="0"/>
    <n v="0"/>
    <n v="0"/>
    <n v="720"/>
    <n v="0"/>
    <n v="0"/>
    <n v="720"/>
    <s v="OK"/>
    <n v="323.64"/>
    <n v="396.36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3"/>
    <s v="ADMINISTRACIÓN CENTRAL"/>
    <s v="ADQUISICIÓN DE MEDICAMENTOS E INSUMOS MÉDICOS DE USO GENERAL PARA LA UNIDAD MÉDICA DE LA COORDINACIÓN ZONAL 6 SIS ECU 911"/>
    <n v="1"/>
    <x v="4"/>
    <n v="1"/>
    <n v="0"/>
    <n v="1"/>
    <n v="101"/>
    <s v="CUENCA"/>
    <n v="1"/>
    <n v="0"/>
    <n v="0"/>
    <s v="CORRIENTE"/>
    <x v="0"/>
    <n v="530820"/>
    <s v="MENAJE Y ACCESORIOS DESCARTABLES"/>
    <n v="0"/>
    <n v="250"/>
    <n v="0"/>
    <n v="0"/>
    <n v="0"/>
    <n v="0"/>
    <n v="0"/>
    <n v="0"/>
    <n v="0"/>
    <n v="0"/>
    <n v="0"/>
    <n v="0"/>
    <n v="250"/>
    <n v="0"/>
    <n v="250"/>
    <s v="OK"/>
    <n v="0"/>
    <n v="25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3"/>
    <s v="ADMINISTRACIÓN CENTRAL"/>
    <s v="ADQUISICIÓN DE MEDICAMENTOS E INSUMOS MÉDICOS DE USO GENERAL PARA LA UNIDAD MÉDICA DE LA COORDINACIÓN ZONAL 6 SIS ECU 911"/>
    <n v="1"/>
    <x v="4"/>
    <n v="1"/>
    <n v="0"/>
    <n v="1"/>
    <n v="101"/>
    <s v="CUENCA"/>
    <n v="1"/>
    <n v="0"/>
    <n v="0"/>
    <s v="CORRIENTE"/>
    <x v="0"/>
    <n v="530826"/>
    <s v="DISPOSITIVOS MÉDICOS DE USO GENERAL"/>
    <n v="0"/>
    <n v="900"/>
    <n v="0"/>
    <n v="0"/>
    <n v="0"/>
    <n v="0"/>
    <n v="0"/>
    <n v="0"/>
    <n v="0"/>
    <n v="0"/>
    <n v="0"/>
    <n v="0"/>
    <n v="900"/>
    <n v="0"/>
    <n v="900"/>
    <s v="OK"/>
    <n v="0"/>
    <n v="90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3"/>
    <s v="ADMINISTRACIÓN CENTRAL"/>
    <s v="ADQUISICIÓN DE BASUREROS METÁLICOS PARA LA COORDINACIÓN ZONAL 6 SIS ECU 911"/>
    <n v="1"/>
    <x v="4"/>
    <n v="1"/>
    <n v="0"/>
    <n v="1"/>
    <n v="101"/>
    <s v="CUENCA"/>
    <n v="1"/>
    <n v="0"/>
    <n v="0"/>
    <s v="CORRIENTE"/>
    <x v="0"/>
    <n v="531403"/>
    <s v="MOBILIARIO "/>
    <n v="0"/>
    <n v="536"/>
    <n v="0"/>
    <n v="0"/>
    <n v="0"/>
    <n v="0"/>
    <n v="0"/>
    <n v="536"/>
    <n v="0"/>
    <n v="0"/>
    <n v="0"/>
    <n v="0"/>
    <n v="0"/>
    <n v="0"/>
    <n v="536"/>
    <s v="OK"/>
    <n v="522"/>
    <n v="14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3"/>
    <s v="ADMINISTRACIÓN CENTRAL"/>
    <s v="ADQUISICIÓN DE MOBILIARIO (VITRINA PARA MEDICAMENTOS Y COCHE DE CURACIONES) PARA LA UNIDAD MÉDICA DE LA COORDINACIÓN ZONAL 6 SIS ECU 911"/>
    <n v="1"/>
    <x v="4"/>
    <n v="1"/>
    <n v="0"/>
    <n v="1"/>
    <n v="101"/>
    <s v="CUENCA"/>
    <n v="1"/>
    <n v="0"/>
    <n v="0"/>
    <s v="CORRIENTE"/>
    <x v="0"/>
    <n v="531403"/>
    <s v="MOBILIARIO "/>
    <n v="0"/>
    <n v="200"/>
    <n v="0"/>
    <n v="0"/>
    <n v="0"/>
    <n v="0"/>
    <n v="0"/>
    <n v="0"/>
    <n v="0"/>
    <n v="0"/>
    <n v="0"/>
    <n v="0"/>
    <n v="200"/>
    <n v="0"/>
    <n v="200"/>
    <s v="OK"/>
    <n v="0"/>
    <n v="20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3"/>
    <s v="ADMINISTRACIÓN CENTRAL"/>
    <s v="ADQUISICIÓN DE SECADORES DE MANOS PARA LOS BAÑOS DE LA COORDINACIÓN ZONAL 6 SIS ECU 911"/>
    <n v="1"/>
    <x v="4"/>
    <n v="1"/>
    <n v="0"/>
    <n v="1"/>
    <n v="101"/>
    <s v="CUENCA"/>
    <n v="1"/>
    <n v="0"/>
    <n v="0"/>
    <s v="CORRIENTE"/>
    <x v="0"/>
    <n v="531404"/>
    <s v="MAQUINARIAS Y EQUIPOS"/>
    <n v="462"/>
    <n v="396"/>
    <n v="0"/>
    <n v="0"/>
    <n v="0"/>
    <n v="0"/>
    <n v="0"/>
    <n v="396"/>
    <n v="0"/>
    <n v="0"/>
    <n v="0"/>
    <n v="0"/>
    <n v="0"/>
    <n v="0"/>
    <n v="396"/>
    <s v="OK"/>
    <n v="330"/>
    <n v="66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3"/>
    <s v="ADMINISTRACIÓN CENTRAL"/>
    <s v="ADQUISICIÓN DE CARPAS METÁLICAS PARA LAS ACTIVIDADES DE VINCULACIÓN DE LA COORDINACIÓN ZONAL 6 SIS ECU 911"/>
    <n v="1"/>
    <x v="4"/>
    <n v="1"/>
    <n v="0"/>
    <n v="1"/>
    <n v="101"/>
    <s v="CUENCA"/>
    <n v="1"/>
    <n v="0"/>
    <n v="0"/>
    <s v="CORRIENTE"/>
    <x v="0"/>
    <n v="531404"/>
    <s v="MAQUINARIAS Y EQUIPOS"/>
    <n v="0"/>
    <n v="2400"/>
    <n v="0"/>
    <n v="0"/>
    <n v="0"/>
    <n v="0"/>
    <n v="0"/>
    <n v="0"/>
    <n v="0"/>
    <n v="0"/>
    <n v="0"/>
    <n v="0"/>
    <n v="2400"/>
    <n v="0"/>
    <n v="2400"/>
    <s v="OK"/>
    <n v="0"/>
    <n v="240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3"/>
    <s v="ADMINISTRACIÓN CENTRAL"/>
    <s v="ADQUISICIÓN DE INFLABLES Y DANZADORES PARA LAS ACTIVIDADES DE VINCULACIÓN DE LA COORDINACIÓN ZONAL 6 SIS ECU 911"/>
    <n v="1"/>
    <x v="4"/>
    <n v="1"/>
    <n v="0"/>
    <n v="1"/>
    <n v="101"/>
    <s v="CUENCA"/>
    <n v="1"/>
    <n v="0"/>
    <n v="0"/>
    <s v="CORRIENTE"/>
    <x v="0"/>
    <n v="531404"/>
    <s v="MAQUINARIAS Y EQUIPOS"/>
    <n v="0"/>
    <n v="4250"/>
    <n v="0"/>
    <n v="0"/>
    <n v="0"/>
    <n v="0"/>
    <n v="0"/>
    <n v="0"/>
    <n v="0"/>
    <n v="0"/>
    <n v="0"/>
    <n v="0"/>
    <n v="4250"/>
    <n v="0"/>
    <n v="4250"/>
    <s v="OK"/>
    <n v="0"/>
    <n v="425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3"/>
    <s v="ADMINISTRACIÓN CENTRAL"/>
    <s v="ADQUISICIÓN DE EQUIPOS MÉDICOS PARA LA UNIDAD MÉDICA DE LA COORDINACIÓN ZONAL 6 SIS ECU 913"/>
    <n v="1"/>
    <x v="4"/>
    <n v="1"/>
    <n v="0"/>
    <n v="1"/>
    <n v="101"/>
    <s v="CUENCA"/>
    <n v="1"/>
    <n v="0"/>
    <n v="0"/>
    <s v="CORRIENTE"/>
    <x v="0"/>
    <n v="531404"/>
    <s v="MAQUINARIAS Y EQUIPOS"/>
    <n v="0"/>
    <n v="750"/>
    <n v="0"/>
    <n v="0"/>
    <n v="0"/>
    <n v="0"/>
    <n v="0"/>
    <n v="0"/>
    <n v="0"/>
    <n v="0"/>
    <n v="0"/>
    <n v="0"/>
    <n v="750"/>
    <n v="0"/>
    <n v="750"/>
    <s v="OK"/>
    <n v="0"/>
    <n v="75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3"/>
    <s v="ADMINISTRACIÓN CENTRAL"/>
    <s v="CANCELACIÓN DE IMPUESTOS, MATRICULACIÓN VEHICULAR Y REEMBOLSO DE PEAJES DE LA COORDINACIÓN ZONAL 6 SIS ECU 911"/>
    <n v="1"/>
    <x v="4"/>
    <n v="1"/>
    <n v="0"/>
    <n v="1"/>
    <n v="101"/>
    <s v="CUENCA"/>
    <n v="1"/>
    <n v="0"/>
    <n v="0"/>
    <s v="CORRIENTE"/>
    <x v="1"/>
    <n v="570102"/>
    <s v="TASAS GENERALES, IMPUESTOS, CONTRIBUCIONES, PERMISOS, LICENCIAS Y PATENTES"/>
    <n v="3000"/>
    <n v="1946.97"/>
    <n v="0"/>
    <n v="0"/>
    <n v="1946.97"/>
    <n v="0"/>
    <n v="0"/>
    <n v="0"/>
    <n v="0"/>
    <n v="0"/>
    <n v="0"/>
    <n v="0"/>
    <n v="0"/>
    <n v="0"/>
    <n v="1946.97"/>
    <s v="OK"/>
    <n v="1946.97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3"/>
    <s v="ADMINISTRACIÓN CENTRAL"/>
    <s v="REPOSICIÓN DE CAJA CHICA"/>
    <n v="1"/>
    <x v="4"/>
    <n v="1"/>
    <n v="0"/>
    <n v="1"/>
    <n v="101"/>
    <s v="CUENCA"/>
    <n v="1"/>
    <n v="0"/>
    <n v="0"/>
    <s v="CORRIENTE"/>
    <x v="1"/>
    <n v="570102"/>
    <s v="TASAS GENERALES, IMPUESTOS, CONTRIBUCIONES, PERMISOS, LICENCIAS Y PATENTES"/>
    <n v="0"/>
    <n v="0"/>
    <n v="0"/>
    <n v="0"/>
    <n v="0"/>
    <n v="0"/>
    <n v="0"/>
    <n v="0"/>
    <n v="0"/>
    <n v="0"/>
    <n v="0"/>
    <n v="0"/>
    <n v="0"/>
    <n v="0"/>
    <n v="0"/>
    <s v="OK"/>
    <n v="0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3"/>
    <s v="ADMINISTRACIÓN CENTRAL"/>
    <s v="CANCELACIÓN DE GASTOS POR TRÁMITES NOTARIALES, LEGALIZACIÓN DE DOCUMENTOS Y ARREGLOS EXTRAJUDICIALES"/>
    <n v="1"/>
    <x v="4"/>
    <n v="1"/>
    <n v="0"/>
    <n v="1"/>
    <n v="101"/>
    <s v="CUENCA"/>
    <n v="1"/>
    <n v="0"/>
    <n v="0"/>
    <s v="CORRIENTE"/>
    <x v="1"/>
    <n v="570206"/>
    <s v="COSTAS JUDICIALES, TRÁMITES NOTARIALES,  LEGALIZACIÓN DE DOCUMENTOS Y ARREGLOS EXTRAJUDICIALES"/>
    <n v="468"/>
    <n v="268"/>
    <n v="0"/>
    <n v="0"/>
    <n v="0"/>
    <n v="0"/>
    <n v="0"/>
    <n v="0"/>
    <n v="0"/>
    <n v="0"/>
    <n v="0"/>
    <n v="0"/>
    <n v="0"/>
    <n v="268"/>
    <n v="268"/>
    <s v="OK"/>
    <n v="11"/>
    <n v="257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3"/>
    <s v="ADMINISTRACIÓN CENTRAL"/>
    <s v="PAGO DE GLOSA POR RESPONSABILIDAD PATRONAL AL INSTITUTO ECUATORIANO DE SEGURIDAD SOCIAL"/>
    <n v="1"/>
    <x v="4"/>
    <n v="1"/>
    <n v="0"/>
    <n v="1"/>
    <n v="101"/>
    <s v="CUENCA"/>
    <n v="1"/>
    <n v="0"/>
    <n v="0"/>
    <s v="CORRIENTE"/>
    <x v="1"/>
    <n v="570216"/>
    <s v="OBLIGACIONES CON EL IESS POR RESPONSABILIDAD PATRONAL"/>
    <n v="0"/>
    <n v="200"/>
    <n v="0"/>
    <n v="200"/>
    <n v="0"/>
    <n v="0"/>
    <n v="0"/>
    <n v="0"/>
    <n v="0"/>
    <n v="0"/>
    <n v="0"/>
    <n v="0"/>
    <n v="0"/>
    <n v="0"/>
    <n v="200"/>
    <s v="OK"/>
    <n v="13.16"/>
    <n v="186.84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4"/>
    <s v="OPERACIONES"/>
    <s v="CONTRATACIÓN DEL SERVICIO DE IMPRESIÓN DE MATERIAL ACADÉMICO PARA LOS CURSOS PRESENCIALES DEL SISTEMA DE COMANDO DE INCIDENTES BÁSICO PARA LA COORDINACIÓN ZONAL 6 SIS ECU 911 Y CENTRO OPERATIVO LOCAL MACAS"/>
    <n v="1"/>
    <x v="4"/>
    <n v="55"/>
    <n v="0"/>
    <n v="2"/>
    <n v="101"/>
    <s v="CUENCA"/>
    <n v="1"/>
    <n v="0"/>
    <n v="0"/>
    <s v="CORRIENTE"/>
    <x v="0"/>
    <n v="530204"/>
    <s v="EDICIÓN, IMPRESIÓN, REPRODUCCIÓN, PUBLICACIONES, SUSCRIPCIONES, FOTOCOPIADO, TRADUCCIÓN, EMPASTADO, ENMARCACIÓN, SERIGRAFÍA, FOTOGRAFÍA, CARNETIZACIÓN, FILMACIÓN E IMÁGENES SATELITALES"/>
    <n v="0"/>
    <n v="5095"/>
    <n v="0"/>
    <n v="0"/>
    <n v="0"/>
    <n v="0"/>
    <n v="0"/>
    <n v="0"/>
    <n v="0"/>
    <n v="0"/>
    <n v="0"/>
    <n v="5095"/>
    <n v="0"/>
    <n v="0"/>
    <n v="5095"/>
    <s v="OK"/>
    <n v="3113.3"/>
    <n v="1981.6999999999998"/>
    <s v="R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4"/>
    <s v="OPERACIONES"/>
    <s v="ADQUISICIÓN DE PORTA GAFETES PARA EL CURSO PRESENCIAL DEL SISTEMA DE COMANDO DE INCIDENTES BÁSICO PARA LA COORDINACIÓN ZONAL 6 SIS ECU 911 Y CENTRO OPERATIVO LOCAL MACAS"/>
    <n v="1"/>
    <x v="4"/>
    <n v="55"/>
    <n v="0"/>
    <n v="2"/>
    <n v="101"/>
    <s v="CUENCA"/>
    <n v="1"/>
    <n v="0"/>
    <n v="0"/>
    <s v="CORRIENTE"/>
    <x v="0"/>
    <n v="530804"/>
    <s v="MATERIALES DE OFICINA"/>
    <n v="0"/>
    <n v="313.73"/>
    <n v="0"/>
    <n v="0"/>
    <n v="0"/>
    <n v="0"/>
    <n v="0"/>
    <n v="0"/>
    <n v="0"/>
    <n v="0"/>
    <n v="0"/>
    <n v="313.73"/>
    <n v="0"/>
    <n v="0"/>
    <n v="313.73"/>
    <s v="OK"/>
    <n v="279.64999999999998"/>
    <n v="34.080000000000041"/>
    <s v="R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5"/>
    <s v="TECNOLOGÍA"/>
    <s v="CONTRATACIÓN DEL SERVICIO DE ENLACE DE DATOS, TELEFONÍA SIP, INTERNET PARA LA COORDINACIÓN ZONAL 6 SERVICIO INTEGRADO DE SEGURIDAD ECU 911"/>
    <n v="1"/>
    <x v="4"/>
    <n v="55"/>
    <n v="0"/>
    <n v="3"/>
    <n v="101"/>
    <s v="CUENCA"/>
    <n v="1"/>
    <n v="0"/>
    <n v="0"/>
    <s v="CORRIENTE"/>
    <x v="0"/>
    <n v="530105"/>
    <s v="TELECOMUNICACIONES"/>
    <n v="282051"/>
    <n v="178332.31000000006"/>
    <n v="22485.7"/>
    <n v="22485.7"/>
    <n v="11993.960000000003"/>
    <n v="11993.960000000003"/>
    <n v="11609.120000000003"/>
    <n v="11609.120000000003"/>
    <n v="19459.120000000003"/>
    <n v="19459.120000000003"/>
    <n v="12459.120000000003"/>
    <n v="12459.120000000003"/>
    <n v="12459.120000000003"/>
    <n v="9859.1500000000015"/>
    <n v="178332.30999999997"/>
    <s v="OK"/>
    <n v="178238.02000000002"/>
    <n v="94.290000000037253"/>
    <s v="R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5"/>
    <s v="TECNOLOGÍA"/>
    <s v="CONTRATACIÓN DEL SERVICIO DE PINTADO DE POSTES DE VIDEO VIGILANCIA DE LA COORDINACIÓN ZONAL 6 DEL SERVICIO INTEGRADO DE SEGURIDAD ECU 911 (CENTRO ZONAL CUENCA Y CENTRO OPERATIVO LOCAL MACAS)"/>
    <n v="1"/>
    <x v="4"/>
    <n v="55"/>
    <n v="0"/>
    <n v="3"/>
    <n v="101"/>
    <s v="CUENCA"/>
    <n v="1"/>
    <n v="0"/>
    <n v="0"/>
    <s v="CORRIENTE"/>
    <x v="0"/>
    <n v="530417"/>
    <s v="INFRAESTRUCTURA"/>
    <n v="0"/>
    <n v="38000"/>
    <n v="0"/>
    <n v="0"/>
    <n v="0"/>
    <n v="0"/>
    <n v="0"/>
    <n v="0"/>
    <n v="0"/>
    <n v="0"/>
    <n v="0"/>
    <n v="0"/>
    <n v="0"/>
    <n v="38000"/>
    <n v="38000"/>
    <s v="OK"/>
    <n v="37968"/>
    <n v="32"/>
    <s v="R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5"/>
    <s v="TECNOLOGÍA"/>
    <s v="CONTRATACION DEL SERVICIO DE ARRENDAMIENTO DE CAMARAS TIPO PTZ PARA LA COORDINACION ZONAL6 DEL SERVICIO INTEGRADO DE SEGURIDAD ECU 911"/>
    <n v="1"/>
    <x v="4"/>
    <n v="55"/>
    <n v="0"/>
    <n v="3"/>
    <n v="101"/>
    <s v="CUENCA"/>
    <n v="1"/>
    <n v="0"/>
    <n v="0"/>
    <s v="CORRIENTE"/>
    <x v="0"/>
    <n v="530504"/>
    <s v="MAQUINARIAS Y EQUIPOS (ARRENDAMIENTO)"/>
    <n v="0"/>
    <n v="21679.72"/>
    <n v="0"/>
    <n v="0"/>
    <n v="0"/>
    <n v="0"/>
    <n v="0"/>
    <n v="0"/>
    <n v="0"/>
    <n v="0"/>
    <n v="0"/>
    <n v="7230.33"/>
    <n v="7230.34"/>
    <n v="7219.0499999999993"/>
    <n v="21679.72"/>
    <s v="OK"/>
    <n v="21666.45"/>
    <n v="13.270000000000437"/>
    <s v="R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5"/>
    <s v="TECNOLOGÍA"/>
    <s v="SERVICIO DE SEGURIDAD ENDPOINT COORDINACIÓN ZONAL 6 Y CENTRO OPERATIVO LOCAL MACAS"/>
    <n v="1"/>
    <x v="4"/>
    <n v="55"/>
    <n v="0"/>
    <n v="3"/>
    <n v="101"/>
    <s v="CUENCA"/>
    <n v="1"/>
    <n v="0"/>
    <n v="0"/>
    <s v="CORRIENTE"/>
    <x v="0"/>
    <n v="530702"/>
    <s v="ARRENDAMIENTO Y LICENCIAS DE USO DE PAQUETES INFORMÁTICOS"/>
    <n v="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5"/>
    <s v="TECNOLOGÍA"/>
    <s v="SEGURIDAD PERIMETRAL ENERO A DICIEMBRE 2022"/>
    <n v="1"/>
    <x v="4"/>
    <n v="55"/>
    <n v="0"/>
    <n v="3"/>
    <n v="101"/>
    <s v="CUENCA"/>
    <n v="1"/>
    <n v="0"/>
    <n v="0"/>
    <s v="CORRIENTE"/>
    <x v="0"/>
    <n v="530702"/>
    <s v="ARRENDAMIENTO Y LICENCIAS DE USO DE PAQUETES INFORMÁTICOS"/>
    <n v="7638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5"/>
    <s v="TECNOLOGÍA"/>
    <s v="ADQUISICIÓN DE LICENCIAS ANTIVIRUS ADMINISTRATIVAS ENERO A DICIEMBRE"/>
    <n v="1"/>
    <x v="4"/>
    <n v="55"/>
    <n v="0"/>
    <n v="3"/>
    <n v="101"/>
    <s v="CUENCA"/>
    <n v="1"/>
    <n v="0"/>
    <n v="0"/>
    <s v="CORRIENTE"/>
    <x v="0"/>
    <n v="530702"/>
    <s v="ARRENDAMIENTO Y LICENCIAS DE USO DE PAQUETES INFORMÁTICOS"/>
    <n v="3507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5"/>
    <s v="TECNOLOGÍA"/>
    <s v="ADQUISICIÓN DE LICENCIAS OPERATIVAS AGOSTO A DICIEMBRE 2022"/>
    <n v="1"/>
    <x v="4"/>
    <n v="55"/>
    <n v="0"/>
    <n v="3"/>
    <n v="101"/>
    <s v="CUENCA"/>
    <n v="1"/>
    <n v="0"/>
    <n v="0"/>
    <s v="CORRIENTE"/>
    <x v="0"/>
    <n v="530702"/>
    <s v="ARRENDAMIENTO Y LICENCIAS DE USO DE PAQUETES INFORMÁTICOS"/>
    <n v="2959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5"/>
    <s v="TECNOLOGÍA"/>
    <s v="CONTRATACIÓN DEL SERVICIO DE MANTENIMIENTO DE AUDIO Y VIDEO DE LA SALA DE CRISIS Y SALA DE REUNIONES AZOGUES DE LA COORDINACIÓN ZONAL 6"/>
    <n v="1"/>
    <x v="4"/>
    <n v="55"/>
    <n v="0"/>
    <n v="3"/>
    <n v="101"/>
    <s v="CUENCA"/>
    <n v="1"/>
    <n v="0"/>
    <n v="0"/>
    <s v="CORRIENTE"/>
    <x v="2"/>
    <n v="530704"/>
    <s v="MANTENIMIENTO Y REPARACIÓN DE EQUIPOS Y SISTEMAS INFORMÁTICOS "/>
    <n v="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5"/>
    <s v="TECNOLOGÍA"/>
    <s v="ADQUISICIÓN DE EQUIPOS INFORMÁTICOS, PARTES Y REPUESTOS PARA LA SALA DESCONCENTRADA DE AZOGUES DE LA COORDINACIÓN ZONAL 6 SIS ECU 911 (POR VIGENCIA TECNOLÓGICA 2023)"/>
    <n v="1"/>
    <x v="4"/>
    <n v="55"/>
    <n v="0"/>
    <n v="3"/>
    <n v="101"/>
    <s v="CUENCA"/>
    <n v="1"/>
    <n v="0"/>
    <n v="0"/>
    <s v="CORRIENTE"/>
    <x v="0"/>
    <n v="530704"/>
    <s v="MANTENIMIENTO Y REPARACIÓN DE EQUIPOS Y SISTEMAS INFORMÁTICOS "/>
    <n v="0"/>
    <n v="168"/>
    <n v="0"/>
    <n v="0"/>
    <n v="0"/>
    <n v="0"/>
    <n v="0"/>
    <n v="0"/>
    <n v="84"/>
    <n v="0"/>
    <n v="0"/>
    <n v="0"/>
    <n v="0"/>
    <n v="84"/>
    <n v="168"/>
    <s v="OK"/>
    <n v="168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5"/>
    <s v="TECNOLOGÍA"/>
    <s v="CONTRATACIÓN DEL SERVICIO DE MANTENIMIENTO DE PUNTOS DE VIDEO VIGILANCIA DE LA COORDINACIÓN ZONAL 6 Y CENTRO OPERATIVO LOCAL MACAS"/>
    <n v="1"/>
    <x v="4"/>
    <n v="55"/>
    <n v="0"/>
    <n v="3"/>
    <n v="101"/>
    <s v="CUENCA"/>
    <n v="1"/>
    <n v="0"/>
    <n v="0"/>
    <s v="CORRIENTE"/>
    <x v="0"/>
    <n v="530704"/>
    <s v="MANTENIMIENTO Y REPARACIÓN DE EQUIPOS Y SISTEMAS INFORMÁTICOS "/>
    <n v="63536"/>
    <n v="77100"/>
    <n v="0"/>
    <n v="0"/>
    <n v="0"/>
    <n v="0"/>
    <n v="11619.71"/>
    <n v="11619.71"/>
    <n v="11619.71"/>
    <n v="10619.71"/>
    <n v="10619.71"/>
    <n v="10619.71"/>
    <n v="10381.74"/>
    <n v="0"/>
    <n v="77100"/>
    <s v="OK"/>
    <n v="77100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5"/>
    <s v="TECNOLOGÍA"/>
    <s v="CONTRATACION DEL SERVICIO DE MANTENIMIENTO DE EQUIPOS DE AUDIO Y VIDEO DE LA SALA DE CRISIS DE LA COORDINACION ZONAL 6 DEL SERVICIO INTEGRADO DE SEGURIDAD ECU 911"/>
    <n v="1"/>
    <x v="4"/>
    <n v="55"/>
    <n v="0"/>
    <n v="3"/>
    <n v="101"/>
    <s v="CUENCA"/>
    <n v="1"/>
    <n v="0"/>
    <n v="0"/>
    <s v="CORRIENTE"/>
    <x v="0"/>
    <n v="530704"/>
    <s v="MANTENIMIENTO Y REPARACIÓN DE EQUIPOS Y SISTEMAS INFORMÁTICOS "/>
    <n v="0"/>
    <n v="5800"/>
    <n v="0"/>
    <n v="0"/>
    <n v="0"/>
    <n v="0"/>
    <n v="0"/>
    <n v="0"/>
    <n v="0"/>
    <n v="0"/>
    <n v="0"/>
    <n v="0"/>
    <n v="0"/>
    <n v="5800"/>
    <n v="5800"/>
    <s v="OK"/>
    <n v="5800"/>
    <n v="0"/>
    <s v="R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5"/>
    <s v="TECNOLOGÍA"/>
    <s v="ADQUISICIÓN DE REPUESTOS, INSUMOS, MATERIALES Y SUMINISTROS PARA EL ÁREA DE TECNOLOGÍA DE LA COORDINACIÓN ZONAL 6 DEL SERVICIO INTEGRADO DE SEGURIDAD ECU 911"/>
    <n v="1"/>
    <x v="4"/>
    <n v="55"/>
    <n v="0"/>
    <n v="3"/>
    <n v="101"/>
    <s v="CUENCA"/>
    <n v="1"/>
    <n v="0"/>
    <n v="0"/>
    <s v="CORRIENTE"/>
    <x v="0"/>
    <n v="530811"/>
    <s v="INSUMOS, MATERIALES Y SUMINISTROS PARA CONSTRUCCIÓN, ELECTRICIDAD, PLOMERÍA, CARPINTERÍA, SEÑALIZACIÓN VIAL, NAVEGACIÓN, CONTRA INCENDIOS Y PLACAS"/>
    <n v="7840"/>
    <n v="6054.23"/>
    <n v="0"/>
    <n v="0"/>
    <n v="0"/>
    <n v="0"/>
    <n v="0"/>
    <n v="0"/>
    <n v="6054.23"/>
    <n v="0"/>
    <n v="0"/>
    <n v="0"/>
    <n v="0"/>
    <n v="0"/>
    <n v="6054.23"/>
    <s v="OK"/>
    <n v="5985.9999999999991"/>
    <n v="68.230000000000473"/>
    <s v="R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5"/>
    <s v="TECNOLOGÍA"/>
    <s v="ADQUISICIÓN DE REPUESTOS, INSUMOS, MATERIALES Y SUMINISTROS PARA EL ÁREA DE TECNOLOGÍA DE LA COORDINACIÓN ZONAL 6 DEL SERVICIO INTEGRADO DE SEGURIDAD ECU 911"/>
    <n v="1"/>
    <x v="4"/>
    <n v="55"/>
    <n v="0"/>
    <n v="3"/>
    <n v="101"/>
    <s v="CUENCA"/>
    <n v="1"/>
    <n v="0"/>
    <n v="0"/>
    <s v="CORRIENTE"/>
    <x v="0"/>
    <n v="530813"/>
    <s v="REPUESTOS Y ACCESORIOS"/>
    <n v="18480"/>
    <n v="6108.989999999998"/>
    <n v="0"/>
    <n v="0"/>
    <n v="0"/>
    <n v="0"/>
    <n v="0"/>
    <n v="0"/>
    <n v="6108.99"/>
    <n v="0"/>
    <n v="0"/>
    <n v="0"/>
    <n v="0"/>
    <n v="0"/>
    <n v="6108.99"/>
    <s v="OK"/>
    <n v="6096.9"/>
    <n v="12.089999999998327"/>
    <s v="R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5"/>
    <s v="TECNOLOGÍA"/>
    <s v="ADQUISICIÓN DE DISCOS DUROS PARA SERVIDORES Y STORAGE PARA LA COORDIANCIÓN ZONAL 6 DEL SERVICIO INTEGRADO DE SEGURIDAD ECU 911 Y CENTRO LOCAL MACAS"/>
    <n v="1"/>
    <x v="4"/>
    <n v="55"/>
    <n v="0"/>
    <n v="3"/>
    <n v="101"/>
    <s v="CUENCA"/>
    <n v="1"/>
    <n v="0"/>
    <n v="0"/>
    <s v="CORRIENTE"/>
    <x v="0"/>
    <n v="530813"/>
    <s v="REPUESTOS Y ACCESORIOS"/>
    <n v="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5"/>
    <s v="TECNOLOGÍA"/>
    <s v="ADQUISICION DE DISPOSITIVOS DE ALMACENAMIENTO PARA STORAGE DE LA COORDINACION ZONAL 6 DEL SERVICIO INTEGRADO DE SEGURIDAD ECU 911"/>
    <n v="1"/>
    <x v="4"/>
    <n v="55"/>
    <n v="0"/>
    <n v="3"/>
    <n v="101"/>
    <s v="CUENCA"/>
    <n v="1"/>
    <n v="0"/>
    <n v="0"/>
    <s v="CORRIENTE"/>
    <x v="0"/>
    <n v="530813"/>
    <s v="REPUESTOS Y ACCESORIOS"/>
    <n v="0"/>
    <n v="11500"/>
    <n v="0"/>
    <n v="0"/>
    <n v="0"/>
    <n v="0"/>
    <n v="0"/>
    <n v="0"/>
    <n v="0"/>
    <n v="0"/>
    <n v="0"/>
    <n v="0"/>
    <n v="0"/>
    <n v="11500"/>
    <n v="11500"/>
    <s v="OK"/>
    <n v="11448"/>
    <n v="52"/>
    <s v="R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5"/>
    <s v="TECNOLOGÍA"/>
    <s v="ADQUISICIÓN EQUIPOS MENORES, PARTES Y REPUESTOS PARA EQUIPOS DE COMPUTACIÓN, RADIO COMUNICACIÓN, SISTEMA DE VIDEO VIGILANCIA, ALMACENAMIENTO Y CARGADORES DE RADIO COMUNICACIÓN PARA LA COORDINACIÓN ZONAL 6 "/>
    <n v="1"/>
    <x v="4"/>
    <n v="55"/>
    <n v="0"/>
    <n v="3"/>
    <n v="101"/>
    <s v="CUENCA"/>
    <n v="1"/>
    <n v="0"/>
    <n v="0"/>
    <s v="CORRIENTE"/>
    <x v="0"/>
    <n v="531404"/>
    <s v="MAQUINARIAS Y EQUIPOS"/>
    <n v="0"/>
    <n v="2661.92"/>
    <n v="0"/>
    <n v="0"/>
    <n v="0"/>
    <n v="0"/>
    <n v="0"/>
    <n v="0"/>
    <n v="2661.92"/>
    <n v="0"/>
    <n v="0"/>
    <n v="0"/>
    <n v="0"/>
    <n v="0"/>
    <n v="2661.92"/>
    <s v="OK"/>
    <n v="2579.5899999999997"/>
    <n v="82.330000000000382"/>
    <s v="R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5"/>
    <s v="TECNOLOGÍA"/>
    <s v="ADQUISICIÓN EQUIPOS MENORES, PARTES Y REPUESTOS PARA EQUIPOS DE COMPUTACIÓN, RADIO COMUNICACIÓN, SISTEMA DE VIDEO VIGILANCIA, ALMACENAMIENTO Y CARGADORES DE RADIO COMUNICACIÓN PARA LA COORDINACIÓN ZONAL 6  "/>
    <n v="1"/>
    <x v="4"/>
    <n v="55"/>
    <n v="0"/>
    <n v="3"/>
    <n v="101"/>
    <s v="CUENCA"/>
    <n v="1"/>
    <n v="0"/>
    <n v="0"/>
    <s v="CORRIENTE"/>
    <x v="0"/>
    <n v="531407"/>
    <s v="EQUIPOS, SISTEMAS Y PAQUETES INFORMÁTICOS"/>
    <n v="3920"/>
    <n v="7993.2600000000011"/>
    <n v="0"/>
    <n v="0"/>
    <n v="0"/>
    <n v="0"/>
    <n v="0"/>
    <n v="0"/>
    <n v="7993.2600000000011"/>
    <n v="0"/>
    <n v="0"/>
    <n v="0"/>
    <n v="0"/>
    <n v="0"/>
    <n v="7993.2600000000011"/>
    <s v="OK"/>
    <n v="7746.0399999999991"/>
    <n v="247.22000000000207"/>
    <s v="R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5"/>
    <s v="TECNOLOGÍA"/>
    <s v="ADQUISICIÓN DE REPUESTOS, INSUMOS, MATERIALES Y SUMINISTROS PARA EL ÁREA DE TECNOLOGÍA DE LA COORDINACIÓN ZONAL 6 DEL SERVICIO INTEGRADO DE SEGURIDAD ECU 911"/>
    <n v="1"/>
    <x v="4"/>
    <n v="55"/>
    <n v="0"/>
    <n v="3"/>
    <n v="101"/>
    <s v="CUENCA"/>
    <n v="1"/>
    <n v="0"/>
    <n v="0"/>
    <s v="CORRIENTE"/>
    <x v="0"/>
    <n v="531407"/>
    <s v="EQUIPOS, SISTEMAS Y PAQUETES INFORMÁTICOS"/>
    <n v="0"/>
    <n v="1352"/>
    <n v="0"/>
    <n v="0"/>
    <n v="0"/>
    <n v="0"/>
    <n v="0"/>
    <n v="0"/>
    <n v="1352"/>
    <n v="0"/>
    <n v="0"/>
    <n v="0"/>
    <n v="0"/>
    <n v="0"/>
    <n v="1352"/>
    <s v="OK"/>
    <n v="1270"/>
    <n v="82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5"/>
    <s v="TECNOLOGÍA"/>
    <s v="ADQUISICIÓN DE EQUIPOS MENORES, PARTES Y REPUESTOS PARA EQUIPOS DE COMPUTACIÓN, RADIO COMUNICACIÓN, SISTEMA DE VIDEO VIGILANCIA, ALMACENAMIENTO Y CARGADORES DE RADIO COMUNICACIÓN PARA LA COORDINACIÓN ZONAL 6 "/>
    <n v="1"/>
    <x v="4"/>
    <n v="55"/>
    <n v="0"/>
    <n v="3"/>
    <n v="101"/>
    <s v="CUENCA"/>
    <n v="1"/>
    <n v="0"/>
    <n v="0"/>
    <s v="CORRIENTE"/>
    <x v="0"/>
    <n v="531411"/>
    <s v="PARTES Y REPUESTOS"/>
    <n v="1193"/>
    <n v="1047.5999999999999"/>
    <n v="0"/>
    <n v="0"/>
    <n v="0"/>
    <n v="0"/>
    <n v="0"/>
    <n v="0"/>
    <n v="1047.5999999999999"/>
    <n v="0"/>
    <n v="0"/>
    <n v="0"/>
    <n v="0"/>
    <n v="0"/>
    <n v="1047.5999999999999"/>
    <s v="OK"/>
    <n v="1015.2"/>
    <n v="32.399999999999864"/>
    <s v="R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5"/>
    <s v="TECNOLOGÍA"/>
    <s v="ADQUISICIÓN DE EQUIPOS PORTÁTILES PARA LA COORDINACION ZONAL6 DEL SERVICIO INTEGRADO DE SEGURIDAD ECU 911"/>
    <n v="1"/>
    <x v="4"/>
    <n v="55"/>
    <n v="0"/>
    <n v="3"/>
    <n v="101"/>
    <s v="CUENCA"/>
    <n v="1"/>
    <n v="0"/>
    <n v="0"/>
    <s v="CAPITAL"/>
    <x v="5"/>
    <n v="840107"/>
    <s v="EQUIPOS SISTEMAS Y PAQUETES INFORMÁTICOS"/>
    <n v="0"/>
    <n v="30427.200000000001"/>
    <n v="0"/>
    <n v="0"/>
    <n v="0"/>
    <n v="0"/>
    <n v="0"/>
    <n v="0"/>
    <n v="0"/>
    <n v="0"/>
    <n v="0"/>
    <n v="0"/>
    <n v="30427.200000000001"/>
    <n v="0"/>
    <n v="30427.200000000001"/>
    <s v="OK"/>
    <n v="30427.200000000001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5"/>
    <s v="TECNOLOGÍA"/>
    <s v="ADQUISICIÓN DE MONITORES PARA LA COORDINACIÓN ZONAL 6 DEL SERVICIO INTEGRADO DE SEGURIDAD ECU 911"/>
    <n v="1"/>
    <x v="4"/>
    <n v="55"/>
    <n v="0"/>
    <n v="3"/>
    <n v="101"/>
    <s v="CUENCA"/>
    <n v="1"/>
    <n v="0"/>
    <n v="0"/>
    <s v="CAPITAL"/>
    <x v="5"/>
    <n v="840107"/>
    <s v="EQUIPOS SISTEMAS Y PAQUETES INFORMÁTICOS"/>
    <n v="0"/>
    <n v="21520.799999999999"/>
    <n v="0"/>
    <n v="0"/>
    <n v="0"/>
    <n v="0"/>
    <n v="0"/>
    <n v="0"/>
    <n v="0"/>
    <n v="0"/>
    <n v="0"/>
    <n v="0"/>
    <n v="21520.799999999999"/>
    <n v="0"/>
    <n v="21520.799999999999"/>
    <s v="OK"/>
    <n v="21420"/>
    <n v="100.79999999999927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0"/>
    <s v="ADMINISTRACIÓN CENTRAL"/>
    <s v="CANCELACIÓN DE REMUNERACIONES Y BENEFICIOS SOCIALES"/>
    <n v="1"/>
    <x v="4"/>
    <n v="1"/>
    <n v="0"/>
    <n v="1"/>
    <n v="1400"/>
    <s v="MORONA"/>
    <n v="1"/>
    <n v="0"/>
    <n v="0"/>
    <s v="CORRIENTE"/>
    <x v="3"/>
    <n v="510105"/>
    <s v="REMUNERACIONES UNIFICADAS"/>
    <n v="129552"/>
    <n v="129552"/>
    <n v="10796"/>
    <n v="10796"/>
    <n v="10796"/>
    <n v="10796"/>
    <n v="10796"/>
    <n v="10796"/>
    <n v="10796"/>
    <n v="10796"/>
    <n v="10796"/>
    <n v="10796"/>
    <n v="10796"/>
    <n v="10796"/>
    <n v="129552"/>
    <s v="OK"/>
    <n v="0"/>
    <n v="129552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0"/>
    <s v="ADMINISTRACIÓN CENTRAL"/>
    <s v="CANCELACIÓN DE REMUNERACIONES Y BENEFICIOS SOCIALES"/>
    <n v="1"/>
    <x v="4"/>
    <n v="1"/>
    <n v="0"/>
    <n v="1"/>
    <n v="1400"/>
    <s v="MORONA"/>
    <n v="1"/>
    <n v="0"/>
    <n v="0"/>
    <s v="CORRIENTE"/>
    <x v="3"/>
    <n v="510106"/>
    <s v="SALARIOS UNIFICADOS"/>
    <n v="28752"/>
    <n v="28752.01"/>
    <n v="2396"/>
    <n v="2396"/>
    <n v="2396"/>
    <n v="2396"/>
    <n v="2396"/>
    <n v="2396"/>
    <n v="2396"/>
    <n v="2396"/>
    <n v="2396"/>
    <n v="2396"/>
    <n v="2396"/>
    <n v="2396.0100000000002"/>
    <n v="28752.010000000002"/>
    <s v="OK"/>
    <n v="0"/>
    <n v="28752.01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0"/>
    <s v="ADMINISTRACIÓN CENTRAL"/>
    <s v="CANCELACIÓN DE REMUNERACIONES Y BENEFICIOS SOCIALES"/>
    <n v="1"/>
    <x v="4"/>
    <n v="1"/>
    <n v="0"/>
    <n v="1"/>
    <n v="1400"/>
    <s v="MORONA"/>
    <n v="1"/>
    <n v="0"/>
    <n v="0"/>
    <s v="CORRIENTE"/>
    <x v="3"/>
    <n v="510203"/>
    <s v="DÉCIMO TERCER SUELDO"/>
    <n v="13192"/>
    <n v="13234"/>
    <n v="0"/>
    <n v="0"/>
    <n v="0"/>
    <n v="0"/>
    <n v="0"/>
    <n v="0"/>
    <n v="0"/>
    <n v="0"/>
    <n v="0"/>
    <n v="0"/>
    <n v="0"/>
    <n v="13234"/>
    <n v="13234"/>
    <s v="OK"/>
    <n v="0"/>
    <n v="13234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0"/>
    <s v="ADMINISTRACIÓN CENTRAL"/>
    <s v="CANCELACIÓN DE REMUNERACIONES Y BENEFICIOS SOCIALES"/>
    <n v="1"/>
    <x v="4"/>
    <n v="1"/>
    <n v="0"/>
    <n v="1"/>
    <n v="1400"/>
    <s v="MORONA"/>
    <n v="1"/>
    <n v="0"/>
    <n v="0"/>
    <s v="CORRIENTE"/>
    <x v="3"/>
    <n v="510204"/>
    <s v="DÉCIMO CUARTO SUELDO"/>
    <n v="5525"/>
    <n v="5780"/>
    <n v="0"/>
    <n v="0"/>
    <n v="0"/>
    <n v="0"/>
    <n v="0"/>
    <n v="0"/>
    <n v="0"/>
    <n v="5780"/>
    <n v="0"/>
    <n v="0"/>
    <n v="0"/>
    <n v="0"/>
    <n v="5780"/>
    <s v="OK"/>
    <n v="0"/>
    <n v="578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0"/>
    <s v="ADMINISTRACIÓN CENTRAL"/>
    <s v="CANCELACIÓN DE REMUNERACIONES Y BENEFICIOS SOCIALES"/>
    <n v="1"/>
    <x v="4"/>
    <n v="1"/>
    <n v="0"/>
    <n v="1"/>
    <n v="1400"/>
    <s v="MORONA"/>
    <n v="1"/>
    <n v="0"/>
    <n v="0"/>
    <s v="CORRIENTE"/>
    <x v="3"/>
    <n v="510304"/>
    <s v="COMPENSACION POR TRANSPORTE"/>
    <n v="0"/>
    <n v="132"/>
    <n v="0"/>
    <n v="0"/>
    <n v="0"/>
    <n v="0"/>
    <n v="0"/>
    <n v="0"/>
    <n v="0"/>
    <n v="0"/>
    <n v="0"/>
    <n v="0"/>
    <n v="0"/>
    <n v="132"/>
    <n v="132"/>
    <s v="OK"/>
    <n v="0"/>
    <n v="132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0"/>
    <s v="ADMINISTRACIÓN CENTRAL"/>
    <s v="CANCELACIÓN DE REMUNERACIONES Y BENEFICIOS SOCIALES"/>
    <n v="1"/>
    <x v="4"/>
    <n v="1"/>
    <n v="0"/>
    <n v="1"/>
    <n v="1400"/>
    <s v="MORONA"/>
    <n v="1"/>
    <n v="0"/>
    <n v="0"/>
    <s v="CORRIENTE"/>
    <x v="3"/>
    <n v="510306"/>
    <s v="ALIMENTACION"/>
    <n v="0"/>
    <n v="660"/>
    <n v="0"/>
    <n v="0"/>
    <n v="0"/>
    <n v="0"/>
    <n v="0"/>
    <n v="0"/>
    <n v="0"/>
    <n v="0"/>
    <n v="0"/>
    <n v="0"/>
    <n v="0"/>
    <n v="660"/>
    <n v="660"/>
    <s v="OK"/>
    <n v="0"/>
    <n v="66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0"/>
    <s v="ADMINISTRACIÓN CENTRAL"/>
    <s v="CANCELACIÓN DE REMUNERACIONES Y BENEFICIOS SOCIALES"/>
    <n v="1"/>
    <x v="4"/>
    <n v="1"/>
    <n v="0"/>
    <n v="1"/>
    <n v="1400"/>
    <s v="MORONA"/>
    <n v="1"/>
    <n v="0"/>
    <n v="0"/>
    <s v="CORRIENTE"/>
    <x v="3"/>
    <n v="510401"/>
    <s v="POR CARGAS FAMILIARES"/>
    <n v="0"/>
    <n v="51"/>
    <n v="0"/>
    <n v="0"/>
    <n v="0"/>
    <n v="0"/>
    <n v="0"/>
    <n v="0"/>
    <n v="0"/>
    <n v="0"/>
    <n v="0"/>
    <n v="0"/>
    <n v="0"/>
    <n v="51"/>
    <n v="51"/>
    <s v="OK"/>
    <n v="0"/>
    <n v="51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0"/>
    <s v="ADMINISTRACIÓN CENTRAL"/>
    <s v="CANCELACIÓN DE REMUNERACIONES Y BENEFICIOS SOCIALES"/>
    <n v="1"/>
    <x v="4"/>
    <n v="1"/>
    <n v="0"/>
    <n v="1"/>
    <n v="1400"/>
    <s v="MORONA"/>
    <n v="1"/>
    <n v="0"/>
    <n v="0"/>
    <s v="CORRIENTE"/>
    <x v="3"/>
    <n v="510408"/>
    <s v="SUBSIDIO DE ANTIGUEDAD"/>
    <n v="0"/>
    <n v="95"/>
    <n v="0"/>
    <n v="0"/>
    <n v="0"/>
    <n v="0"/>
    <n v="0"/>
    <n v="0"/>
    <n v="0"/>
    <n v="0"/>
    <n v="0"/>
    <n v="0"/>
    <n v="0"/>
    <n v="95"/>
    <n v="95"/>
    <s v="OK"/>
    <n v="0"/>
    <n v="95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0"/>
    <s v="ADMINISTRACIÓN CENTRAL"/>
    <s v="CANCELACIÓN DE REMUNERACIONES Y BENEFICIOS SOCIALES"/>
    <n v="1"/>
    <x v="4"/>
    <n v="1"/>
    <n v="0"/>
    <n v="1"/>
    <n v="1400"/>
    <s v="MORONA"/>
    <n v="1"/>
    <n v="0"/>
    <n v="0"/>
    <s v="CORRIENTE"/>
    <x v="3"/>
    <n v="510509"/>
    <s v="HORAS EXTRAORDINARIAS Y SUPLEMENTARIAS"/>
    <n v="300"/>
    <n v="500"/>
    <n v="0"/>
    <n v="25"/>
    <n v="25"/>
    <n v="47.22"/>
    <n v="47.22"/>
    <n v="47.2"/>
    <n v="47.22"/>
    <n v="52.22"/>
    <n v="52.22"/>
    <n v="52.22"/>
    <n v="52.22"/>
    <n v="52.260000000000005"/>
    <n v="500"/>
    <s v="OK"/>
    <n v="0"/>
    <n v="50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0"/>
    <s v="ADMINISTRACIÓN CENTRAL"/>
    <s v="CANCELACIÓN DE REMUNERACIONES Y BENEFICIOS SOCIALES"/>
    <n v="1"/>
    <x v="4"/>
    <n v="1"/>
    <n v="0"/>
    <n v="1"/>
    <n v="1400"/>
    <s v="MORONA"/>
    <n v="1"/>
    <n v="0"/>
    <n v="0"/>
    <s v="CORRIENTE"/>
    <x v="3"/>
    <n v="510601"/>
    <s v="APORTE PATRONAL"/>
    <n v="15996"/>
    <n v="16057"/>
    <n v="1338.08"/>
    <n v="1338.08"/>
    <n v="1338.08"/>
    <n v="1338.08"/>
    <n v="1338.08"/>
    <n v="1338.08"/>
    <n v="1338.08"/>
    <n v="1338.08"/>
    <n v="1338.08"/>
    <n v="1338.08"/>
    <n v="1338.08"/>
    <n v="1338.12"/>
    <n v="16057"/>
    <s v="OK"/>
    <n v="0"/>
    <n v="16057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0"/>
    <s v="ADMINISTRACIÓN CENTRAL"/>
    <s v="CANCELACIÓN DE REMUNERACIONES Y BENEFICIOS SOCIALES"/>
    <n v="1"/>
    <x v="4"/>
    <n v="1"/>
    <n v="0"/>
    <n v="1"/>
    <n v="1400"/>
    <s v="MORONA"/>
    <n v="1"/>
    <n v="0"/>
    <n v="0"/>
    <s v="CORRIENTE"/>
    <x v="3"/>
    <n v="510602"/>
    <s v="FONDO DE RESERVA"/>
    <n v="13187"/>
    <n v="13226"/>
    <n v="1099.33"/>
    <n v="1099.33"/>
    <n v="1099.33"/>
    <n v="1027.1099999999999"/>
    <n v="1027.1099999999999"/>
    <n v="1027.1099999999999"/>
    <n v="1077.1099999999999"/>
    <n v="1077.1099999999999"/>
    <n v="1077.1099999999999"/>
    <n v="1177.1099999999999"/>
    <n v="1177.1099999999999"/>
    <n v="1261.1300000000001"/>
    <n v="13226"/>
    <s v="OK"/>
    <n v="0"/>
    <n v="13226"/>
    <s v="R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7"/>
    <s v="OPERACIONES"/>
    <s v="CANCELACIÓN DE REMUNERACIONES Y BENEFICIOS SOCIALES"/>
    <n v="1"/>
    <x v="4"/>
    <n v="55"/>
    <n v="0"/>
    <n v="2"/>
    <n v="1400"/>
    <s v="MORONA"/>
    <n v="1"/>
    <n v="0"/>
    <n v="0"/>
    <s v="CORRIENTE"/>
    <x v="3"/>
    <n v="510105"/>
    <s v="REMUNERACIONES UNIFICADAS"/>
    <n v="348228"/>
    <n v="347496"/>
    <n v="29019"/>
    <n v="29019"/>
    <n v="29019"/>
    <n v="28937.67"/>
    <n v="28937.67"/>
    <n v="28937.67"/>
    <n v="28937.67"/>
    <n v="28937.67"/>
    <n v="28937.67"/>
    <n v="28937.67"/>
    <n v="28937.67"/>
    <n v="28937.64"/>
    <n v="347495.99999999994"/>
    <s v="OK"/>
    <n v="0"/>
    <n v="347496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7"/>
    <s v="OPERACIONES"/>
    <s v="CANCELACIÓN DE REMUNERACIONES Y BENEFICIOS SOCIALES"/>
    <n v="1"/>
    <x v="4"/>
    <n v="55"/>
    <n v="0"/>
    <n v="2"/>
    <n v="1400"/>
    <s v="MORONA"/>
    <n v="1"/>
    <n v="0"/>
    <n v="0"/>
    <s v="CORRIENTE"/>
    <x v="3"/>
    <n v="510203"/>
    <s v="DÉCIMO TERCER SUELDO"/>
    <n v="30738"/>
    <n v="31438"/>
    <n v="0"/>
    <n v="0"/>
    <n v="0"/>
    <n v="0"/>
    <n v="0"/>
    <n v="0"/>
    <n v="0"/>
    <n v="0"/>
    <n v="0"/>
    <n v="0"/>
    <n v="0"/>
    <n v="31438"/>
    <n v="31438"/>
    <s v="OK"/>
    <n v="0"/>
    <n v="31438"/>
    <s v="R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7"/>
    <s v="OPERACIONES"/>
    <s v="CANCELACIÓN DE REMUNERACIONES Y BENEFICIOS SOCIALES"/>
    <n v="1"/>
    <x v="4"/>
    <n v="55"/>
    <n v="0"/>
    <n v="2"/>
    <n v="1400"/>
    <s v="MORONA"/>
    <n v="1"/>
    <n v="0"/>
    <n v="0"/>
    <s v="CORRIENTE"/>
    <x v="3"/>
    <n v="510204"/>
    <s v="DÉCIMO CUARTO SUELDO"/>
    <n v="15300"/>
    <n v="15925"/>
    <n v="0"/>
    <n v="0"/>
    <n v="0"/>
    <n v="0"/>
    <n v="0"/>
    <n v="0"/>
    <n v="0"/>
    <n v="15925"/>
    <n v="0"/>
    <n v="0"/>
    <n v="0"/>
    <n v="0"/>
    <n v="15925"/>
    <s v="OK"/>
    <n v="0"/>
    <n v="15925"/>
    <s v="R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7"/>
    <s v="OPERACIONES"/>
    <s v="CANCELACIÓN DE REMUNERACIONES Y BENEFICIOS SOCIALES"/>
    <n v="1"/>
    <x v="4"/>
    <n v="55"/>
    <n v="0"/>
    <n v="2"/>
    <n v="1400"/>
    <s v="MORONA"/>
    <n v="1"/>
    <n v="0"/>
    <n v="0"/>
    <s v="CORRIENTE"/>
    <x v="3"/>
    <n v="510510"/>
    <s v="SERVICIOS PERSONALES POR CONTRATO"/>
    <n v="20628"/>
    <n v="20628"/>
    <n v="1719"/>
    <n v="1719"/>
    <n v="1719"/>
    <n v="1719"/>
    <n v="1719"/>
    <n v="1719"/>
    <n v="1719"/>
    <n v="1719"/>
    <n v="1719"/>
    <n v="1719"/>
    <n v="1719"/>
    <n v="1719"/>
    <n v="20628"/>
    <s v="OK"/>
    <n v="0"/>
    <n v="20628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7"/>
    <s v="OPERACIONES"/>
    <s v="CANCELACIÓN DE REMUNERACIONES Y BENEFICIOS SOCIALES"/>
    <n v="1"/>
    <x v="4"/>
    <n v="55"/>
    <n v="0"/>
    <n v="2"/>
    <n v="1400"/>
    <s v="MORONA"/>
    <n v="1"/>
    <n v="0"/>
    <n v="0"/>
    <s v="CORRIENTE"/>
    <x v="3"/>
    <n v="510601"/>
    <s v="APORTE PATRONAL"/>
    <n v="35595"/>
    <n v="35595"/>
    <n v="2966"/>
    <n v="2966"/>
    <n v="2966"/>
    <n v="2966"/>
    <n v="2966"/>
    <n v="2966"/>
    <n v="2966"/>
    <n v="2966"/>
    <n v="2966"/>
    <n v="2967"/>
    <n v="2967"/>
    <n v="2967"/>
    <n v="35595"/>
    <s v="OK"/>
    <n v="0"/>
    <n v="35595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7"/>
    <s v="OPERACIONES"/>
    <s v="CANCELACIÓN DE REMUNERACIONES Y BENEFICIOS SOCIALES"/>
    <n v="1"/>
    <x v="4"/>
    <n v="55"/>
    <n v="0"/>
    <n v="2"/>
    <n v="1400"/>
    <s v="MORONA"/>
    <n v="1"/>
    <n v="0"/>
    <n v="0"/>
    <s v="CORRIENTE"/>
    <x v="3"/>
    <n v="510602"/>
    <s v="FONDO DE RESERVA"/>
    <n v="30421"/>
    <n v="28632.21"/>
    <n v="2531.4299999999998"/>
    <n v="2531.4299999999998"/>
    <n v="2531.4299999999998"/>
    <n v="2448.66"/>
    <n v="2448.66"/>
    <n v="2448.66"/>
    <n v="2448.66"/>
    <n v="2448.67"/>
    <n v="2448.67"/>
    <n v="2148.67"/>
    <n v="2098.67"/>
    <n v="2098.6"/>
    <n v="28632.209999999992"/>
    <s v="OK"/>
    <n v="0"/>
    <n v="28632.21"/>
    <s v="R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7"/>
    <s v="OPERACIONES"/>
    <s v="CANCELACIÓN DE REMUNERACIONES Y BENEFICIOS SOCIALES"/>
    <n v="1"/>
    <x v="4"/>
    <n v="55"/>
    <n v="0"/>
    <n v="2"/>
    <n v="1400"/>
    <s v="MORONA"/>
    <n v="1"/>
    <n v="0"/>
    <n v="0"/>
    <s v="CORRIENTE"/>
    <x v="3"/>
    <n v="510707"/>
    <s v="COMPENSACIÓN POR VACACIONES NO GOZADAS POR CESACIÓN DE FUNCIONES"/>
    <n v="0"/>
    <n v="600"/>
    <n v="0"/>
    <n v="0"/>
    <n v="0"/>
    <n v="0"/>
    <n v="0"/>
    <n v="0"/>
    <n v="0"/>
    <n v="600"/>
    <n v="0"/>
    <n v="0"/>
    <n v="0"/>
    <n v="0"/>
    <n v="600"/>
    <s v="OK"/>
    <n v="0"/>
    <n v="600"/>
    <s v="R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2"/>
    <s v="TECNOLOGÍA"/>
    <s v="CANCELACIÓN DE REMUNERACIONES Y BENEFICIOS SOCIALES"/>
    <n v="1"/>
    <x v="4"/>
    <n v="55"/>
    <n v="0"/>
    <n v="3"/>
    <n v="1400"/>
    <s v="MORONA"/>
    <n v="1"/>
    <n v="0"/>
    <n v="0"/>
    <s v="CORRIENTE"/>
    <x v="3"/>
    <n v="510105"/>
    <s v="REMUNERACIONES UNIFICADAS"/>
    <n v="49200"/>
    <n v="49200"/>
    <n v="4100"/>
    <n v="4100"/>
    <n v="4100"/>
    <n v="4100"/>
    <n v="4100"/>
    <n v="4100"/>
    <n v="4100"/>
    <n v="4100"/>
    <n v="4100"/>
    <n v="4100"/>
    <n v="4100"/>
    <n v="4100"/>
    <n v="49200"/>
    <s v="OK"/>
    <n v="0"/>
    <n v="4920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2"/>
    <s v="TECNOLOGÍA"/>
    <s v="CANCELACIÓN DE REMUNERACIONES Y BENEFICIOS SOCIALES"/>
    <n v="1"/>
    <x v="4"/>
    <n v="55"/>
    <n v="0"/>
    <n v="3"/>
    <n v="1400"/>
    <s v="MORONA"/>
    <n v="1"/>
    <n v="0"/>
    <n v="0"/>
    <s v="CORRIENTE"/>
    <x v="3"/>
    <n v="510203"/>
    <s v="DÉCIMO TERCER SUELDO"/>
    <n v="4100"/>
    <n v="4150"/>
    <n v="0"/>
    <n v="0"/>
    <n v="0"/>
    <n v="0"/>
    <n v="0"/>
    <n v="0"/>
    <n v="0"/>
    <n v="0"/>
    <n v="0"/>
    <n v="0"/>
    <n v="0"/>
    <n v="4150"/>
    <n v="4150"/>
    <s v="OK"/>
    <n v="0"/>
    <n v="415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2"/>
    <s v="TECNOLOGÍA"/>
    <s v="CANCELACIÓN DE REMUNERACIONES Y BENEFICIOS SOCIALES"/>
    <n v="1"/>
    <x v="4"/>
    <n v="55"/>
    <n v="0"/>
    <n v="3"/>
    <n v="1400"/>
    <s v="MORONA"/>
    <n v="1"/>
    <n v="0"/>
    <n v="0"/>
    <s v="CORRIENTE"/>
    <x v="3"/>
    <n v="510204"/>
    <s v="DÉCIMO CUARTO SUELDO"/>
    <n v="1275"/>
    <n v="1250"/>
    <n v="0"/>
    <n v="0"/>
    <n v="0"/>
    <n v="0"/>
    <n v="0"/>
    <n v="0"/>
    <n v="0"/>
    <n v="1250"/>
    <n v="0"/>
    <n v="0"/>
    <n v="0"/>
    <n v="0"/>
    <n v="1250"/>
    <s v="OK"/>
    <n v="0"/>
    <n v="125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2"/>
    <s v="TECNOLOGÍA"/>
    <s v="CANCELACIÓN DE REMUNERACIONES Y BENEFICIOS SOCIALES"/>
    <n v="1"/>
    <x v="4"/>
    <n v="55"/>
    <n v="0"/>
    <n v="3"/>
    <n v="1400"/>
    <s v="MORONA"/>
    <n v="1"/>
    <n v="0"/>
    <n v="0"/>
    <s v="CORRIENTE"/>
    <x v="3"/>
    <n v="510512"/>
    <s v="SUBROGACIÓN "/>
    <n v="0"/>
    <n v="755.07"/>
    <n v="0"/>
    <n v="0"/>
    <n v="0"/>
    <n v="0"/>
    <n v="0"/>
    <n v="0"/>
    <n v="0"/>
    <n v="0"/>
    <n v="0"/>
    <n v="0"/>
    <n v="755.07"/>
    <n v="0"/>
    <n v="755.07"/>
    <s v="OK"/>
    <n v="0"/>
    <n v="755.07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2"/>
    <s v="TECNOLOGÍA"/>
    <s v="CANCELACIÓN DE REMUNERACIONES Y BENEFICIOS SOCIALES"/>
    <n v="1"/>
    <x v="4"/>
    <n v="55"/>
    <n v="0"/>
    <n v="3"/>
    <n v="1400"/>
    <s v="MORONA"/>
    <n v="1"/>
    <n v="0"/>
    <n v="0"/>
    <s v="CORRIENTE"/>
    <x v="3"/>
    <n v="510601"/>
    <s v="APORTE PATRONAL"/>
    <n v="4748"/>
    <n v="4821"/>
    <n v="395"/>
    <n v="395"/>
    <n v="395"/>
    <n v="403.11"/>
    <n v="404.11"/>
    <n v="404.11"/>
    <n v="404.11"/>
    <n v="404.11"/>
    <n v="404.11"/>
    <n v="404.11"/>
    <n v="404.11"/>
    <n v="404.12"/>
    <n v="4821.0000000000009"/>
    <s v="OK"/>
    <n v="0"/>
    <n v="4821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2"/>
    <s v="TECNOLOGÍA"/>
    <s v="CANCELACIÓN DE REMUNERACIONES Y BENEFICIOS SOCIALES"/>
    <n v="1"/>
    <x v="4"/>
    <n v="55"/>
    <n v="0"/>
    <n v="3"/>
    <n v="1400"/>
    <s v="MORONA"/>
    <n v="1"/>
    <n v="0"/>
    <n v="0"/>
    <s v="CORRIENTE"/>
    <x v="3"/>
    <n v="510602"/>
    <s v="FONDO DE RESERVA"/>
    <n v="4099"/>
    <n v="4162"/>
    <n v="341.66"/>
    <n v="341.66"/>
    <n v="341.66"/>
    <n v="348.54"/>
    <n v="348.54"/>
    <n v="348.54"/>
    <n v="348.54"/>
    <n v="348.54"/>
    <n v="348.54"/>
    <n v="348.54"/>
    <n v="348.54"/>
    <n v="348.7"/>
    <n v="4162"/>
    <s v="OK"/>
    <n v="0"/>
    <n v="4162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0"/>
    <s v="ADMINISTRACIÓN CENTRAL"/>
    <s v="ADMINISTRACIÓN Y GESTIÓN"/>
    <n v="1"/>
    <x v="4"/>
    <n v="1"/>
    <n v="0"/>
    <n v="1"/>
    <n v="1401"/>
    <s v="MACAS"/>
    <n v="1"/>
    <n v="0"/>
    <n v="0"/>
    <s v="CORRIENTE"/>
    <x v="0"/>
    <n v="530101"/>
    <s v="AGUA POTABLE"/>
    <n v="480"/>
    <n v="480"/>
    <n v="40"/>
    <n v="40"/>
    <n v="40"/>
    <n v="40"/>
    <n v="40"/>
    <n v="40"/>
    <n v="40"/>
    <n v="40"/>
    <n v="40"/>
    <n v="40"/>
    <n v="40"/>
    <n v="40"/>
    <n v="480"/>
    <s v="OK"/>
    <n v="48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0"/>
    <s v="ADMINISTRACIÓN CENTRAL"/>
    <s v="ADMINISTRACIÓN Y GESTIÓN"/>
    <n v="1"/>
    <x v="4"/>
    <n v="1"/>
    <n v="0"/>
    <n v="1"/>
    <n v="1401"/>
    <s v="MACAS"/>
    <n v="1"/>
    <n v="0"/>
    <n v="0"/>
    <s v="CORRIENTE"/>
    <x v="0"/>
    <n v="530104"/>
    <s v="ENERGÍA ELÉCTRICA"/>
    <n v="38400"/>
    <n v="35449"/>
    <n v="3235.66"/>
    <n v="2831.97"/>
    <n v="2577.4499999999998"/>
    <n v="2821.1"/>
    <n v="2801.18"/>
    <n v="2986.14"/>
    <n v="3195.5"/>
    <n v="3000"/>
    <n v="3000"/>
    <n v="3000"/>
    <n v="3000"/>
    <n v="3000"/>
    <n v="35449"/>
    <s v="OK"/>
    <n v="35449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0"/>
    <s v="ADMINISTRACIÓN CENTRAL"/>
    <s v="CONTRATACIÓN DEL SERVICIO DE TRANSPORTE PARA EL PERSONAL OPERATIVO DEL CENTRO OPERATIVO LOCAL ECU 911 MACAS"/>
    <n v="1"/>
    <x v="4"/>
    <n v="1"/>
    <n v="0"/>
    <n v="1"/>
    <n v="1401"/>
    <s v="MACAS"/>
    <n v="1"/>
    <n v="0"/>
    <n v="0"/>
    <s v="CORRIENTE"/>
    <x v="0"/>
    <n v="530201"/>
    <s v="TRANSPORTE DE PERSONAL"/>
    <n v="27120"/>
    <n v="25492.81"/>
    <n v="0"/>
    <n v="2124.4"/>
    <n v="2124.4"/>
    <n v="2124.4"/>
    <n v="2124.4"/>
    <n v="2124.4"/>
    <n v="2124.4"/>
    <n v="2124.4"/>
    <n v="2124.4"/>
    <n v="2124.4"/>
    <n v="2124.4"/>
    <n v="4248.8100000000004"/>
    <n v="25492.810000000005"/>
    <s v="OK"/>
    <n v="25492.799999999999"/>
    <n v="1.0000000002037268E-2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0"/>
    <s v="ADMINISTRACIÓN CENTRAL"/>
    <s v="CONTRATACIÓN DEL SERVICIO DE RECARGA DE EXTINTORES PARA EL CENTRO OPERATIVO LOCAL ECU 911 MACAS"/>
    <n v="1"/>
    <x v="4"/>
    <n v="1"/>
    <n v="0"/>
    <n v="1"/>
    <n v="1401"/>
    <s v="MACAS"/>
    <n v="1"/>
    <n v="0"/>
    <n v="0"/>
    <s v="CORRIENTE"/>
    <x v="0"/>
    <n v="530203"/>
    <s v="ALMACENAMIENTO, EMBALAJE, DESEMBALAJE, ENVASE, DESENVASE Y RECARGA DE EXTINTORES"/>
    <n v="200"/>
    <n v="150.5"/>
    <n v="0"/>
    <n v="0"/>
    <n v="0"/>
    <n v="0"/>
    <n v="0"/>
    <n v="0"/>
    <n v="150.5"/>
    <n v="0"/>
    <n v="0"/>
    <n v="0"/>
    <n v="0"/>
    <n v="0"/>
    <n v="150.5"/>
    <s v="OK"/>
    <n v="150.5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0"/>
    <s v="ADMINISTRACIÓN CENTRAL"/>
    <s v="SERVICIO DE BRANDEO INSTITUCIONAL PARA EL CENTRO OPERATIVO LOCAL ECU 911 MACAS"/>
    <n v="1"/>
    <x v="4"/>
    <n v="1"/>
    <n v="0"/>
    <n v="1"/>
    <n v="1401"/>
    <s v="MACAS"/>
    <n v="1"/>
    <n v="0"/>
    <n v="0"/>
    <s v="CORRIENTE"/>
    <x v="0"/>
    <n v="530204"/>
    <s v="EDICIÓN, IMPRESIÓN, REPRODUCCIÓN, PUBLICACIONES, SUSCRIPCIONES, FOTOCOPIADO, TRADUCCIÓN, EMPASTADO, ENMARCACIÓN, SERIGRAFÍA, FOTOGRAFÍA, CARNETIZACIÓN, FILMACIÓN E IMÁGENES SATELITALES"/>
    <n v="0"/>
    <n v="6000"/>
    <n v="0"/>
    <n v="0"/>
    <n v="0"/>
    <n v="0"/>
    <n v="0"/>
    <n v="0"/>
    <n v="0"/>
    <n v="0"/>
    <n v="0"/>
    <n v="0"/>
    <n v="0"/>
    <n v="6000"/>
    <n v="6000"/>
    <s v="OK"/>
    <n v="0"/>
    <n v="600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0"/>
    <s v="ADMINISTRACIÓN CENTRAL"/>
    <s v="CONTRATACIÓN DEL SERVICIO DE LIMPIEZA PARA EL CENTRO OPERATIVO LOCAL ECU 911 MACAS"/>
    <n v="1"/>
    <x v="4"/>
    <n v="1"/>
    <n v="0"/>
    <n v="1"/>
    <n v="1401"/>
    <s v="MACAS"/>
    <n v="1"/>
    <n v="0"/>
    <n v="0"/>
    <s v="CORRIENTE"/>
    <x v="0"/>
    <n v="530209"/>
    <s v="SERVICIOS DE ASEO, LAVADO DE VESTIMENTA DE TRABAJO, FUMIGACIÓN, DESINFECCIÓN, LIMPIEZA DE INSTALACIONES, MANEJO DE DESECHOS CONTAMINADOS, RECUPERACIÓN Y CLASIFICACIÓN DE MATERIALES RECICLABLES"/>
    <n v="6558"/>
    <n v="11703.13"/>
    <n v="975.26"/>
    <n v="975.26"/>
    <n v="975.26"/>
    <n v="975.26"/>
    <n v="975.26"/>
    <n v="975.26"/>
    <n v="975.26"/>
    <n v="975.26"/>
    <n v="975.26"/>
    <n v="975.26"/>
    <n v="975.26"/>
    <n v="975.27"/>
    <n v="11703.130000000001"/>
    <s v="OK"/>
    <n v="11703.12"/>
    <n v="9.9999999983992893E-3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0"/>
    <s v="ADMINISTRACIÓN CENTRAL"/>
    <s v="DEVOLUCIÓN DEL VALOR DE COMBUSTIBLE PARA LOS CONDUCTORES DEL CENTRO OPERATIVO LOCAL MACAS DEL SISTEMA INTEGRADO DE SEGURIDAD ECU 911"/>
    <n v="1"/>
    <x v="4"/>
    <n v="1"/>
    <n v="0"/>
    <n v="1"/>
    <n v="1401"/>
    <s v="MACAS"/>
    <n v="1"/>
    <n v="0"/>
    <n v="0"/>
    <s v="CORRIENTE"/>
    <x v="0"/>
    <n v="530255"/>
    <s v="COMBUSTIBLES"/>
    <n v="0"/>
    <n v="100"/>
    <n v="0"/>
    <n v="0"/>
    <n v="0"/>
    <n v="33.33"/>
    <n v="0"/>
    <n v="0"/>
    <n v="33.33"/>
    <n v="0"/>
    <n v="0"/>
    <n v="0"/>
    <n v="33.340000000000003"/>
    <n v="0"/>
    <n v="100"/>
    <s v="OK"/>
    <n v="10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0"/>
    <s v="ADMINISTRACIÓN CENTRAL"/>
    <s v="ADQUISICIÓN DE COMBUSTIBLE PARA EL PARQUE AUTOMOTOR DEL COL ECU 911 MACAS"/>
    <n v="1"/>
    <x v="4"/>
    <n v="1"/>
    <n v="0"/>
    <n v="1"/>
    <n v="1401"/>
    <s v="MACAS"/>
    <n v="1"/>
    <n v="0"/>
    <n v="0"/>
    <s v="CORRIENTE"/>
    <x v="2"/>
    <n v="530255"/>
    <s v="COMBUSTIBLES"/>
    <n v="0"/>
    <n v="1153.8400000000001"/>
    <n v="0"/>
    <n v="120.49"/>
    <n v="120.49"/>
    <n v="120.49"/>
    <n v="120.49"/>
    <n v="120.49"/>
    <n v="120.49"/>
    <n v="62.08"/>
    <n v="62.08"/>
    <n v="62.08"/>
    <n v="62.08"/>
    <n v="182.58"/>
    <n v="1153.8400000000001"/>
    <s v="OK"/>
    <n v="1153.8400000000001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0"/>
    <s v="ADMINISTRACIÓN CENTRAL"/>
    <s v="ADQUISICIÓN DE COMBUSTIBLE PARA GENERADORES DEL CENTRO LOCAL ECU 911 MACAS "/>
    <n v="1"/>
    <x v="4"/>
    <n v="1"/>
    <n v="0"/>
    <n v="1"/>
    <n v="1401"/>
    <s v="MACAS"/>
    <n v="1"/>
    <n v="0"/>
    <n v="0"/>
    <s v="CORRIENTE"/>
    <x v="2"/>
    <n v="530255"/>
    <s v="COMBUSTIBLES"/>
    <n v="0"/>
    <n v="475.5"/>
    <n v="0"/>
    <n v="0"/>
    <n v="0"/>
    <n v="0"/>
    <n v="0"/>
    <n v="0"/>
    <n v="0"/>
    <n v="0"/>
    <n v="0"/>
    <n v="475.5"/>
    <n v="0"/>
    <n v="0"/>
    <n v="475.5"/>
    <s v="OK"/>
    <n v="475"/>
    <n v="0.5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0"/>
    <s v="ADMINISTRACIÓN CENTRAL"/>
    <s v="CANCELACIÓN DE VIÁTICOS, PASAJES Y PEAJES PARA LOS FUNCIONARIOS QUE REALICEN COMISIONES DEL CENTRO OPERATIVO LOCAL MACAS SIS ECU 911"/>
    <n v="1"/>
    <x v="4"/>
    <n v="1"/>
    <n v="0"/>
    <n v="1"/>
    <n v="1401"/>
    <s v="MACAS"/>
    <n v="1"/>
    <n v="0"/>
    <n v="0"/>
    <s v="CORRIENTE"/>
    <x v="0"/>
    <n v="530301"/>
    <s v="PASAJES AL INTERIOR"/>
    <n v="210"/>
    <n v="310"/>
    <n v="0"/>
    <n v="0"/>
    <n v="0"/>
    <n v="70"/>
    <n v="0"/>
    <n v="0"/>
    <n v="70"/>
    <n v="33"/>
    <n v="33"/>
    <n v="34"/>
    <n v="70"/>
    <n v="0"/>
    <n v="310"/>
    <s v="OK"/>
    <n v="31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0"/>
    <s v="ADMINISTRACIÓN CENTRAL"/>
    <s v="CANCELACIÓN DE VIÁTICOS, PASAJES Y PEAJES PARA LOS FUNCIONARIOS QUE REALICEN COMISIONES DEL CENTRO OPERATIVO LOCAL MACAS SIS ECU 911"/>
    <n v="1"/>
    <x v="4"/>
    <n v="1"/>
    <n v="0"/>
    <n v="1"/>
    <n v="1401"/>
    <s v="MACAS"/>
    <n v="1"/>
    <n v="0"/>
    <n v="0"/>
    <s v="CORRIENTE"/>
    <x v="0"/>
    <n v="530303"/>
    <s v="VIÁTICOS Y SUBSISTENCIAS EN EL INTERIOR"/>
    <n v="1950"/>
    <n v="2858.58"/>
    <n v="0"/>
    <n v="0"/>
    <n v="0"/>
    <n v="650"/>
    <n v="0"/>
    <n v="0"/>
    <n v="650"/>
    <n v="366"/>
    <n v="366"/>
    <n v="368"/>
    <n v="458.58"/>
    <n v="0"/>
    <n v="2858.58"/>
    <s v="OK"/>
    <n v="2844.65"/>
    <n v="13.929999999999836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0"/>
    <s v="ADMINISTRACIÓN CENTRAL"/>
    <s v="CONTRATACIÓN DEL SERVICIO DE MANTENIMIENTO DEL ASCENSOR  PARA EL CENTRO OPERATIVO LOCAL ECU 911 MACAS"/>
    <n v="1"/>
    <x v="4"/>
    <n v="1"/>
    <n v="0"/>
    <n v="1"/>
    <n v="1401"/>
    <s v="MACAS"/>
    <n v="1"/>
    <n v="0"/>
    <n v="0"/>
    <s v="CORRIENTE"/>
    <x v="0"/>
    <n v="530402"/>
    <s v="EDIFICIOS, LOCALES, RESIDENCIAS Y CABLEADO ESTRUCTURADO (INSTALACIÓN, MANTENIMIENTO Y REPARACIÓN)"/>
    <n v="2412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0"/>
    <s v="ADMINISTRACIÓN CENTRAL"/>
    <s v="CONTRATACIÓN DEL SERVICIO DE MANTENIMIENTO DEL SISTEMA DE CLIMATIZACIÓN PARA EL CENTRO OPERATIVO LOCAL ECU 911 MACAS"/>
    <n v="1"/>
    <x v="4"/>
    <n v="1"/>
    <n v="0"/>
    <n v="1"/>
    <n v="1401"/>
    <s v="MACAS"/>
    <n v="1"/>
    <n v="0"/>
    <n v="0"/>
    <s v="CORRIENTE"/>
    <x v="0"/>
    <n v="530402"/>
    <s v="EDIFICIOS, LOCALES, RESIDENCIAS Y CABLEADO ESTRUCTURADO (INSTALACIÓN, MANTENIMIENTO Y REPARACIÓN)"/>
    <n v="2352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0"/>
    <s v="ADMINISTRACIÓN CENTRAL"/>
    <s v="CONTRATACIÓN DEL SERVICIO DE MANTENIMIENTO DEL SISTEMA CONTRA INCENDIOS, SISTEMA DE ACCESO Y CCTV PARA EL CENTRO OPERATIVO LOCAL ECU 911 MACAS"/>
    <n v="1"/>
    <x v="4"/>
    <n v="1"/>
    <n v="0"/>
    <n v="1"/>
    <n v="1401"/>
    <s v="MACAS"/>
    <n v="1"/>
    <n v="0"/>
    <n v="0"/>
    <s v="CORRIENTE"/>
    <x v="0"/>
    <n v="530402"/>
    <s v="EDIFICIOS, LOCALES, RESIDENCIAS Y CABLEADO ESTRUCTURADO (INSTALACIÓN, MANTENIMIENTO Y REPARACIÓN)"/>
    <n v="1680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0"/>
    <s v="ADMINISTRACIÓN CENTRAL"/>
    <s v="ADECUACION DE UN ESPACIO PARA EL LACTARIO DEL CENTRO OPERATIVO LOCAL SIS ECU 911 MACAS"/>
    <n v="1"/>
    <x v="4"/>
    <n v="1"/>
    <n v="0"/>
    <n v="1"/>
    <n v="1401"/>
    <s v="MACAS"/>
    <n v="1"/>
    <n v="0"/>
    <n v="0"/>
    <s v="CORRIENTE"/>
    <x v="0"/>
    <n v="530402"/>
    <s v="EDIFICIOS, LOCALES, RESIDENCIAS Y CABLEADO ESTRUCTURADO (INSTALACIÓN, MANTENIMIENTO Y REPARACIÓN)"/>
    <n v="0"/>
    <n v="0"/>
    <n v="0"/>
    <n v="0"/>
    <n v="0"/>
    <n v="0"/>
    <n v="0"/>
    <n v="0"/>
    <n v="0"/>
    <n v="0"/>
    <n v="0"/>
    <n v="0"/>
    <n v="0"/>
    <n v="0"/>
    <n v="0"/>
    <s v="OK"/>
    <n v="0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0"/>
    <s v="ADMINISTRACIÓN CENTRAL"/>
    <s v="CONTRATACIÓN DEL SERVICIO DE MANTENIMIENTO DEL SISTEMA ELÉCTRICO PARA EL CENTRO OPERATIVO LOCAL ECU 911 MACAS"/>
    <n v="1"/>
    <x v="4"/>
    <n v="1"/>
    <n v="0"/>
    <n v="1"/>
    <n v="1401"/>
    <s v="MACAS"/>
    <n v="1"/>
    <n v="0"/>
    <n v="0"/>
    <s v="CORRIENTE"/>
    <x v="0"/>
    <n v="530402"/>
    <s v="EDIFICIOS, LOCALES, RESIDENCIAS Y CABLEADO ESTRUCTURADO (INSTALACIÓN, MANTENIMIENTO Y REPARACIÓN)"/>
    <n v="1300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0"/>
    <s v="ADMINISTRACIÓN CENTRAL"/>
    <s v="ADECUACION DE LAS OFICINAS Y ESPACIOS INTERNOS DEL CENTRO OPERATIVO LOCAL ECU 911 MACAS"/>
    <n v="1"/>
    <x v="4"/>
    <n v="1"/>
    <n v="0"/>
    <n v="1"/>
    <n v="1401"/>
    <s v="MACAS"/>
    <n v="1"/>
    <n v="0"/>
    <n v="0"/>
    <s v="CORRIENTE"/>
    <x v="0"/>
    <n v="530402"/>
    <s v="EDIFICIOS, LOCALES, RESIDENCIAS Y CABLEADO ESTRUCTURADO (INSTALACIÓN, MANTENIMIENTO Y REPARACIÓN)"/>
    <n v="0"/>
    <n v="6200"/>
    <n v="0"/>
    <n v="0"/>
    <n v="0"/>
    <n v="0"/>
    <n v="0"/>
    <n v="0"/>
    <n v="0"/>
    <n v="0"/>
    <n v="0"/>
    <n v="0"/>
    <n v="0"/>
    <n v="6200"/>
    <n v="6200"/>
    <s v="OK"/>
    <n v="6200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0"/>
    <s v="ADMINISTRACIÓN CENTRAL"/>
    <s v="CONTRATACIÓN DEL MANTENIMIENTO DEL MOBILIARIO DEL CENTRO OPERATIVO LOCAL ECU 911 MACAS"/>
    <n v="1"/>
    <x v="4"/>
    <n v="1"/>
    <n v="0"/>
    <n v="1"/>
    <n v="1401"/>
    <s v="MACAS"/>
    <n v="1"/>
    <n v="0"/>
    <n v="0"/>
    <s v="CORRIENTE"/>
    <x v="0"/>
    <n v="530403"/>
    <s v="MOBILIARIOS (INSTALACIÓN, MANTENIMIENTO Y REPARACIÓN)"/>
    <n v="0"/>
    <n v="6200"/>
    <n v="0"/>
    <n v="0"/>
    <n v="0"/>
    <n v="0"/>
    <n v="0"/>
    <n v="0"/>
    <n v="0"/>
    <n v="0"/>
    <n v="0"/>
    <n v="0"/>
    <n v="0"/>
    <n v="6200"/>
    <n v="6200"/>
    <s v="OK"/>
    <n v="0"/>
    <n v="620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0"/>
    <s v="ADMINISTRACIÓN CENTRAL"/>
    <s v="CONTRATACIÓN DEL SERVICIO DE MANTENIMIENTO DEL PARQUE AUTOMOTOR Y MOTOCICLETA DEL CENTRO OPERATIVO LOCAL ECU 911 MACAS"/>
    <n v="1"/>
    <x v="4"/>
    <n v="1"/>
    <n v="0"/>
    <n v="1"/>
    <n v="1401"/>
    <s v="MACAS"/>
    <n v="1"/>
    <n v="0"/>
    <n v="0"/>
    <s v="CORRIENTE"/>
    <x v="0"/>
    <n v="530405"/>
    <s v="VEHÍCULOS (SERVICIO PARA MANTENIMIENTO Y REPARACIÓN)"/>
    <n v="0"/>
    <n v="2348.15"/>
    <n v="0"/>
    <n v="0"/>
    <n v="0"/>
    <n v="640"/>
    <n v="0"/>
    <n v="0"/>
    <n v="0"/>
    <n v="640"/>
    <n v="640"/>
    <n v="0"/>
    <n v="0"/>
    <n v="428.15"/>
    <n v="2348.15"/>
    <s v="OK"/>
    <n v="2348.15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0"/>
    <s v="ADMINISTRACIÓN CENTRAL"/>
    <s v="CONTRATACIÓN DEL SERVICIO DE MANTENIMIENTO DEL PARQUE AUTOMOTOR DEL CENTRO OPERATIVO LOCAL ECU 911 MACAS"/>
    <n v="1"/>
    <x v="4"/>
    <n v="1"/>
    <n v="0"/>
    <n v="1"/>
    <n v="1401"/>
    <s v="MACAS"/>
    <n v="1"/>
    <n v="0"/>
    <n v="0"/>
    <s v="CORRIENTE"/>
    <x v="0"/>
    <n v="530405"/>
    <s v="VEHÍCULOS (SERVICIO PARA MANTENIMIENTO Y REPARACIÓN)"/>
    <n v="150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0"/>
    <s v="ADMINISTRACIÓN CENTRAL"/>
    <s v="CONTRATACIÓN DEL SERVICIO DE MANTENIMIENTO DE MOTOCICLETA DEL CENTRO OPERATIVO LOCAL ECU 911 MACAS"/>
    <n v="1"/>
    <x v="4"/>
    <n v="1"/>
    <n v="0"/>
    <n v="1"/>
    <n v="1401"/>
    <s v="MACAS"/>
    <n v="1"/>
    <n v="0"/>
    <n v="0"/>
    <s v="CORRIENTE"/>
    <x v="0"/>
    <n v="530405"/>
    <s v="VEHÍCULOS (SERVICIO PARA MANTENIMIENTO Y REPARACIÓN)"/>
    <n v="115"/>
    <n v="0"/>
    <n v="0"/>
    <n v="0"/>
    <n v="0"/>
    <n v="0"/>
    <n v="0"/>
    <n v="0"/>
    <n v="0"/>
    <n v="0"/>
    <n v="0"/>
    <n v="0"/>
    <n v="0"/>
    <n v="0"/>
    <n v="0"/>
    <s v="OK"/>
    <n v="0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0"/>
    <s v="ADMINISTRACIÓN CENTRAL"/>
    <s v="CONTRATACIÓN DEL SERVICIO DE MANTENIMIENTO DEL VEHICULO SUZUKI GRAND VITARA PLACAS PEI8000"/>
    <n v="1"/>
    <x v="4"/>
    <n v="1"/>
    <n v="0"/>
    <n v="1"/>
    <n v="1401"/>
    <s v="MACAS"/>
    <n v="1"/>
    <n v="0"/>
    <n v="0"/>
    <s v="CORRIENTE"/>
    <x v="0"/>
    <n v="530405"/>
    <s v="VEHÍCULOS (SERVICIO PARA MANTENIMIENTO Y REPARACIÓN)"/>
    <n v="0"/>
    <n v="1535.53"/>
    <n v="0"/>
    <n v="0"/>
    <n v="0"/>
    <n v="0"/>
    <n v="0"/>
    <n v="0"/>
    <n v="0"/>
    <n v="0"/>
    <n v="103.48000000000002"/>
    <n v="664.05"/>
    <n v="0"/>
    <n v="768"/>
    <n v="1535.53"/>
    <s v="OK"/>
    <n v="1486"/>
    <n v="49.529999999999973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0"/>
    <s v="ADMINISTRACIÓN CENTRAL"/>
    <s v="CONTRATACIÓN DE MANTENIMIENTO DE LAS IMPRESORAS DEL CENTRO OPERATIVO LOCAL ECU 911 MACAS"/>
    <n v="1"/>
    <x v="4"/>
    <n v="1"/>
    <n v="0"/>
    <n v="1"/>
    <n v="1401"/>
    <s v="MACAS"/>
    <n v="1"/>
    <n v="0"/>
    <n v="0"/>
    <s v="CORRIENTE"/>
    <x v="0"/>
    <n v="530704"/>
    <s v="MANTENIMIENTO Y REPARACIÓN DE EQUIPOS Y SISTEMAS INFORMÁTICOS "/>
    <n v="1000"/>
    <n v="100"/>
    <n v="0"/>
    <n v="0"/>
    <n v="0"/>
    <n v="0"/>
    <n v="0"/>
    <n v="0"/>
    <n v="0"/>
    <n v="0"/>
    <n v="100"/>
    <n v="0"/>
    <n v="0"/>
    <n v="0"/>
    <n v="100"/>
    <s v="OK"/>
    <n v="100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0"/>
    <s v="ADMINISTRACIÓN CENTRAL"/>
    <s v="ADQUISICIÓN DE COMBUSTIBLE PARA EL PARQUE AUTOMOTOR DEL CENTRO OPERATIVO LOCAL ECU 911 MACAS"/>
    <n v="1"/>
    <x v="4"/>
    <n v="1"/>
    <n v="0"/>
    <n v="1"/>
    <n v="1401"/>
    <s v="MACAS"/>
    <n v="1"/>
    <n v="0"/>
    <n v="0"/>
    <s v="CORRIENTE"/>
    <x v="0"/>
    <n v="530803"/>
    <s v="LUBRICANTES"/>
    <n v="162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0"/>
    <s v="ADMINISTRACIÓN CENTRAL"/>
    <s v="ADQUISICIÓN DE LUBRICANTES Y ADITIVOS PARA EL MANTENIMIENTO DE VEHÍCULOS Y MOTOCICLETA  DEL CENTRO OPERATIVO LOCAL ECU 911 MACAS"/>
    <n v="1"/>
    <x v="4"/>
    <n v="1"/>
    <n v="0"/>
    <n v="1"/>
    <n v="1401"/>
    <s v="MACAS"/>
    <n v="1"/>
    <n v="0"/>
    <n v="0"/>
    <s v="CORRIENTE"/>
    <x v="0"/>
    <n v="530803"/>
    <s v="LUBRICANTES"/>
    <n v="591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0"/>
    <s v="ADMINISTRACIÓN CENTRAL"/>
    <s v="ADQUISICIÓN DE COMBUSTIBLE PARA GENERADORES DEL CENTRO OPERATIVO LOCAL ECU 911 MACAS"/>
    <n v="1"/>
    <x v="4"/>
    <n v="1"/>
    <n v="0"/>
    <n v="1"/>
    <n v="1401"/>
    <s v="MACAS"/>
    <n v="1"/>
    <n v="0"/>
    <n v="0"/>
    <s v="CORRIENTE"/>
    <x v="0"/>
    <n v="530803"/>
    <s v="LUBRICANTES"/>
    <n v="475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0"/>
    <s v="ADMINISTRACIÓN CENTRAL"/>
    <s v="ADQUISICIÓN DE MATERIALES DE OFICINA PARA EL CENTRO OPERATIVO LOCAL ECU 911 MACAS"/>
    <n v="1"/>
    <x v="4"/>
    <n v="1"/>
    <n v="0"/>
    <n v="1"/>
    <n v="1401"/>
    <s v="MACAS"/>
    <n v="1"/>
    <n v="0"/>
    <n v="0"/>
    <s v="CORRIENTE"/>
    <x v="0"/>
    <n v="530804"/>
    <s v="MATERIALES DE OFICINA"/>
    <n v="70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0"/>
    <s v="ADMINISTRACIÓN CENTRAL"/>
    <s v="ADQUISICIÓN DE MATERIALES DE ASEO PARA EL CENTRO OPERATIVO LOCAL ECU 911 MACAS"/>
    <n v="1"/>
    <x v="4"/>
    <n v="1"/>
    <n v="0"/>
    <n v="1"/>
    <n v="1401"/>
    <s v="MACAS"/>
    <n v="1"/>
    <n v="0"/>
    <n v="0"/>
    <s v="CORRIENTE"/>
    <x v="0"/>
    <n v="530805"/>
    <s v="MATERIALES DE ASEO"/>
    <n v="60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0"/>
    <s v="ADMINISTRACIÓN CENTRAL"/>
    <s v="ADQUISICIÓN DE INSUMOS PARA TRABAJOS DE MANTENIMIENTO DEL CENTRO OPERATIVO LOCAL ECU 911 MACAS"/>
    <n v="1"/>
    <x v="4"/>
    <n v="1"/>
    <n v="0"/>
    <n v="1"/>
    <n v="1401"/>
    <s v="MACAS"/>
    <n v="1"/>
    <n v="0"/>
    <n v="0"/>
    <s v="CORRIENTE"/>
    <x v="0"/>
    <n v="530811"/>
    <s v="INSUMOS, MATERIALES Y SUMINISTROS PARA CONSTRUCCIÓN, ELECTRICIDAD, PLOMERÍA, CARPINTERÍA, SEÑALIZACIÓN VIAL, NAVEGACIÓN, CONTRA INCENDIOS Y PLACAS"/>
    <n v="130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0"/>
    <s v="ADMINISTRACIÓN CENTRAL"/>
    <s v="ADQUISICIÓN DE REPUESTOS Y ACCESORIOS PARA EL MANTENIMIENTO DEL PARQUE AUTOMOTOR DEL CENTRO OPERATIVO LOCAL ECU 911 MACAS"/>
    <n v="1"/>
    <x v="4"/>
    <n v="1"/>
    <n v="0"/>
    <n v="1"/>
    <n v="1401"/>
    <s v="MACAS"/>
    <n v="1"/>
    <n v="0"/>
    <n v="0"/>
    <s v="CORRIENTE"/>
    <x v="0"/>
    <n v="530813"/>
    <s v="REPUESTOS Y ACCESORIOS"/>
    <n v="195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0"/>
    <s v="ADMINISTRACIÓN CENTRAL"/>
    <s v="ADQUISICIÓN DE REPUESTOS Y ACCESORIOS PARA EL MANTENIMIENTO DE MOTOCICLETA DEL CENTRO OPERATIVO LOCAL ECU 911 MACAS"/>
    <n v="1"/>
    <x v="4"/>
    <n v="1"/>
    <n v="0"/>
    <n v="1"/>
    <n v="1401"/>
    <s v="MACAS"/>
    <n v="1"/>
    <n v="0"/>
    <n v="0"/>
    <s v="CORRIENTE"/>
    <x v="0"/>
    <n v="530813"/>
    <s v="REPUESTOS Y ACCESORIOS"/>
    <n v="16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0"/>
    <s v="ADMINISTRACIÓN CENTRAL"/>
    <s v="ADQUISICIÓN DE REPUESTOS Y ACCESORIOS PARA EL MANTENIMIENTO DEL SISTEMA DE CLIMATIZACIÓN PARA EL CENTRO OPERATIVO LOCAL ECU 911 MACAS"/>
    <n v="1"/>
    <x v="4"/>
    <n v="1"/>
    <n v="0"/>
    <n v="1"/>
    <n v="1401"/>
    <s v="MACAS"/>
    <n v="1"/>
    <n v="0"/>
    <n v="0"/>
    <s v="CORRIENTE"/>
    <x v="0"/>
    <n v="530813"/>
    <s v="REPUESTOS Y ACCESORIOS"/>
    <n v="50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0"/>
    <s v="ADMINISTRACIÓN CENTRAL"/>
    <s v="ADQUISICIÓN DE REPUESTOS Y ACCESORIOS PARA EL MANTENIMIENTO DEL SISTEMA CONTRA INCENDIOS, SISTEMA DE ACCESO Y CCTV PARA EL CENTRO OPERATIVO LOCAL ECU 911 MACAS"/>
    <n v="1"/>
    <x v="4"/>
    <n v="1"/>
    <n v="0"/>
    <n v="1"/>
    <n v="1401"/>
    <s v="MACAS"/>
    <n v="1"/>
    <n v="0"/>
    <n v="0"/>
    <s v="CORRIENTE"/>
    <x v="0"/>
    <n v="530813"/>
    <s v="REPUESTOS Y ACCESORIOS"/>
    <n v="300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0"/>
    <s v="ADMINISTRACIÓN CENTRAL"/>
    <s v="ADQUISICION DE REPUESTOS PARA LA IMPRESORA RICOH MP3053 DEL CENTRO OPERATIVO LOCAL SIS ECU 911 MACAS "/>
    <n v="1"/>
    <x v="4"/>
    <n v="1"/>
    <n v="0"/>
    <n v="1"/>
    <n v="1401"/>
    <s v="MACAS"/>
    <n v="1"/>
    <n v="0"/>
    <n v="0"/>
    <s v="CORRIENTE"/>
    <x v="0"/>
    <n v="530813"/>
    <s v="REPUESTOS Y ACCESORIOS"/>
    <n v="0"/>
    <n v="850"/>
    <n v="0"/>
    <n v="0"/>
    <n v="0"/>
    <n v="0"/>
    <n v="0"/>
    <n v="0"/>
    <n v="0"/>
    <n v="0"/>
    <n v="0"/>
    <n v="0"/>
    <n v="850"/>
    <n v="0"/>
    <n v="850"/>
    <s v="OK"/>
    <n v="759"/>
    <n v="91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0"/>
    <s v="ADMINISTRACIÓN CENTRAL"/>
    <s v=" ADQUISICIÓN DE REPUESTOS PARA EQUIPOS INFORMATICOS DE PROPIEDAD DEL CENTRO LOCAL ECU 911 MACAS "/>
    <n v="1"/>
    <x v="4"/>
    <n v="1"/>
    <n v="0"/>
    <n v="1"/>
    <n v="1401"/>
    <s v="MACAS"/>
    <n v="1"/>
    <n v="0"/>
    <n v="0"/>
    <s v="CORRIENTE"/>
    <x v="0"/>
    <n v="530813"/>
    <s v="REPUESTOS Y ACCESORIOS"/>
    <n v="0"/>
    <n v="1080"/>
    <n v="0"/>
    <n v="0"/>
    <n v="0"/>
    <n v="0"/>
    <n v="0"/>
    <n v="0"/>
    <n v="0"/>
    <n v="0"/>
    <n v="0"/>
    <n v="0"/>
    <n v="1080"/>
    <n v="0"/>
    <n v="1080"/>
    <s v="OK"/>
    <n v="342"/>
    <n v="738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0"/>
    <s v="ADMINISTRACIÓN CENTRAL"/>
    <s v="ADQUISICIÓN DE HERRAMIENTAS Y EQUIPOS MENORES PARA EL SISTEMA CONTRA INCENDIOS DEL CENTRO OPERATIVO LOCAL ECU 911 MACAS"/>
    <n v="1"/>
    <x v="4"/>
    <n v="1"/>
    <n v="0"/>
    <n v="1"/>
    <n v="1401"/>
    <s v="MACAS"/>
    <n v="1"/>
    <n v="0"/>
    <n v="0"/>
    <s v="CORRIENTE"/>
    <x v="0"/>
    <n v="531406"/>
    <s v="HERRAMIENTAS Y EQUIPOS MENORES"/>
    <n v="50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0"/>
    <s v="ADMINISTRACIÓN CENTRAL"/>
    <s v="ADQUISICION DE UNA BANDERA PARA USO INTERNO EL CENTRO OPERATIVO LOCAL ECU 911 MACAS"/>
    <n v="1"/>
    <x v="4"/>
    <n v="1"/>
    <n v="0"/>
    <n v="1"/>
    <n v="1401"/>
    <s v="MACAS"/>
    <n v="1"/>
    <n v="0"/>
    <n v="0"/>
    <s v="CORRIENTE"/>
    <x v="0"/>
    <n v="531408"/>
    <s v="BIENES ARTÍSTICOS, CULTURALES, DEPORTIVOS Y SÍMBOLOS PATRIOS"/>
    <n v="0"/>
    <n v="234.87"/>
    <n v="0"/>
    <n v="0"/>
    <n v="0"/>
    <n v="0"/>
    <n v="0"/>
    <n v="0"/>
    <n v="0"/>
    <n v="0"/>
    <n v="0"/>
    <n v="234.87"/>
    <n v="0"/>
    <n v="0"/>
    <n v="234.87"/>
    <s v="OK"/>
    <n v="234.87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0"/>
    <s v="ADMINISTRACIÓN CENTRAL"/>
    <s v="CANCELACIÓN DE MATRICULACIÓN VEHICULAR, RODAJE, ESPECIES, IMPUESTOS, PERMISOS DE FUNCIONAMIENTO, Y DEVOLUCIÓN DE  PEAJES PARA LOS FUNCIONARIOS QUE REALICEN COMISIONES DEL CENTRO OPERATIVO LOCAL MACAS SIS ECU 911"/>
    <n v="1"/>
    <x v="4"/>
    <n v="1"/>
    <n v="0"/>
    <n v="1"/>
    <n v="1401"/>
    <s v="MACAS"/>
    <n v="1"/>
    <n v="0"/>
    <n v="0"/>
    <s v="CORRIENTE"/>
    <x v="1"/>
    <n v="570102"/>
    <s v="TASAS GENERALES, IMPUESTOS, CONTRIBUCIONES, PERMISOS, LICENCIAS Y PATENTES"/>
    <n v="900"/>
    <n v="946.02"/>
    <n v="0"/>
    <n v="400"/>
    <n v="0"/>
    <n v="530"/>
    <n v="0"/>
    <n v="0"/>
    <n v="10"/>
    <n v="0"/>
    <n v="0"/>
    <n v="0"/>
    <n v="6.02"/>
    <n v="0"/>
    <n v="946.02"/>
    <s v="OK"/>
    <n v="946.02"/>
    <n v="0"/>
    <s v="R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2"/>
    <s v="TECNOLOGÍA"/>
    <s v="CONTRATACIÓN DEL SERVICIO DE TELEFONÍA FIJA, ENLACE  DE DATOS, INTERNET, SERVICIOS MÓVILES DEL CENTRO OPERATIVO LOCAL ECU 911"/>
    <n v="1"/>
    <x v="4"/>
    <n v="55"/>
    <n v="0"/>
    <n v="3"/>
    <n v="1401"/>
    <s v="MACAS"/>
    <n v="1"/>
    <n v="0"/>
    <n v="0"/>
    <s v="CORRIENTE"/>
    <x v="0"/>
    <n v="530105"/>
    <s v="TELECOMUNICACIONES"/>
    <n v="80000"/>
    <n v="45908.819999999992"/>
    <n v="3825.73"/>
    <n v="3825.73"/>
    <n v="3825.73"/>
    <n v="3825.73"/>
    <n v="3825.73"/>
    <n v="3825.73"/>
    <n v="3825.73"/>
    <n v="3825.73"/>
    <n v="3825.73"/>
    <n v="3825.73"/>
    <n v="3825.73"/>
    <n v="3825.79"/>
    <n v="45908.820000000007"/>
    <s v="OK"/>
    <n v="45861.69"/>
    <n v="47.129999999990105"/>
    <s v="R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4"/>
    <x v="2"/>
    <s v="TECNOLOGÍA"/>
    <s v="CONTRATACIÓN DEL SERVICIO DE SOSTENIMIENTO TECNOLÓGICO DE SITIOS DE VIDEO MONITOREO DEL CENTRO LOCAL MACAS"/>
    <n v="1"/>
    <x v="4"/>
    <n v="55"/>
    <n v="0"/>
    <n v="3"/>
    <n v="1401"/>
    <s v="MACAS"/>
    <n v="1"/>
    <n v="0"/>
    <n v="0"/>
    <s v="CORRIENTE"/>
    <x v="0"/>
    <n v="530704"/>
    <s v="MANTENIMIENTO Y REPARACIÓN DE EQUIPOS Y SISTEMAS INFORMÁTICOS "/>
    <n v="15232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3"/>
    <s v="ADMINISTRACIÓN CENTRAL"/>
    <s v="CANCELACIÓN DE REMUNERACIONES Y BENEFICIOS SOCIALES"/>
    <n v="1"/>
    <x v="5"/>
    <n v="1"/>
    <n v="0"/>
    <s v="001"/>
    <n v="700"/>
    <s v="EL ORO"/>
    <n v="1"/>
    <n v="0"/>
    <n v="0"/>
    <s v="CORRIENTE"/>
    <x v="3"/>
    <n v="510105"/>
    <s v="REMUNERACIONES UNIFICADAS"/>
    <n v="236280"/>
    <n v="232545.61"/>
    <n v="19690"/>
    <n v="19690"/>
    <n v="19690"/>
    <n v="19690"/>
    <n v="19690"/>
    <n v="19690"/>
    <n v="19690"/>
    <n v="19690"/>
    <n v="19690"/>
    <n v="19690"/>
    <n v="19690"/>
    <n v="15955.61"/>
    <n v="232545.61"/>
    <s v="OK"/>
    <n v="0"/>
    <n v="232545.61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3"/>
    <s v="ADMINISTRACIÓN CENTRAL"/>
    <s v="CANCELACIÓN DE REMUNERACIONES Y BENEFICIOS SOCIALES"/>
    <n v="1"/>
    <x v="5"/>
    <n v="1"/>
    <n v="0"/>
    <s v="001"/>
    <n v="700"/>
    <s v="EL ORO"/>
    <n v="1"/>
    <n v="0"/>
    <n v="0"/>
    <s v="CORRIENTE"/>
    <x v="3"/>
    <n v="510106"/>
    <s v="SALARIOS UNIFICADOS"/>
    <n v="42888"/>
    <n v="42888"/>
    <n v="3574"/>
    <n v="3574"/>
    <n v="3574"/>
    <n v="3574"/>
    <n v="3574"/>
    <n v="3574"/>
    <n v="3574"/>
    <n v="3574"/>
    <n v="3574"/>
    <n v="3574"/>
    <n v="3574"/>
    <n v="3574"/>
    <n v="42888"/>
    <s v="OK"/>
    <n v="0"/>
    <n v="42888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3"/>
    <s v="ADMINISTRACIÓN CENTRAL"/>
    <s v="CANCELACIÓN DE REMUNERACIONES Y BENEFICIOS SOCIALES"/>
    <n v="1"/>
    <x v="5"/>
    <n v="1"/>
    <n v="0"/>
    <s v="001"/>
    <n v="700"/>
    <s v="EL ORO"/>
    <n v="1"/>
    <n v="0"/>
    <n v="0"/>
    <s v="CORRIENTE"/>
    <x v="3"/>
    <n v="510203"/>
    <s v="DÉCIMO TERCER SUELDO"/>
    <n v="23264"/>
    <n v="23269"/>
    <n v="0"/>
    <n v="0"/>
    <n v="0"/>
    <n v="0"/>
    <n v="0"/>
    <n v="0"/>
    <n v="0"/>
    <n v="0"/>
    <n v="0"/>
    <n v="0"/>
    <n v="0"/>
    <n v="23269"/>
    <n v="23269"/>
    <s v="OK"/>
    <n v="0"/>
    <n v="23269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3"/>
    <s v="ADMINISTRACIÓN CENTRAL"/>
    <s v="CANCELACIÓN DE REMUNERACIONES Y BENEFICIOS SOCIALES"/>
    <n v="1"/>
    <x v="5"/>
    <n v="1"/>
    <n v="0"/>
    <s v="001"/>
    <n v="700"/>
    <s v="EL ORO"/>
    <n v="1"/>
    <n v="0"/>
    <n v="0"/>
    <s v="CORRIENTE"/>
    <x v="3"/>
    <n v="510204"/>
    <s v="DÉCIMO CUARTO SUELDO"/>
    <n v="9775"/>
    <n v="11142.4"/>
    <n v="0"/>
    <n v="0"/>
    <n v="0"/>
    <n v="11142.4"/>
    <n v="0"/>
    <n v="0"/>
    <n v="0"/>
    <n v="0"/>
    <n v="0"/>
    <n v="0"/>
    <n v="0"/>
    <n v="0"/>
    <n v="11142.4"/>
    <s v="OK"/>
    <n v="0"/>
    <n v="11142.4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3"/>
    <s v="ADMINISTRACIÓN CENTRAL"/>
    <s v="CANCELACIÓN DE REMUNERACIONES Y BENEFICIOS SOCIALES"/>
    <n v="1"/>
    <x v="5"/>
    <n v="1"/>
    <n v="0"/>
    <s v="001"/>
    <n v="700"/>
    <s v="EL ORO"/>
    <n v="1"/>
    <n v="0"/>
    <n v="0"/>
    <s v="CORRIENTE"/>
    <x v="3"/>
    <n v="510509"/>
    <s v="HORAS EXTRAORDINARIAS Y SUPLEMENTARIAS"/>
    <n v="1199"/>
    <n v="1199"/>
    <n v="100"/>
    <n v="100"/>
    <n v="100"/>
    <n v="100"/>
    <n v="100"/>
    <n v="100"/>
    <n v="100"/>
    <n v="100"/>
    <n v="100"/>
    <n v="100"/>
    <n v="100"/>
    <n v="99"/>
    <n v="1199"/>
    <s v="OK"/>
    <n v="0"/>
    <n v="1199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3"/>
    <s v="ADMINISTRACIÓN CENTRAL"/>
    <s v="CANCELACIÓN DE REMUNERACIONES Y BENEFICIOS SOCIALES"/>
    <n v="1"/>
    <x v="5"/>
    <n v="1"/>
    <n v="0"/>
    <s v="001"/>
    <n v="700"/>
    <s v="EL ORO"/>
    <n v="1"/>
    <n v="0"/>
    <n v="0"/>
    <s v="CORRIENTE"/>
    <x v="3"/>
    <n v="510601"/>
    <s v="APORTE PATRONAL"/>
    <n v="28012"/>
    <n v="28092.75"/>
    <n v="2334"/>
    <n v="2334"/>
    <n v="2334"/>
    <n v="2334"/>
    <n v="2334"/>
    <n v="2334"/>
    <n v="2334"/>
    <n v="2334"/>
    <n v="2335"/>
    <n v="2335"/>
    <n v="2335"/>
    <n v="2415.75"/>
    <n v="28092.75"/>
    <s v="OK"/>
    <n v="0"/>
    <n v="28092.75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3"/>
    <s v="ADMINISTRACIÓN CENTRAL"/>
    <s v="CANCELACIÓN DE REMUNERACIONES Y BENEFICIOS SOCIALES"/>
    <n v="1"/>
    <x v="5"/>
    <n v="1"/>
    <n v="0"/>
    <s v="001"/>
    <n v="700"/>
    <s v="EL ORO"/>
    <n v="1"/>
    <n v="0"/>
    <n v="0"/>
    <s v="CORRIENTE"/>
    <x v="3"/>
    <n v="510602"/>
    <s v="FONDO DE RESERVA"/>
    <n v="23255"/>
    <n v="23276.760000000002"/>
    <n v="1937"/>
    <n v="1939.09"/>
    <n v="1939.09"/>
    <n v="1939.09"/>
    <n v="1939.09"/>
    <n v="1939.09"/>
    <n v="1939.09"/>
    <n v="1939.09"/>
    <n v="1939.09"/>
    <n v="1939.09"/>
    <n v="1939.09"/>
    <n v="1948.86"/>
    <n v="23276.760000000002"/>
    <s v="OK"/>
    <n v="0"/>
    <n v="23276.760000000002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3"/>
    <s v="ADMINISTRACIÓN CENTRAL"/>
    <s v="CANCELACIÓN POR VACACIONES NO GOZADAS POR CESACIÓN DE FUNCIONES"/>
    <n v="1"/>
    <x v="5"/>
    <n v="1"/>
    <n v="0"/>
    <n v="1"/>
    <n v="700"/>
    <s v="EL ORO"/>
    <n v="1"/>
    <n v="0"/>
    <n v="0"/>
    <s v="CORRIENTE"/>
    <x v="3"/>
    <n v="510707"/>
    <s v="COMPENSACIÓN POR VACACIONES NO GOZADAS POR CESACIÓN DE FUNCIONES"/>
    <n v="0"/>
    <n v="1785.29"/>
    <n v="0"/>
    <n v="0"/>
    <n v="0"/>
    <n v="0"/>
    <n v="0"/>
    <n v="0"/>
    <n v="0"/>
    <n v="1785.29"/>
    <n v="0"/>
    <n v="0"/>
    <n v="0"/>
    <n v="0"/>
    <n v="1785.29"/>
    <s v="OK"/>
    <n v="0"/>
    <n v="1785.29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3"/>
    <s v="ADMINISTRACIÓN CENTRAL"/>
    <s v="CANCELACIÓN DE REMUNERACIONES Y BENEFICIOS SOCIALES"/>
    <n v="1"/>
    <x v="5"/>
    <n v="1"/>
    <n v="0"/>
    <n v="2"/>
    <n v="700"/>
    <s v="EL ORO"/>
    <n v="1"/>
    <n v="0"/>
    <n v="0"/>
    <s v="CORRIENTE"/>
    <x v="3"/>
    <n v="510203"/>
    <s v="DÉCIMO TERCER SUELDO"/>
    <n v="733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3"/>
    <s v="ADMINISTRACIÓN CENTRAL"/>
    <s v="CANCELACIÓN DE REMUNERACIONES Y BENEFICIOS SOCIALES"/>
    <n v="1"/>
    <x v="5"/>
    <n v="1"/>
    <n v="0"/>
    <n v="2"/>
    <n v="700"/>
    <s v="EL ORO"/>
    <n v="1"/>
    <n v="0"/>
    <n v="0"/>
    <s v="CORRIENTE"/>
    <x v="3"/>
    <n v="510204"/>
    <s v="DÉCIMO CUARTO SUELDO"/>
    <n v="425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3"/>
    <s v="ADMINISTRACIÓN CENTRAL"/>
    <s v="CANCELACIÓN DE REMUNERACIONES Y BENEFICIOS SOCIALES"/>
    <n v="1"/>
    <x v="5"/>
    <n v="1"/>
    <n v="0"/>
    <n v="2"/>
    <n v="700"/>
    <s v="EL ORO"/>
    <n v="1"/>
    <n v="0"/>
    <n v="0"/>
    <s v="CORRIENTE"/>
    <x v="3"/>
    <n v="510510"/>
    <s v="SERVICIOS PERSONALES POR CONTRATO"/>
    <n v="8796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3"/>
    <s v="ADMINISTRACIÓN CENTRAL"/>
    <s v="CANCELACIÓN DE REMUNERACIONES Y BENEFICIOS SOCIALES"/>
    <n v="1"/>
    <x v="5"/>
    <n v="1"/>
    <n v="0"/>
    <n v="2"/>
    <n v="700"/>
    <s v="EL ORO"/>
    <n v="1"/>
    <n v="0"/>
    <n v="0"/>
    <s v="CORRIENTE"/>
    <x v="3"/>
    <n v="510601"/>
    <s v="APORTE PATRONAL"/>
    <n v="849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3"/>
    <s v="ADMINISTRACIÓN CENTRAL"/>
    <s v="CANCELACIÓN DE REMUNERACIONES Y BENEFICIOS SOCIALES"/>
    <n v="1"/>
    <x v="5"/>
    <n v="1"/>
    <n v="0"/>
    <n v="2"/>
    <n v="700"/>
    <s v="EL ORO"/>
    <n v="1"/>
    <n v="0"/>
    <n v="0"/>
    <s v="CORRIENTE"/>
    <x v="3"/>
    <n v="510602"/>
    <s v="FONDO DE RESERVA"/>
    <n v="733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4"/>
    <s v="OPERACIONES"/>
    <s v="CANCELACIÓN DE REMUNERACIONES Y BENEFICIOS SOCIALES"/>
    <n v="1"/>
    <x v="5"/>
    <n v="55"/>
    <n v="0"/>
    <s v="002"/>
    <n v="700"/>
    <s v="EL ORO"/>
    <n v="1"/>
    <n v="0"/>
    <n v="0"/>
    <s v="CORRIENTE"/>
    <x v="3"/>
    <n v="510105"/>
    <s v="REMUNERACIONES UNIFICADAS"/>
    <n v="535608"/>
    <n v="534551.80000000005"/>
    <n v="44634"/>
    <n v="44634"/>
    <n v="44634"/>
    <n v="44634"/>
    <n v="44634"/>
    <n v="44634"/>
    <n v="44634"/>
    <n v="44634"/>
    <n v="44634"/>
    <n v="44634"/>
    <n v="44634"/>
    <n v="43577.8"/>
    <n v="534551.80000000005"/>
    <s v="OK"/>
    <n v="0"/>
    <n v="534551.80000000005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4"/>
    <s v="OPERACIONES"/>
    <s v="CANCELACIÓN DE REMUNERACIONES Y BENEFICIOS SOCIALES"/>
    <n v="1"/>
    <x v="5"/>
    <n v="55"/>
    <n v="0"/>
    <s v="002"/>
    <n v="700"/>
    <s v="EL ORO"/>
    <n v="1"/>
    <n v="0"/>
    <n v="0"/>
    <s v="CORRIENTE"/>
    <x v="3"/>
    <n v="510203"/>
    <s v="DÉCIMO TERCER SUELDO"/>
    <n v="48299"/>
    <n v="47932.9"/>
    <n v="0"/>
    <n v="0"/>
    <n v="0"/>
    <n v="0"/>
    <n v="0"/>
    <n v="0"/>
    <n v="0"/>
    <n v="0"/>
    <n v="0"/>
    <n v="0"/>
    <n v="0"/>
    <n v="47932.9"/>
    <n v="47932.9"/>
    <s v="OK"/>
    <n v="0"/>
    <n v="47932.9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4"/>
    <s v="OPERACIONES"/>
    <s v="CANCELACIÓN DE REMUNERACIONES Y BENEFICIOS SOCIALES"/>
    <n v="1"/>
    <x v="5"/>
    <n v="55"/>
    <n v="0"/>
    <s v="002"/>
    <n v="700"/>
    <s v="EL ORO"/>
    <n v="1"/>
    <n v="0"/>
    <n v="0"/>
    <s v="CORRIENTE"/>
    <x v="3"/>
    <n v="510204"/>
    <s v="DÉCIMO CUARTO SUELDO"/>
    <n v="24225"/>
    <n v="25592.2"/>
    <n v="0"/>
    <n v="0"/>
    <n v="0"/>
    <n v="25592.2"/>
    <n v="0"/>
    <n v="0"/>
    <n v="0"/>
    <n v="0"/>
    <n v="0"/>
    <n v="0"/>
    <n v="0"/>
    <n v="0"/>
    <n v="25592.2"/>
    <s v="OK"/>
    <n v="0"/>
    <n v="25592.2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4"/>
    <s v="OPERACIONES"/>
    <s v="CANCELACIÓN DE REMUNERACIONES Y BENEFICIOS SOCIALES"/>
    <n v="1"/>
    <x v="5"/>
    <n v="55"/>
    <n v="0"/>
    <s v="002"/>
    <n v="700"/>
    <s v="EL ORO"/>
    <n v="1"/>
    <n v="0"/>
    <n v="0"/>
    <s v="CORRIENTE"/>
    <x v="3"/>
    <n v="510510"/>
    <s v="SERVICIOS PERSONALES POR CONTRATO"/>
    <n v="43980"/>
    <n v="38242.79"/>
    <n v="3665"/>
    <n v="3665"/>
    <n v="3665"/>
    <n v="3176.33"/>
    <n v="3176.33"/>
    <n v="3176.33"/>
    <n v="3176.33"/>
    <n v="3176.33"/>
    <n v="3176.33"/>
    <n v="3176.33"/>
    <n v="3176.33"/>
    <n v="1837.15"/>
    <n v="38242.790000000008"/>
    <s v="OK"/>
    <n v="0"/>
    <n v="38242.79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4"/>
    <s v="OPERACIONES"/>
    <s v="CANCELACIÓN DE REMUNERACIONES Y BENEFICIOS SOCIALES"/>
    <n v="1"/>
    <x v="5"/>
    <n v="55"/>
    <n v="0"/>
    <s v="002"/>
    <n v="700"/>
    <s v="EL ORO"/>
    <n v="1"/>
    <n v="0"/>
    <n v="0"/>
    <s v="CORRIENTE"/>
    <x v="3"/>
    <n v="510512"/>
    <s v="SUBROGACIÓN "/>
    <n v="808"/>
    <n v="4003.86"/>
    <n v="67"/>
    <n v="71.27"/>
    <n v="71.27"/>
    <n v="71.27"/>
    <n v="71.27"/>
    <n v="71.27"/>
    <n v="71.27"/>
    <n v="286.64"/>
    <n v="286.64"/>
    <n v="286.64"/>
    <n v="286.64"/>
    <n v="2362.6799999999998"/>
    <n v="4003.8599999999997"/>
    <s v="OK"/>
    <n v="0"/>
    <n v="4003.86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4"/>
    <s v="OPERACIONES"/>
    <s v="CANCELACIÓN DE ENCARGOS"/>
    <n v="1"/>
    <x v="5"/>
    <n v="55"/>
    <n v="0"/>
    <n v="2"/>
    <n v="700"/>
    <s v="EL ORO"/>
    <n v="1"/>
    <n v="0"/>
    <n v="0"/>
    <s v="CORRIENTE"/>
    <x v="3"/>
    <n v="510513"/>
    <s v="ENCARGOS"/>
    <n v="0"/>
    <n v="276.66999999999996"/>
    <n v="0"/>
    <n v="0"/>
    <n v="0"/>
    <n v="0"/>
    <n v="0"/>
    <n v="0"/>
    <n v="0"/>
    <n v="276.67"/>
    <n v="0"/>
    <n v="0"/>
    <n v="0"/>
    <n v="0"/>
    <n v="276.67"/>
    <s v="OK"/>
    <n v="131.66999999999999"/>
    <n v="144.99999999999997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4"/>
    <s v="OPERACIONES"/>
    <s v="CANCELACIÓN DE REMUNERACIONES Y BENEFICIOS SOCIALES"/>
    <n v="1"/>
    <x v="5"/>
    <n v="55"/>
    <n v="0"/>
    <s v="002"/>
    <n v="700"/>
    <s v="EL ORO"/>
    <n v="1"/>
    <n v="0"/>
    <n v="0"/>
    <s v="CORRIENTE"/>
    <x v="3"/>
    <n v="510601"/>
    <s v="APORTE PATRONAL"/>
    <n v="55931"/>
    <n v="55506.8"/>
    <n v="4661"/>
    <n v="4661"/>
    <n v="4661"/>
    <n v="4661"/>
    <n v="4661"/>
    <n v="4661"/>
    <n v="4661"/>
    <n v="4661"/>
    <n v="4661"/>
    <n v="4661"/>
    <n v="4661"/>
    <n v="4235.8"/>
    <n v="55506.8"/>
    <s v="OK"/>
    <n v="0"/>
    <n v="55506.8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4"/>
    <s v="OPERACIONES"/>
    <s v="CANCELACIÓN DE REMUNERACIONES Y BENEFICIOS SOCIALES"/>
    <n v="1"/>
    <x v="5"/>
    <n v="55"/>
    <n v="0"/>
    <s v="002"/>
    <n v="700"/>
    <s v="EL ORO"/>
    <n v="1"/>
    <n v="0"/>
    <n v="0"/>
    <s v="CORRIENTE"/>
    <x v="3"/>
    <n v="510602"/>
    <s v="FONDO DE RESERVA"/>
    <n v="18280"/>
    <n v="46692.58"/>
    <n v="1523"/>
    <n v="4239.5"/>
    <n v="4239.5"/>
    <n v="4239.5"/>
    <n v="4239.5"/>
    <n v="4239.5"/>
    <n v="4239.5"/>
    <n v="4239.5"/>
    <n v="4239.5"/>
    <n v="4239.5"/>
    <n v="4239.5"/>
    <n v="2774.58"/>
    <n v="46692.58"/>
    <s v="OK"/>
    <n v="0"/>
    <n v="46692.58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5"/>
    <s v="TECNOLOGÍA"/>
    <s v="CANCELACIÓN DE REMUNERACIONES Y BENEFICIOS SOCIALES"/>
    <n v="1"/>
    <x v="5"/>
    <n v="55"/>
    <n v="0"/>
    <s v="003"/>
    <n v="700"/>
    <s v="EL ORO"/>
    <n v="1"/>
    <n v="0"/>
    <n v="0"/>
    <s v="CORRIENTE"/>
    <x v="3"/>
    <n v="510105"/>
    <s v="REMUNERACIONES UNIFICADAS"/>
    <n v="92160"/>
    <n v="89903.54"/>
    <n v="7680"/>
    <n v="7680"/>
    <n v="7680"/>
    <n v="7680"/>
    <n v="7680"/>
    <n v="7680"/>
    <n v="7680"/>
    <n v="7680"/>
    <n v="7680"/>
    <n v="7680"/>
    <n v="7680"/>
    <n v="5423.54"/>
    <n v="89903.54"/>
    <s v="OK"/>
    <n v="0"/>
    <n v="89903.54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5"/>
    <s v="TECNOLOGÍA"/>
    <s v="CANCELACIÓN DE REMUNERACIONES Y BENEFICIOS SOCIALES"/>
    <n v="1"/>
    <x v="5"/>
    <n v="55"/>
    <n v="0"/>
    <s v="003"/>
    <n v="700"/>
    <s v="EL ORO"/>
    <n v="1"/>
    <n v="0"/>
    <n v="0"/>
    <s v="CORRIENTE"/>
    <x v="3"/>
    <n v="510203"/>
    <s v="DÉCIMO TERCER SUELDO"/>
    <n v="7680"/>
    <n v="7680"/>
    <n v="0"/>
    <n v="0"/>
    <n v="0"/>
    <n v="0"/>
    <n v="0"/>
    <n v="0"/>
    <n v="0"/>
    <n v="0"/>
    <n v="0"/>
    <n v="0"/>
    <n v="0"/>
    <n v="7680"/>
    <n v="7680"/>
    <s v="OK"/>
    <n v="0"/>
    <n v="768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5"/>
    <s v="TECNOLOGÍA"/>
    <s v="CANCELACIÓN DE REMUNERACIONES Y BENEFICIOS SOCIALES"/>
    <n v="1"/>
    <x v="5"/>
    <n v="55"/>
    <n v="0"/>
    <s v="003"/>
    <n v="700"/>
    <s v="EL ORO"/>
    <n v="1"/>
    <n v="0"/>
    <n v="0"/>
    <s v="CORRIENTE"/>
    <x v="3"/>
    <n v="510204"/>
    <s v="DÉCIMO CUARTO SUELDO"/>
    <n v="2125"/>
    <n v="1595.8"/>
    <n v="0"/>
    <n v="0"/>
    <n v="0"/>
    <n v="1595.8"/>
    <n v="0"/>
    <n v="0"/>
    <n v="0"/>
    <n v="0"/>
    <n v="0"/>
    <n v="0"/>
    <n v="0"/>
    <n v="0"/>
    <n v="1595.8"/>
    <s v="OK"/>
    <n v="0"/>
    <n v="1595.8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5"/>
    <s v="TECNOLOGÍA"/>
    <s v="CANCELACIÓN DE REMUNERACIONES Y BENEFICIOS SOCIALES"/>
    <n v="1"/>
    <x v="5"/>
    <n v="55"/>
    <n v="0"/>
    <s v="003"/>
    <n v="700"/>
    <s v="EL ORO"/>
    <n v="1"/>
    <n v="0"/>
    <n v="0"/>
    <s v="CORRIENTE"/>
    <x v="3"/>
    <n v="510512"/>
    <s v="SUBROGACIÓN "/>
    <n v="680"/>
    <n v="717"/>
    <n v="57"/>
    <n v="60"/>
    <n v="60"/>
    <n v="60"/>
    <n v="60"/>
    <n v="60"/>
    <n v="60"/>
    <n v="60"/>
    <n v="60"/>
    <n v="60"/>
    <n v="60"/>
    <n v="60"/>
    <n v="717"/>
    <s v="OK"/>
    <n v="0"/>
    <n v="717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5"/>
    <s v="TECNOLOGÍA"/>
    <s v="CANCELACIÓN DE ENCARGOS"/>
    <n v="1"/>
    <x v="5"/>
    <n v="55"/>
    <n v="0"/>
    <n v="3"/>
    <n v="700"/>
    <s v="EL ORO"/>
    <n v="1"/>
    <n v="0"/>
    <n v="0"/>
    <s v="CORRIENTE"/>
    <x v="3"/>
    <n v="510513"/>
    <s v="ENCARGOS"/>
    <n v="0"/>
    <n v="1176.4000000000001"/>
    <n v="0"/>
    <n v="0"/>
    <n v="0"/>
    <n v="0"/>
    <n v="173"/>
    <n v="173"/>
    <n v="173"/>
    <n v="173"/>
    <n v="173"/>
    <n v="173"/>
    <n v="69"/>
    <n v="69.400000000000006"/>
    <n v="1176.4000000000001"/>
    <s v="OK"/>
    <n v="0"/>
    <n v="1176.4000000000001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5"/>
    <s v="TECNOLOGÍA"/>
    <s v="CANCELACIÓN DE REMUNERACIONES Y BENEFICIOS SOCIALES"/>
    <n v="1"/>
    <x v="5"/>
    <n v="55"/>
    <n v="0"/>
    <s v="003"/>
    <n v="700"/>
    <s v="EL ORO"/>
    <n v="1"/>
    <n v="0"/>
    <n v="0"/>
    <s v="CORRIENTE"/>
    <x v="3"/>
    <n v="510601"/>
    <s v="APORTE PATRONAL"/>
    <n v="8894"/>
    <n v="8903.44"/>
    <n v="741"/>
    <n v="741"/>
    <n v="741"/>
    <n v="741"/>
    <n v="741"/>
    <n v="741"/>
    <n v="741"/>
    <n v="741"/>
    <n v="741"/>
    <n v="741"/>
    <n v="742"/>
    <n v="751.44"/>
    <n v="8903.44"/>
    <s v="OK"/>
    <n v="0"/>
    <n v="8903.44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5"/>
    <s v="TECNOLOGÍA"/>
    <s v="CANCELACIÓN DE REMUNERACIONES Y BENEFICIOS SOCIALES"/>
    <n v="1"/>
    <x v="5"/>
    <n v="55"/>
    <n v="0"/>
    <s v="003"/>
    <n v="700"/>
    <s v="EL ORO"/>
    <n v="1"/>
    <n v="0"/>
    <n v="0"/>
    <s v="CORRIENTE"/>
    <x v="3"/>
    <n v="510602"/>
    <s v="FONDO DE RESERVA"/>
    <n v="7680"/>
    <n v="6680.77"/>
    <n v="640"/>
    <n v="641.17999999999995"/>
    <n v="641.17999999999995"/>
    <n v="641.17999999999995"/>
    <n v="514.65"/>
    <n v="514.65"/>
    <n v="514.65"/>
    <n v="514.65"/>
    <n v="514.65"/>
    <n v="514.65"/>
    <n v="514.65"/>
    <n v="514.67999999999995"/>
    <n v="6680.7699999999986"/>
    <s v="OK"/>
    <n v="0"/>
    <n v="6680.77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5"/>
    <s v="TECNOLOGÍA"/>
    <s v="CANCELACIÓN POR VACACIONES NO GOZADAS POR CESACIÓN DE FUNCIONES"/>
    <n v="1"/>
    <x v="5"/>
    <n v="55"/>
    <n v="0"/>
    <n v="3"/>
    <n v="700"/>
    <s v="EL ORO"/>
    <n v="1"/>
    <n v="0"/>
    <n v="0"/>
    <s v="CORRIENTE"/>
    <x v="3"/>
    <n v="510707"/>
    <s v="COMPENSACIÓN POR VACACIONES NO GOZADAS POR CESACIÓN DE FUNCIONES"/>
    <n v="0"/>
    <n v="1564.46"/>
    <n v="0"/>
    <n v="0"/>
    <n v="0"/>
    <n v="1564.46"/>
    <n v="0"/>
    <n v="0"/>
    <n v="0"/>
    <n v="0"/>
    <n v="0"/>
    <n v="0"/>
    <n v="0"/>
    <n v="0"/>
    <n v="1564.46"/>
    <s v="OK"/>
    <n v="0"/>
    <n v="1564.46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3"/>
    <s v="ADMINISTRACIÓN CENTRAL"/>
    <s v="CANCELACIÓN MENSUAL POR EL CONSUMO DE AGUA POTABLE DE LA COORDINACIÓN ZONAL 7 "/>
    <n v="1"/>
    <x v="5"/>
    <n v="1"/>
    <n v="0"/>
    <n v="1"/>
    <n v="701"/>
    <s v="MACHALA"/>
    <n v="1"/>
    <n v="0"/>
    <n v="0"/>
    <s v="CORRIENTE"/>
    <x v="0"/>
    <n v="530101"/>
    <s v="AGUA POTABLE"/>
    <n v="1320"/>
    <n v="1320"/>
    <n v="110"/>
    <n v="110"/>
    <n v="110"/>
    <n v="110"/>
    <n v="110"/>
    <n v="110"/>
    <n v="110"/>
    <n v="110"/>
    <n v="110"/>
    <n v="110"/>
    <n v="110"/>
    <n v="110"/>
    <n v="1320"/>
    <s v="OK"/>
    <n v="132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3"/>
    <s v="ADMINISTRACIÓN CENTRAL"/>
    <s v="CANCELACIÓN MENSUAL POR EL CONSUMO DEL SERVICIO ELÉCTRICO Y ALUMBRADO PÚBLICO DE LA COORDINACIÓN ZONAL 7 SIS ECU 911, CENTRO ZONAL MACHALA"/>
    <n v="1"/>
    <x v="5"/>
    <n v="1"/>
    <n v="0"/>
    <n v="1"/>
    <n v="701"/>
    <s v="MACHALA"/>
    <n v="1"/>
    <n v="0"/>
    <n v="0"/>
    <s v="CORRIENTE"/>
    <x v="0"/>
    <n v="530104"/>
    <s v="ENERGÍA ELÉCTRICA"/>
    <n v="72000"/>
    <n v="72000"/>
    <n v="6000"/>
    <n v="6000"/>
    <n v="6000"/>
    <n v="6000"/>
    <n v="6000"/>
    <n v="6000"/>
    <n v="6000"/>
    <n v="6000"/>
    <n v="6000"/>
    <n v="6000"/>
    <n v="6000"/>
    <n v="6000"/>
    <n v="72000"/>
    <s v="OK"/>
    <n v="7200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3"/>
    <s v="ADMINISTRACIÓN CENTRAL"/>
    <s v="CANCELACIÓN MENSUAL POR EL SERVICIO DE ENVÍO DE CORRESPONDENCIA DE LA COORDINACIÓN ZONAL 7 "/>
    <n v="1"/>
    <x v="5"/>
    <n v="1"/>
    <n v="0"/>
    <n v="1"/>
    <n v="701"/>
    <s v="MACHALA"/>
    <n v="1"/>
    <n v="0"/>
    <n v="0"/>
    <s v="CORRIENTE"/>
    <x v="0"/>
    <n v="530106"/>
    <s v="SERVICIO DE CORREO"/>
    <n v="800"/>
    <n v="763.1"/>
    <n v="0"/>
    <n v="0"/>
    <n v="60"/>
    <n v="60"/>
    <n v="60"/>
    <n v="80"/>
    <n v="80"/>
    <n v="80"/>
    <n v="80"/>
    <n v="100"/>
    <n v="100"/>
    <n v="63.1"/>
    <n v="763.1"/>
    <s v="OK"/>
    <n v="763.1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3"/>
    <s v="ADMINISTRACIÓN CENTRAL"/>
    <s v="CANCELACIÓN MENSUAL POR SERVICIO DE TRANSPORTE DEL PERSONAL DE LA GESTIÓN ZONAL DE OPERACIONES"/>
    <n v="1"/>
    <x v="5"/>
    <n v="1"/>
    <n v="0"/>
    <n v="1"/>
    <n v="701"/>
    <s v="MACHALA"/>
    <n v="1"/>
    <n v="0"/>
    <n v="0"/>
    <s v="CORRIENTE"/>
    <x v="0"/>
    <n v="530201"/>
    <s v="TRANSPORTE DE PERSONAL"/>
    <n v="28000"/>
    <n v="34282.730000000003"/>
    <n v="0"/>
    <n v="2545"/>
    <n v="2545"/>
    <n v="2545"/>
    <n v="2545"/>
    <n v="2545"/>
    <n v="2545"/>
    <n v="2545"/>
    <n v="2545"/>
    <n v="2545"/>
    <n v="5695"/>
    <n v="5682.73"/>
    <n v="34282.729999999996"/>
    <s v="OK"/>
    <n v="34265.449999999997"/>
    <n v="17.280000000006112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3"/>
    <s v="ADMINISTRACIÓN CENTRAL"/>
    <s v="CANCELACIÓN POR RECARGA DE EXTINTORES DE LA COORDINACIÓN ZONAL 7 SIS ECU 911, CENTRO ZONAL MACHALA"/>
    <n v="1"/>
    <x v="5"/>
    <n v="1"/>
    <n v="0"/>
    <n v="1"/>
    <n v="701"/>
    <s v="MACHALA"/>
    <n v="1"/>
    <n v="0"/>
    <n v="0"/>
    <s v="CORRIENTE"/>
    <x v="0"/>
    <n v="530203"/>
    <s v="ALMACENAMIENTO, EMBALAJE, DESEMBALAJE, ENVASE, DESENVASE Y RECARGA DE EXTINTORES"/>
    <n v="1000"/>
    <n v="500"/>
    <n v="0"/>
    <n v="0"/>
    <n v="0"/>
    <n v="0"/>
    <n v="0"/>
    <n v="0"/>
    <n v="0"/>
    <n v="0"/>
    <n v="0"/>
    <n v="0"/>
    <n v="500"/>
    <n v="0"/>
    <n v="500"/>
    <s v="OK"/>
    <n v="278"/>
    <n v="222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3"/>
    <s v="ADMINISTRACIÓN CENTRAL"/>
    <s v="EJECUCIÓN DEL FONDO DE CAJA CHICA DE LA COORDINACIÓN ZONAL 7 SERVICIO INTEGRADO DE SEGURIDAD ECU911, CENTRO ZONAL MACHALA"/>
    <n v="1"/>
    <x v="5"/>
    <n v="1"/>
    <n v="0"/>
    <n v="1"/>
    <n v="701"/>
    <s v="MACHALA"/>
    <n v="1"/>
    <n v="0"/>
    <n v="0"/>
    <s v="CORRIENTE"/>
    <x v="0"/>
    <n v="530204"/>
    <s v="EDICIÓN, IMPRESIÓN, REPRODUCCIÓN, PUBLICACIONES, SUSCRIPCIONES, FOTOCOPIADO, TRADUCCIÓN, EMPASTADO, ENMARCACIÓN, SERIGRAFÍA, FOTOGRAFÍA, CARNETIZACIÓN, FILMACIÓN E IMÁGENES SATELITALES"/>
    <n v="100"/>
    <n v="100"/>
    <n v="0"/>
    <n v="0"/>
    <n v="0"/>
    <n v="0"/>
    <n v="0"/>
    <n v="0"/>
    <n v="0"/>
    <n v="0"/>
    <n v="0"/>
    <n v="0"/>
    <n v="0"/>
    <n v="100"/>
    <n v="100"/>
    <s v="OK"/>
    <n v="0"/>
    <n v="10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3"/>
    <s v="ADMINISTRACIÓN CENTRAL"/>
    <s v="CANCELACIÓN POR EL SERVICIO DE IMPRESIÓN DEL REGLAMENTO DE HIGIENE Y SEGURIDAD EN EL TRABAJO _x000a_PARA LA COORDINACIÓN ZONAL 7 SIS ECU 911 "/>
    <n v="1"/>
    <x v="5"/>
    <n v="1"/>
    <n v="0"/>
    <n v="1"/>
    <n v="701"/>
    <s v="MACHALA"/>
    <n v="1"/>
    <n v="0"/>
    <n v="0"/>
    <s v="CORRIENTE"/>
    <x v="0"/>
    <n v="530204"/>
    <s v="EDICIÓN, IMPRESIÓN, REPRODUCCIÓN, PUBLICACIONES, SUSCRIPCIONES, FOTOCOPIADO, TRADUCCIÓN, EMPASTADO, ENMARCACIÓN, SERIGRAFÍA, FOTOGRAFÍA, CARNETIZACIÓN, FILMACIÓN E IMÁGENES SATELITALES"/>
    <n v="25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3 INCREMENTAR EL POSICIONAMIENTO DEL SERVICIO INTEGRADO DE SEGURIDAD ECU 911 A NIVEL NACIONAL E INTER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6"/>
    <s v="COMUNICACIÓN SOCIAL"/>
    <s v="ADQUISICIÓN MATERIAL POINT OF PURCHASE (P.O.P) E IMPRESIÓN DE LOGO INSTITUCIONAL SOBRE DISTINTIVOS DE CONSOLAS DE EVALUADORES"/>
    <n v="1"/>
    <x v="5"/>
    <n v="1"/>
    <n v="0"/>
    <n v="1"/>
    <n v="701"/>
    <s v="MACHALA"/>
    <n v="1"/>
    <n v="0"/>
    <n v="0"/>
    <s v="CORRIENTE"/>
    <x v="0"/>
    <n v="530204"/>
    <s v="EDICIÓN, IMPRESIÓN, REPRODUCCIÓN, PUBLICACIONES, SUSCRIPCIONES, FOTOCOPIADO, TRADUCCIÓN, EMPASTADO, ENMARCACIÓN, SERIGRAFÍA, FOTOGRAFÍA, CARNETIZACIÓN, FILMACIÓN E IMÁGENES SATELITALES"/>
    <n v="7000"/>
    <n v="6258.5"/>
    <n v="0"/>
    <n v="0"/>
    <n v="0"/>
    <n v="0"/>
    <n v="0"/>
    <n v="6258.5"/>
    <n v="0"/>
    <n v="0"/>
    <n v="0"/>
    <n v="0"/>
    <n v="0"/>
    <n v="0"/>
    <n v="6258.5"/>
    <s v="OK"/>
    <n v="6258.5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3"/>
    <s v="ADMINISTRACIÓN CENTRAL"/>
    <s v="CANCELACIÓN POR EL SERVICIO DE IMPRESIÓN DE FORMULARIOS PRE NUMERADOS PARA LA EMISION DE ORDENES DE DESPACHO DE COMBUSTIBLE Y PARA EL USO DE FONDO DE CAJA CHICA DE LA COORDINACIÓN ZONAL 7 SIS ECU 911, CENTRO_x000a_ZONAL MACHALA"/>
    <n v="1"/>
    <x v="5"/>
    <n v="1"/>
    <n v="0"/>
    <n v="1"/>
    <n v="701"/>
    <s v="MACHALA"/>
    <n v="1"/>
    <n v="0"/>
    <n v="0"/>
    <s v="CORRIENTE"/>
    <x v="0"/>
    <n v="530204"/>
    <s v="EDICIÓN, IMPRESIÓN, REPRODUCCIÓN, PUBLICACIONES, SUSCRIPCIONES, FOTOCOPIADO, TRADUCCIÓN, EMPASTADO, ENMARCACIÓN, SERIGRAFÍA, FOTOGRAFÍA, CARNETIZACIÓN, FILMACIÓN E IMÁGENES SATELITALES"/>
    <n v="0"/>
    <n v="97.5"/>
    <n v="0"/>
    <n v="0"/>
    <n v="97.5"/>
    <n v="0"/>
    <n v="0"/>
    <n v="0"/>
    <n v="0"/>
    <n v="0"/>
    <n v="0"/>
    <n v="0"/>
    <n v="0"/>
    <n v="0"/>
    <n v="97.5"/>
    <s v="OK"/>
    <n v="95"/>
    <n v="2.5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3"/>
    <s v="ADMINISTRACIÓN CENTRAL"/>
    <s v="CANCELACIÓN MENSUAL POR EL SERVICIO DE SEGURIDAD Y VIGILANCIA DE LA COORDINACIÓN ZONAL 7 "/>
    <n v="1"/>
    <x v="5"/>
    <n v="1"/>
    <n v="0"/>
    <n v="1"/>
    <n v="701"/>
    <s v="MACHALA"/>
    <n v="1"/>
    <n v="0"/>
    <n v="0"/>
    <s v="CORRIENTE"/>
    <x v="0"/>
    <n v="530208"/>
    <s v="SERVICIO DE SEGURIDAD Y VIGILANCIA"/>
    <n v="99680"/>
    <n v="159895.72999999998"/>
    <n v="0"/>
    <n v="12333.45"/>
    <n v="12333.45"/>
    <n v="12333.45"/>
    <n v="12333.45"/>
    <n v="12333.45"/>
    <n v="12333.45"/>
    <n v="26309.22"/>
    <n v="14173.16"/>
    <n v="14173.16"/>
    <n v="14173.16"/>
    <n v="17066.330000000002"/>
    <n v="159895.72999999998"/>
    <s v="OK"/>
    <n v="159039.67999999999"/>
    <n v="856.04999999998836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3"/>
    <s v="ADMINISTRACIÓN CENTRAL"/>
    <s v="CANCELACIÓN MENSUAL POR EL SERVICIO DE ASEO Y LIMPIEZA PARA LAS INSTALACIONES DE LA COORDINACIÓN ZONAL 7 "/>
    <n v="1"/>
    <x v="5"/>
    <n v="1"/>
    <n v="0"/>
    <n v="1"/>
    <n v="701"/>
    <s v="MACHALA"/>
    <n v="1"/>
    <n v="0"/>
    <n v="0"/>
    <s v="CORRIENTE"/>
    <x v="0"/>
    <n v="530209"/>
    <s v="SERVICIOS DE ASEO, LAVADO DE VESTIMENTA DE TRABAJO, FUMIGACIÓN, DESINFECCIÓN, LIMPIEZA DE INSTALACIONES, MANEJO DE DESECHOS CONTAMINADOS, RECUPERACIÓN Y CLASIFICACIÓN DE MATERIALES RECICLABLES"/>
    <n v="81268"/>
    <n v="125390.5"/>
    <n v="0"/>
    <n v="10449"/>
    <n v="10449"/>
    <n v="10449"/>
    <n v="10449"/>
    <n v="10449"/>
    <n v="10449"/>
    <n v="22500"/>
    <n v="10449"/>
    <n v="10449"/>
    <n v="10449"/>
    <n v="8849.5"/>
    <n v="125390.5"/>
    <s v="OK"/>
    <n v="125388"/>
    <n v="2.5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3"/>
    <s v="ADMINISTRACIÓN CENTRAL"/>
    <s v="CANCELACIÓN POR SERVICIO DE GUARDERÍA PARA LOS HIJOS MENORES DE 5 AÑOS DE LOS SERVIDORES DE LA COORDINACIÓN ZONAL 7 SERVICIO INTEGRADO DE SEGURIDAD ECU 911  CENTRO ZONAL MACHALA"/>
    <n v="1"/>
    <x v="5"/>
    <n v="1"/>
    <n v="0"/>
    <n v="1"/>
    <n v="701"/>
    <s v="MACHALA"/>
    <n v="1"/>
    <n v="0"/>
    <n v="0"/>
    <s v="CORRIENTE"/>
    <x v="0"/>
    <n v="530210"/>
    <s v="SERVICIO DE GUARDERÍA"/>
    <n v="0"/>
    <n v="4500"/>
    <n v="0"/>
    <n v="0"/>
    <n v="0"/>
    <n v="0"/>
    <n v="0"/>
    <n v="0"/>
    <n v="0"/>
    <n v="0"/>
    <n v="0"/>
    <n v="0"/>
    <n v="4500"/>
    <n v="0"/>
    <n v="4500"/>
    <s v="OK"/>
    <n v="0"/>
    <n v="450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3"/>
    <s v="ADMINISTRACIÓN CENTRAL"/>
    <s v="CANCELACIÓN POR EL SERVICIO DE RASTREO SATELITAL GPS PARA EL PARQUE AUTOMOTOR DE LA COORDINACIÓN ZONAL 7 SERVICIO INTEGRADO DE SEGURIDAD ECU 911"/>
    <n v="1"/>
    <x v="5"/>
    <n v="1"/>
    <n v="0"/>
    <n v="1"/>
    <n v="701"/>
    <s v="MACHALA"/>
    <n v="1"/>
    <n v="0"/>
    <n v="0"/>
    <s v="CORRIENTE"/>
    <x v="0"/>
    <n v="530246"/>
    <s v="SERVICIOS DE IDENTIFICACIÓN, MARCACIÓN, AUTENTIFICACIÓN, RASTREO, MONITOREO, SEGUIMIENTO Y/O TRAZABILIDAD"/>
    <n v="0"/>
    <n v="300"/>
    <n v="0"/>
    <n v="0"/>
    <n v="0"/>
    <n v="0"/>
    <n v="0"/>
    <n v="0"/>
    <n v="0"/>
    <n v="50"/>
    <n v="100"/>
    <n v="50"/>
    <n v="50"/>
    <n v="50"/>
    <n v="300"/>
    <s v="OK"/>
    <n v="30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3"/>
    <s v="ADMINISTRACIÓN CENTRAL"/>
    <s v="CANCELACIÓN POR ADQUISICIÓN DE COMBUSTIBLE PARA LOS GENERADORES ELECTRICOS Y VEHICULOS INSTITUCIONALES DE  LA COORDINACIÓN ZONAL 7 SERVICIO INTEGRADO DE SEGURIDAD ECU 911, CENTRO ZONAL MACHALA"/>
    <n v="1"/>
    <x v="5"/>
    <n v="1"/>
    <n v="0"/>
    <n v="1"/>
    <n v="701"/>
    <s v="MACHALA"/>
    <n v="1"/>
    <n v="0"/>
    <n v="0"/>
    <s v="CORRIENTE"/>
    <x v="0"/>
    <n v="530255"/>
    <s v="COMBUSTIBLES"/>
    <n v="0"/>
    <n v="4257.51"/>
    <n v="0"/>
    <n v="100.25"/>
    <n v="250"/>
    <n v="475"/>
    <n v="339.29"/>
    <n v="345.28"/>
    <n v="425.8"/>
    <n v="350.78"/>
    <n v="452.9"/>
    <n v="498.56"/>
    <n v="450"/>
    <n v="569.65"/>
    <n v="4257.5099999999993"/>
    <s v="OK"/>
    <n v="4255.01"/>
    <n v="2.5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3"/>
    <s v="ADMINISTRACIÓN CENTRAL"/>
    <s v="CANCELACIÓN  DE PASAJES AL INTERIOR POR COMISIONES DEL PERSONAL DE LA COORDINACIÓN ZONAL 7 SIS ECU911, CENTRO ZONAL MACHALA"/>
    <n v="1"/>
    <x v="5"/>
    <n v="1"/>
    <n v="0"/>
    <n v="1"/>
    <n v="701"/>
    <s v="MACHALA"/>
    <n v="1"/>
    <n v="0"/>
    <n v="0"/>
    <s v="CORRIENTE"/>
    <x v="0"/>
    <n v="530301"/>
    <s v="PASAJES AL INTERIOR"/>
    <n v="1500"/>
    <n v="1856.49"/>
    <n v="0"/>
    <n v="0"/>
    <n v="0"/>
    <n v="0"/>
    <n v="0"/>
    <n v="300"/>
    <n v="1323.04"/>
    <n v="233.45"/>
    <n v="0"/>
    <n v="0"/>
    <n v="0"/>
    <n v="0"/>
    <n v="1856.49"/>
    <s v="OK"/>
    <n v="1856.49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3"/>
    <s v="ADMINISTRACIÓN CENTRAL"/>
    <s v="CANCELACIÓN DE SERVICIO DE EMISIÓN DE PASAJES AÉREOS PARA LOS SERVIDORES Y FUNCIONARIOS  DE LA COORDINACIÓN ZONAL 7 SERVICIO INTEGRADO DE SEGURIDAD ECU 911"/>
    <n v="1"/>
    <x v="5"/>
    <n v="1"/>
    <n v="0"/>
    <n v="1"/>
    <n v="701"/>
    <s v="MACHALA"/>
    <n v="1"/>
    <n v="0"/>
    <n v="0"/>
    <s v="CORRIENTE"/>
    <x v="0"/>
    <n v="530301"/>
    <s v="PASAJES AL INTERIOR"/>
    <n v="0"/>
    <n v="2129.96"/>
    <n v="0"/>
    <n v="0"/>
    <n v="0"/>
    <n v="0"/>
    <n v="0"/>
    <n v="0"/>
    <n v="0"/>
    <n v="0"/>
    <n v="1380.66"/>
    <n v="0"/>
    <n v="0"/>
    <n v="749.3"/>
    <n v="2129.96"/>
    <s v="OK"/>
    <n v="2129.4"/>
    <n v="0.55999999999994543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3"/>
    <s v="ADMINISTRACIÓN CENTRAL"/>
    <s v="CANCELACIÓN DE VIÁTICOS A LOS FUNCIONARIOS DE LA COORDINACIÓN ZONAL 7 "/>
    <n v="1"/>
    <x v="5"/>
    <n v="1"/>
    <n v="0"/>
    <n v="1"/>
    <n v="701"/>
    <s v="MACHALA"/>
    <n v="1"/>
    <n v="0"/>
    <n v="0"/>
    <s v="CORRIENTE"/>
    <x v="0"/>
    <n v="530303"/>
    <s v="VIÁTICOS Y SUBSISTENCIAS EN EL INTERIOR"/>
    <n v="1800"/>
    <n v="8909.2099999999991"/>
    <n v="0"/>
    <n v="0"/>
    <n v="0"/>
    <n v="0"/>
    <n v="0"/>
    <n v="800"/>
    <n v="4300"/>
    <n v="0"/>
    <n v="0"/>
    <n v="0"/>
    <n v="0"/>
    <n v="3809.21"/>
    <n v="8909.2099999999991"/>
    <s v="OK"/>
    <n v="8909.2099999999991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3"/>
    <s v="ADMINISTRACIÓN CENTRAL"/>
    <s v="EJECUCIÓN DEL FONDO DE CAJA CHICA DE LA COORDINACIÓN ZONAL 7 SERVICIO INTEGRADO DE SEGURIDAD ECU911, CENTRO ZONAL MACHALA"/>
    <n v="1"/>
    <x v="5"/>
    <n v="1"/>
    <n v="0"/>
    <n v="1"/>
    <n v="701"/>
    <s v="MACHALA"/>
    <n v="1"/>
    <n v="0"/>
    <n v="0"/>
    <s v="CORRIENTE"/>
    <x v="0"/>
    <n v="530402"/>
    <s v="EDIFICIOS, LOCALES, RESIDENCIAS Y CABLEADO ESTRUCTURADO (INSTALACIÓN, MANTENIMIENTO Y REPARACIÓN)"/>
    <n v="100"/>
    <n v="84.75"/>
    <n v="0"/>
    <n v="0"/>
    <n v="0"/>
    <n v="0"/>
    <n v="0"/>
    <n v="0"/>
    <n v="0"/>
    <n v="0"/>
    <n v="0"/>
    <n v="0"/>
    <n v="0"/>
    <n v="84.75"/>
    <n v="84.75"/>
    <s v="OK"/>
    <n v="0"/>
    <n v="84.75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3"/>
    <s v="ADMINISTRACIÓN CENTRAL"/>
    <s v="SERVICIO DE ELABORACIÓN DE LOGOS CORPOREOS DE LA PARTE EXTERIOR DEL EDIFICIO DE LA COORDINACIÓN ZONAL 7 "/>
    <n v="1"/>
    <x v="5"/>
    <n v="1"/>
    <n v="0"/>
    <n v="1"/>
    <n v="701"/>
    <s v="MACHALA"/>
    <n v="1"/>
    <n v="0"/>
    <n v="0"/>
    <s v="CORRIENTE"/>
    <x v="0"/>
    <n v="530402"/>
    <s v="EDIFICIOS, LOCALES, RESIDENCIAS Y CABLEADO ESTRUCTURADO (INSTALACIÓN, MANTENIMIENTO Y REPARACIÓN)"/>
    <n v="300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3"/>
    <s v="ADMINISTRACIÓN CENTRAL"/>
    <s v="CANCELACIÓN DEL MANTENIMIENTO CORRECTIVO DE LA VIGA DEL SEGUNDO PISO DE LA COORDINACIÓN ZONAL 7 "/>
    <n v="1"/>
    <x v="5"/>
    <n v="1"/>
    <n v="0"/>
    <n v="1"/>
    <n v="701"/>
    <s v="MACHALA"/>
    <n v="1"/>
    <n v="0"/>
    <n v="0"/>
    <s v="CORRIENTE"/>
    <x v="0"/>
    <n v="530402"/>
    <s v="EDIFICIOS, LOCALES, RESIDENCIAS Y CABLEADO ESTRUCTURADO (INSTALACIÓN, MANTENIMIENTO Y REPARACIÓN)"/>
    <n v="800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3"/>
    <s v="ADMINISTRACIÓN CENTRAL"/>
    <s v="CANCELACIÓN POR EL SOSTENIMIENTO TECNOLÓGICO  DE LOS BIENES Y SISTEMA  ELECTRICO DE LA COORDINACIÓN ZONAL 7 SIS ECU911, CENTRO ZONAL MACHALA, CENTRO OPERATIVO LOCAL LOJA Y SALA OPERATIVA DE ZAMORA CHINCHIPE"/>
    <n v="1"/>
    <x v="5"/>
    <n v="1"/>
    <n v="0"/>
    <n v="1"/>
    <n v="701"/>
    <s v="MACHALA"/>
    <n v="1"/>
    <n v="0"/>
    <n v="0"/>
    <s v="CORRIENTE"/>
    <x v="0"/>
    <n v="530402"/>
    <s v="EDIFICIOS, LOCALES, RESIDENCIAS Y CABLEADO ESTRUCTURADO (INSTALACIÓN, MANTENIMIENTO Y REPARACIÓN)"/>
    <n v="80000"/>
    <n v="94712"/>
    <n v="0"/>
    <n v="0"/>
    <n v="0"/>
    <n v="0"/>
    <n v="0"/>
    <n v="0"/>
    <n v="0"/>
    <n v="0"/>
    <n v="0"/>
    <n v="0"/>
    <n v="0"/>
    <n v="94712"/>
    <n v="94712"/>
    <s v="OK"/>
    <n v="94712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3"/>
    <s v="ADMINISTRACIÓN CENTRAL"/>
    <s v="CANCELACIÓN DEL SERVICIO DE MANTENIMIENTO CORRECTIVO A LAS PUERTAS DE ALUMINIO Y VIDRIO DE LA COORDINACIÓN ZONAL 7 SERVICIO INTEGRADO DE SEGURIDAD ECU 911, CENTRO ZONAL MACHALA"/>
    <n v="1"/>
    <x v="5"/>
    <n v="1"/>
    <n v="0"/>
    <n v="1"/>
    <n v="701"/>
    <s v="MACHALA"/>
    <n v="1"/>
    <n v="0"/>
    <n v="0"/>
    <s v="CORRIENTE"/>
    <x v="0"/>
    <n v="530402"/>
    <s v="EDIFICIOS, LOCALES, RESIDENCIAS Y CABLEADO ESTRUCTURADO (INSTALACIÓN, MANTENIMIENTO Y REPARACIÓN)"/>
    <n v="0"/>
    <n v="2701"/>
    <n v="0"/>
    <n v="0"/>
    <n v="0"/>
    <n v="0"/>
    <n v="0"/>
    <n v="0"/>
    <n v="0"/>
    <n v="0"/>
    <n v="0"/>
    <n v="2701"/>
    <n v="0"/>
    <n v="0"/>
    <n v="2701"/>
    <s v="OK"/>
    <n v="2700.06"/>
    <n v="0.94000000000005457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3"/>
    <s v="ADMINISTRACIÓN CENTRAL"/>
    <s v="CONTRATACIÓN DEL SERVICIO DE REPARACIÓN E IMPERMEABILIZACIÓN DE GRIETAS DE LA PARED DE FACHADA COLOR GRIS DEL EDIFICIO DE LA COORDINACIÓN ZONAL 7 SERVICIO INTEGRADO DE SEGURIDAD ECU 911, CENTRO ZONAL  MACHALA"/>
    <n v="1"/>
    <x v="5"/>
    <n v="1"/>
    <n v="0"/>
    <n v="1"/>
    <n v="701"/>
    <s v="MACHALA"/>
    <n v="1"/>
    <n v="0"/>
    <n v="0"/>
    <s v="CORRIENTE"/>
    <x v="0"/>
    <n v="530402"/>
    <s v="EDIFICIOS, LOCALES, RESIDENCIAS Y CABLEADO ESTRUCTURADO (INSTALACIÓN, MANTENIMIENTO Y REPARACIÓN)"/>
    <n v="0"/>
    <n v="6300"/>
    <n v="0"/>
    <n v="0"/>
    <n v="0"/>
    <n v="0"/>
    <n v="0"/>
    <n v="0"/>
    <n v="0"/>
    <n v="0"/>
    <n v="0"/>
    <n v="0"/>
    <n v="0"/>
    <n v="6300"/>
    <n v="6300"/>
    <s v="OK"/>
    <n v="6099.38"/>
    <n v="200.61999999999989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3"/>
    <s v="ADMINISTRACIÓN CENTRAL"/>
    <s v="CANCELACIÓN POR SERVICIO DE REPARACIÓN A LOS MOBILIARIOS DE LA COORDINACIÓN ZONAL 7 SIS ECU 911, CENTRO ZONAL MACHALA"/>
    <n v="1"/>
    <x v="5"/>
    <n v="1"/>
    <n v="0"/>
    <n v="1"/>
    <n v="701"/>
    <s v="MACHALA"/>
    <n v="1"/>
    <n v="0"/>
    <n v="0"/>
    <s v="CORRIENTE"/>
    <x v="0"/>
    <n v="530403"/>
    <s v="MOBILIARIOS (INSTALACIÓN, MANTENIMIENTO Y REPARACIÓN)"/>
    <n v="280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3"/>
    <s v="ADMINISTRACIÓN CENTRAL"/>
    <s v="EJECUCIÓN DEL FONDO DE CAJA CHICA DE LA COORDINACIÓN ZONAL 7 SERVICIO INTEGRADO DE SEGURIDAD ECU911, CENTRO ZONAL MACHALA"/>
    <n v="1"/>
    <x v="5"/>
    <n v="1"/>
    <n v="0"/>
    <n v="1"/>
    <n v="701"/>
    <s v="MACHALA"/>
    <n v="1"/>
    <n v="0"/>
    <n v="0"/>
    <s v="CORRIENTE"/>
    <x v="0"/>
    <n v="530404"/>
    <s v="MAQUINARIAS Y EQUIPOS (INSTALACIÓN, MANTENIMIENTO Y REPARACIÓN)"/>
    <n v="100"/>
    <n v="80.789999999999992"/>
    <n v="0"/>
    <n v="0"/>
    <n v="0"/>
    <n v="0"/>
    <n v="0"/>
    <n v="0"/>
    <n v="0"/>
    <n v="0"/>
    <n v="0"/>
    <n v="0"/>
    <n v="0"/>
    <n v="80.790000000000006"/>
    <n v="80.790000000000006"/>
    <s v="OK"/>
    <n v="0"/>
    <n v="80.789999999999992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3"/>
    <s v="ADMINISTRACIÓN CENTRAL"/>
    <s v="CANCELACIÓN DEL SERVICIO DE MANTENIMIENTO PREVENTIVO DE ASCENSOR DE LA COORDINACIÓN ZONAL 7 "/>
    <n v="1"/>
    <x v="5"/>
    <n v="1"/>
    <n v="0"/>
    <n v="1"/>
    <n v="701"/>
    <s v="MACHALA"/>
    <n v="1"/>
    <n v="0"/>
    <n v="0"/>
    <s v="CORRIENTE"/>
    <x v="0"/>
    <n v="530404"/>
    <s v="MAQUINARIAS Y EQUIPOS (INSTALACIÓN, MANTENIMIENTO Y REPARACIÓN)"/>
    <n v="5500"/>
    <n v="4709.88"/>
    <n v="0"/>
    <n v="392.49"/>
    <n v="392.49"/>
    <n v="392.49"/>
    <n v="392.49"/>
    <n v="392.49"/>
    <n v="392.49"/>
    <n v="392.49"/>
    <n v="392.49"/>
    <n v="392.49"/>
    <n v="392.49"/>
    <n v="784.98"/>
    <n v="4709.8799999999992"/>
    <s v="OK"/>
    <n v="4709.88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3"/>
    <s v="ADMINISTRACIÓN CENTRAL"/>
    <s v="CANCELACIÓN POR SOSTENIMIENTO TECNOLÓGICO DE BIENES Y SISTEMA DE CLIMATIZACIÓN DE LA COORDINACIÓN ZONAL 7 SIS ECU911, CENTRO ZONAL MACHALA, CENTRO OPERATIVO LOCAL LOJA Y SALA OPERATIVA DE ZAMORA CHINCHIPE"/>
    <n v="1"/>
    <x v="5"/>
    <n v="1"/>
    <n v="0"/>
    <n v="1"/>
    <n v="701"/>
    <s v="MACHALA"/>
    <n v="1"/>
    <n v="0"/>
    <n v="0"/>
    <s v="CORRIENTE"/>
    <x v="0"/>
    <n v="530404"/>
    <s v="MAQUINARIAS Y EQUIPOS (INSTALACIÓN, MANTENIMIENTO Y REPARACIÓN)"/>
    <n v="85000"/>
    <n v="86867.81"/>
    <n v="0"/>
    <n v="0"/>
    <n v="0"/>
    <n v="0"/>
    <n v="0"/>
    <s v="-"/>
    <n v="0"/>
    <n v="40000"/>
    <s v="-"/>
    <n v="0"/>
    <n v="0"/>
    <n v="46867.81"/>
    <n v="86867.81"/>
    <s v="OK"/>
    <n v="86867.81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3"/>
    <s v="ADMINISTRACIÓN CENTRAL"/>
    <s v="EJECUCIÓN DEL FONDO DE CAJA CHICA DE LA COORDINACIÓN ZONAL 7 SERVICIO INTEGRADO DE SEGURIDAD ECU911, CENTRO ZONAL MACHALA"/>
    <n v="1"/>
    <x v="5"/>
    <n v="1"/>
    <n v="0"/>
    <n v="1"/>
    <n v="701"/>
    <s v="MACHALA"/>
    <n v="1"/>
    <n v="0"/>
    <n v="0"/>
    <s v="CORRIENTE"/>
    <x v="0"/>
    <n v="530405"/>
    <s v="VEHÍCULOS (SERVICIO PARA MANTENIMIENTO Y REPARACIÓN)"/>
    <n v="100"/>
    <n v="50"/>
    <n v="0"/>
    <n v="0"/>
    <n v="0"/>
    <n v="0"/>
    <n v="0"/>
    <n v="0"/>
    <n v="0"/>
    <n v="0"/>
    <n v="0"/>
    <n v="0"/>
    <n v="40"/>
    <n v="10"/>
    <n v="50"/>
    <s v="OK"/>
    <n v="5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3"/>
    <s v="ADMINISTRACIÓN CENTRAL"/>
    <s v="CANCELACIÓN DEL SERVICIO DE LAVADO DE LOS VEHÍCULOS"/>
    <n v="1"/>
    <x v="5"/>
    <n v="1"/>
    <n v="0"/>
    <n v="1"/>
    <n v="701"/>
    <s v="MACHALA"/>
    <n v="1"/>
    <n v="0"/>
    <n v="0"/>
    <s v="CORRIENTE"/>
    <x v="0"/>
    <n v="530405"/>
    <s v="VEHÍCULOS (SERVICIO PARA MANTENIMIENTO Y REPARACIÓN)"/>
    <n v="650"/>
    <n v="0"/>
    <n v="0"/>
    <n v="0"/>
    <n v="0"/>
    <n v="0"/>
    <n v="0"/>
    <n v="0"/>
    <n v="0"/>
    <n v="0"/>
    <n v="0"/>
    <n v="0"/>
    <n v="0"/>
    <n v="0"/>
    <n v="0"/>
    <s v="OK"/>
    <n v="0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3"/>
    <s v="ADMINISTRACIÓN CENTRAL"/>
    <s v="SERVICIOS DE MANTENIMIENTO CORRECTIVO Y PREVENTIVO PARA LOS VEHÍCULOS DE LA COORDIANCIÓN ZONAL 7 SERVICIO INTEGRADO DE SEGURIDAD ECU 911, CENTRO ZONAL MACHALA "/>
    <n v="1"/>
    <x v="5"/>
    <n v="1"/>
    <n v="0"/>
    <n v="1"/>
    <n v="701"/>
    <s v="MACHALA"/>
    <n v="1"/>
    <n v="0"/>
    <n v="0"/>
    <s v="CORRIENTE"/>
    <x v="0"/>
    <n v="530405"/>
    <s v="VEHÍCULOS (SERVICIO PARA MANTENIMIENTO Y REPARACIÓN)"/>
    <n v="3000"/>
    <n v="30611.1"/>
    <n v="0"/>
    <n v="0"/>
    <n v="0"/>
    <n v="0"/>
    <n v="0"/>
    <n v="0"/>
    <n v="0"/>
    <n v="0"/>
    <n v="0"/>
    <n v="0"/>
    <n v="0"/>
    <n v="30611.1"/>
    <n v="30611.1"/>
    <s v="OK"/>
    <n v="30611.09"/>
    <n v="9.9999999983992893E-3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3"/>
    <s v="ADMINISTRACIÓN CENTRAL"/>
    <s v="ADQUISICIÓN DE ROPA DE TRABAJO PARA EL PERSONAL BAJO RÉGIMEN DE CÓDIGO DE TRABAJO DE LA COORDINACIÓN ZONAL 7 SIS ECU 911 (CENTRO ZONAL MACHALA Y CENTRO OPERATIVO LOCAL LOJA)"/>
    <n v="1"/>
    <x v="5"/>
    <n v="1"/>
    <n v="0"/>
    <n v="1"/>
    <n v="701"/>
    <s v="MACHALA"/>
    <n v="1"/>
    <n v="0"/>
    <n v="0"/>
    <s v="CORRIENTE"/>
    <x v="0"/>
    <n v="530802"/>
    <s v="VESTUARIO, LENCERÍA, PRENDAS DE PROTECCIÓN Y ACCESORIOS PARA UNIFORMES DEL PERSONAL DE PROTECCIÓN, VIGILANCIA Y SEGURIDAD"/>
    <n v="0"/>
    <n v="2500"/>
    <n v="0"/>
    <n v="0"/>
    <n v="0"/>
    <n v="0"/>
    <n v="0"/>
    <n v="0"/>
    <n v="0"/>
    <n v="0"/>
    <n v="0"/>
    <n v="0"/>
    <n v="0"/>
    <n v="2500"/>
    <n v="2500"/>
    <s v="OK"/>
    <n v="0"/>
    <n v="250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3"/>
    <s v="ADMINISTRACIÓN CENTRAL"/>
    <s v="CANCELACIÓNPOR LA  ADQUISICIÓN DE REPUESTOS ORIGINALES (INCLUYE INSTALACIÓN), LUBRICANTES, MANTENIMIENTOS PREVENTIVOS Y CORRECTIVOS  PARA LOS VEHÍCULOS (CAMIONETA LUV D-MAX; Y GRAND VITARA SZ) DE LA COORDINACIÓN ZONAL 7 SERVICIO INTEGRADO DE SEGURIDAD ECU 911, CENTROZONAL MACHALA "/>
    <n v="1"/>
    <x v="5"/>
    <n v="1"/>
    <n v="0"/>
    <n v="1"/>
    <n v="701"/>
    <s v="MACHALA"/>
    <n v="1"/>
    <n v="0"/>
    <n v="0"/>
    <s v="CORRIENTE"/>
    <x v="0"/>
    <n v="530803"/>
    <s v="LUBRICANTES"/>
    <n v="550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3"/>
    <s v="ADMINISTRACIÓN CENTRAL"/>
    <s v="EJECUCIÓN DEL FONDO DE CAJA CHICA DE LA COORDINACIÓN ZONAL 7 SERVICIO INTEGRADO DE SEGURIDAD ECU911, CENTRO ZONAL MACHALA"/>
    <n v="1"/>
    <x v="5"/>
    <n v="1"/>
    <n v="0"/>
    <n v="1"/>
    <n v="701"/>
    <s v="MACHALA"/>
    <n v="1"/>
    <n v="0"/>
    <n v="0"/>
    <s v="CORRIENTE"/>
    <x v="0"/>
    <n v="530803"/>
    <s v="LUBRICANTES"/>
    <n v="0"/>
    <n v="140"/>
    <n v="0"/>
    <n v="0"/>
    <n v="0"/>
    <n v="0"/>
    <n v="0"/>
    <n v="0"/>
    <n v="0"/>
    <n v="0"/>
    <n v="0"/>
    <n v="0"/>
    <n v="140"/>
    <n v="0"/>
    <n v="140"/>
    <s v="OK"/>
    <n v="0"/>
    <n v="14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3"/>
    <s v="ADMINISTRACIÓN CENTRAL"/>
    <s v="CANCELACIÓN ADQUISICIÓN DE MATERIALES DE OFICINA CENTRO ZONAL MACHALA"/>
    <n v="1"/>
    <x v="5"/>
    <n v="1"/>
    <n v="0"/>
    <n v="1"/>
    <n v="701"/>
    <s v="MACHALA"/>
    <n v="1"/>
    <n v="0"/>
    <n v="0"/>
    <s v="CORRIENTE"/>
    <x v="0"/>
    <n v="530804"/>
    <s v="MATERIALES DE OFICINA"/>
    <n v="1200"/>
    <n v="1111.03"/>
    <n v="0"/>
    <n v="0"/>
    <n v="0"/>
    <n v="800"/>
    <n v="0"/>
    <n v="311.02999999999997"/>
    <n v="0"/>
    <n v="0"/>
    <n v="0"/>
    <n v="0"/>
    <n v="0"/>
    <n v="0"/>
    <n v="1111.03"/>
    <s v="OK"/>
    <n v="1111.03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3"/>
    <s v="ADMINISTRACIÓN CENTRAL"/>
    <s v="ADQUISICIÓN DE ALMOHADILLAS PARA SELLOS AUTOMÁTICOS DE LA COORDINACIÓN ZONAL 7 SIS ECU 911, CENTRO ZONAL MACHALA"/>
    <n v="1"/>
    <x v="5"/>
    <n v="1"/>
    <n v="0"/>
    <n v="1"/>
    <n v="701"/>
    <s v="MACHALA"/>
    <n v="1"/>
    <n v="0"/>
    <n v="0"/>
    <s v="CORRIENTE"/>
    <x v="0"/>
    <n v="530804"/>
    <s v="MATERIALES DE OFICINA"/>
    <n v="0"/>
    <n v="70.239999999999995"/>
    <n v="0"/>
    <n v="0"/>
    <n v="0"/>
    <n v="0"/>
    <n v="0"/>
    <n v="70.239999999999995"/>
    <n v="0"/>
    <n v="0"/>
    <n v="0"/>
    <n v="0"/>
    <n v="0"/>
    <n v="0"/>
    <n v="70.239999999999995"/>
    <s v="OK"/>
    <n v="51.5"/>
    <n v="18.739999999999995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3"/>
    <s v="ADMINISTRACIÓN CENTRAL"/>
    <s v="ADQUISICIÓN DE MATERIALES DE ASEO PARA LA PREVENCIÓN DE CONTAGIO DE COVID-19 EN LAS INSTALACIONES DE LA COORDINACIÓN ZONAL 7 "/>
    <n v="1"/>
    <x v="5"/>
    <n v="1"/>
    <n v="0"/>
    <n v="1"/>
    <n v="701"/>
    <s v="MACHALA"/>
    <n v="1"/>
    <n v="0"/>
    <n v="0"/>
    <s v="CORRIENTE"/>
    <x v="0"/>
    <n v="530805"/>
    <s v="MATERIALES DE ASEO"/>
    <n v="300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3"/>
    <s v="ADMINISTRACIÓN CENTRAL"/>
    <s v="CANCELACIÓN ADQUISICIÓN DE MATERIALES DE ASEO CENTRO ZONAL MACHALA"/>
    <n v="1"/>
    <x v="5"/>
    <n v="1"/>
    <n v="0"/>
    <n v="1"/>
    <n v="701"/>
    <s v="MACHALA"/>
    <n v="1"/>
    <n v="0"/>
    <n v="0"/>
    <s v="CORRIENTE"/>
    <x v="0"/>
    <n v="530805"/>
    <s v="MATERIALES DE ASEO"/>
    <n v="7000"/>
    <n v="894.95"/>
    <n v="0"/>
    <n v="0"/>
    <n v="894.95"/>
    <n v="0"/>
    <n v="0"/>
    <n v="0"/>
    <n v="0"/>
    <n v="0"/>
    <n v="0"/>
    <n v="0"/>
    <n v="0"/>
    <n v="0"/>
    <n v="894.95"/>
    <s v="OK"/>
    <n v="889.9"/>
    <n v="5.0500000000000682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3"/>
    <s v="ADMINISTRACIÓN CENTRAL"/>
    <s v="ADQUISICIÓN DE TONERS PARA LA COORDINACIÓN ZONAL 7 "/>
    <n v="1"/>
    <x v="5"/>
    <n v="1"/>
    <n v="0"/>
    <n v="1"/>
    <n v="701"/>
    <s v="MACHALA"/>
    <n v="1"/>
    <n v="0"/>
    <n v="0"/>
    <s v="CORRIENTE"/>
    <x v="0"/>
    <n v="530807"/>
    <s v="MATERIALES DE IMPRESIÓN, FOTOGRAFÍA, REPRODUCCIÓN Y PUBLICACIONES"/>
    <n v="5500"/>
    <n v="4021"/>
    <n v="0"/>
    <n v="0"/>
    <n v="0"/>
    <n v="0"/>
    <n v="0"/>
    <n v="4021"/>
    <n v="0"/>
    <n v="0"/>
    <n v="0"/>
    <n v="0"/>
    <n v="0"/>
    <n v="0"/>
    <n v="4021"/>
    <s v="OK"/>
    <n v="4020.8799999999997"/>
    <n v="0.12000000000034561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3"/>
    <s v="ADMINISTRACIÓN CENTRAL"/>
    <s v="EJECUCIÓN DEL FONDO DE CAJA CHICA DE LA COORDINACIÓN ZONAL 7 SERVICIO INTEGRADO DE SEGURIDAD ECU911, CENTRO ZONAL MACHALA"/>
    <n v="1"/>
    <x v="5"/>
    <n v="1"/>
    <n v="0"/>
    <n v="1"/>
    <n v="701"/>
    <s v="MACHALA"/>
    <n v="1"/>
    <n v="0"/>
    <n v="0"/>
    <s v="CORRIENTE"/>
    <x v="0"/>
    <n v="530811"/>
    <s v="INSUMOS, MATERIALES Y SUMINISTROS PARA CONSTRUCCIÓN, ELECTRICIDAD, PLOMERÍA, CARPINTERÍA, SEÑALIZACIÓN VIAL, NAVEGACIÓN, CONTRA INCENDIOS Y PLACAS"/>
    <n v="100"/>
    <n v="199"/>
    <n v="0"/>
    <n v="0"/>
    <n v="0"/>
    <n v="0"/>
    <n v="0"/>
    <n v="0"/>
    <n v="0"/>
    <n v="0"/>
    <n v="0"/>
    <n v="0"/>
    <n v="99"/>
    <n v="100"/>
    <n v="199"/>
    <s v="OK"/>
    <n v="198.01"/>
    <n v="0.99000000000000909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3"/>
    <s v="ADMINISTRACIÓN CENTRAL"/>
    <s v="CANCELACIÓN POR ADQUISICIÓN  DE INSUMOS, MATERIALES Y SUMINISTROS PARA LOS MANTENIMIENTO INTERNOS DE LA COORDINACIÓN ZONAL 7 "/>
    <n v="1"/>
    <x v="5"/>
    <n v="1"/>
    <n v="0"/>
    <n v="1"/>
    <n v="701"/>
    <s v="MACHALA"/>
    <n v="1"/>
    <n v="0"/>
    <n v="0"/>
    <s v="CORRIENTE"/>
    <x v="0"/>
    <n v="530811"/>
    <s v="INSUMOS, MATERIALES Y SUMINISTROS PARA CONSTRUCCIÓN, ELECTRICIDAD, PLOMERÍA, CARPINTERÍA, SEÑALIZACIÓN VIAL, NAVEGACIÓN, CONTRA INCENDIOS Y PLACAS"/>
    <n v="2800"/>
    <n v="2378"/>
    <n v="0"/>
    <n v="0"/>
    <n v="0"/>
    <n v="0"/>
    <n v="0"/>
    <n v="0"/>
    <n v="2378"/>
    <n v="0"/>
    <n v="0"/>
    <n v="0"/>
    <n v="0"/>
    <n v="0"/>
    <n v="2378"/>
    <s v="OK"/>
    <n v="2377.98"/>
    <n v="1.999999999998181E-2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3"/>
    <s v="ADMINISTRACIÓN CENTRAL"/>
    <s v="EJECUCIÓN DEL FONDO DE CAJA CHICA DE LA COORDINACIÓN ZONAL 7 SERVICIO INTEGRADO DE SEGURIDAD ECU911, CENTRO ZONAL MACHALA"/>
    <n v="1"/>
    <x v="5"/>
    <n v="1"/>
    <n v="0"/>
    <n v="1"/>
    <n v="701"/>
    <s v="MACHALA"/>
    <n v="1"/>
    <n v="0"/>
    <n v="0"/>
    <s v="CORRIENTE"/>
    <x v="0"/>
    <n v="530813"/>
    <s v="REPUESTOS Y ACCESORIOS"/>
    <n v="100"/>
    <n v="220"/>
    <n v="0"/>
    <n v="0"/>
    <n v="0"/>
    <n v="0"/>
    <n v="0"/>
    <n v="0"/>
    <n v="0"/>
    <n v="0"/>
    <n v="0"/>
    <n v="0"/>
    <n v="120"/>
    <n v="100"/>
    <n v="220"/>
    <s v="OK"/>
    <n v="77.94"/>
    <n v="142.06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3"/>
    <s v="ADMINISTRACIÓN CENTRAL"/>
    <s v="CANCELACIÓN POR ADQUISICIÓN DE REPUESTOS Y ACCESORIOS PARA LOS MANTENIMIENTOS INTERNOS DE LA COORDINACIÓN ZONAL 7 SIS ECU 911, CENTRO ZONAL MACHALA"/>
    <n v="1"/>
    <x v="5"/>
    <n v="1"/>
    <n v="0"/>
    <n v="1"/>
    <n v="701"/>
    <s v="MACHALA"/>
    <n v="1"/>
    <n v="0"/>
    <n v="0"/>
    <s v="CORRIENTE"/>
    <x v="0"/>
    <n v="530813"/>
    <s v="REPUESTOS Y ACCESORIOS"/>
    <n v="20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3"/>
    <s v="ADMINISTRACIÓN CENTRAL"/>
    <s v="CANCELACIÓN POR ADQUISICIÓN DE REPUESTOS Y ACCESORIOS PARA LOS MANTENIMIENTOS INTERNOS DE LA COORDINACIÓN ZONAL 7 SIS ECU 911, CENTRO ZONAL MACHALA"/>
    <n v="1"/>
    <x v="5"/>
    <n v="1"/>
    <n v="0"/>
    <n v="1"/>
    <n v="701"/>
    <s v="MACHALA"/>
    <n v="1"/>
    <n v="0"/>
    <n v="0"/>
    <s v="CORRIENTE"/>
    <x v="0"/>
    <n v="530813"/>
    <s v="REPUESTOS Y ACCESORIOS"/>
    <n v="900"/>
    <n v="729.52"/>
    <n v="0"/>
    <n v="0"/>
    <n v="0"/>
    <n v="0"/>
    <n v="0"/>
    <n v="0"/>
    <n v="729.52"/>
    <n v="0"/>
    <n v="0"/>
    <n v="0"/>
    <n v="0"/>
    <n v="0"/>
    <n v="729.52"/>
    <s v="OK"/>
    <n v="641.1"/>
    <n v="88.419999999999959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3"/>
    <s v="ADMINISTRACIÓN CENTRAL"/>
    <s v="ADQUISICIÓN DE DISPOSITIVOS PARA EL SISTEMA CONTRA INCENDIOS DE LA COORDINACIÓN ZONAL 7 SERVICIO INTEGRADO DE SEGURIDAD ECU  911, CENTRO ZONAL MACHALA, INCLUYE SU CONFIGURACIÓN E INSTALACIÓN"/>
    <n v="1"/>
    <x v="5"/>
    <n v="1"/>
    <n v="0"/>
    <n v="1"/>
    <n v="701"/>
    <s v="MACHALA"/>
    <n v="1"/>
    <n v="0"/>
    <n v="0"/>
    <s v="CORRIENTE"/>
    <x v="0"/>
    <n v="530813"/>
    <s v="REPUESTOS Y ACCESORIOS"/>
    <n v="0"/>
    <n v="1500"/>
    <n v="0"/>
    <n v="0"/>
    <n v="0"/>
    <n v="0"/>
    <n v="0"/>
    <n v="0"/>
    <n v="0"/>
    <n v="0"/>
    <n v="0"/>
    <n v="0"/>
    <n v="0"/>
    <n v="1500"/>
    <n v="1500"/>
    <s v="OK"/>
    <n v="0"/>
    <n v="150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3"/>
    <s v="ADMINISTRACIÓN CENTRAL"/>
    <s v="CANCELACIÓN POR LA  ADQUISICIÓN DE REPUESTOS ORIGINALES (INCLUYE INSTALACIÓN), LUBRICANTES, MANTENIMIENTOS PREVENTIVOS Y CORRECTIVOS  PARA LOS VEHÍCULOS (CAMIONETA LUV D-MAX; Y GRAND VITARA SZ) DE LA COORDINACIÓN ZONAL 7 SERVICIO INTEGRADO DE_x000a_SEGURIDAD ECU_x000a_911, CENTRO_x000a_ZONAL MACHALA"/>
    <n v="1"/>
    <x v="5"/>
    <n v="1"/>
    <n v="0"/>
    <n v="1"/>
    <n v="701"/>
    <s v="MACHALA"/>
    <n v="1"/>
    <n v="0"/>
    <n v="0"/>
    <s v="CORRIENTE"/>
    <x v="0"/>
    <n v="530813"/>
    <s v="REPUESTOS Y ACCESORIOS"/>
    <n v="600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3"/>
    <s v="ADMINISTRACIÓN CENTRAL"/>
    <s v="ADQUISICIÓN DE INSUMOS DE BIOSEGURIDAD PARA LA PREVENCIÓN DE CONTAGIO DE COVID-19 EN LAS INSTALACIONES DE LA COORDINACIÓN ZONAL 7 "/>
    <n v="1"/>
    <x v="5"/>
    <n v="1"/>
    <n v="0"/>
    <n v="1"/>
    <n v="701"/>
    <s v="MACHALA"/>
    <n v="1"/>
    <n v="0"/>
    <n v="0"/>
    <s v="CORRIENTE"/>
    <x v="0"/>
    <n v="530826"/>
    <s v="DISPOSITIVOS MÉDICOS DE USO GENERAL"/>
    <n v="4000"/>
    <n v="0"/>
    <n v="0"/>
    <n v="0"/>
    <n v="0"/>
    <n v="0"/>
    <n v="0"/>
    <n v="0"/>
    <n v="0"/>
    <n v="0"/>
    <n v="0"/>
    <n v="0"/>
    <n v="0"/>
    <n v="0"/>
    <n v="0"/>
    <s v="OK"/>
    <n v="0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3"/>
    <s v="ADMINISTRACIÓN CENTRAL"/>
    <s v="ADQUISICIÓN DE ESCALERAS TIPO TIJERA PARA LA COORDIANCIÓN ZONAL 7 SERVICIO INTEGRADO DE SEGURIDAD ECU 911, CENTRO ZONAL MACHALA"/>
    <n v="1"/>
    <x v="5"/>
    <n v="1"/>
    <n v="0"/>
    <n v="1"/>
    <n v="701"/>
    <s v="MACHALA"/>
    <n v="1"/>
    <n v="0"/>
    <n v="0"/>
    <s v="CORRIENTE"/>
    <x v="0"/>
    <n v="531406"/>
    <s v="HERRAMIENTAS Y EQUIPOS MENORES"/>
    <n v="0"/>
    <n v="860"/>
    <n v="0"/>
    <n v="0"/>
    <n v="0"/>
    <n v="0"/>
    <n v="0"/>
    <n v="0"/>
    <n v="0"/>
    <n v="800"/>
    <n v="60"/>
    <n v="0"/>
    <n v="0"/>
    <n v="0"/>
    <n v="860"/>
    <s v="OK"/>
    <n v="859.82"/>
    <n v="0.17999999999994998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3"/>
    <s v="ADMINISTRACIÓN CENTRAL"/>
    <s v="ADQUISICIÓN DE DISPOSITIVOS PARA EL SISTEMA CONTRA INCENDIOS DE LA COORDINACIÓN ZONAL 7 SERVICIO INTEGRADO DE SEGURIDAD ECU  911, CENTRO ZONAL MACHALA, INCLUYE SU CONFIGURACIÓN E INSTALACIÓN"/>
    <n v="1"/>
    <x v="5"/>
    <n v="1"/>
    <n v="0"/>
    <n v="1"/>
    <n v="701"/>
    <s v="MACHALA"/>
    <n v="1"/>
    <n v="0"/>
    <n v="0"/>
    <s v="CORRIENTE"/>
    <x v="0"/>
    <n v="531407"/>
    <s v="EQUIPOS, SISTEMAS Y PAQUETES INFORMÁTICOS"/>
    <n v="0"/>
    <n v="4000"/>
    <n v="0"/>
    <n v="0"/>
    <n v="0"/>
    <n v="0"/>
    <n v="0"/>
    <n v="0"/>
    <n v="0"/>
    <n v="0"/>
    <n v="0"/>
    <n v="0"/>
    <n v="0"/>
    <n v="4000"/>
    <n v="4000"/>
    <s v="OK"/>
    <n v="0"/>
    <n v="400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3"/>
    <s v="ADMINISTRACIÓN CENTRAL"/>
    <s v="ADQUISICIÓN DE DISPOSITIVOS PARA EL SISTEMA CONTRA INCENDIOS DE LA COORDINACIÓN ZONAL 7 SERVICIO INTEGRADO DE SEGURIDAD ECU  911, CENTRO ZONAL MACHALA, INCLUYE SU CONFIGURACIÓN E INSTALACIÓN"/>
    <n v="1"/>
    <x v="5"/>
    <n v="1"/>
    <n v="0"/>
    <n v="1"/>
    <n v="701"/>
    <s v="MACHALA"/>
    <n v="1"/>
    <n v="0"/>
    <n v="0"/>
    <s v="CORRIENTE"/>
    <x v="0"/>
    <n v="531411"/>
    <s v="PARTES Y REPUESTOS"/>
    <n v="0"/>
    <n v="500"/>
    <n v="0"/>
    <n v="0"/>
    <n v="0"/>
    <n v="0"/>
    <n v="0"/>
    <n v="0"/>
    <n v="0"/>
    <n v="0"/>
    <n v="0"/>
    <n v="0"/>
    <n v="0"/>
    <n v="500"/>
    <n v="500"/>
    <s v="OK"/>
    <n v="0"/>
    <n v="50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3"/>
    <s v="ADMINISTRACIÓN CENTRAL"/>
    <s v="CANCELACIÓN POR PEAJES"/>
    <n v="1"/>
    <x v="5"/>
    <n v="1"/>
    <n v="0"/>
    <n v="1"/>
    <n v="701"/>
    <s v="MACHALA"/>
    <n v="1"/>
    <n v="0"/>
    <n v="0"/>
    <s v="CORRIENTE"/>
    <x v="1"/>
    <n v="570102"/>
    <s v="TASAS GENERALES, IMPUESTOS, CONTRIBUCIONES, PERMISOS, LICENCIAS Y PATENTES"/>
    <n v="120"/>
    <n v="120"/>
    <n v="0"/>
    <n v="0"/>
    <n v="0"/>
    <n v="0"/>
    <n v="0"/>
    <n v="0"/>
    <n v="0"/>
    <n v="0"/>
    <n v="0"/>
    <n v="0"/>
    <n v="0"/>
    <n v="120"/>
    <n v="120"/>
    <s v="OK"/>
    <n v="12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3"/>
    <s v="ADMINISTRACIÓN CENTRAL"/>
    <s v="CANCELACIÓN POR MATRICULACIÓN VEHICULAR DE LA COORDINACIÓN ZONAL 7 "/>
    <n v="1"/>
    <x v="5"/>
    <n v="1"/>
    <n v="0"/>
    <n v="1"/>
    <n v="701"/>
    <s v="MACHALA"/>
    <n v="1"/>
    <n v="0"/>
    <n v="0"/>
    <s v="CORRIENTE"/>
    <x v="1"/>
    <n v="570102"/>
    <s v="TASAS GENERALES, IMPUESTOS, CONTRIBUCIONES, PERMISOS, LICENCIAS Y PATENTES"/>
    <n v="450"/>
    <n v="450"/>
    <n v="0"/>
    <n v="0"/>
    <n v="450"/>
    <n v="0"/>
    <n v="0"/>
    <n v="0"/>
    <n v="0"/>
    <n v="0"/>
    <n v="0"/>
    <n v="0"/>
    <n v="0"/>
    <n v="0"/>
    <n v="450"/>
    <s v="OK"/>
    <n v="166.69"/>
    <n v="283.31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3"/>
    <s v="ADMINISTRACIÓN CENTRAL"/>
    <s v="CANCELACIÓN POR EL PERMISO ANUAL DE FUNCIONAMIENTO DE LA COORDINACIÓN ZONAL 7 SIS ECU 911, CENTRO ZONAL MACHALA OTORGADO POR EL CUERPO DE BOMBERSO DE MACHALA"/>
    <n v="1"/>
    <x v="5"/>
    <n v="1"/>
    <n v="0"/>
    <n v="1"/>
    <n v="701"/>
    <s v="MACHALA"/>
    <n v="1"/>
    <n v="0"/>
    <n v="0"/>
    <s v="CORRIENTE"/>
    <x v="1"/>
    <n v="570102"/>
    <s v="TASAS GENERALES, IMPUESTOS, CONTRIBUCIONES, PERMISOS, LICENCIAS Y PATENTES"/>
    <n v="850"/>
    <n v="850"/>
    <n v="0"/>
    <n v="0"/>
    <n v="850"/>
    <n v="0"/>
    <n v="0"/>
    <n v="0"/>
    <n v="0"/>
    <n v="0"/>
    <n v="0"/>
    <n v="0"/>
    <n v="0"/>
    <n v="0"/>
    <n v="850"/>
    <s v="OK"/>
    <n v="787.5"/>
    <n v="62.5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3"/>
    <s v="ADMINISTRACIÓN CENTRAL"/>
    <s v="CANCELACIÓN MENSUAL POR TASA DE RECOLECCIÓN DE BASURA DE LA COORDINACIÓN ZONAL 7 "/>
    <n v="1"/>
    <x v="5"/>
    <n v="1"/>
    <n v="0"/>
    <n v="1"/>
    <n v="701"/>
    <s v="MACHALA"/>
    <n v="1"/>
    <n v="0"/>
    <n v="0"/>
    <s v="CORRIENTE"/>
    <x v="1"/>
    <n v="570102"/>
    <s v="TASAS GENERALES, IMPUESTOS, CONTRIBUCIONES, PERMISOS, LICENCIAS Y PATENTES"/>
    <n v="9481"/>
    <n v="9481"/>
    <n v="830"/>
    <n v="830"/>
    <n v="830"/>
    <n v="830"/>
    <n v="830"/>
    <n v="830"/>
    <n v="830"/>
    <n v="830"/>
    <n v="830"/>
    <n v="830"/>
    <n v="830"/>
    <n v="351"/>
    <n v="9481"/>
    <s v="OK"/>
    <n v="9481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4"/>
    <s v="OPERACIONES"/>
    <s v="CONTRATACIÓN DEL SERVICIO DE IMPRESIÓN DE MATERIAL ACADÉMICO PARA LOS CURSOS PRESENCIALES DEL SISTEMA DE COMANDO DE INCIDENTES BÁSICO PARA LA COORDIANCIÓN ZONAL 7 SERVICIO INTEGRADO DE SEGURIDAD ECU 911"/>
    <n v="1"/>
    <x v="5"/>
    <n v="55"/>
    <n v="0"/>
    <n v="2"/>
    <n v="701"/>
    <s v="MACHALA"/>
    <n v="1"/>
    <n v="0"/>
    <n v="0"/>
    <s v="CORRIENTE"/>
    <x v="0"/>
    <n v="530204"/>
    <s v="EDICIÓN, IMPRESIÓN, REPRODUCCIÓN, PUBLICACIONES, SUSCRIPCIONES, FOTOCOPIADO, TRADUCCIÓN, EMPASTADO, ENMARCACIÓN, SERIGRAFÍA, FOTOGRAFÍA, CARNETIZACIÓN, FILMACIÓN E IMÁGENES SATELITALES"/>
    <n v="0"/>
    <n v="4513.6099999999997"/>
    <n v="0"/>
    <n v="0"/>
    <n v="0"/>
    <n v="0"/>
    <n v="0"/>
    <n v="0"/>
    <n v="0"/>
    <n v="0"/>
    <n v="4513.6099999999997"/>
    <n v="0"/>
    <n v="0"/>
    <n v="0"/>
    <n v="4513.6099999999997"/>
    <s v="OK"/>
    <n v="3027.22"/>
    <n v="1486.3899999999999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5"/>
    <s v="TECNOLOGÍA"/>
    <s v="CONTRATACIÓN DE SERVICIO DE ENLACE, MANTENIMIENTO Y SOPORTE DE 1 PUNTO DE VÍDEO VIGILANCIA (3 REYES 1) EN EL CANTÓN ZARUMA."/>
    <n v="1"/>
    <x v="5"/>
    <n v="55"/>
    <n v="0"/>
    <n v="3"/>
    <n v="701"/>
    <s v="MACHALA"/>
    <n v="1"/>
    <n v="0"/>
    <n v="0"/>
    <s v="CORRIENTE"/>
    <x v="0"/>
    <n v="530105"/>
    <s v="TELECOMUNICACIONES"/>
    <n v="500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5"/>
    <s v="TECNOLOGÍA"/>
    <s v="PROVISIÓN DEL SERVICIO DE TELEFONÍA FIJA, ENLACES DE DATOS, INTERNET Y SERVICIOS MÓVILES (TELEMETRÍA) PARA LA COORDINACIÓN ZONAL 7 SIS ECU 911 CENTRO ZONAL MACHALA."/>
    <n v="1"/>
    <x v="5"/>
    <n v="55"/>
    <n v="0"/>
    <n v="3"/>
    <n v="701"/>
    <s v="MACHALA"/>
    <n v="1"/>
    <n v="0"/>
    <n v="0"/>
    <s v="CORRIENTE"/>
    <x v="0"/>
    <n v="530105"/>
    <s v="TELECOMUNICACIONES"/>
    <n v="171988"/>
    <n v="98197.81"/>
    <n v="14332"/>
    <n v="9000"/>
    <n v="6000"/>
    <n v="6000"/>
    <n v="6000"/>
    <n v="6000"/>
    <n v="6000"/>
    <n v="6000"/>
    <n v="6000"/>
    <n v="6000"/>
    <n v="6000"/>
    <n v="20865.810000000001"/>
    <n v="98197.81"/>
    <s v="OK"/>
    <n v="74981.990000000005"/>
    <n v="23215.819999999992"/>
    <s v="R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5"/>
    <s v="TECNOLOGÍA"/>
    <s v="MANTENIMIENTO TECNOLÓGICO CORRECTIVO DE LOS PUNTOS DE ALERTA TEMPRANA Y CENTRO DE CONTROL, QUE FORMAN PARTE DEL SISEMA NACIONAL DE ALERTA TEMPRANA A EVENTOS ADVERSOS DE TSUNAMI Y DESBORDAMIENTO DE REPRESAS DE LA COORDINACIÓN ZONAL 7. "/>
    <n v="1"/>
    <x v="5"/>
    <n v="55"/>
    <n v="0"/>
    <n v="3"/>
    <n v="701"/>
    <s v="MACHALA"/>
    <n v="1"/>
    <n v="0"/>
    <n v="0"/>
    <s v="CORRIENTE"/>
    <x v="0"/>
    <n v="530404"/>
    <s v="MAQUINARIAS Y EQUIPOS (INSTALACIÓN, MANTENIMIENTO Y REPARACIÓN)"/>
    <n v="0"/>
    <n v="5776.21"/>
    <n v="0"/>
    <n v="0"/>
    <n v="0"/>
    <n v="0"/>
    <n v="0"/>
    <n v="0"/>
    <n v="0"/>
    <n v="0"/>
    <n v="0"/>
    <n v="0"/>
    <n v="0"/>
    <n v="5776.21"/>
    <n v="5776.21"/>
    <s v="OK"/>
    <n v="5776.21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5"/>
    <s v="TECNOLOGÍA"/>
    <s v="ADQUISICIÓN DE REPUESTOS, INSTALACIÓN Y MANTENIMIENTO PARA EQUIPOS DE IMPRESIÓN DE LA COORDINACIÓN ZONAL 7 "/>
    <n v="1"/>
    <x v="5"/>
    <n v="55"/>
    <n v="0"/>
    <n v="3"/>
    <n v="701"/>
    <s v="MACHALA"/>
    <n v="1"/>
    <n v="0"/>
    <n v="0"/>
    <s v="CORRIENTE"/>
    <x v="0"/>
    <n v="530704"/>
    <s v="MANTENIMIENTO Y REPARACIÓN DE EQUIPOS Y SISTEMAS INFORMÁTICOS "/>
    <n v="1500"/>
    <n v="1500"/>
    <n v="0"/>
    <n v="0"/>
    <n v="0"/>
    <n v="0"/>
    <n v="0"/>
    <n v="0"/>
    <n v="750"/>
    <n v="0"/>
    <n v="0"/>
    <n v="0"/>
    <n v="0"/>
    <n v="750"/>
    <n v="1500"/>
    <s v="OK"/>
    <n v="1350"/>
    <n v="15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5"/>
    <s v="TECNOLOGÍA"/>
    <s v="MANTENIMIENTO TECNOLÓGICO CORRECTIVO DE LOS PUNTOS DE ALERTA TEMPRANA Y CENTRO DE CONTROL, QUE FORMAN PARTE DEL SISEMA NACIONAL DE ALERTA TEMPRANA A EVENTOS ADVERSOS DE TSUNAMI Y DESBORDAMIENTO DE REPRESAS DE LA COORDINACIÓN ZONAL 7. "/>
    <n v="1"/>
    <x v="5"/>
    <n v="55"/>
    <n v="0"/>
    <n v="3"/>
    <n v="701"/>
    <s v="MACHALA"/>
    <n v="1"/>
    <n v="0"/>
    <n v="0"/>
    <s v="CORRIENTE"/>
    <x v="0"/>
    <n v="530704"/>
    <s v="MANTENIMIENTO Y REPARACIÓN DE EQUIPOS Y SISTEMAS INFORMÁTICOS "/>
    <n v="0"/>
    <n v="1108.4700000000003"/>
    <n v="0"/>
    <n v="0"/>
    <n v="0"/>
    <n v="0"/>
    <n v="0"/>
    <n v="0"/>
    <n v="0"/>
    <n v="0"/>
    <n v="0"/>
    <n v="0"/>
    <n v="0"/>
    <n v="1108.47"/>
    <n v="1108.47"/>
    <s v="OK"/>
    <n v="525.11"/>
    <n v="583.36000000000024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5"/>
    <s v="TECNOLOGÍA"/>
    <s v="CANCELACIÓN DE SOSTENIMIENTO TECNOLÓGICO PARA SITIOS DE VÍDEO MONITOREO DE LA COORDINACIÓN ZONAL 7, CENTRO ZONAL MACHALA, CENTRO LOCAL LOJA Y SALA OPERATIVA ZAMORA CHINCHIPE."/>
    <n v="1"/>
    <x v="5"/>
    <n v="55"/>
    <n v="0"/>
    <n v="3"/>
    <n v="701"/>
    <s v="MACHALA"/>
    <n v="1"/>
    <n v="0"/>
    <n v="0"/>
    <s v="CORRIENTE"/>
    <x v="0"/>
    <n v="530704"/>
    <s v="MANTENIMIENTO Y REPARACIÓN DE EQUIPOS Y SISTEMAS INFORMÁTICOS "/>
    <n v="85000"/>
    <n v="50736.750000000015"/>
    <n v="0"/>
    <n v="0"/>
    <n v="0"/>
    <n v="15334"/>
    <n v="15334"/>
    <n v="2866.96"/>
    <n v="2866.96"/>
    <n v="2866.96"/>
    <n v="2866.96"/>
    <n v="2866.96"/>
    <n v="2866.96"/>
    <n v="2866.99"/>
    <n v="50736.749999999993"/>
    <s v="OK"/>
    <n v="43300"/>
    <n v="7436.7500000000146"/>
    <s v="R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5"/>
    <s v="TECNOLOGÍA"/>
    <s v="ADQUISICIÓN DE RESPUESTOS Y ACCESORIOS PARA EL ÁREA DE TECNOLOGIA DE LA COORDINACIÓN ZONAL 7"/>
    <n v="1"/>
    <x v="5"/>
    <n v="55"/>
    <n v="0"/>
    <n v="3"/>
    <n v="701"/>
    <s v="MACHALA"/>
    <n v="1"/>
    <n v="0"/>
    <n v="0"/>
    <s v="CORRIENTE"/>
    <x v="0"/>
    <n v="530811"/>
    <s v="INSUMOS, MATERIALES Y SUMINISTROS PARA CONSTRUCCIÓN, ELECTRICIDAD, PLOMERÍA, CARPINTERÍA, SEÑALIZACIÓN VIAL, NAVEGACIÓN, CONTRA INCENDIOS Y PLACAS"/>
    <n v="3000"/>
    <n v="1712.46"/>
    <n v="0"/>
    <n v="0"/>
    <n v="0"/>
    <n v="0"/>
    <n v="1712.46"/>
    <n v="0"/>
    <n v="0"/>
    <n v="0"/>
    <n v="0"/>
    <n v="0"/>
    <n v="0"/>
    <n v="0"/>
    <n v="1712.46"/>
    <s v="OK"/>
    <n v="924.91"/>
    <n v="787.55000000000007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5"/>
    <s v="TECNOLOGÍA"/>
    <s v="ADQUISICIÓN DE HERRAMIENTAS Y MATERIALES PARA EL ÁREA DE TECNOLOGÍA DE LA COORDINACIÓN ZONAL 7 DEL SERVICIO INTEGRADO DE SEGURIDAD ECU 911, CENTRO ZONAL MACHALA "/>
    <n v="1"/>
    <x v="5"/>
    <n v="55"/>
    <n v="0"/>
    <n v="3"/>
    <n v="701"/>
    <s v="MACHALA"/>
    <n v="1"/>
    <n v="0"/>
    <n v="0"/>
    <s v="CORRIENTE"/>
    <x v="0"/>
    <n v="530811"/>
    <s v="INSUMOS, MATERIALES Y SUMINISTROS PARA CONSTRUCCIÓN, ELECTRICIDAD, PLOMERÍA, CARPINTERÍA, SEÑALIZACIÓN VIAL, NAVEGACIÓN, CONTRA INCENDIOS Y PLACAS"/>
    <n v="150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5"/>
    <s v="TECNOLOGÍA"/>
    <s v="ADQUISICIÓN DE REPUESTOS, INSTALACIÓN Y MANTENIMIENTO PARA EQUIPOS DE IMPRESIÓN DE LA COORDINACIÓN ZONAL 7 "/>
    <n v="1"/>
    <x v="5"/>
    <n v="55"/>
    <n v="0"/>
    <n v="3"/>
    <n v="701"/>
    <s v="MACHALA"/>
    <n v="1"/>
    <n v="0"/>
    <n v="0"/>
    <s v="CORRIENTE"/>
    <x v="0"/>
    <n v="530813"/>
    <s v="REPUESTOS Y ACCESORIOS"/>
    <n v="2000"/>
    <n v="3000"/>
    <n v="0"/>
    <n v="0"/>
    <n v="0"/>
    <n v="0"/>
    <n v="0"/>
    <n v="0"/>
    <n v="3000"/>
    <n v="0"/>
    <n v="0"/>
    <n v="0"/>
    <n v="0"/>
    <n v="0"/>
    <n v="3000"/>
    <s v="OK"/>
    <n v="2294.6"/>
    <n v="705.40000000000009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5"/>
    <s v="TECNOLOGÍA"/>
    <s v="ADQUISICIÓN DE RESPUESTOS Y ACCESORIOS PARA EL ÁREA DE TECNOLOGIA DE LA COORDINACIÓN ZONAL 7"/>
    <n v="1"/>
    <x v="5"/>
    <n v="55"/>
    <n v="0"/>
    <n v="3"/>
    <n v="701"/>
    <s v="MACHALA"/>
    <n v="1"/>
    <n v="0"/>
    <n v="0"/>
    <s v="CORRIENTE"/>
    <x v="0"/>
    <n v="530813"/>
    <s v="REPUESTOS Y ACCESORIOS"/>
    <n v="4000"/>
    <n v="1777.44"/>
    <n v="0"/>
    <n v="0"/>
    <n v="0"/>
    <n v="0"/>
    <n v="1777.44"/>
    <n v="0"/>
    <n v="0"/>
    <n v="0"/>
    <n v="0"/>
    <n v="0"/>
    <n v="0"/>
    <n v="0"/>
    <n v="1777.44"/>
    <s v="OK"/>
    <n v="0"/>
    <n v="1777.44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5"/>
    <s v="TECNOLOGÍA"/>
    <s v="ADQUISICIÓN DE BATERÍAS Y OTROS ACCESORIOS PARA LAS RADIOS TRONCALIZADAS DE LA COORDINACIÓN ZONAL 7"/>
    <n v="1"/>
    <x v="5"/>
    <n v="55"/>
    <n v="0"/>
    <n v="3"/>
    <n v="701"/>
    <s v="MACHALA"/>
    <n v="1"/>
    <n v="0"/>
    <n v="0"/>
    <s v="CORRIENTE"/>
    <x v="0"/>
    <n v="530813"/>
    <s v="REPUESTOS Y ACCESORIOS"/>
    <n v="400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5"/>
    <s v="TECNOLOGÍA"/>
    <s v="MANTENIMIENTO TECNOLÓGICO CORRECTIVO DE LOS PUNTOS DE ALERTA TEMPRANA Y CENTRO DE CONTROL, QUE FORMAN PARTE DEL SISTEMA NACIONAL DE ALERTA TEMPRANA FRENTE A EVENTOS ADVERSOS DE TSUNAMI Y DESBORDAMIENTO DE REPRESAS DE LA COORDINACIÓN ZONAL 7"/>
    <n v="1"/>
    <x v="5"/>
    <n v="55"/>
    <n v="0"/>
    <n v="3"/>
    <n v="701"/>
    <s v="MACHALA"/>
    <n v="1"/>
    <n v="0"/>
    <n v="0"/>
    <s v="CORRIENTE"/>
    <x v="0"/>
    <n v="530813"/>
    <s v="REPUESTOS Y ACCESORIOS"/>
    <n v="0"/>
    <n v="5034.12"/>
    <n v="0"/>
    <n v="0"/>
    <n v="0"/>
    <n v="0"/>
    <n v="0"/>
    <n v="0"/>
    <n v="0"/>
    <n v="0"/>
    <n v="0"/>
    <n v="0"/>
    <n v="0"/>
    <n v="5034.12"/>
    <n v="5034.12"/>
    <s v="OK"/>
    <n v="4794.3999999999996"/>
    <n v="239.72000000000025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5"/>
    <s v="TECNOLOGÍA"/>
    <s v="ADQUISICIÓN DE UPS PARA REEMPLAZO Y REGULADORES DE VOLTAJE PARA PROTECCIÓN DE LA ALIMENTACIÓN ELÉCTRICA DE LOS PUNTOS DE VÍDEO VIGILANCIA DE LA COORDINACIÓN ZONAL 7 DEL SIS ECU 911"/>
    <n v="1"/>
    <x v="5"/>
    <n v="55"/>
    <n v="0"/>
    <n v="3"/>
    <n v="701"/>
    <s v="MACHALA"/>
    <n v="1"/>
    <n v="0"/>
    <n v="0"/>
    <s v="CORRIENTE"/>
    <x v="0"/>
    <n v="531404"/>
    <s v="MAQUINARIAS Y EQUIPOS"/>
    <n v="0"/>
    <n v="500"/>
    <n v="0"/>
    <n v="0"/>
    <n v="0"/>
    <n v="0"/>
    <n v="0"/>
    <n v="0"/>
    <n v="0"/>
    <n v="0"/>
    <n v="0"/>
    <n v="0"/>
    <n v="500"/>
    <n v="0"/>
    <n v="500"/>
    <s v="OK"/>
    <n v="0"/>
    <n v="50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5"/>
    <s v="TECNOLOGÍA"/>
    <s v="ADQUISICIÓN DE HERRAMIENTAS Y MATERIALES PARA EL ÁREA DE TECNOLOGÍA DE LA COORDINACIÓN ZONAL 7 DEL SERVICIO INTEGRADO DE SEGURIDAD ECU 911, CENTRO ZONAL MACHALA Y CENTRO LOCAL LOJA."/>
    <n v="1"/>
    <x v="5"/>
    <n v="55"/>
    <n v="0"/>
    <n v="3"/>
    <n v="701"/>
    <s v="MACHALA"/>
    <n v="1"/>
    <n v="0"/>
    <n v="0"/>
    <s v="CORRIENTE"/>
    <x v="0"/>
    <n v="531406"/>
    <s v="HERRAMIENTAS Y EQUIPOS MENORES"/>
    <n v="1500"/>
    <n v="0"/>
    <n v="0"/>
    <n v="0"/>
    <n v="0"/>
    <n v="0"/>
    <n v="0"/>
    <n v="0"/>
    <n v="0"/>
    <n v="0"/>
    <n v="0"/>
    <n v="0"/>
    <n v="0"/>
    <n v="0"/>
    <n v="0"/>
    <s v="OK"/>
    <n v="0"/>
    <n v="0"/>
    <s v="R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5"/>
    <s v="TECNOLOGÍA"/>
    <s v="ADQUISICIÓN DE UPS PARA REEMPLAZO Y REGULADORES DE VOLTAJE PARA PROTECCIÓN DE LA ALIMENTACIÓN ELÉCTRICA DE LOS PUNTOS DE VÍDEO VIGILANCIA DE LA COORDINACIÓN ZONAL 7 DEL SIS ECU 911"/>
    <n v="1"/>
    <x v="5"/>
    <n v="55"/>
    <n v="0"/>
    <n v="3"/>
    <n v="701"/>
    <s v="MACHALA"/>
    <n v="1"/>
    <n v="0"/>
    <n v="0"/>
    <s v="CORRIENTE"/>
    <x v="0"/>
    <n v="531407"/>
    <s v="EQUIPOS, SISTEMAS Y PAQUETES INFORMÁTICOS"/>
    <n v="0"/>
    <n v="5800"/>
    <n v="0"/>
    <n v="0"/>
    <n v="0"/>
    <n v="0"/>
    <n v="0"/>
    <n v="0"/>
    <n v="0"/>
    <n v="0"/>
    <n v="0"/>
    <n v="0"/>
    <n v="5800"/>
    <n v="0"/>
    <n v="5800"/>
    <s v="OK"/>
    <n v="0"/>
    <n v="580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5"/>
    <s v="TECNOLOGÍA"/>
    <s v="ADQUISICIÓN DE CÁMARAS DE  PARA REEMPLAZO  EN PUNTOS DE VÍDEO VIGILANCIA DE LA COORDINACIÓN ZONAL 7 SERVICIO INTEGRADO DE SEGURIDAD ECU 911"/>
    <n v="1"/>
    <x v="5"/>
    <n v="55"/>
    <n v="0"/>
    <n v="3"/>
    <n v="701"/>
    <s v="MACHALA"/>
    <n v="1"/>
    <n v="0"/>
    <n v="0"/>
    <s v="CAPITAL"/>
    <x v="5"/>
    <n v="840107"/>
    <s v="EQUIPOS SISTEMAS Y PAQUETES INFORMÁTICOS"/>
    <n v="0"/>
    <n v="6300"/>
    <n v="0"/>
    <n v="0"/>
    <n v="0"/>
    <n v="0"/>
    <n v="0"/>
    <n v="0"/>
    <n v="0"/>
    <n v="0"/>
    <n v="0"/>
    <n v="0"/>
    <n v="6300"/>
    <n v="0"/>
    <n v="6300"/>
    <s v="OK"/>
    <n v="0"/>
    <n v="630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5"/>
    <s v="TECNOLOGÍA"/>
    <s v="ADQUISICIÓN DE LICENCIA PARA ALMACENAMIENTO DE 60 PUNTOS DE VÍDEO VIGILANCIA DE LA COORDINACIÓN ZONAL 7 SERVICIO INTEGRADO DE SEGURIDAD ECU 911, CENTRO OPERATIVO LOCAL LOJA Y SALA OPERATIVA DE ZAMORA CHINCHIPE"/>
    <n v="1"/>
    <x v="5"/>
    <n v="55"/>
    <n v="0"/>
    <n v="3"/>
    <n v="701"/>
    <s v="MACHALA"/>
    <n v="1"/>
    <n v="0"/>
    <n v="0"/>
    <s v="CAPITAL"/>
    <x v="5"/>
    <n v="840107"/>
    <s v="EQUIPOS SISTEMAS Y PAQUETES INFORMÁTICOS"/>
    <n v="0"/>
    <n v="6300"/>
    <n v="0"/>
    <n v="0"/>
    <n v="0"/>
    <n v="0"/>
    <n v="0"/>
    <n v="0"/>
    <n v="0"/>
    <n v="0"/>
    <n v="0"/>
    <n v="0"/>
    <n v="6300"/>
    <n v="0"/>
    <n v="6300"/>
    <s v="OK"/>
    <n v="0"/>
    <n v="630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5"/>
    <s v="TECNOLOGÍA"/>
    <s v="ADQUISICIÓN DE TABLETS PARA LAS TRES ÁREAS OPERATIVAS DEL CENTRO ZONAL MACHALA Y CENTRO OPERATIVO LOCAL LOJA"/>
    <n v="1"/>
    <x v="5"/>
    <n v="55"/>
    <n v="0"/>
    <n v="3"/>
    <n v="701"/>
    <s v="MACHALA"/>
    <n v="1"/>
    <n v="0"/>
    <n v="0"/>
    <s v="CAPITAL"/>
    <x v="5"/>
    <n v="840107"/>
    <s v="EQUIPOS SISTEMAS Y PAQUETES INFORMÁTICOS"/>
    <n v="0"/>
    <n v="2500"/>
    <n v="0"/>
    <n v="0"/>
    <n v="0"/>
    <n v="0"/>
    <n v="0"/>
    <n v="0"/>
    <n v="0"/>
    <n v="0"/>
    <n v="0"/>
    <n v="0"/>
    <n v="2500"/>
    <n v="0"/>
    <n v="2500"/>
    <s v="OK"/>
    <n v="0"/>
    <n v="250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5"/>
    <s v="TECNOLOGÍA"/>
    <s v="ADQUISICIÓN DE EQUIPOS PORTÁTILES PARA LA COORDINACIÓN ZONAL 7 DEL ECU 911"/>
    <n v="1"/>
    <x v="5"/>
    <n v="55"/>
    <n v="0"/>
    <n v="3"/>
    <n v="701"/>
    <s v="MACHALA"/>
    <n v="1"/>
    <n v="0"/>
    <n v="0"/>
    <s v="CAPITAL"/>
    <x v="5"/>
    <n v="840107"/>
    <s v="EQUIPOS SISTEMAS Y PAQUETES INFORMÁTICOS"/>
    <n v="0"/>
    <n v="35405"/>
    <n v="0"/>
    <n v="0"/>
    <n v="0"/>
    <n v="0"/>
    <n v="0"/>
    <n v="0"/>
    <n v="0"/>
    <n v="0"/>
    <n v="0"/>
    <n v="0"/>
    <n v="35405"/>
    <n v="0"/>
    <n v="35405"/>
    <s v="OK"/>
    <n v="29680"/>
    <n v="5725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0"/>
    <s v="ADMINISTRACIÓN CENTRAL"/>
    <s v="CANCELACIÓN DE REMUNERACIONES Y BENEFICIOS SOCIALES"/>
    <n v="1"/>
    <x v="5"/>
    <n v="1"/>
    <n v="0"/>
    <s v="001"/>
    <n v="1100"/>
    <s v="LOJA"/>
    <n v="1"/>
    <n v="0"/>
    <n v="0"/>
    <s v="CORRIENTE"/>
    <x v="3"/>
    <n v="510105"/>
    <s v="REMUNERACIONES UNIFICADAS"/>
    <n v="129552"/>
    <n v="129552"/>
    <n v="10796"/>
    <n v="10796"/>
    <n v="10796"/>
    <n v="10796"/>
    <n v="10796"/>
    <n v="10796"/>
    <n v="10796"/>
    <n v="10796"/>
    <n v="10796"/>
    <n v="10796"/>
    <n v="10796"/>
    <n v="10796"/>
    <n v="129552"/>
    <s v="OK"/>
    <n v="0"/>
    <n v="129552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0"/>
    <s v="ADMINISTRACIÓN CENTRAL"/>
    <s v="CANCELACIÓN DE REMUNERACIONES Y BENEFICIOS SOCIALES"/>
    <n v="1"/>
    <x v="5"/>
    <n v="1"/>
    <n v="0"/>
    <s v="001"/>
    <n v="1100"/>
    <s v="LOJA"/>
    <n v="1"/>
    <n v="0"/>
    <n v="0"/>
    <s v="CORRIENTE"/>
    <x v="3"/>
    <n v="510106"/>
    <s v="SALARIOS UNIFICADOS"/>
    <n v="35760"/>
    <n v="35760"/>
    <n v="2980"/>
    <n v="2980"/>
    <n v="2980"/>
    <n v="2980"/>
    <n v="2980"/>
    <n v="2980"/>
    <n v="2980"/>
    <n v="2980"/>
    <n v="2980"/>
    <n v="2980"/>
    <n v="2980"/>
    <n v="2980"/>
    <n v="35760"/>
    <s v="OK"/>
    <n v="0"/>
    <n v="3576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0"/>
    <s v="ADMINISTRACIÓN CENTRAL"/>
    <s v="CANCELACIÓN DE REMUNERACIONES Y BENEFICIOS SOCIALES"/>
    <n v="1"/>
    <x v="5"/>
    <n v="1"/>
    <n v="0"/>
    <s v="001"/>
    <n v="1100"/>
    <s v="LOJA"/>
    <n v="1"/>
    <n v="0"/>
    <n v="0"/>
    <s v="CORRIENTE"/>
    <x v="3"/>
    <n v="510203"/>
    <s v="DÉCIMO TERCER SUELDO"/>
    <n v="13776"/>
    <n v="13776"/>
    <n v="0"/>
    <n v="0"/>
    <n v="0"/>
    <n v="0"/>
    <n v="0"/>
    <n v="0"/>
    <n v="0"/>
    <n v="0"/>
    <n v="0"/>
    <n v="0"/>
    <n v="0"/>
    <n v="13776"/>
    <n v="13776"/>
    <s v="OK"/>
    <n v="0"/>
    <n v="13776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0"/>
    <s v="ADMINISTRACIÓN CENTRAL"/>
    <s v="CANCELACIÓN DE REMUNERACIONES Y BENEFICIOS SOCIALES"/>
    <n v="1"/>
    <x v="5"/>
    <n v="1"/>
    <n v="0"/>
    <s v="001"/>
    <n v="1100"/>
    <s v="LOJA"/>
    <n v="1"/>
    <n v="0"/>
    <n v="0"/>
    <s v="CORRIENTE"/>
    <x v="3"/>
    <n v="510204"/>
    <s v="DÉCIMO CUARTO SUELDO"/>
    <n v="5950"/>
    <n v="6272.9"/>
    <n v="0"/>
    <n v="0"/>
    <n v="0"/>
    <n v="0"/>
    <n v="0"/>
    <n v="0"/>
    <n v="0"/>
    <n v="6272.9"/>
    <n v="0"/>
    <n v="0"/>
    <n v="0"/>
    <n v="0"/>
    <n v="6272.9"/>
    <s v="OK"/>
    <n v="0"/>
    <n v="6272.9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0"/>
    <s v="ADMINISTRACIÓN CENTRAL"/>
    <s v="CANCELACIÓN DE REMUNERACIONES Y BENEFICIOS SOCIALES"/>
    <n v="1"/>
    <x v="5"/>
    <n v="1"/>
    <n v="0"/>
    <s v="001"/>
    <n v="1100"/>
    <s v="LOJA"/>
    <n v="1"/>
    <n v="0"/>
    <n v="0"/>
    <s v="CORRIENTE"/>
    <x v="3"/>
    <n v="510509"/>
    <s v="HORAS EXTRAORDINARIAS Y SUPLEMENTARIAS"/>
    <n v="954"/>
    <n v="954"/>
    <n v="80"/>
    <n v="80"/>
    <n v="80"/>
    <n v="80"/>
    <n v="80"/>
    <n v="80"/>
    <n v="80"/>
    <n v="80"/>
    <n v="80"/>
    <n v="80"/>
    <n v="80"/>
    <n v="74"/>
    <n v="954"/>
    <s v="OK"/>
    <n v="0"/>
    <n v="954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0"/>
    <s v="ADMINISTRACIÓN CENTRAL"/>
    <s v="CANCELACIÓN DE REMUNERACIONES Y BENEFICIOS SOCIALES"/>
    <n v="1"/>
    <x v="5"/>
    <n v="1"/>
    <n v="0"/>
    <s v="001"/>
    <n v="1100"/>
    <s v="LOJA"/>
    <n v="1"/>
    <n v="0"/>
    <n v="0"/>
    <s v="CORRIENTE"/>
    <x v="3"/>
    <n v="510601"/>
    <s v="APORTE PATRONAL"/>
    <n v="16847"/>
    <n v="17019.079999999998"/>
    <n v="1403"/>
    <n v="1404"/>
    <n v="1404"/>
    <n v="1404"/>
    <n v="1404"/>
    <n v="1404"/>
    <n v="1404"/>
    <n v="1404"/>
    <n v="1404"/>
    <n v="1404"/>
    <n v="1404"/>
    <n v="1576.08"/>
    <n v="17019.080000000002"/>
    <s v="OK"/>
    <n v="0"/>
    <n v="17019.079999999998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0"/>
    <s v="ADMINISTRACIÓN CENTRAL"/>
    <s v="CANCELACIÓN DE REMUNERACIONES Y BENEFICIOS SOCIALES"/>
    <n v="1"/>
    <x v="5"/>
    <n v="1"/>
    <n v="0"/>
    <s v="001"/>
    <n v="1100"/>
    <s v="LOJA"/>
    <n v="1"/>
    <n v="0"/>
    <n v="0"/>
    <s v="CORRIENTE"/>
    <x v="3"/>
    <n v="510602"/>
    <s v="FONDO DE RESERVA"/>
    <n v="13771"/>
    <n v="13919.93"/>
    <n v="1148.08"/>
    <n v="1148.08"/>
    <n v="1148.08"/>
    <n v="1148.08"/>
    <n v="1148.08"/>
    <n v="1148.08"/>
    <n v="1148.08"/>
    <n v="1148.08"/>
    <n v="1148.08"/>
    <n v="1148.08"/>
    <n v="1148.08"/>
    <n v="1291.05"/>
    <n v="13919.929999999998"/>
    <s v="OK"/>
    <n v="0"/>
    <n v="13919.93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7"/>
    <s v="OPERACIONES"/>
    <s v="CANCELACIÓN DE REMUNERACIONES Y BENEFICIOS SOCIALES"/>
    <n v="1"/>
    <x v="5"/>
    <n v="55"/>
    <n v="0"/>
    <s v="002"/>
    <n v="1100"/>
    <s v="LOJA"/>
    <n v="1"/>
    <n v="0"/>
    <n v="0"/>
    <s v="CORRIENTE"/>
    <x v="3"/>
    <n v="510105"/>
    <s v="REMUNERACIONES UNIFICADAS"/>
    <n v="521748"/>
    <n v="520934.31"/>
    <n v="43479"/>
    <n v="43479"/>
    <n v="43479"/>
    <n v="43479"/>
    <n v="43479"/>
    <n v="43479"/>
    <n v="43479"/>
    <n v="43479"/>
    <n v="43479"/>
    <n v="43479"/>
    <n v="43479"/>
    <n v="42665.31"/>
    <n v="520934.31"/>
    <s v="OK"/>
    <n v="0"/>
    <n v="520934.31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7"/>
    <s v="OPERACIONES"/>
    <s v="CANCELACIÓN DE REMUNERACIONES Y BENEFICIOS SOCIALES"/>
    <n v="1"/>
    <x v="5"/>
    <n v="55"/>
    <n v="0"/>
    <s v="002"/>
    <n v="1100"/>
    <s v="LOJA"/>
    <n v="1"/>
    <n v="0"/>
    <n v="0"/>
    <s v="CORRIENTE"/>
    <x v="3"/>
    <n v="510203"/>
    <s v="DÉCIMO TERCER SUELDO"/>
    <n v="47623"/>
    <n v="46889.99"/>
    <n v="0"/>
    <n v="0"/>
    <n v="0"/>
    <n v="0"/>
    <n v="0"/>
    <n v="0"/>
    <n v="0"/>
    <n v="0"/>
    <n v="0"/>
    <n v="0"/>
    <n v="0"/>
    <n v="46889.99"/>
    <n v="46889.99"/>
    <s v="OK"/>
    <n v="0"/>
    <n v="46889.99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7"/>
    <s v="OPERACIONES"/>
    <s v="CANCELACIÓN DE REMUNERACIONES Y BENEFICIOS SOCIALES"/>
    <n v="1"/>
    <x v="5"/>
    <n v="55"/>
    <n v="0"/>
    <s v="002"/>
    <n v="1100"/>
    <s v="LOJA"/>
    <n v="1"/>
    <n v="0"/>
    <n v="0"/>
    <s v="CORRIENTE"/>
    <x v="3"/>
    <n v="510204"/>
    <s v="DÉCIMO CUARTO SUELDO"/>
    <n v="24650"/>
    <n v="25823.75"/>
    <n v="0"/>
    <n v="0"/>
    <n v="0"/>
    <n v="0"/>
    <n v="0"/>
    <n v="0"/>
    <n v="0"/>
    <n v="25823.75"/>
    <n v="0"/>
    <n v="0"/>
    <n v="0"/>
    <n v="0"/>
    <n v="25823.75"/>
    <s v="OK"/>
    <n v="0"/>
    <n v="25823.75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7"/>
    <s v="OPERACIONES"/>
    <s v="CANCELACIÓN DE REMUNERACIONES Y BENEFICIOS SOCIALES"/>
    <n v="1"/>
    <x v="5"/>
    <n v="55"/>
    <n v="0"/>
    <s v="002"/>
    <n v="1100"/>
    <s v="LOJA"/>
    <n v="1"/>
    <n v="0"/>
    <n v="0"/>
    <s v="CORRIENTE"/>
    <x v="3"/>
    <n v="510510"/>
    <s v="SERVICIOS PERSONALES POR CONTRATO"/>
    <n v="49728"/>
    <n v="40932"/>
    <n v="4144"/>
    <n v="3368.18"/>
    <n v="3368.18"/>
    <n v="3368.18"/>
    <n v="3368.18"/>
    <n v="3368.18"/>
    <n v="3368.18"/>
    <n v="3368.18"/>
    <n v="3368.18"/>
    <n v="3368.18"/>
    <n v="3368.18"/>
    <n v="3106.2"/>
    <n v="40932"/>
    <s v="OK"/>
    <n v="0"/>
    <n v="40932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7"/>
    <s v="OPERACIONES"/>
    <s v="CANCELACIÓN DE REMUNERACIONES Y BENEFICIOS SOCIALES"/>
    <n v="1"/>
    <x v="5"/>
    <n v="55"/>
    <n v="0"/>
    <n v="2"/>
    <n v="1100"/>
    <s v="LOJA"/>
    <n v="1"/>
    <n v="0"/>
    <n v="0"/>
    <s v="CORRIENTE"/>
    <x v="3"/>
    <n v="510512"/>
    <s v="SUBROGACIÓN "/>
    <n v="0"/>
    <n v="553.6"/>
    <n v="0"/>
    <n v="0"/>
    <n v="0"/>
    <n v="0"/>
    <n v="0"/>
    <n v="0"/>
    <n v="0"/>
    <n v="553.6"/>
    <n v="0"/>
    <n v="0"/>
    <n v="0"/>
    <n v="0"/>
    <n v="553.6"/>
    <s v="OK"/>
    <n v="0"/>
    <n v="553.6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7"/>
    <s v="OPERACIONES"/>
    <s v="CANCELACIÓN DE REMUNERACIONES Y BENEFICIOS SOCIALES"/>
    <n v="1"/>
    <x v="5"/>
    <n v="55"/>
    <n v="0"/>
    <s v="002"/>
    <n v="1100"/>
    <s v="LOJA"/>
    <n v="1"/>
    <n v="0"/>
    <n v="0"/>
    <s v="CORRIENTE"/>
    <x v="3"/>
    <n v="510601"/>
    <s v="APORTE PATRONAL"/>
    <n v="55148"/>
    <n v="54310.26"/>
    <n v="4596"/>
    <n v="4596"/>
    <n v="4596"/>
    <n v="4596"/>
    <n v="4596"/>
    <n v="4596"/>
    <n v="4596"/>
    <n v="4596"/>
    <n v="4596"/>
    <n v="4596"/>
    <n v="4596"/>
    <n v="3754.26"/>
    <n v="54310.26"/>
    <s v="OK"/>
    <n v="0"/>
    <n v="54310.26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7"/>
    <s v="OPERACIONES"/>
    <s v="CANCELACIÓN DE REMUNERACIONES Y BENEFICIOS SOCIALES"/>
    <n v="1"/>
    <x v="5"/>
    <n v="55"/>
    <n v="0"/>
    <s v="002"/>
    <n v="1100"/>
    <s v="LOJA"/>
    <n v="1"/>
    <n v="0"/>
    <n v="0"/>
    <s v="CORRIENTE"/>
    <x v="3"/>
    <n v="510602"/>
    <s v="FONDO DE RESERVA"/>
    <n v="39322"/>
    <n v="44181.41"/>
    <n v="3916.66"/>
    <n v="3916.66"/>
    <n v="3916.66"/>
    <n v="3916.66"/>
    <n v="3916.66"/>
    <n v="3916.66"/>
    <n v="3916.66"/>
    <n v="3916.66"/>
    <n v="3916.66"/>
    <n v="3916.66"/>
    <n v="3916.66"/>
    <n v="1098.1500000000001"/>
    <n v="44181.410000000011"/>
    <s v="OK"/>
    <n v="0"/>
    <n v="44181.41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7"/>
    <s v="OPERACIONES"/>
    <s v="CANCELACIÓN POR COMPENSACIÓN POR VACACIONES NO GOZADAS POR CESACIÓN DE FUNCIONES"/>
    <n v="1"/>
    <x v="5"/>
    <n v="55"/>
    <n v="0"/>
    <s v="002"/>
    <n v="1100"/>
    <s v="LOJA"/>
    <n v="1"/>
    <n v="0"/>
    <n v="0"/>
    <s v="CORRIENTE"/>
    <x v="3"/>
    <n v="510707"/>
    <s v="COMPENSACIÓN POR VACACIONES NO GOZADAS POR CESACIÓN DE FUNCIONES"/>
    <n v="0"/>
    <n v="813.69"/>
    <n v="0"/>
    <n v="0"/>
    <n v="0"/>
    <n v="0"/>
    <n v="452.51"/>
    <n v="0"/>
    <n v="0"/>
    <n v="361.18"/>
    <n v="0"/>
    <n v="0"/>
    <n v="0"/>
    <n v="0"/>
    <n v="813.69"/>
    <s v="OK"/>
    <n v="0"/>
    <n v="813.69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2"/>
    <s v="TECNOLOGÍA"/>
    <s v="CANCELACIÓN DE REMUNERACIONES Y BENEFICIOS SOCIALES"/>
    <n v="1"/>
    <x v="5"/>
    <n v="55"/>
    <n v="0"/>
    <n v="3"/>
    <n v="1100"/>
    <s v="LOJA"/>
    <n v="1"/>
    <n v="0"/>
    <n v="0"/>
    <s v="CORRIENTE"/>
    <x v="3"/>
    <n v="510105"/>
    <s v="REMUNERACIONES UNIFICADAS"/>
    <n v="63744"/>
    <n v="63744"/>
    <n v="5312"/>
    <n v="5312"/>
    <n v="5312"/>
    <n v="5312"/>
    <n v="5312"/>
    <n v="5312"/>
    <n v="5312"/>
    <n v="5312"/>
    <n v="5312"/>
    <n v="5312"/>
    <n v="5312"/>
    <n v="5312"/>
    <n v="63744"/>
    <s v="OK"/>
    <n v="0"/>
    <n v="63744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2"/>
    <s v="TECNOLOGÍA"/>
    <s v="CANCELACIÓN DE REMUNERACIONES Y BENEFICIOS SOCIALES"/>
    <n v="1"/>
    <x v="5"/>
    <n v="55"/>
    <n v="0"/>
    <n v="3"/>
    <n v="1100"/>
    <s v="LOJA"/>
    <n v="1"/>
    <n v="0"/>
    <n v="0"/>
    <s v="CORRIENTE"/>
    <x v="3"/>
    <n v="510203"/>
    <s v="DÉCIMO TERCER SUELDO"/>
    <n v="5312"/>
    <n v="5312"/>
    <n v="0"/>
    <n v="0"/>
    <n v="0"/>
    <n v="0"/>
    <n v="0"/>
    <n v="0"/>
    <n v="0"/>
    <n v="0"/>
    <n v="0"/>
    <n v="0"/>
    <n v="0"/>
    <n v="5312"/>
    <n v="5312"/>
    <s v="OK"/>
    <n v="0"/>
    <n v="5312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2"/>
    <s v="TECNOLOGÍA"/>
    <s v="CANCELACIÓN DE REMUNERACIONES Y BENEFICIOS SOCIALES"/>
    <n v="1"/>
    <x v="5"/>
    <n v="55"/>
    <n v="0"/>
    <n v="3"/>
    <n v="1100"/>
    <s v="LOJA"/>
    <n v="1"/>
    <n v="0"/>
    <n v="0"/>
    <s v="CORRIENTE"/>
    <x v="3"/>
    <n v="510204"/>
    <s v="DÉCIMO CUARTO SUELDO"/>
    <n v="1700"/>
    <n v="1772.9"/>
    <n v="0"/>
    <n v="0"/>
    <n v="0"/>
    <n v="0"/>
    <n v="0"/>
    <n v="0"/>
    <n v="0"/>
    <n v="1772.9"/>
    <n v="0"/>
    <n v="0"/>
    <n v="0"/>
    <n v="0"/>
    <n v="1772.9"/>
    <s v="OK"/>
    <n v="0"/>
    <n v="1772.9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2"/>
    <s v="TECNOLOGÍA"/>
    <s v="CANCELACIÓN DE REMUNERACIONES Y BENEFICIOS SOCIALES"/>
    <n v="1"/>
    <x v="5"/>
    <n v="55"/>
    <n v="0"/>
    <n v="3"/>
    <n v="1100"/>
    <s v="LOJA"/>
    <n v="1"/>
    <n v="0"/>
    <n v="0"/>
    <s v="CORRIENTE"/>
    <x v="3"/>
    <n v="510401"/>
    <s v="POR CARGAS FAMILIARES"/>
    <n v="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2"/>
    <s v="TECNOLOGÍA"/>
    <s v="CANCELACIÓN DE REMUNERACIONES Y BENEFICIOS SOCIALES"/>
    <n v="1"/>
    <x v="5"/>
    <n v="55"/>
    <n v="0"/>
    <n v="3"/>
    <n v="1100"/>
    <s v="LOJA"/>
    <n v="1"/>
    <n v="0"/>
    <n v="0"/>
    <s v="CORRIENTE"/>
    <x v="3"/>
    <n v="510408"/>
    <s v="SUBSIDIO DE ANTIGUEDAD"/>
    <n v="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2"/>
    <s v="TECNOLOGÍA"/>
    <s v="CANCELACIÓN DE REMUNERACIONES Y BENEFICIOS SOCIALES"/>
    <n v="1"/>
    <x v="5"/>
    <n v="55"/>
    <n v="0"/>
    <n v="3"/>
    <n v="1100"/>
    <s v="LOJA"/>
    <n v="1"/>
    <n v="0"/>
    <n v="0"/>
    <s v="CORRIENTE"/>
    <x v="3"/>
    <n v="510512"/>
    <s v="SUBROGACIÓN "/>
    <n v="692"/>
    <n v="230.67000000000002"/>
    <n v="12.21"/>
    <n v="12.21"/>
    <n v="12.21"/>
    <n v="12.21"/>
    <n v="12.21"/>
    <n v="12.21"/>
    <n v="61.09"/>
    <n v="61.09"/>
    <n v="12.21"/>
    <n v="12.21"/>
    <n v="5.4"/>
    <n v="5.41"/>
    <n v="230.67000000000004"/>
    <s v="OK"/>
    <n v="0"/>
    <n v="230.67000000000002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2"/>
    <s v="TECNOLOGÍA"/>
    <s v="CANCELACIÓN DE REMUNERACIONES Y BENEFICIOS SOCIALES"/>
    <n v="1"/>
    <x v="5"/>
    <n v="55"/>
    <n v="0"/>
    <n v="3"/>
    <n v="1100"/>
    <s v="LOJA"/>
    <n v="1"/>
    <n v="0"/>
    <n v="0"/>
    <s v="CORRIENTE"/>
    <x v="3"/>
    <n v="510601"/>
    <s v="APORTE PATRONAL"/>
    <n v="6152"/>
    <n v="6161.3"/>
    <n v="512"/>
    <n v="512"/>
    <n v="512"/>
    <n v="512"/>
    <n v="513"/>
    <n v="513"/>
    <n v="513"/>
    <n v="513"/>
    <n v="513"/>
    <n v="513"/>
    <n v="513"/>
    <n v="522.29999999999995"/>
    <n v="6161.3"/>
    <s v="OK"/>
    <n v="0"/>
    <n v="6161.3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2"/>
    <s v="TECNOLOGÍA"/>
    <s v="CANCELACIÓN DE REMUNERACIONES Y BENEFICIOS SOCIALES"/>
    <n v="1"/>
    <x v="5"/>
    <n v="55"/>
    <n v="0"/>
    <n v="3"/>
    <n v="1100"/>
    <s v="LOJA"/>
    <n v="1"/>
    <n v="0"/>
    <n v="0"/>
    <s v="CORRIENTE"/>
    <x v="3"/>
    <n v="510602"/>
    <s v="FONDO DE RESERVA"/>
    <n v="5316"/>
    <n v="5309.88"/>
    <n v="448.5"/>
    <n v="448.5"/>
    <n v="448.5"/>
    <n v="448.5"/>
    <n v="448.5"/>
    <n v="448.5"/>
    <n v="448.5"/>
    <n v="448.5"/>
    <n v="448.5"/>
    <n v="448.5"/>
    <n v="448.5"/>
    <n v="376.38"/>
    <n v="5309.88"/>
    <s v="OK"/>
    <n v="0"/>
    <n v="5309.88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0"/>
    <s v="ADMINISTRACIÓN CENTRAL"/>
    <s v="PAGO DE RUBROS POR CONCEPTO DE CAMBIO DE MEDIDOR DE AGUA POTABLE (SERVICIO DE CONEXIÓN Y RECONEXIÓN, MATERIALES Y ACCESORIOS), EMITIDOS MEDIANTE TÍTULOS DE CRÉDITO POR EL GAD MINUCIPIO DE LOJA A NOMBRE DE LA COORDINACIÓN ZONAL 7 SERVICIO INTEGRADO DE SEGURIDAD ECU 911 CORRESPODNIENTE AL CENTRO OPERATIVO LOCAL LOJA"/>
    <n v="1"/>
    <x v="5"/>
    <n v="1"/>
    <n v="0"/>
    <n v="1"/>
    <n v="1101"/>
    <s v="LOJA"/>
    <n v="1"/>
    <n v="0"/>
    <n v="0"/>
    <s v="CORRIENTE"/>
    <x v="0"/>
    <n v="530101"/>
    <s v="AGUA POTABLE"/>
    <n v="0"/>
    <n v="153.11000000000001"/>
    <n v="0"/>
    <n v="0"/>
    <n v="0"/>
    <n v="0"/>
    <n v="0"/>
    <n v="0"/>
    <n v="0"/>
    <n v="153.11000000000001"/>
    <n v="0"/>
    <n v="0"/>
    <n v="0"/>
    <n v="0"/>
    <n v="153.11000000000001"/>
    <s v="OK"/>
    <n v="153.11000000000001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0"/>
    <s v="ADMINISTRACIÓN CENTRAL"/>
    <s v="CANCELACIÓN MENSUAL POR CONSUMO DE AGUA POTABLE"/>
    <n v="1"/>
    <x v="5"/>
    <n v="1"/>
    <n v="0"/>
    <n v="1"/>
    <n v="1101"/>
    <s v="LOJA"/>
    <n v="1"/>
    <n v="0"/>
    <n v="0"/>
    <s v="CORRIENTE"/>
    <x v="0"/>
    <n v="530101"/>
    <s v="AGUA POTABLE"/>
    <n v="1440"/>
    <n v="1586.8899999999999"/>
    <n v="120"/>
    <n v="120"/>
    <n v="120"/>
    <n v="120"/>
    <n v="120"/>
    <n v="120"/>
    <n v="120"/>
    <n v="120"/>
    <n v="81.72"/>
    <n v="81.72"/>
    <n v="231.72"/>
    <n v="231.73"/>
    <n v="1586.89"/>
    <s v="OK"/>
    <n v="1286.8899999999999"/>
    <n v="30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0"/>
    <s v="ADMINISTRACIÓN CENTRAL"/>
    <s v="CANCELACIÓN MENSUAL POR CONSUMO DE ENERGÍA ELÉCTRICA"/>
    <n v="1"/>
    <x v="5"/>
    <n v="1"/>
    <n v="0"/>
    <n v="1"/>
    <n v="1101"/>
    <s v="LOJA"/>
    <n v="1"/>
    <n v="0"/>
    <n v="0"/>
    <s v="CORRIENTE"/>
    <x v="0"/>
    <n v="530104"/>
    <s v="ENERGÍA ELÉCTRICA"/>
    <n v="6000"/>
    <n v="6000"/>
    <n v="500"/>
    <n v="500"/>
    <n v="500"/>
    <n v="500"/>
    <n v="500"/>
    <n v="500"/>
    <n v="500"/>
    <n v="500"/>
    <n v="500"/>
    <n v="500"/>
    <n v="500"/>
    <n v="500"/>
    <n v="6000"/>
    <s v="OK"/>
    <n v="600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0"/>
    <s v="ADMINISTRACIÓN CENTRAL"/>
    <s v="CANCELACIÓN MENSUAL POR SERVICIO DE TRANSPORTE DEL PERSONAL DE LA GESTIÓN LOCAL DE OPERACIONES"/>
    <n v="1"/>
    <x v="5"/>
    <n v="1"/>
    <n v="0"/>
    <n v="1"/>
    <n v="1101"/>
    <s v="LOJA"/>
    <n v="1"/>
    <n v="0"/>
    <n v="0"/>
    <s v="CORRIENTE"/>
    <x v="0"/>
    <n v="530201"/>
    <s v="TRANSPORTE DE PERSONAL"/>
    <n v="37200"/>
    <n v="35470.189999999995"/>
    <n v="3100"/>
    <n v="3148.51"/>
    <n v="3148.51"/>
    <n v="3148.51"/>
    <n v="3148.51"/>
    <n v="3148.51"/>
    <n v="3148.51"/>
    <n v="3148.51"/>
    <n v="3148.51"/>
    <n v="3148.51"/>
    <n v="3148.51"/>
    <n v="885.09"/>
    <n v="35470.19000000001"/>
    <s v="OK"/>
    <n v="35469.68"/>
    <n v="0.50999999999476131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0"/>
    <s v="ADMINISTRACIÓN CENTRAL"/>
    <s v="PAGO POR SERVICIO DE RECARGA DE EXTINTORES INSTALADOS EN EL CENTRO OPERATIVO LOCAL LOJA Y SALA OPERATIVA DE ZAMORA CHINCHIPE"/>
    <n v="1"/>
    <x v="5"/>
    <n v="1"/>
    <n v="0"/>
    <n v="1"/>
    <n v="1101"/>
    <s v="LOJA"/>
    <n v="1"/>
    <n v="0"/>
    <n v="0"/>
    <s v="CORRIENTE"/>
    <x v="0"/>
    <n v="530203"/>
    <s v="ALMACENAMIENTO, EMBALAJE, DESEMBALAJE, ENVASE, DESENVASE Y RECARGA DE EXTINTORES"/>
    <n v="500"/>
    <n v="500"/>
    <n v="0"/>
    <n v="0"/>
    <n v="0"/>
    <n v="0"/>
    <n v="0"/>
    <n v="0"/>
    <n v="0"/>
    <n v="0"/>
    <n v="0"/>
    <n v="0"/>
    <n v="500"/>
    <n v="0"/>
    <n v="500"/>
    <s v="OK"/>
    <n v="0"/>
    <n v="50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0"/>
    <s v="ADMINISTRACIÓN CENTRAL"/>
    <s v="PAGO POR CONTRATACIÓN DE SERVICIO DE LIMPIEZA INTERIORES Y EXTERIORES DE LAS INSTALACIONES DEL CENTRO OPERATIVO LOCAL LOJA"/>
    <n v="1"/>
    <x v="5"/>
    <n v="1"/>
    <n v="0"/>
    <n v="1"/>
    <n v="1101"/>
    <s v="LOJA"/>
    <n v="1"/>
    <n v="0"/>
    <n v="0"/>
    <s v="CORRIENTE"/>
    <x v="0"/>
    <n v="530209"/>
    <s v="SERVICIOS DE ASEO, LAVADO DE VESTIMENTA DE TRABAJO, FUMIGACIÓN, DESINFECCIÓN, LIMPIEZA DE INSTALACIONES, MANEJO DE DESECHOS CONTAMINADOS, RECUPERACIÓN Y CLASIFICACIÓN DE MATERIALES RECICLABLES"/>
    <n v="36976"/>
    <n v="29397.759999999998"/>
    <n v="3082"/>
    <n v="3082"/>
    <n v="3082"/>
    <n v="3082"/>
    <n v="3082"/>
    <n v="3082"/>
    <n v="2212"/>
    <n v="2212"/>
    <n v="2212"/>
    <n v="2212"/>
    <n v="1500"/>
    <n v="557.76"/>
    <n v="29397.759999999998"/>
    <s v="OK"/>
    <n v="29396.52"/>
    <n v="1.2399999999979627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0"/>
    <s v="ADMINISTRACIÓN CENTRAL"/>
    <s v="CANCELACIÓN POR SERVICIO DE GUARDERÍA PARA LOS HIJOS MENORES DE 5 AÑOS DE LOS SERVIDORES Y TRABAJADORES DE LA COORDINACIÓN ZONAL 7 SERVICIO INTEGRADO DE SEGURIDAD ECU 911 CENTRO OPERATIVO LOCAL LOJA"/>
    <n v="1"/>
    <x v="5"/>
    <n v="1"/>
    <n v="0"/>
    <n v="1"/>
    <n v="1101"/>
    <s v="LOJA"/>
    <n v="1"/>
    <n v="0"/>
    <n v="0"/>
    <s v="CORRIENTE"/>
    <x v="0"/>
    <n v="530210"/>
    <s v="SERVICIO DE GUARDERÍA"/>
    <n v="0"/>
    <n v="4100"/>
    <n v="0"/>
    <n v="0"/>
    <n v="0"/>
    <n v="0"/>
    <n v="0"/>
    <n v="0"/>
    <n v="0"/>
    <n v="0"/>
    <n v="0"/>
    <n v="0"/>
    <n v="0"/>
    <n v="4100"/>
    <n v="4100"/>
    <s v="OK"/>
    <n v="0"/>
    <n v="410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0"/>
    <s v="ADMINISTRACIÓN CENTRAL"/>
    <s v="CANCELACIÓN POR EL SERVICIO DE RASTREO SATELITAL GPS PARA EL PARQUE AUTOMOTOR DE LA COORDINACIÓN ZONAL 7 SERVICIO INTEGRADO DE SEGURIDAD ECU 911"/>
    <n v="1"/>
    <x v="5"/>
    <n v="1"/>
    <n v="0"/>
    <n v="1"/>
    <n v="1101"/>
    <s v="LOJA"/>
    <n v="1"/>
    <n v="0"/>
    <n v="0"/>
    <s v="CORRIENTE"/>
    <x v="0"/>
    <n v="530246"/>
    <s v="SERVICIOS DE IDENTIFICACIÓN, MARCACIÓN, AUTENTIFICACIÓN, RASTREO, MONITOREO, SEGUIMIENTO Y/O TRAZABILIDAD"/>
    <n v="0"/>
    <n v="300"/>
    <n v="0"/>
    <n v="0"/>
    <n v="0"/>
    <n v="0"/>
    <n v="0"/>
    <n v="0"/>
    <n v="60"/>
    <n v="100"/>
    <n v="35"/>
    <n v="35"/>
    <n v="35"/>
    <n v="35"/>
    <n v="300"/>
    <s v="OK"/>
    <n v="30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0"/>
    <s v="ADMINISTRACIÓN CENTRAL"/>
    <s v="PAGO POR CONSUMO DE COMBUSTIBLE PARA LOS VEHÍCULOS ASIGNADOS AL CENTRO OPERATIVO LOCAL LOJA"/>
    <n v="1"/>
    <x v="5"/>
    <n v="1"/>
    <n v="0"/>
    <n v="1"/>
    <n v="1101"/>
    <s v="LOJA"/>
    <n v="1"/>
    <n v="0"/>
    <n v="0"/>
    <s v="CORRIENTE"/>
    <x v="0"/>
    <n v="530255"/>
    <s v="COMBUSTIBLES"/>
    <n v="0"/>
    <n v="4049.67"/>
    <n v="0"/>
    <n v="379.54"/>
    <n v="379.54"/>
    <n v="379.54"/>
    <n v="379.54"/>
    <n v="379.54"/>
    <n v="379.54"/>
    <n v="379.54"/>
    <n v="379.54"/>
    <n v="379.54"/>
    <n v="379.54"/>
    <n v="254.27"/>
    <n v="4049.67"/>
    <s v="OK"/>
    <n v="3925"/>
    <n v="124.67000000000007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0"/>
    <s v="ADMINISTRACIÓN CENTRAL"/>
    <s v="CANCELACIÓN POR REEMBOLSO DE CONSUMO DE COMBUSTIBLE POR COMISIONES AUTORIZADAS AL PERSONAL DEL CENTRO OPERATIVO LOCAL LOJA"/>
    <n v="1"/>
    <x v="5"/>
    <n v="1"/>
    <n v="0"/>
    <n v="1"/>
    <n v="1101"/>
    <s v="LOJA"/>
    <n v="1"/>
    <n v="0"/>
    <n v="0"/>
    <s v="CORRIENTE"/>
    <x v="0"/>
    <n v="530255"/>
    <s v="COMBUSTIBLES"/>
    <n v="0"/>
    <n v="250"/>
    <n v="0"/>
    <n v="0"/>
    <n v="25"/>
    <n v="25"/>
    <n v="0"/>
    <n v="0"/>
    <n v="0"/>
    <n v="0"/>
    <n v="0"/>
    <n v="200"/>
    <n v="0"/>
    <n v="0"/>
    <n v="250"/>
    <s v="OK"/>
    <n v="249.34"/>
    <n v="0.65999999999999659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0"/>
    <s v="ADMINISTRACIÓN CENTRAL"/>
    <s v="CANCELACIÓN  DE PASAJES AL INTERIOR POR COMISIONES AUTORIZADAS AL PERSONAL DEL CENTRO OPERATIVO LOCAL LOJA"/>
    <n v="1"/>
    <x v="5"/>
    <n v="1"/>
    <n v="0"/>
    <n v="1"/>
    <n v="1101"/>
    <s v="LOJA"/>
    <n v="1"/>
    <n v="0"/>
    <n v="0"/>
    <s v="CORRIENTE"/>
    <x v="0"/>
    <n v="530301"/>
    <s v="PASAJES AL INTERIOR"/>
    <n v="500"/>
    <n v="1732"/>
    <n v="0"/>
    <n v="0"/>
    <n v="0"/>
    <n v="0"/>
    <n v="400"/>
    <n v="0"/>
    <n v="0"/>
    <n v="0"/>
    <n v="0"/>
    <n v="1332"/>
    <n v="0"/>
    <n v="0"/>
    <n v="1732"/>
    <s v="OK"/>
    <n v="748.25"/>
    <n v="983.75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0"/>
    <s v="ADMINISTRACIÓN CENTRAL"/>
    <s v="CANCELACIÓN DEL SERVICIO DE EMISIÓN DE PASAJES AÉREOS PARA LOS SERVIDORES Y FUNCIOANDRIOS DE LA COORDINACIÓN ZONAL 7 SERIVICIO INTEGRADO DE SEGURIDAD ECU 911"/>
    <n v="1"/>
    <x v="5"/>
    <n v="1"/>
    <n v="0"/>
    <n v="1"/>
    <n v="1101"/>
    <s v="LOJA"/>
    <n v="1"/>
    <n v="0"/>
    <n v="0"/>
    <s v="CORRIENTE"/>
    <x v="0"/>
    <n v="530301"/>
    <s v="PASAJES AL INTERIOR"/>
    <n v="0"/>
    <n v="983.75"/>
    <n v="0"/>
    <n v="0"/>
    <n v="0"/>
    <n v="0"/>
    <n v="0"/>
    <n v="0"/>
    <n v="0"/>
    <n v="0"/>
    <n v="0"/>
    <n v="983.75"/>
    <n v="0"/>
    <n v="0"/>
    <n v="983.75"/>
    <s v="OK"/>
    <n v="967.5"/>
    <n v="16.25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0"/>
    <s v="ADMINISTRACIÓN CENTRAL"/>
    <s v="CANCELACIÓN  DE PASAJES AL INTERIOR POR COMISIONES AUTORIZADAS AL PERSONAL DEL CENTRO OPERATIVO LOCAL LOJA"/>
    <n v="1"/>
    <x v="5"/>
    <n v="1"/>
    <n v="0"/>
    <n v="1"/>
    <n v="1101"/>
    <s v="LOJA"/>
    <n v="1"/>
    <n v="0"/>
    <n v="0"/>
    <s v="CORRIENTE"/>
    <x v="0"/>
    <n v="530303"/>
    <s v="VIÁTICOS Y SUBSISTENCIAS EN EL INTERIOR"/>
    <n v="700"/>
    <n v="7228"/>
    <n v="0"/>
    <n v="0"/>
    <n v="0"/>
    <n v="0"/>
    <n v="0"/>
    <n v="0"/>
    <n v="0"/>
    <n v="0"/>
    <n v="0"/>
    <n v="6508"/>
    <n v="720"/>
    <n v="0"/>
    <n v="7228"/>
    <s v="OK"/>
    <n v="7228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0"/>
    <s v="ADMINISTRACIÓN CENTRAL"/>
    <s v="CANCELACIÓN POR SERVICIO DE MANTENIMIENTO DEL ALUCOBOND Y GEOMEMBRANA DE PVC (TALUD DEL MURO), DE LA COORDINACIÓN ZONAL 7 SERVICIO INTEGRADO DE SEGURIDAD ECU 911 CENTRO OPERATIVO LOCAL LOJA"/>
    <n v="1"/>
    <x v="5"/>
    <n v="1"/>
    <n v="0"/>
    <n v="1"/>
    <n v="1101"/>
    <s v="LOJA"/>
    <n v="1"/>
    <n v="0"/>
    <n v="0"/>
    <s v="CORRIENTE"/>
    <x v="0"/>
    <n v="530402"/>
    <s v="EDIFICIOS, LOCALES, RESIDENCIAS Y CABLEADO ESTRUCTURADO (INSTALACIÓN, MANTENIMIENTO Y REPARACIÓN)"/>
    <n v="0"/>
    <n v="2600"/>
    <n v="0"/>
    <n v="0"/>
    <n v="0"/>
    <n v="0"/>
    <n v="0"/>
    <n v="0"/>
    <n v="0"/>
    <n v="0"/>
    <n v="0"/>
    <n v="0"/>
    <n v="2600"/>
    <n v="0"/>
    <n v="2600"/>
    <s v="OK"/>
    <n v="2307.1799999999998"/>
    <n v="292.82000000000016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0"/>
    <s v="ADMINISTRACIÓN CENTRAL"/>
    <s v="CANCELACIÓN POR EL SERVICIO DE ADECUACIÓN INTERNA DE LA SALA DE APOYO A LACTANCIA MATERNA PARA EL PERSONAL DE LA COORDINACIÓN ZONAL 7 SERVICIO INTEGRADO DE SEGURIDAD ECU 911 CENTRO OPERATIVO LOCALLOJA "/>
    <n v="1"/>
    <x v="5"/>
    <n v="1"/>
    <n v="0"/>
    <n v="1"/>
    <n v="1101"/>
    <s v="LOJA"/>
    <n v="1"/>
    <n v="0"/>
    <n v="0"/>
    <s v="CORRIENTE"/>
    <x v="0"/>
    <n v="530402"/>
    <s v="EDIFICIOS, LOCALES, RESIDENCIAS Y CABLEADO ESTRUCTURADO (INSTALACIÓN, MANTENIMIENTO Y REPARACIÓN)"/>
    <n v="0"/>
    <n v="1000"/>
    <n v="0"/>
    <n v="0"/>
    <n v="0"/>
    <n v="0"/>
    <n v="0"/>
    <n v="0"/>
    <n v="0"/>
    <n v="0"/>
    <n v="0"/>
    <n v="0"/>
    <n v="1000"/>
    <n v="0"/>
    <n v="1000"/>
    <s v="OK"/>
    <n v="640"/>
    <n v="36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0"/>
    <s v="ADMINISTRACIÓN CENTRAL"/>
    <s v="PAGO POR CONTRATACIÓN DE SERVICIO DE PINTURA EXTERIOR DEL CENTRO OPERATIVO LOCAL LOJA"/>
    <n v="1"/>
    <x v="5"/>
    <n v="1"/>
    <n v="0"/>
    <n v="1"/>
    <n v="1101"/>
    <s v="LOJA"/>
    <n v="1"/>
    <n v="0"/>
    <n v="0"/>
    <s v="CORRIENTE"/>
    <x v="0"/>
    <n v="530402"/>
    <s v="EDIFICIOS, LOCALES, RESIDENCIAS Y CABLEADO ESTRUCTURADO (INSTALACIÓN, MANTENIMIENTO Y REPARACIÓN)"/>
    <n v="22000"/>
    <n v="17597.689999999999"/>
    <n v="0"/>
    <n v="0"/>
    <n v="0"/>
    <n v="0"/>
    <n v="0"/>
    <n v="0"/>
    <n v="0"/>
    <n v="17597.689999999999"/>
    <n v="0"/>
    <n v="0"/>
    <n v="0"/>
    <n v="0"/>
    <n v="17597.689999999999"/>
    <s v="OK"/>
    <n v="16363.579999999998"/>
    <n v="1234.1100000000006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0"/>
    <s v="ADMINISTRACIÓN CENTRAL"/>
    <s v="PAGO POR CONCEPTOS DE GASTOS UTILIZANDO EL FONDO DE CAJA CHICA"/>
    <n v="1"/>
    <x v="5"/>
    <n v="1"/>
    <n v="0"/>
    <n v="1"/>
    <n v="1101"/>
    <s v="LOJA"/>
    <n v="1"/>
    <n v="0"/>
    <n v="0"/>
    <s v="CORRIENTE"/>
    <x v="0"/>
    <n v="530405"/>
    <s v="VEHÍCULOS (SERVICIO PARA MANTENIMIENTO Y REPARACIÓN)"/>
    <n v="100"/>
    <n v="109"/>
    <n v="0"/>
    <n v="0"/>
    <n v="0"/>
    <n v="0"/>
    <n v="0"/>
    <n v="0"/>
    <n v="0"/>
    <n v="0"/>
    <n v="0"/>
    <n v="0"/>
    <n v="109"/>
    <n v="0"/>
    <n v="109"/>
    <s v="OK"/>
    <n v="109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0"/>
    <s v="ADMINISTRACIÓN CENTRAL"/>
    <s v="PAGO POR SERVICIO DE LAVADO A LOS VEHÍCULOS ASIGNADOS AL CENTRO OPERATIVO LOCAL LOJA"/>
    <n v="1"/>
    <x v="5"/>
    <n v="1"/>
    <n v="0"/>
    <n v="1"/>
    <n v="1101"/>
    <s v="LOJA"/>
    <n v="1"/>
    <n v="0"/>
    <n v="0"/>
    <s v="CORRIENTE"/>
    <x v="0"/>
    <n v="530405"/>
    <s v="VEHÍCULOS (SERVICIO PARA MANTENIMIENTO Y REPARACIÓN)"/>
    <n v="60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0"/>
    <s v="ADMINISTRACIÓN CENTRAL"/>
    <s v="CANCELACIÓN DE SERVICIO DE PINTURA PARA EL VEHÍCULO JEEP GRAN VITARA SZ, DE LA COORDINACIÓN ZONAL 7 SERVICIO INTEGRADO DE SEGURIDAD ECU 911 CENTRO OPERATIVO LOCAL LOJA"/>
    <n v="1"/>
    <x v="5"/>
    <n v="1"/>
    <n v="0"/>
    <n v="1"/>
    <n v="1101"/>
    <s v="LOJA"/>
    <n v="1"/>
    <n v="0"/>
    <n v="0"/>
    <s v="CORRIENTE"/>
    <x v="0"/>
    <n v="530405"/>
    <s v="VEHÍCULOS (SERVICIO PARA MANTENIMIENTO Y REPARACIÓN)"/>
    <n v="0"/>
    <n v="799"/>
    <n v="0"/>
    <n v="0"/>
    <n v="0"/>
    <n v="0"/>
    <n v="0"/>
    <n v="0"/>
    <n v="0"/>
    <n v="0"/>
    <n v="799"/>
    <n v="0"/>
    <n v="0"/>
    <n v="0"/>
    <n v="799"/>
    <s v="OK"/>
    <n v="799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0"/>
    <s v="ADMINISTRACIÓN CENTRAL"/>
    <s v="PAGO POR ADQUISICIÓN DE REPUESTOS, INSTALACIÓN Y MANTENIMIENTO POR KILOMETRAJE PARA LOS VEHICULOS ASIGNADOS AL CENTRO OPERATIVO LOCAL LOJA"/>
    <n v="1"/>
    <x v="5"/>
    <n v="1"/>
    <n v="0"/>
    <n v="1"/>
    <n v="1101"/>
    <s v="LOJA"/>
    <n v="1"/>
    <n v="0"/>
    <n v="0"/>
    <s v="CORRIENTE"/>
    <x v="0"/>
    <n v="530405"/>
    <s v="VEHÍCULOS (SERVICIO PARA MANTENIMIENTO Y REPARACIÓN)"/>
    <n v="1680"/>
    <n v="1583.5"/>
    <n v="0"/>
    <n v="0"/>
    <n v="0"/>
    <n v="670"/>
    <n v="0"/>
    <n v="0"/>
    <n v="670"/>
    <n v="0"/>
    <n v="243.5"/>
    <n v="0"/>
    <n v="0"/>
    <n v="0"/>
    <n v="1583.5"/>
    <s v="OK"/>
    <n v="1583.5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0"/>
    <s v="ADMINISTRACIÓN CENTRAL"/>
    <s v="CANCELACIÓN POR SERVICIO DE MANTENIMIENTO DE ÁREAS VERDES Y JARDINES DEL CENTRO OPERATIVO LOCAL LOJA"/>
    <n v="1"/>
    <x v="5"/>
    <n v="1"/>
    <n v="0"/>
    <n v="1"/>
    <n v="1101"/>
    <s v="LOJA"/>
    <n v="1"/>
    <n v="0"/>
    <n v="0"/>
    <s v="CORRIENTE"/>
    <x v="0"/>
    <n v="530418"/>
    <s v="MANTENIMIENTO DE ÁREAS VERDES Y ARREGLO DE VÍAS INTERNAS"/>
    <n v="120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0"/>
    <s v="ADMINISTRACIÓN CENTRAL"/>
    <s v="ADQUISICIÓN DE PRENDAS DE PROTECCIÓN, LUBRICANTES, INSUMOS, REPUESTOS Y ACCESORIOS Y HERRAMIENTAS MENORES PARA MANTENIMIENTOS PREVENTIVOS Y CORRECTIVOS DE LAS INSTALACIONES DE LA COORDINACIÓN ZONAL 7 SERVICIO INTEGRADO DE SEGURIDAD ECU 911, CENTRO OPERATIVO LOCAL LOJA, REALIZADOS POR EL TÉCNICO DE MANTENIMIENTO"/>
    <n v="1"/>
    <x v="5"/>
    <n v="1"/>
    <n v="0"/>
    <n v="1"/>
    <n v="1101"/>
    <s v="LOJA"/>
    <n v="1"/>
    <n v="0"/>
    <n v="0"/>
    <s v="CORRIENTE"/>
    <x v="0"/>
    <n v="530802"/>
    <s v="VESTUARIO, LENCERÍA, PRENDAS DE PROTECCIÓN Y ACCESORIOS PARA UNIFORMES DEL PERSONAL DE PROTECCIÓN, VIGILANCIA Y SEGURIDAD"/>
    <n v="0"/>
    <n v="80"/>
    <n v="0"/>
    <n v="0"/>
    <n v="0"/>
    <n v="0"/>
    <n v="0"/>
    <n v="0"/>
    <n v="0"/>
    <n v="0"/>
    <n v="0"/>
    <n v="0"/>
    <n v="80"/>
    <n v="0"/>
    <n v="80"/>
    <s v="OK"/>
    <n v="0"/>
    <n v="8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0"/>
    <s v="ADMINISTRACIÓN CENTRAL"/>
    <s v="ADQUISICIÓN DE LUBRICANTES,INSUMOS, MAQUINARIAS Y EQUIPOS Y HERRAMIENTAS PARA USO DE LA GESTIÓN LOCAL DE SOPORTE TECNOLOGICO DE LA COORDINACIÓN ZONAL 7 SERVICIO INTEGRADO DE SEGURIDAD ECU 911, CENTRO OPERATIVO LOCAL"/>
    <n v="1"/>
    <x v="5"/>
    <n v="1"/>
    <n v="0"/>
    <n v="1"/>
    <n v="1101"/>
    <s v="LOJA"/>
    <n v="1"/>
    <n v="0"/>
    <n v="0"/>
    <s v="CORRIENTE"/>
    <x v="0"/>
    <n v="530803"/>
    <s v="LUBRICANTES"/>
    <n v="0"/>
    <n v="30"/>
    <n v="0"/>
    <n v="0"/>
    <n v="0"/>
    <n v="0"/>
    <n v="0"/>
    <n v="0"/>
    <n v="0"/>
    <n v="0"/>
    <n v="0"/>
    <n v="0"/>
    <n v="30"/>
    <n v="0"/>
    <n v="30"/>
    <s v="OK"/>
    <n v="0"/>
    <n v="3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0"/>
    <s v="ADMINISTRACIÓN CENTRAL"/>
    <s v="ADQUISICIÓN DE PRENDAS DE PROTECCIÓN, LUBRICANTES,INSUMOS, REPUESTOS Y ACCESORIOS Y HERRAMIENTAS MENORES PARA MANTENIMIENTOS PREVENTIVOS Y CORRECTIVOS DE LAS INSTALACIONES DE LA COORDIANCIÓN ZONAL 7 SERVICIO INTEGRADO DE SEGURIDAD ECU 911, CENTRO OPERATIVO LOCAL LOJA, REALIZADOS POR EL TÉCNICO DE MANTENIMIENTO"/>
    <n v="1"/>
    <x v="5"/>
    <n v="1"/>
    <n v="0"/>
    <n v="1"/>
    <n v="1101"/>
    <s v="LOJA"/>
    <n v="1"/>
    <n v="0"/>
    <n v="0"/>
    <s v="CORRIENTE"/>
    <x v="0"/>
    <n v="530803"/>
    <s v="LUBRICANTES"/>
    <n v="0"/>
    <n v="10"/>
    <n v="0"/>
    <n v="0"/>
    <n v="0"/>
    <n v="0"/>
    <n v="0"/>
    <n v="0"/>
    <n v="0"/>
    <n v="0"/>
    <n v="0"/>
    <n v="0"/>
    <n v="10"/>
    <n v="0"/>
    <n v="10"/>
    <s v="OK"/>
    <n v="0"/>
    <n v="1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0"/>
    <s v="ADMINISTRACIÓN CENTRAL"/>
    <s v="PAGO POR ADQUISICIÓN DE REPUESTOS, INSTALACIÓN Y MANTENIMIENTO POR KILOMETRAJE PARA LOS VEHICULOS ASIGNADOS AL CENTRO OPERATIVO LOCAL LOJA"/>
    <n v="1"/>
    <x v="5"/>
    <n v="1"/>
    <n v="0"/>
    <n v="1"/>
    <n v="1101"/>
    <s v="LOJA"/>
    <n v="1"/>
    <n v="0"/>
    <n v="0"/>
    <s v="CORRIENTE"/>
    <x v="0"/>
    <n v="530803"/>
    <s v="LUBRICANTES"/>
    <n v="4400"/>
    <n v="1051.5"/>
    <n v="0"/>
    <n v="0"/>
    <n v="80"/>
    <n v="122"/>
    <n v="0"/>
    <n v="0"/>
    <n v="350"/>
    <n v="0"/>
    <n v="350"/>
    <n v="0"/>
    <n v="149.5"/>
    <n v="0"/>
    <n v="1051.5"/>
    <s v="OK"/>
    <n v="1051.5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0"/>
    <s v="ADMINISTRACIÓN CENTRAL"/>
    <s v="PAGO POR ADQUISICIÓN DE MATERIALES DE OFICINA PARA EL PERSONAL DE CENTRO OPERATIVO LOCAL LOJA Y SALA OPERATIVA DE ZAMORA CHINCHIPE."/>
    <n v="1"/>
    <x v="5"/>
    <n v="1"/>
    <n v="0"/>
    <n v="1"/>
    <n v="1101"/>
    <s v="LOJA"/>
    <n v="1"/>
    <n v="0"/>
    <n v="0"/>
    <s v="CORRIENTE"/>
    <x v="0"/>
    <n v="530804"/>
    <s v="MATERIALES DE OFICINA"/>
    <n v="500"/>
    <n v="754.05"/>
    <n v="0"/>
    <n v="0"/>
    <n v="0"/>
    <n v="0"/>
    <n v="0"/>
    <n v="500"/>
    <n v="0"/>
    <n v="254.05"/>
    <n v="0"/>
    <n v="0"/>
    <n v="0"/>
    <n v="0"/>
    <n v="754.05"/>
    <s v="OK"/>
    <n v="607.09"/>
    <n v="146.95999999999992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0"/>
    <s v="ADMINISTRACIÓN CENTRAL"/>
    <s v="PAGO POR ADQUISICIÓN DE MATERIALES DE ASEO CENTRO OPERATIVO LOCAL LOJA Y  SALA OPERATIVA DE ZAMORA CHINCHIPE."/>
    <n v="1"/>
    <x v="5"/>
    <n v="1"/>
    <n v="0"/>
    <n v="1"/>
    <n v="1101"/>
    <s v="LOJA"/>
    <n v="1"/>
    <n v="0"/>
    <n v="0"/>
    <s v="CORRIENTE"/>
    <x v="0"/>
    <n v="530805"/>
    <s v="MATERIALES DE ASEO"/>
    <n v="5300"/>
    <n v="738.65"/>
    <n v="0"/>
    <n v="0"/>
    <n v="0"/>
    <n v="738.65"/>
    <n v="0"/>
    <n v="0"/>
    <n v="0"/>
    <n v="0"/>
    <n v="0"/>
    <n v="0"/>
    <n v="0"/>
    <n v="0"/>
    <n v="738.65"/>
    <s v="OK"/>
    <n v="221.3"/>
    <n v="517.34999999999991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0"/>
    <s v="ADMINISTRACIÓN CENTRAL"/>
    <s v="ADQUISICIÓN DE LUBRICANTES,INSUMOS, MAQUINARIAS Y EQUIPOS Y HERRAMIENTAS PARA USO DE LA GESTIÓN LOCAL DE SOPORTE TECNOLOGICO DE LA COORDINACIÓN ZONAL 7 SERVICIO INTEGRADO DE SEGURIDAD ECU 911, CENTRO OPERATIVO LOCAL"/>
    <n v="1"/>
    <x v="5"/>
    <n v="1"/>
    <n v="0"/>
    <n v="1"/>
    <n v="1101"/>
    <s v="LOJA"/>
    <n v="1"/>
    <n v="0"/>
    <n v="0"/>
    <s v="CORRIENTE"/>
    <x v="0"/>
    <n v="530811"/>
    <s v="INSUMOS, MATERIALES Y SUMINISTROS PARA CONSTRUCCIÓN, ELECTRICIDAD, PLOMERÍA, CARPINTERÍA, SEÑALIZACIÓN VIAL, NAVEGACIÓN, CONTRA INCENDIOS Y PLACAS"/>
    <n v="0"/>
    <n v="1600"/>
    <n v="0"/>
    <n v="0"/>
    <n v="0"/>
    <n v="0"/>
    <n v="0"/>
    <n v="0"/>
    <n v="0"/>
    <n v="0"/>
    <n v="0"/>
    <n v="0"/>
    <n v="1600"/>
    <n v="0"/>
    <n v="1600"/>
    <s v="OK"/>
    <n v="0"/>
    <n v="160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0"/>
    <s v="ADMINISTRACIÓN CENTRAL"/>
    <s v="ADQUISICIÓN DE PRENDAS DE PROTECCIÓN, LUBRICANTES,INSUMOS, REPUESTOS Y ACCESORIOS Y HERRAMIENTAS MENORES PARA MANTENIMIENTOS PREVENTIVOS Y CORRECTIVOS DE LAS INSTALACIONES DE LA COORDIANCIÓN ZONAL 7 SERVICIO INTEGRADO DE SEGURIDAD ECU 911, CENTRO OPERATIVO LOCAL LOJA, REALIZADOS POR EL TÉCNICO DE MANTENIMIENTO"/>
    <n v="1"/>
    <x v="5"/>
    <n v="1"/>
    <n v="0"/>
    <n v="1"/>
    <n v="1101"/>
    <s v="LOJA"/>
    <n v="1"/>
    <n v="0"/>
    <n v="0"/>
    <s v="CORRIENTE"/>
    <x v="0"/>
    <n v="530811"/>
    <s v="INSUMOS, MATERIALES Y SUMINISTROS PARA CONSTRUCCIÓN, ELECTRICIDAD, PLOMERÍA, CARPINTERÍA, SEÑALIZACIÓN VIAL, NAVEGACIÓN, CONTRA INCENDIOS Y PLACAS"/>
    <n v="0"/>
    <n v="2500"/>
    <n v="0"/>
    <n v="0"/>
    <n v="0"/>
    <n v="0"/>
    <n v="0"/>
    <n v="0"/>
    <n v="0"/>
    <n v="0"/>
    <n v="0"/>
    <n v="0"/>
    <n v="2500"/>
    <n v="0"/>
    <n v="2500"/>
    <s v="OK"/>
    <n v="0"/>
    <n v="250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0"/>
    <s v="ADMINISTRACIÓN CENTRAL"/>
    <s v="PAGO POR CONCEPTOS DE GASTOS UTILIZANDO EL FONDO DE CAJA CHICA"/>
    <n v="1"/>
    <x v="5"/>
    <n v="1"/>
    <n v="0"/>
    <n v="1"/>
    <n v="1101"/>
    <s v="LOJA"/>
    <n v="1"/>
    <n v="0"/>
    <n v="0"/>
    <s v="CORRIENTE"/>
    <x v="0"/>
    <n v="530811"/>
    <s v="INSUMOS, MATERIALES Y SUMINISTROS PARA CONSTRUCCIÓN, ELECTRICIDAD, PLOMERÍA, CARPINTERÍA, SEÑALIZACIÓN VIAL, NAVEGACIÓN, CONTRA INCENDIOS Y PLACAS"/>
    <n v="100"/>
    <n v="202.76999999999998"/>
    <n v="0"/>
    <n v="0"/>
    <n v="0"/>
    <n v="0"/>
    <n v="0"/>
    <n v="0"/>
    <n v="0"/>
    <n v="0"/>
    <n v="0"/>
    <n v="0"/>
    <n v="202.77"/>
    <n v="0"/>
    <n v="202.77"/>
    <s v="OK"/>
    <n v="127.54"/>
    <n v="75.229999999999976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0"/>
    <s v="ADMINISTRACIÓN CENTRAL"/>
    <s v="ADQUISICIÓN DE PRESNDAS DE PROTECCIÓN, LUBRICANTES,INSUMOS, REPUESTOS Y ACCESORIOS Y HERRAMIENTAS MENORES PARA MANTENIMIENTOS PREVENTIVOS Y CORRECTIVOS DE LAS INSTALACIONES DE LA COORDIANCIÓN ZONAL 7 SERVICIO INTEGRADO DE SEGURIDAD ECU 911, CENTRO OPERATIVO LOCAL LOJA, REALIZADOS POR EL TÉCNICO DE MANTENIMIENTO"/>
    <n v="1"/>
    <x v="5"/>
    <n v="1"/>
    <n v="0"/>
    <n v="1"/>
    <n v="1101"/>
    <s v="LOJA"/>
    <n v="1"/>
    <n v="0"/>
    <n v="0"/>
    <s v="CORRIENTE"/>
    <x v="0"/>
    <n v="530813"/>
    <s v="REPUESTOS Y ACCESORIOS"/>
    <n v="0"/>
    <n v="268.56"/>
    <n v="0"/>
    <n v="0"/>
    <n v="0"/>
    <n v="0"/>
    <n v="0"/>
    <n v="0"/>
    <n v="0"/>
    <n v="0"/>
    <n v="0"/>
    <n v="0"/>
    <n v="268.56"/>
    <n v="0"/>
    <n v="268.56"/>
    <s v="OK"/>
    <n v="0"/>
    <n v="268.56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0"/>
    <s v="ADMINISTRACIÓN CENTRAL"/>
    <s v="PAGO POR CONCEPTOS DE GASTOS UTILIZANDO EL FONDO DE CAJA CHICA"/>
    <n v="1"/>
    <x v="5"/>
    <n v="1"/>
    <n v="0"/>
    <n v="1"/>
    <n v="1101"/>
    <s v="LOJA"/>
    <n v="1"/>
    <n v="0"/>
    <n v="0"/>
    <s v="CORRIENTE"/>
    <x v="0"/>
    <n v="530813"/>
    <s v="REPUESTOS Y ACCESORIOS"/>
    <n v="100"/>
    <n v="92.44"/>
    <n v="0"/>
    <n v="0"/>
    <n v="0"/>
    <n v="0"/>
    <n v="0"/>
    <n v="0"/>
    <n v="0"/>
    <n v="0"/>
    <n v="0"/>
    <n v="0"/>
    <n v="92.44"/>
    <n v="0"/>
    <n v="92.44"/>
    <s v="OK"/>
    <n v="11"/>
    <n v="81.44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0"/>
    <s v="ADMINISTRACIÓN CENTRAL"/>
    <s v="ADQUISICIÓN DE ACCESORIOS PARA VEHÍCULOS ASIGNADOS AL CENTRO OPERATIVO LOCAL LOJA"/>
    <n v="1"/>
    <x v="5"/>
    <n v="1"/>
    <n v="0"/>
    <n v="1"/>
    <n v="1101"/>
    <s v="LOJA"/>
    <n v="1"/>
    <n v="0"/>
    <n v="0"/>
    <s v="CORRIENTE"/>
    <x v="0"/>
    <n v="530813"/>
    <s v="REPUESTOS Y ACCESORIOS"/>
    <n v="750"/>
    <n v="438.56"/>
    <n v="0"/>
    <n v="0"/>
    <n v="0"/>
    <n v="0"/>
    <n v="0"/>
    <n v="438.56"/>
    <n v="0"/>
    <n v="0"/>
    <n v="0"/>
    <n v="0"/>
    <n v="0"/>
    <n v="0"/>
    <n v="438.56"/>
    <s v="OK"/>
    <n v="438.56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0"/>
    <s v="ADMINISTRACIÓN CENTRAL"/>
    <s v="PAGO POR ADQUISICIÓN DE NEUMÁTICOS PARA VEHÍCULO CAMIONETA PLACA LEI - 1240  ASIGNADA AL CENTRO OPERATIVO LOCAL LOJA"/>
    <n v="3"/>
    <x v="5"/>
    <n v="1"/>
    <n v="0"/>
    <n v="1"/>
    <n v="1101"/>
    <s v="LOJA"/>
    <n v="1"/>
    <n v="0"/>
    <n v="0"/>
    <s v="CORRIENTE"/>
    <x v="0"/>
    <n v="530813"/>
    <s v="REPUESTOS Y ACCESORIOS"/>
    <n v="375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0"/>
    <s v="ADMINISTRACIÓN CENTRAL"/>
    <s v="PAGO POR ADQUISICIÓN DE REPUESTOS, INSTALACIÓN Y MANTENIMIENTO POR KILOMETRAJE PARA LOS VEHICULOS ASIGNADOS AL CENTRO OPERATIVO LOCAL LOJA"/>
    <n v="1"/>
    <x v="5"/>
    <n v="1"/>
    <n v="0"/>
    <n v="1"/>
    <n v="1101"/>
    <s v="LOJA"/>
    <n v="1"/>
    <n v="0"/>
    <n v="0"/>
    <s v="CORRIENTE"/>
    <x v="0"/>
    <n v="530813"/>
    <s v="REPUESTOS Y ACCESORIOS"/>
    <n v="2200"/>
    <n v="1527"/>
    <n v="0"/>
    <n v="0"/>
    <n v="0"/>
    <n v="831.26"/>
    <n v="0"/>
    <n v="0"/>
    <n v="695.74"/>
    <n v="0"/>
    <n v="0"/>
    <n v="0"/>
    <n v="0"/>
    <n v="0"/>
    <n v="1527"/>
    <s v="OK"/>
    <n v="1527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0"/>
    <s v="ADMINISTRACIÓN CENTRAL"/>
    <s v="ADQUISICIÓN DE UNA TAPA DE BALDE RETRACTIL CORREDIZA, PARA EL VEHICULO CAMIONETA CHEVROLET MODELO D-MAX, DE LA COORDINACIÓN ZONAL 7 SERVICIO INTEGRADO DE SEGURIDAD ECU 911 CENTRO OPERATIVO LOCAL LOJA"/>
    <n v="1"/>
    <x v="5"/>
    <n v="1"/>
    <n v="0"/>
    <n v="1"/>
    <n v="1101"/>
    <s v="LOJA"/>
    <n v="1"/>
    <n v="0"/>
    <n v="0"/>
    <s v="CORRIENTE"/>
    <x v="0"/>
    <n v="531404"/>
    <s v="MAQUINARIAS Y EQUIPOS"/>
    <n v="0"/>
    <n v="1150"/>
    <n v="0"/>
    <n v="0"/>
    <n v="0"/>
    <n v="0"/>
    <n v="0"/>
    <n v="0"/>
    <n v="0"/>
    <n v="0"/>
    <n v="0"/>
    <n v="0"/>
    <n v="0"/>
    <n v="1150"/>
    <n v="1150"/>
    <s v="OK"/>
    <n v="0"/>
    <n v="115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0"/>
    <s v="ADMINISTRACIÓN CENTRAL"/>
    <s v="ADQUISICIÓN DE LUBRICANTES,INSUMOS, MAQUINARIAS Y EQUIPOS Y HERRAMIENTAS PARA USO DE LA GESTIÓN LOCAL DE SOPORTE TECNOLOGICO DE LA COORDINACIÓN ZONAL 7 SERVICIO INTEGRADO DE SEGURIDAD ECU 911, CENTRO OPERATIVO LOCAL"/>
    <n v="1"/>
    <x v="5"/>
    <n v="1"/>
    <n v="0"/>
    <n v="1"/>
    <n v="1101"/>
    <s v="LOJA"/>
    <n v="1"/>
    <n v="0"/>
    <n v="0"/>
    <s v="CORRIENTE"/>
    <x v="0"/>
    <n v="531404"/>
    <s v="MAQUINARIAS Y EQUIPOS"/>
    <n v="0"/>
    <n v="50"/>
    <n v="0"/>
    <n v="0"/>
    <n v="0"/>
    <n v="0"/>
    <n v="0"/>
    <n v="0"/>
    <n v="0"/>
    <n v="0"/>
    <n v="0"/>
    <n v="0"/>
    <n v="50"/>
    <n v="0"/>
    <n v="50"/>
    <s v="OK"/>
    <n v="0"/>
    <n v="5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0"/>
    <s v="ADMINISTRACIÓN CENTRAL"/>
    <s v="ADQUISICIÓN DE LUBRICANTES,INSUMOS, MAQUINARIAS Y EQUIPOS Y HERRAMIENTAS PARA USO DE LA GESTIÓN LOCAL DE SOPORTE TECNOLOGICO DE LA COORDINACIÓN ZONAL 7 SERVICIO INTEGRADO DE SEGURIDAD ECU 911, CENTRO OPERATIVO LOCAL"/>
    <n v="1"/>
    <x v="5"/>
    <n v="1"/>
    <n v="0"/>
    <n v="1"/>
    <n v="1101"/>
    <s v="LOJA"/>
    <n v="1"/>
    <n v="0"/>
    <n v="0"/>
    <s v="CORRIENTE"/>
    <x v="0"/>
    <n v="531406"/>
    <s v="HERRAMIENTAS Y EQUIPOS MENORES"/>
    <n v="0"/>
    <n v="1100"/>
    <n v="0"/>
    <n v="0"/>
    <n v="0"/>
    <n v="0"/>
    <n v="0"/>
    <n v="0"/>
    <n v="0"/>
    <n v="0"/>
    <n v="0"/>
    <n v="0"/>
    <n v="1100"/>
    <n v="0"/>
    <n v="1100"/>
    <s v="OK"/>
    <n v="0"/>
    <n v="110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0"/>
    <s v="ADMINISTRACIÓN CENTRAL"/>
    <s v="ADQUISICIÓN DE PRESNDAS DE PROTECCIÓN, LUBRICANTES,INSUMOS, REPUESTOS Y ACCESORIOS Y HERRAMIENTAS MENORES PARA MANTENIMIENTOS PREVENTIVOS Y CORRECTIVOS DE LAS INSTALACIONES DE LA COORDIANCIÓN ZONAL 7 SERVICIO INTEGRADO DE SEGURIDAD ECU 911, CENTRO OPERATIVO LOCAL LOJA, REALIZADOS POR EL TÉCNICO DE MANTENIMIENTO"/>
    <n v="1"/>
    <x v="5"/>
    <n v="1"/>
    <n v="0"/>
    <n v="1"/>
    <n v="1101"/>
    <s v="LOJA"/>
    <n v="1"/>
    <n v="0"/>
    <n v="0"/>
    <s v="CORRIENTE"/>
    <x v="0"/>
    <n v="531406"/>
    <s v="HERRAMIENTAS Y EQUIPOS MENORES"/>
    <n v="0"/>
    <n v="600"/>
    <n v="0"/>
    <n v="0"/>
    <n v="0"/>
    <n v="0"/>
    <n v="0"/>
    <n v="0"/>
    <n v="0"/>
    <n v="0"/>
    <n v="0"/>
    <n v="0"/>
    <n v="600"/>
    <n v="0"/>
    <n v="600"/>
    <s v="OK"/>
    <n v="0"/>
    <n v="60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0"/>
    <s v="ADMINISTRACIÓN CENTRAL"/>
    <s v="PAGO POR PERMISO ANUAL DE FUNCIONAMIENTO DEL CENTRO OPERATIVO LOCAL LOJA Y SALA OPERATIVA DE ZAMORA CHINCHIPE"/>
    <n v="1"/>
    <x v="5"/>
    <n v="1"/>
    <n v="0"/>
    <n v="1"/>
    <n v="1101"/>
    <s v="LOJA"/>
    <n v="1"/>
    <n v="0"/>
    <n v="0"/>
    <s v="CORRIENTE"/>
    <x v="1"/>
    <n v="570102"/>
    <s v="TASAS GENERALES, IMPUESTOS, CONTRIBUCIONES, PERMISOS, LICENCIAS Y PATENTES"/>
    <n v="120"/>
    <n v="75"/>
    <n v="0"/>
    <n v="0"/>
    <n v="0"/>
    <n v="75"/>
    <n v="0"/>
    <n v="0"/>
    <n v="0"/>
    <n v="0"/>
    <n v="0"/>
    <n v="0"/>
    <n v="0"/>
    <n v="0"/>
    <n v="75"/>
    <s v="OK"/>
    <n v="60.45"/>
    <n v="14.549999999999997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0"/>
    <s v="ADMINISTRACIÓN CENTRAL"/>
    <s v="PAGO POR PREDIO URBANO DEL CENTRO OPERATIVO LOCAL LOJA"/>
    <n v="1"/>
    <x v="5"/>
    <n v="1"/>
    <n v="0"/>
    <n v="1"/>
    <n v="1101"/>
    <s v="LOJA"/>
    <n v="1"/>
    <n v="0"/>
    <n v="0"/>
    <s v="CORRIENTE"/>
    <x v="1"/>
    <n v="570102"/>
    <s v="TASAS GENERALES, IMPUESTOS, CONTRIBUCIONES, PERMISOS, LICENCIAS Y PATENTES"/>
    <n v="300"/>
    <n v="300"/>
    <n v="0"/>
    <n v="0"/>
    <n v="0"/>
    <n v="300"/>
    <n v="0"/>
    <n v="0"/>
    <n v="0"/>
    <n v="0"/>
    <n v="0"/>
    <n v="0"/>
    <n v="0"/>
    <n v="0"/>
    <n v="300"/>
    <s v="OK"/>
    <n v="154.18"/>
    <n v="145.82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0"/>
    <s v="ADMINISTRACIÓN CENTRAL"/>
    <s v="PAGO POR MATRICULACIÓN VEHICULAR DE VEHÍCULOS ASIGNADOS AL CENTRO OPERATIVO LOCAL LOJA"/>
    <n v="1"/>
    <x v="5"/>
    <n v="1"/>
    <n v="0"/>
    <n v="1"/>
    <n v="1101"/>
    <s v="LOJA"/>
    <n v="1"/>
    <n v="0"/>
    <n v="0"/>
    <s v="CORRIENTE"/>
    <x v="1"/>
    <n v="570102"/>
    <s v="TASAS GENERALES, IMPUESTOS, CONTRIBUCIONES, PERMISOS, LICENCIAS Y PATENTES"/>
    <n v="400"/>
    <n v="365"/>
    <n v="0"/>
    <n v="0"/>
    <n v="0"/>
    <n v="365"/>
    <n v="0"/>
    <n v="0"/>
    <n v="0"/>
    <n v="0"/>
    <n v="0"/>
    <n v="0"/>
    <n v="0"/>
    <n v="0"/>
    <n v="365"/>
    <s v="OK"/>
    <n v="362.42999999999995"/>
    <n v="2.57000000000005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0"/>
    <s v="ADMINISTRACIÓN CENTRAL"/>
    <s v="CANCELACIÓN POR REEMBOLSO DE PAGO PEAJES, IMPUESTOS POR COMISIONES AUTORIZADAS AL PERSONAL DEL CENTRO OPERATIVO LOCAL LOJA"/>
    <n v="1"/>
    <x v="5"/>
    <n v="1"/>
    <n v="0"/>
    <n v="1"/>
    <n v="1101"/>
    <s v="LOJA"/>
    <n v="1"/>
    <n v="0"/>
    <n v="0"/>
    <s v="CORRIENTE"/>
    <x v="1"/>
    <n v="570102"/>
    <s v="TASAS GENERALES, IMPUESTOS, CONTRIBUCIONES, PERMISOS, LICENCIAS Y PATENTES"/>
    <n v="0"/>
    <n v="25"/>
    <n v="0"/>
    <n v="0"/>
    <n v="0"/>
    <n v="0"/>
    <n v="0"/>
    <n v="0"/>
    <n v="8"/>
    <n v="0"/>
    <n v="0"/>
    <n v="8"/>
    <n v="7"/>
    <n v="2"/>
    <n v="25"/>
    <s v="OK"/>
    <n v="25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0"/>
    <s v="ADMINISTRACIÓN CENTRAL"/>
    <s v="PAGO DE CUOTAS POR RED DE ALCANTARILLADO SANITARIO Y PLUVIAL DEL CENTRO OPERATIVO LOCAL LOJA"/>
    <n v="1"/>
    <x v="5"/>
    <n v="1"/>
    <n v="0"/>
    <n v="1"/>
    <n v="1101"/>
    <s v="LOJA"/>
    <n v="1"/>
    <n v="0"/>
    <n v="0"/>
    <s v="CORRIENTE"/>
    <x v="1"/>
    <n v="570102"/>
    <s v="TASAS GENERALES, IMPUESTOS, CONTRIBUCIONES, PERMISOS, LICENCIAS Y PATENTES"/>
    <n v="3420"/>
    <n v="3420"/>
    <n v="285"/>
    <n v="285"/>
    <n v="285"/>
    <n v="285"/>
    <n v="285"/>
    <n v="285"/>
    <n v="285"/>
    <n v="285"/>
    <n v="285"/>
    <n v="285"/>
    <n v="285"/>
    <n v="285"/>
    <n v="3420"/>
    <s v="OK"/>
    <n v="3405.96"/>
    <n v="14.039999999999964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0"/>
    <s v="ADMINISTRACIÓN CENTRAL"/>
    <s v="PAGO POR CONCEPTO DE PAVIMIENTO DE AV BARCELONA CUOTA AÑO 2023"/>
    <n v="1"/>
    <x v="5"/>
    <n v="1"/>
    <n v="0"/>
    <n v="1"/>
    <n v="1101"/>
    <s v="LOJA"/>
    <n v="1"/>
    <n v="0"/>
    <n v="0"/>
    <s v="CORRIENTE"/>
    <x v="1"/>
    <n v="570104"/>
    <s v="CONTRIBUCIONES ESPECIALES Y DE MEJORA"/>
    <n v="2800"/>
    <n v="2881"/>
    <n v="0"/>
    <n v="0"/>
    <n v="0"/>
    <n v="0"/>
    <n v="2881"/>
    <n v="0"/>
    <n v="0"/>
    <n v="0"/>
    <n v="0"/>
    <n v="0"/>
    <n v="0"/>
    <n v="0"/>
    <n v="2881"/>
    <s v="OK"/>
    <n v="2880.94"/>
    <n v="5.999999999994543E-2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0"/>
    <s v="ADMINISTRACIÓN CENTRAL"/>
    <s v="PAGO POR CONCEPTO DE PAVIMENTO DE BARRIO TURUNUMA ALTO, CUOTAS MENSUALES AÑO 2023."/>
    <n v="1"/>
    <x v="5"/>
    <n v="1"/>
    <n v="0"/>
    <n v="1"/>
    <n v="1101"/>
    <s v="LOJA"/>
    <n v="1"/>
    <n v="0"/>
    <n v="0"/>
    <s v="CORRIENTE"/>
    <x v="1"/>
    <n v="570104"/>
    <s v="CONTRIBUCIONES ESPECIALES Y DE MEJORA"/>
    <n v="6981"/>
    <n v="6980"/>
    <n v="537"/>
    <n v="537"/>
    <n v="537"/>
    <n v="537"/>
    <n v="537"/>
    <n v="537"/>
    <n v="537"/>
    <n v="537"/>
    <n v="537"/>
    <n v="537"/>
    <n v="537"/>
    <n v="1073"/>
    <n v="6980"/>
    <s v="OK"/>
    <n v="6978.21"/>
    <n v="1.7899999999999636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2"/>
    <s v="TECNOLOGÍA"/>
    <s v="PROVISIÓN DEL SERVICIO DE TELEFONÍA FIJA, ENLACES DE DATOS, INTERNET Y SERVICIOS MÓVILES (TELEMETRÍA) PARA LA COORDINACIÓN ZONAL 7 SIS ECU 911 CENTRO LOCAL LOJA."/>
    <n v="1"/>
    <x v="5"/>
    <n v="55"/>
    <n v="0"/>
    <n v="3"/>
    <n v="1101"/>
    <s v="LOJA"/>
    <n v="1"/>
    <n v="0"/>
    <n v="0"/>
    <s v="CORRIENTE"/>
    <x v="0"/>
    <n v="530105"/>
    <s v="TELECOMUNICACIONES"/>
    <n v="146407"/>
    <n v="77625.53"/>
    <n v="12200"/>
    <n v="11442.94"/>
    <n v="5170.0600000000004"/>
    <n v="5170.0600000000004"/>
    <n v="6500"/>
    <n v="6122.11"/>
    <n v="5170.0600000000004"/>
    <n v="5170.0600000000004"/>
    <n v="5170.0600000000004"/>
    <n v="5170.0600000000004"/>
    <n v="5170.0600000000004"/>
    <n v="5170.0600000000004"/>
    <n v="77625.53"/>
    <s v="OK"/>
    <n v="73006.819999999992"/>
    <n v="4618.7100000000064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2"/>
    <s v="TECNOLOGÍA"/>
    <s v="ADQUISICIÓN DE MONITORES,TECLADOS Y MOUSES PARA REEMPLAZO DE EQUIPOS EN MAL ESTADO DE LA COORDIANCIÓN ZONAL 7 CENTRO OPERATIVO LOCAL LOJA"/>
    <n v="1"/>
    <x v="5"/>
    <n v="55"/>
    <n v="0"/>
    <n v="3"/>
    <n v="1101"/>
    <s v="LOJA"/>
    <n v="1"/>
    <n v="0"/>
    <n v="0"/>
    <s v="CORRIENTE"/>
    <x v="0"/>
    <n v="530813"/>
    <s v="REPUESTOS Y ACCESORIOS"/>
    <n v="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2"/>
    <s v="TECNOLOGÍA"/>
    <s v="ADQUISICIÓN DE 2 TARJETAS DE VIDEO DVI-OUT DE CONTROLADOR LCD PARA LA MATRIZ DE VIDEO WALL DE LA SALA DE VIDEO VIGILANCIA DE LA COORDINACIÓN ZONAL 7 SERVICIO INTEGRADO DE SEGURIDAD ECU 911 CENTRO OPERATIVO LOCAL LOJA"/>
    <n v="1"/>
    <x v="5"/>
    <n v="55"/>
    <n v="0"/>
    <n v="3"/>
    <n v="1101"/>
    <s v="LOJA"/>
    <n v="1"/>
    <n v="0"/>
    <n v="0"/>
    <s v="CORRIENTE"/>
    <x v="0"/>
    <n v="530813"/>
    <s v="REPUESTOS Y ACCESORIOS"/>
    <n v="0"/>
    <n v="10632.73"/>
    <n v="0"/>
    <n v="0"/>
    <n v="0"/>
    <n v="0"/>
    <n v="0"/>
    <n v="10632.73"/>
    <n v="0"/>
    <n v="0"/>
    <n v="0"/>
    <n v="0"/>
    <n v="0"/>
    <n v="0"/>
    <n v="10632.73"/>
    <s v="OK"/>
    <n v="10632.73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2"/>
    <s v="TECNOLOGÍA"/>
    <s v="ADQUISICIÓN DE MONITORES, TECLADOS Y MOUSES PARA REEMPLAZO DE EQUIPOS EN MAL ESTADO DE LA COORDIANCIÓN ZONAL 7 CENTRO OEPRATIVO LOCAL LOJA"/>
    <n v="1"/>
    <x v="5"/>
    <n v="55"/>
    <n v="0"/>
    <n v="3"/>
    <n v="1101"/>
    <s v="LOJA"/>
    <n v="1"/>
    <n v="0"/>
    <n v="0"/>
    <s v="CORRIENTE"/>
    <x v="0"/>
    <n v="531407"/>
    <s v="EQUIPOS, SISTEMAS Y PAQUETES INFORMÁTICOS"/>
    <n v="0"/>
    <n v="4811.5599999999995"/>
    <n v="0"/>
    <n v="0"/>
    <n v="0"/>
    <n v="0"/>
    <n v="0"/>
    <n v="0"/>
    <n v="0"/>
    <n v="0"/>
    <n v="0"/>
    <n v="0"/>
    <n v="4811.5599999999995"/>
    <n v="0"/>
    <n v="4811.5599999999995"/>
    <s v="OK"/>
    <n v="4811.5600000000004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Y EFICACIA DE LA COORDINACIÓN PARA LA ATENCIÓN DE EMERGENCIAS MEDIANTE EL FORTALECIMIENTO DE LA COOPERACIÓN INTERINSTITUCIONAL, POTENCIACIÓN DE LAS FUNCIONALIDADES DE LA INFRAESTRUCTURA TECNOLÓGICA, CAPACITACIÓN PERMANENTE DEL PERSONAL Y EL MEJORAMIENTO CONTINUO DE LOS ESTÁNDARES DE CALIDAD EN SUS SERVICIOS, PROCESOS, CLIMA LABORAL Y POSICIONAMIENTO INSTITUCIONAL."/>
    <s v="COORDINACIÓN_ZONAL"/>
    <x v="5"/>
    <x v="2"/>
    <s v="TECNOLOGÍA"/>
    <s v="ADQUISICIÓN DE 60 LICIENCIAS PARA ALMACENAMINENTO DE VIDEO DE LOS PUNTOS DE VÍDEO VIGILANCIA DE LA COORDINACIÓN ZONAL 7, CENTRO OPERATIVO LOCAL LOJA"/>
    <n v="1"/>
    <x v="5"/>
    <n v="55"/>
    <n v="0"/>
    <n v="3"/>
    <n v="1101"/>
    <s v="LOJA"/>
    <n v="1"/>
    <n v="0"/>
    <n v="0"/>
    <s v="CORRIENTE"/>
    <x v="0"/>
    <n v="531407"/>
    <s v="EQUIPOS, SISTEMAS Y PAQUETES INFORMÁTICOS"/>
    <n v="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EN LA GESTIÓN FINANCIERA MEDIANTE EL FORTALECIMIENTO DE LAS METODOLOGÍAS, MEJORAMIENTO DE PROCESOS FINANCIEROS INTERNOS, APLICACIÓN DE NORMATIVAS Y REGULACIONES VIGENTES. "/>
    <s v="PLANTA_CENTRAL"/>
    <x v="6"/>
    <x v="8"/>
    <s v="ADMINISTRACIÓN CENTRAL"/>
    <s v="CANCELACIÓN DE REMUNERACIONES Y BENEFICIOS SOCIALES"/>
    <n v="1"/>
    <x v="6"/>
    <n v="1"/>
    <n v="0"/>
    <n v="1"/>
    <n v="1700"/>
    <s v="PICHINCHA"/>
    <n v="1"/>
    <n v="0"/>
    <n v="0"/>
    <s v="CORRIENTE"/>
    <x v="3"/>
    <n v="510105"/>
    <s v="REMUNERACIONES UNIFICADAS"/>
    <n v="1547772"/>
    <n v="1510614.1299999997"/>
    <n v="128981"/>
    <n v="128981"/>
    <n v="128016.19"/>
    <n v="127982.19"/>
    <n v="127644.69"/>
    <n v="125773.86"/>
    <n v="125319.53"/>
    <n v="123984.11"/>
    <n v="123984.11"/>
    <n v="123315.83"/>
    <n v="123315.83"/>
    <n v="123315.79"/>
    <n v="1510614.1300000004"/>
    <s v="OK"/>
    <n v="0"/>
    <n v="1510614.1299999997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EN LA GESTIÓN FINANCIERA MEDIANTE EL FORTALECIMIENTO DE LAS METODOLOGÍAS, MEJORAMIENTO DE PROCESOS FINANCIEROS INTERNOS, APLICACIÓN DE NORMATIVAS Y REGULACIONES VIGENTES. "/>
    <s v="PLANTA_CENTRAL"/>
    <x v="6"/>
    <x v="8"/>
    <s v="ADMINISTRACIÓN CENTRAL"/>
    <s v="CANCELACIÓN DE REMUNERACIONES Y BENEFICIOS SOCIALES"/>
    <n v="1"/>
    <x v="6"/>
    <n v="1"/>
    <n v="0"/>
    <n v="1"/>
    <n v="1700"/>
    <s v="PICHINCHA"/>
    <n v="1"/>
    <n v="0"/>
    <n v="0"/>
    <s v="CORRIENTE"/>
    <x v="3"/>
    <n v="510106"/>
    <s v="SALARIOS UNIFICADOS"/>
    <n v="324891"/>
    <n v="131456"/>
    <n v="11049"/>
    <n v="11049"/>
    <n v="11049"/>
    <n v="11049"/>
    <n v="11049"/>
    <n v="11049"/>
    <n v="11049"/>
    <n v="11049"/>
    <n v="11049"/>
    <n v="10671.67"/>
    <n v="10671.67"/>
    <n v="10671.66"/>
    <n v="131456"/>
    <s v="OK"/>
    <n v="0"/>
    <n v="131456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EN LA GESTIÓN FINANCIERA MEDIANTE EL FORTALECIMIENTO DE LAS METODOLOGÍAS, MEJORAMIENTO DE PROCESOS FINANCIEROS INTERNOS, APLICACIÓN DE NORMATIVAS Y REGULACIONES VIGENTES. "/>
    <s v="PLANTA_CENTRAL"/>
    <x v="6"/>
    <x v="8"/>
    <s v="ADMINISTRACIÓN CENTRAL"/>
    <s v="CANCELACIÓN DE REMUNERACIONES Y BENEFICIOS SOCIALES"/>
    <n v="1"/>
    <x v="6"/>
    <n v="1"/>
    <n v="0"/>
    <n v="1"/>
    <n v="1700"/>
    <s v="PICHINCHA"/>
    <n v="1"/>
    <n v="0"/>
    <n v="0"/>
    <s v="CORRIENTE"/>
    <x v="3"/>
    <n v="510203"/>
    <s v="DÉCIMO TERCER SUELDO"/>
    <n v="129000"/>
    <n v="154551.24"/>
    <n v="0"/>
    <n v="0"/>
    <n v="0"/>
    <n v="0"/>
    <n v="0"/>
    <n v="0"/>
    <n v="0"/>
    <n v="0"/>
    <n v="0"/>
    <n v="0"/>
    <n v="0"/>
    <n v="154551.24"/>
    <n v="154551.24"/>
    <s v="OK"/>
    <n v="0"/>
    <n v="154551.24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EN LA GESTIÓN FINANCIERA MEDIANTE EL FORTALECIMIENTO DE LAS METODOLOGÍAS, MEJORAMIENTO DE PROCESOS FINANCIEROS INTERNOS, APLICACIÓN DE NORMATIVAS Y REGULACIONES VIGENTES. "/>
    <s v="PLANTA_CENTRAL"/>
    <x v="6"/>
    <x v="8"/>
    <s v="ADMINISTRACIÓN CENTRAL"/>
    <s v="CANCELACIÓN DE REMUNERACIONES Y BENEFICIOS SOCIALES"/>
    <n v="1"/>
    <x v="6"/>
    <n v="1"/>
    <n v="0"/>
    <n v="1"/>
    <n v="1700"/>
    <s v="PICHINCHA"/>
    <n v="1"/>
    <n v="0"/>
    <n v="0"/>
    <s v="CORRIENTE"/>
    <x v="3"/>
    <n v="510204"/>
    <s v="DÉCIMO CUARTO SUELDO"/>
    <n v="48875"/>
    <n v="53433.73"/>
    <n v="0"/>
    <n v="0"/>
    <n v="0"/>
    <n v="0"/>
    <n v="0"/>
    <n v="0"/>
    <n v="0"/>
    <n v="53433.73"/>
    <n v="0"/>
    <n v="0"/>
    <n v="0"/>
    <n v="0"/>
    <n v="53433.73"/>
    <s v="OK"/>
    <n v="0"/>
    <n v="53433.73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EN LA GESTIÓN FINANCIERA MEDIANTE EL FORTALECIMIENTO DE LAS METODOLOGÍAS, MEJORAMIENTO DE PROCESOS FINANCIEROS INTERNOS, APLICACIÓN DE NORMATIVAS Y REGULACIONES VIGENTES. "/>
    <s v="PLANTA_CENTRAL"/>
    <x v="6"/>
    <x v="8"/>
    <s v="ADMINISTRACIÓN CENTRAL"/>
    <s v="CANCELACIÓN DE REMUNERACIONES Y BENEFICIOS SOCIALES"/>
    <n v="1"/>
    <x v="6"/>
    <n v="1"/>
    <n v="0"/>
    <n v="1"/>
    <n v="1700"/>
    <s v="PICHINCHA"/>
    <n v="1"/>
    <n v="0"/>
    <n v="0"/>
    <s v="CORRIENTE"/>
    <x v="3"/>
    <n v="510509"/>
    <s v="HORAS EXTRAORDINARIAS Y SUPLEMENTARIAS"/>
    <n v="16005"/>
    <n v="17005"/>
    <n v="1333"/>
    <n v="1333"/>
    <n v="1333"/>
    <n v="1333"/>
    <n v="1333"/>
    <n v="1333"/>
    <n v="1333"/>
    <n v="1333"/>
    <n v="1333"/>
    <n v="1666.33"/>
    <n v="1666.33"/>
    <n v="1675.34"/>
    <n v="17005"/>
    <s v="OK"/>
    <n v="0"/>
    <n v="17005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EN LA GESTIÓN FINANCIERA MEDIANTE EL FORTALECIMIENTO DE LAS METODOLOGÍAS, MEJORAMIENTO DE PROCESOS FINANCIEROS INTERNOS, APLICACIÓN DE NORMATIVAS Y REGULACIONES VIGENTES. "/>
    <s v="PLANTA_CENTRAL"/>
    <x v="6"/>
    <x v="8"/>
    <s v="ADMINISTRACIÓN CENTRAL"/>
    <s v="CANCELACIÓN DE REMUNERACIONES Y BENEFICIOS SOCIALES"/>
    <n v="1"/>
    <x v="6"/>
    <n v="1"/>
    <n v="0"/>
    <n v="1"/>
    <n v="1700"/>
    <s v="PICHINCHA"/>
    <n v="1"/>
    <n v="0"/>
    <n v="0"/>
    <s v="CORRIENTE"/>
    <x v="3"/>
    <n v="510510"/>
    <s v="SERVICIOS PERSONALES POR CONTRATO"/>
    <n v="324891"/>
    <n v="211249.2"/>
    <n v="18550"/>
    <n v="18550"/>
    <n v="18550"/>
    <n v="18550"/>
    <n v="18550"/>
    <n v="18550"/>
    <n v="17338"/>
    <n v="16522.240000000002"/>
    <n v="16522.240000000002"/>
    <n v="16522.240000000002"/>
    <n v="16522.240000000002"/>
    <n v="16522.240000000002"/>
    <n v="211249.19999999995"/>
    <s v="OK"/>
    <n v="0"/>
    <n v="211249.2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EN LA GESTIÓN FINANCIERA MEDIANTE EL FORTALECIMIENTO DE LAS METODOLOGÍAS, MEJORAMIENTO DE PROCESOS FINANCIEROS INTERNOS, APLICACIÓN DE NORMATIVAS Y REGULACIONES VIGENTES. "/>
    <s v="PLANTA_CENTRAL"/>
    <x v="6"/>
    <x v="8"/>
    <s v="ADMINISTRACIÓN CENTRAL"/>
    <s v="CANCELACIÓN DE REMUNERACIONES Y BENEFICIOS SOCIALES"/>
    <n v="1"/>
    <x v="6"/>
    <n v="1"/>
    <n v="0"/>
    <n v="1"/>
    <n v="1700"/>
    <s v="PICHINCHA"/>
    <n v="1"/>
    <n v="0"/>
    <n v="0"/>
    <s v="CORRIENTE"/>
    <x v="3"/>
    <n v="510512"/>
    <s v="SUBROGACIÓN "/>
    <n v="6700"/>
    <n v="10200"/>
    <n v="333.33"/>
    <n v="333.33"/>
    <n v="333.33"/>
    <n v="333.33"/>
    <n v="770.82999999999993"/>
    <n v="1156.44"/>
    <n v="1156.44"/>
    <n v="1156.44"/>
    <n v="1156.44"/>
    <n v="1156.44"/>
    <n v="1156.44"/>
    <n v="1157.21"/>
    <n v="10200"/>
    <s v="OK"/>
    <n v="0"/>
    <n v="1020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EN LA GESTIÓN FINANCIERA MEDIANTE EL FORTALECIMIENTO DE LAS METODOLOGÍAS, MEJORAMIENTO DE PROCESOS FINANCIEROS INTERNOS, APLICACIÓN DE NORMATIVAS Y REGULACIONES VIGENTES. "/>
    <s v="PLANTA_CENTRAL"/>
    <x v="6"/>
    <x v="8"/>
    <s v="ADMINISTRACIÓN CENTRAL"/>
    <s v="CANCELACIÓN DE REMUNERACIONES Y BENEFICIOS SOCIALES"/>
    <n v="1"/>
    <x v="6"/>
    <n v="1"/>
    <n v="0"/>
    <n v="1"/>
    <n v="1700"/>
    <s v="PICHINCHA"/>
    <n v="1"/>
    <n v="0"/>
    <n v="0"/>
    <s v="CORRIENTE"/>
    <x v="3"/>
    <n v="510513"/>
    <s v="ENCARGOS"/>
    <n v="2000"/>
    <n v="12640"/>
    <n v="375"/>
    <n v="375"/>
    <n v="185"/>
    <n v="261.67"/>
    <n v="492.92"/>
    <n v="950.06"/>
    <n v="950.06"/>
    <n v="1350.06"/>
    <n v="1350.06"/>
    <n v="2116.73"/>
    <n v="2116.73"/>
    <n v="2116.71"/>
    <n v="12640"/>
    <s v="OK"/>
    <n v="0"/>
    <n v="1264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EN LA GESTIÓN FINANCIERA MEDIANTE EL FORTALECIMIENTO DE LAS METODOLOGÍAS, MEJORAMIENTO DE PROCESOS FINANCIEROS INTERNOS, APLICACIÓN DE NORMATIVAS Y REGULACIONES VIGENTES. "/>
    <s v="PLANTA_CENTRAL"/>
    <x v="6"/>
    <x v="8"/>
    <s v="ADMINISTRACIÓN CENTRAL"/>
    <s v="CANCELACIÓN DE REMUNERACIONES Y BENEFICIOS SOCIALES"/>
    <n v="1"/>
    <x v="6"/>
    <n v="1"/>
    <n v="0"/>
    <n v="1"/>
    <n v="1700"/>
    <s v="PICHINCHA"/>
    <n v="1"/>
    <n v="0"/>
    <n v="0"/>
    <s v="CORRIENTE"/>
    <x v="3"/>
    <n v="510517"/>
    <s v="SERVICIOS PERSONALES POR CONTRATO DE PROFESIONALES DE LA SALUD"/>
    <n v="0"/>
    <n v="27384"/>
    <n v="1676"/>
    <n v="1676"/>
    <n v="1676"/>
    <n v="1676"/>
    <n v="1676"/>
    <n v="1676"/>
    <n v="2888"/>
    <n v="2888"/>
    <n v="2888"/>
    <n v="2888"/>
    <n v="2888"/>
    <n v="2888"/>
    <n v="27384"/>
    <s v="OK"/>
    <n v="0"/>
    <n v="27384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EN LA GESTIÓN FINANCIERA MEDIANTE EL FORTALECIMIENTO DE LAS METODOLOGÍAS, MEJORAMIENTO DE PROCESOS FINANCIEROS INTERNOS, APLICACIÓN DE NORMATIVAS Y REGULACIONES VIGENTES. "/>
    <s v="PLANTA_CENTRAL"/>
    <x v="6"/>
    <x v="8"/>
    <s v="ADMINISTRACIÓN CENTRAL"/>
    <s v="CANCELACIÓN DE REMUNERACIONES Y BENEFICIOS SOCIALES"/>
    <n v="1"/>
    <x v="6"/>
    <n v="1"/>
    <n v="0"/>
    <n v="1"/>
    <n v="1700"/>
    <s v="PICHINCHA"/>
    <n v="1"/>
    <n v="0"/>
    <n v="0"/>
    <s v="CORRIENTE"/>
    <x v="3"/>
    <n v="510601"/>
    <s v="APORTE PATRONAL"/>
    <n v="187487"/>
    <n v="185908.25"/>
    <n v="15160.92"/>
    <n v="15160.92"/>
    <n v="15160.92"/>
    <n v="15860.37"/>
    <n v="15860.37"/>
    <n v="15860.37"/>
    <n v="15860.37"/>
    <n v="15860.37"/>
    <n v="15860.37"/>
    <n v="15087.77"/>
    <n v="15087.77"/>
    <n v="15087.730000000001"/>
    <n v="185908.24999999997"/>
    <s v="OK"/>
    <n v="0"/>
    <n v="185908.25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EN LA GESTIÓN FINANCIERA MEDIANTE EL FORTALECIMIENTO DE LAS METODOLOGÍAS, MEJORAMIENTO DE PROCESOS FINANCIEROS INTERNOS, APLICACIÓN DE NORMATIVAS Y REGULACIONES VIGENTES. "/>
    <s v="PLANTA_CENTRAL"/>
    <x v="6"/>
    <x v="8"/>
    <s v="ADMINISTRACIÓN CENTRAL"/>
    <s v="CANCELACIÓN DE REMUNERACIONES Y BENEFICIOS SOCIALES"/>
    <n v="1"/>
    <x v="6"/>
    <n v="1"/>
    <n v="0"/>
    <n v="1"/>
    <n v="1700"/>
    <s v="PICHINCHA"/>
    <n v="1"/>
    <n v="0"/>
    <n v="0"/>
    <s v="CORRIENTE"/>
    <x v="3"/>
    <n v="510602"/>
    <s v="FONDO DE RESERVA"/>
    <n v="130421"/>
    <n v="146730.31"/>
    <n v="12104.67"/>
    <n v="12104.67"/>
    <n v="12104.67"/>
    <n v="13507.53"/>
    <n v="13338.2"/>
    <n v="12354.150000000001"/>
    <n v="12354.150000000001"/>
    <n v="12354.150000000001"/>
    <n v="12354.150000000001"/>
    <n v="11384.650000000001"/>
    <n v="11384.650000000001"/>
    <n v="11384.670000000002"/>
    <n v="146730.31"/>
    <s v="OK"/>
    <n v="0"/>
    <n v="146730.31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EN LA GESTIÓN FINANCIERA MEDIANTE EL FORTALECIMIENTO DE LAS METODOLOGÍAS, MEJORAMIENTO DE PROCESOS FINANCIEROS INTERNOS, APLICACIÓN DE NORMATIVAS Y REGULACIONES VIGENTES. "/>
    <s v="PLANTA_CENTRAL"/>
    <x v="6"/>
    <x v="8"/>
    <s v="ADMINISTRACIÓN CENTRAL"/>
    <s v="CANCELACIÓN DE REMUNERACIONES Y BENEFICIOS SOCIALES"/>
    <n v="1"/>
    <x v="6"/>
    <n v="1"/>
    <n v="0"/>
    <n v="1"/>
    <n v="1700"/>
    <s v="PICHINCHA"/>
    <n v="1"/>
    <n v="0"/>
    <n v="0"/>
    <s v="CORRIENTE"/>
    <x v="3"/>
    <n v="510704"/>
    <s v="COMPENSACIÓN POR DESAHUCIO"/>
    <n v="0"/>
    <n v="2588.75"/>
    <n v="0"/>
    <n v="0"/>
    <n v="0"/>
    <n v="0"/>
    <n v="0"/>
    <n v="0"/>
    <n v="2588.75"/>
    <n v="0"/>
    <n v="0"/>
    <n v="0"/>
    <n v="0"/>
    <n v="0"/>
    <n v="2588.75"/>
    <s v="OK"/>
    <n v="0"/>
    <n v="2588.75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EN LA GESTIÓN FINANCIERA MEDIANTE EL FORTALECIMIENTO DE LAS METODOLOGÍAS, MEJORAMIENTO DE PROCESOS FINANCIEROS INTERNOS, APLICACIÓN DE NORMATIVAS Y REGULACIONES VIGENTES. "/>
    <s v="PLANTA_CENTRAL"/>
    <x v="6"/>
    <x v="8"/>
    <s v="ADMINISTRACIÓN CENTRAL"/>
    <s v="CANCELACIÓN DE REMUNERACIONES Y BENEFICIOS SOCIALES"/>
    <n v="1"/>
    <x v="6"/>
    <n v="1"/>
    <n v="0"/>
    <n v="1"/>
    <n v="1700"/>
    <s v="PICHINCHA"/>
    <n v="1"/>
    <n v="0"/>
    <n v="0"/>
    <s v="CORRIENTE"/>
    <x v="3"/>
    <n v="510707"/>
    <s v="COMPENSACIÓN POR VACACIONES NO GOZADAS POR CESACIÓN DE FUNCIONES"/>
    <n v="0"/>
    <n v="33969.729999999996"/>
    <n v="0"/>
    <n v="0"/>
    <n v="845.52"/>
    <n v="1401.08"/>
    <n v="1824.21"/>
    <n v="1824.21"/>
    <n v="2763.29"/>
    <n v="5062.3"/>
    <n v="5062.3"/>
    <n v="5062.3"/>
    <n v="5062.3"/>
    <n v="5062.22"/>
    <n v="33969.729999999996"/>
    <s v="OK"/>
    <n v="0"/>
    <n v="33969.729999999996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EN LA GESTIÓN FINANCIERA MEDIANTE EL FORTALECIMIENTO DE LAS METODOLOGÍAS, MEJORAMIENTO DE PROCESOS FINANCIEROS INTERNOS, APLICACIÓN DE NORMATIVAS Y REGULACIONES VIGENTES. "/>
    <s v="PLANTA_CENTRAL"/>
    <x v="6"/>
    <x v="8"/>
    <s v="ADMINISTRACIÓN CENTRAL"/>
    <s v="CANCELACIÓN DE REMUNERACIONES Y BENEFICIOS SOCIALES"/>
    <n v="1"/>
    <x v="6"/>
    <n v="1"/>
    <n v="0"/>
    <n v="1"/>
    <n v="1700"/>
    <s v="PICHINCHA"/>
    <n v="1"/>
    <n v="0"/>
    <n v="0"/>
    <s v="CORRIENTE"/>
    <x v="4"/>
    <n v="990101"/>
    <s v="OBLIGACIONES DE EJERCICIOS ANTERIORES POR EGRESOS DE PERSONAL"/>
    <n v="0"/>
    <n v="9728.86"/>
    <n v="0"/>
    <n v="0"/>
    <n v="561.15"/>
    <n v="885.3"/>
    <n v="1035.3"/>
    <n v="1035.3"/>
    <n v="1035.3"/>
    <n v="1035.3"/>
    <n v="1035.3"/>
    <n v="1035.3"/>
    <n v="1035.3"/>
    <n v="1035.31"/>
    <n v="9728.86"/>
    <s v="OK"/>
    <n v="9095.93"/>
    <n v="632.93000000000029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EN LA GESTIÓN FINANCIERA MEDIANTE EL FORTALECIMIENTO DE LAS METODOLOGÍAS, MEJORAMIENTO DE PROCESOS FINANCIEROS INTERNOS, APLICACIÓN DE NORMATIVAS Y REGULACIONES VIGENTES. "/>
    <s v="PLANTA_CENTRAL"/>
    <x v="7"/>
    <x v="9"/>
    <s v="DOCTRINA"/>
    <s v="CANCELACIÓN DE REMUNERACIONES Y BENEFICIOS SOCIALES"/>
    <n v="1"/>
    <x v="6"/>
    <n v="55"/>
    <n v="0"/>
    <n v="1"/>
    <n v="1700"/>
    <s v="PICHINCHA"/>
    <n v="1"/>
    <n v="0"/>
    <n v="0"/>
    <s v="CORRIENTE"/>
    <x v="3"/>
    <n v="510105"/>
    <s v="REMUNERACIONES UNIFICADAS"/>
    <n v="173592"/>
    <n v="171916"/>
    <n v="14466"/>
    <n v="14466"/>
    <n v="14466"/>
    <n v="14466"/>
    <n v="14256.5"/>
    <n v="14256.5"/>
    <n v="14256.5"/>
    <n v="14256.5"/>
    <n v="14256.5"/>
    <n v="14256.5"/>
    <n v="14256.5"/>
    <n v="14256.5"/>
    <n v="171916"/>
    <s v="OK"/>
    <n v="0"/>
    <n v="171916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EN LA GESTIÓN FINANCIERA MEDIANTE EL FORTALECIMIENTO DE LAS METODOLOGÍAS, MEJORAMIENTO DE PROCESOS FINANCIEROS INTERNOS, APLICACIÓN DE NORMATIVAS Y REGULACIONES VIGENTES. "/>
    <s v="PLANTA_CENTRAL"/>
    <x v="7"/>
    <x v="9"/>
    <s v="DOCTRINA"/>
    <s v="CANCELACIÓN DE REMUNERACIONES Y BENEFICIOS SOCIALES"/>
    <n v="1"/>
    <x v="6"/>
    <n v="55"/>
    <n v="0"/>
    <n v="1"/>
    <n v="1700"/>
    <s v="PICHINCHA"/>
    <n v="1"/>
    <n v="0"/>
    <n v="0"/>
    <s v="CORRIENTE"/>
    <x v="3"/>
    <n v="510203"/>
    <s v="DÉCIMO TERCER SUELDO"/>
    <n v="12466"/>
    <n v="14466.01"/>
    <n v="0"/>
    <n v="0"/>
    <n v="0"/>
    <n v="0"/>
    <n v="0"/>
    <n v="0"/>
    <n v="0"/>
    <n v="0"/>
    <n v="0"/>
    <n v="0"/>
    <n v="0"/>
    <n v="14466.01"/>
    <n v="14466.01"/>
    <s v="OK"/>
    <n v="0"/>
    <n v="14466.01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EN LA GESTIÓN FINANCIERA MEDIANTE EL FORTALECIMIENTO DE LAS METODOLOGÍAS, MEJORAMIENTO DE PROCESOS FINANCIEROS INTERNOS, APLICACIÓN DE NORMATIVAS Y REGULACIONES VIGENTES. "/>
    <s v="PLANTA_CENTRAL"/>
    <x v="7"/>
    <x v="9"/>
    <s v="DOCTRINA"/>
    <s v="CANCELACIÓN DE REMUNERACIONES Y BENEFICIOS SOCIALES"/>
    <n v="1"/>
    <x v="6"/>
    <n v="55"/>
    <n v="0"/>
    <n v="1"/>
    <n v="1700"/>
    <s v="PICHINCHA"/>
    <n v="1"/>
    <n v="0"/>
    <n v="0"/>
    <s v="CORRIENTE"/>
    <x v="3"/>
    <n v="510204"/>
    <s v="DÉCIMO CUARTO SUELDO"/>
    <n v="2975"/>
    <n v="3112.5"/>
    <n v="0"/>
    <n v="0"/>
    <n v="0"/>
    <n v="0"/>
    <n v="0"/>
    <n v="0"/>
    <n v="0"/>
    <n v="3112.5"/>
    <n v="0"/>
    <n v="0"/>
    <n v="0"/>
    <n v="0"/>
    <n v="3112.5"/>
    <s v="OK"/>
    <n v="0"/>
    <n v="3112.5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EN LA GESTIÓN FINANCIERA MEDIANTE EL FORTALECIMIENTO DE LAS METODOLOGÍAS, MEJORAMIENTO DE PROCESOS FINANCIEROS INTERNOS, APLICACIÓN DE NORMATIVAS Y REGULACIONES VIGENTES. "/>
    <s v="PLANTA_CENTRAL"/>
    <x v="7"/>
    <x v="9"/>
    <s v="DOCTRINA"/>
    <s v="CANCELACIÓN DE REMUNERACIONES Y BENEFICIOS SOCIALES"/>
    <n v="1"/>
    <x v="6"/>
    <n v="55"/>
    <n v="0"/>
    <n v="1"/>
    <n v="1700"/>
    <s v="PICHINCHA"/>
    <n v="1"/>
    <n v="0"/>
    <n v="0"/>
    <s v="CORRIENTE"/>
    <x v="3"/>
    <n v="510512"/>
    <s v="SUBROGACIÓN "/>
    <n v="0"/>
    <n v="9450"/>
    <n v="0"/>
    <n v="0"/>
    <n v="300"/>
    <n v="650"/>
    <n v="0"/>
    <n v="8500"/>
    <n v="0"/>
    <n v="0"/>
    <n v="0"/>
    <n v="0"/>
    <n v="0"/>
    <n v="0"/>
    <n v="9450"/>
    <s v="OK"/>
    <n v="0"/>
    <n v="945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EN LA GESTIÓN FINANCIERA MEDIANTE EL FORTALECIMIENTO DE LAS METODOLOGÍAS, MEJORAMIENTO DE PROCESOS FINANCIEROS INTERNOS, APLICACIÓN DE NORMATIVAS Y REGULACIONES VIGENTES. "/>
    <s v="PLANTA_CENTRAL"/>
    <x v="7"/>
    <x v="10"/>
    <s v="DOCTRINA"/>
    <s v="CANCELACIÓN DE REMUNERACIONES Y BENEFICIOS SOCIALES"/>
    <n v="1"/>
    <x v="6"/>
    <n v="55"/>
    <n v="0"/>
    <n v="1"/>
    <n v="1700"/>
    <s v="PICHINCHA"/>
    <n v="1"/>
    <n v="0"/>
    <n v="0"/>
    <s v="CORRIENTE"/>
    <x v="3"/>
    <n v="510513"/>
    <s v="ENCARGOS"/>
    <n v="0"/>
    <n v="2800"/>
    <n v="0"/>
    <n v="0"/>
    <n v="0"/>
    <n v="0"/>
    <n v="0"/>
    <n v="2800"/>
    <n v="0"/>
    <n v="0"/>
    <n v="0"/>
    <n v="0"/>
    <n v="0"/>
    <n v="0"/>
    <n v="2800"/>
    <s v="OK"/>
    <n v="0"/>
    <n v="280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EN LA GESTIÓN FINANCIERA MEDIANTE EL FORTALECIMIENTO DE LAS METODOLOGÍAS, MEJORAMIENTO DE PROCESOS FINANCIEROS INTERNOS, APLICACIÓN DE NORMATIVAS Y REGULACIONES VIGENTES. "/>
    <s v="PLANTA_CENTRAL"/>
    <x v="7"/>
    <x v="9"/>
    <s v="DOCTRINA"/>
    <s v="CANCELACIÓN DE REMUNERACIONES Y BENEFICIOS SOCIALES"/>
    <n v="1"/>
    <x v="6"/>
    <n v="55"/>
    <n v="0"/>
    <n v="1"/>
    <n v="1700"/>
    <s v="PICHINCHA"/>
    <n v="1"/>
    <n v="0"/>
    <n v="0"/>
    <s v="CORRIENTE"/>
    <x v="3"/>
    <n v="510601"/>
    <s v="APORTE PATRONAL"/>
    <n v="16751"/>
    <n v="17645.38"/>
    <n v="1354.58"/>
    <n v="1354.58"/>
    <n v="1354.58"/>
    <n v="1485.33"/>
    <n v="1485.33"/>
    <n v="1515.85"/>
    <n v="1515.85"/>
    <n v="1515.85"/>
    <n v="1515.85"/>
    <n v="1515.85"/>
    <n v="1515.85"/>
    <n v="1515.8799999999999"/>
    <n v="17645.38"/>
    <s v="OK"/>
    <n v="0"/>
    <n v="17645.38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EN LA GESTIÓN FINANCIERA MEDIANTE EL FORTALECIMIENTO DE LAS METODOLOGÍAS, MEJORAMIENTO DE PROCESOS FINANCIEROS INTERNOS, APLICACIÓN DE NORMATIVAS Y REGULACIONES VIGENTES. "/>
    <s v="PLANTA_CENTRAL"/>
    <x v="7"/>
    <x v="9"/>
    <s v="DOCTRINA"/>
    <s v="CANCELACIÓN DE REMUNERACIONES Y BENEFICIOS SOCIALES"/>
    <n v="1"/>
    <x v="6"/>
    <n v="55"/>
    <n v="0"/>
    <n v="1"/>
    <n v="1700"/>
    <s v="PICHINCHA"/>
    <n v="1"/>
    <n v="0"/>
    <n v="0"/>
    <s v="CORRIENTE"/>
    <x v="3"/>
    <n v="510602"/>
    <s v="FONDO DE RESERVA"/>
    <n v="12466"/>
    <n v="14620.4"/>
    <n v="1118.75"/>
    <n v="1118.75"/>
    <n v="1118.75"/>
    <n v="1385.52"/>
    <n v="1234.83"/>
    <n v="1234.83"/>
    <n v="1234.83"/>
    <n v="1234.83"/>
    <n v="1234.83"/>
    <n v="1234.83"/>
    <n v="1234.83"/>
    <n v="1234.82"/>
    <n v="14620.4"/>
    <s v="OK"/>
    <n v="0"/>
    <n v="14620.4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EN LA GESTIÓN FINANCIERA MEDIANTE EL FORTALECIMIENTO DE LAS METODOLOGÍAS, MEJORAMIENTO DE PROCESOS FINANCIEROS INTERNOS, APLICACIÓN DE NORMATIVAS Y REGULACIONES VIGENTES. "/>
    <s v="PLANTA_CENTRAL"/>
    <x v="7"/>
    <x v="9"/>
    <s v="DOCTRINA"/>
    <s v="CANCELACIÓN DE REMUNERACIONES Y BENEFICIOS SOCIALES"/>
    <n v="1"/>
    <x v="6"/>
    <n v="55"/>
    <n v="0"/>
    <n v="1"/>
    <n v="1700"/>
    <s v="PICHINCHA"/>
    <n v="1"/>
    <n v="0"/>
    <n v="0"/>
    <s v="CORRIENTE"/>
    <x v="3"/>
    <n v="510707"/>
    <s v="COMPENSACIÓN POR VACACIONES NO GOZADAS POR CESACIÓN DE FUNCIONES"/>
    <n v="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EN LA GESTIÓN FINANCIERA MEDIANTE EL FORTALECIMIENTO DE LAS METODOLOGÍAS, MEJORAMIENTO DE PROCESOS FINANCIEROS INTERNOS, APLICACIÓN DE NORMATIVAS Y REGULACIONES VIGENTES. "/>
    <s v="PLANTA_CENTRAL"/>
    <x v="8"/>
    <x v="11"/>
    <s v="OPERACIONES"/>
    <s v="CANCELACIÓN DE REMUNERACIONES Y BENEFICIOS SOCIALES"/>
    <n v="1"/>
    <x v="6"/>
    <n v="55"/>
    <n v="0"/>
    <n v="2"/>
    <n v="1700"/>
    <s v="PICHINCHA"/>
    <n v="1"/>
    <n v="0"/>
    <n v="0"/>
    <s v="CORRIENTE"/>
    <x v="3"/>
    <n v="510105"/>
    <s v="REMUNERACIONES UNIFICADAS"/>
    <n v="1354716"/>
    <n v="1317583.8900000001"/>
    <n v="112831.92"/>
    <n v="112831.92"/>
    <n v="112440.47"/>
    <n v="112329.4"/>
    <n v="111073.87"/>
    <n v="108716.56"/>
    <n v="108716.56"/>
    <n v="108336.56"/>
    <n v="108336.56"/>
    <n v="107323.36"/>
    <n v="107323.36"/>
    <n v="107323.34999999999"/>
    <n v="1317583.8900000004"/>
    <s v="OK"/>
    <n v="0"/>
    <n v="1317583.8900000001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EN LA GESTIÓN FINANCIERA MEDIANTE EL FORTALECIMIENTO DE LAS METODOLOGÍAS, MEJORAMIENTO DE PROCESOS FINANCIEROS INTERNOS, APLICACIÓN DE NORMATIVAS Y REGULACIONES VIGENTES. "/>
    <s v="PLANTA_CENTRAL"/>
    <x v="8"/>
    <x v="11"/>
    <s v="OPERACIONES"/>
    <s v="CANCELACIÓN DE REMUNERACIONES Y BENEFICIOS SOCIALES"/>
    <n v="1"/>
    <x v="6"/>
    <n v="55"/>
    <n v="0"/>
    <n v="2"/>
    <n v="1700"/>
    <s v="PICHINCHA"/>
    <n v="1"/>
    <n v="0"/>
    <n v="0"/>
    <s v="CORRIENTE"/>
    <x v="3"/>
    <n v="510203"/>
    <s v="DÉCIMO TERCER SUELDO"/>
    <n v="80791"/>
    <n v="123135.01999999999"/>
    <n v="0"/>
    <n v="0"/>
    <n v="0"/>
    <n v="0"/>
    <n v="0"/>
    <n v="0"/>
    <n v="0"/>
    <n v="0"/>
    <n v="0"/>
    <n v="0"/>
    <n v="0"/>
    <n v="123135.02"/>
    <n v="123135.02"/>
    <s v="OK"/>
    <n v="0"/>
    <n v="123135.01999999999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EN LA GESTIÓN FINANCIERA MEDIANTE EL FORTALECIMIENTO DE LAS METODOLOGÍAS, MEJORAMIENTO DE PROCESOS FINANCIEROS INTERNOS, APLICACIÓN DE NORMATIVAS Y REGULACIONES VIGENTES. "/>
    <s v="PLANTA_CENTRAL"/>
    <x v="8"/>
    <x v="11"/>
    <s v="OPERACIONES"/>
    <s v="CANCELACIÓN DE REMUNERACIONES Y BENEFICIOS SOCIALES"/>
    <n v="1"/>
    <x v="6"/>
    <n v="55"/>
    <n v="0"/>
    <n v="2"/>
    <n v="1700"/>
    <s v="PICHINCHA"/>
    <n v="1"/>
    <n v="0"/>
    <n v="0"/>
    <s v="CORRIENTE"/>
    <x v="3"/>
    <n v="510204"/>
    <s v="DÉCIMO CUARTO SUELDO"/>
    <n v="64600"/>
    <n v="66107.039999999994"/>
    <n v="0"/>
    <n v="0"/>
    <n v="0"/>
    <n v="0"/>
    <n v="0"/>
    <n v="0"/>
    <n v="0"/>
    <n v="66107.039999999994"/>
    <n v="0"/>
    <n v="0"/>
    <n v="0"/>
    <n v="0"/>
    <n v="66107.039999999994"/>
    <s v="OK"/>
    <n v="0"/>
    <n v="66107.039999999994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EN LA GESTIÓN FINANCIERA MEDIANTE EL FORTALECIMIENTO DE LAS METODOLOGÍAS, MEJORAMIENTO DE PROCESOS FINANCIEROS INTERNOS, APLICACIÓN DE NORMATIVAS Y REGULACIONES VIGENTES. "/>
    <s v="PLANTA_CENTRAL"/>
    <x v="8"/>
    <x v="11"/>
    <s v="OPERACIONES"/>
    <s v="CANCELACIÓN DE REMUNERACIONES Y BENEFICIOS SOCIALES"/>
    <n v="1"/>
    <x v="6"/>
    <n v="55"/>
    <n v="0"/>
    <n v="2"/>
    <n v="1700"/>
    <s v="PICHINCHA"/>
    <n v="1"/>
    <n v="0"/>
    <n v="0"/>
    <s v="CORRIENTE"/>
    <x v="3"/>
    <n v="510510"/>
    <s v="SERVICIOS PERSONALES POR CONTRATO"/>
    <n v="166776"/>
    <n v="144952"/>
    <n v="12432"/>
    <n v="12432"/>
    <n v="12432"/>
    <n v="12432"/>
    <n v="12065.5"/>
    <n v="12065.5"/>
    <n v="12065.5"/>
    <n v="11805.5"/>
    <n v="11805.5"/>
    <n v="11805.5"/>
    <n v="11805.5"/>
    <n v="11805.5"/>
    <n v="144952"/>
    <s v="OK"/>
    <n v="0"/>
    <n v="144952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EN LA GESTIÓN FINANCIERA MEDIANTE EL FORTALECIMIENTO DE LAS METODOLOGÍAS, MEJORAMIENTO DE PROCESOS FINANCIEROS INTERNOS, APLICACIÓN DE NORMATIVAS Y REGULACIONES VIGENTES. "/>
    <s v="PLANTA_CENTRAL"/>
    <x v="8"/>
    <x v="11"/>
    <s v="OPERACIONES"/>
    <s v="CANCELACIÓN DE REMUNERACIONES Y BENEFICIOS SOCIALES"/>
    <n v="1"/>
    <x v="6"/>
    <n v="55"/>
    <n v="0"/>
    <n v="2"/>
    <n v="1700"/>
    <s v="PICHINCHA"/>
    <n v="1"/>
    <n v="0"/>
    <n v="0"/>
    <s v="CORRIENTE"/>
    <x v="3"/>
    <n v="510512"/>
    <s v="SUBROGACIÓN "/>
    <n v="1000"/>
    <n v="4038"/>
    <n v="98.5"/>
    <n v="98.5"/>
    <n v="297.10000000000002"/>
    <n v="238.21000000000004"/>
    <n v="288.21000000000004"/>
    <n v="431.07000000000005"/>
    <n v="431.07000000000005"/>
    <n v="431.07000000000005"/>
    <n v="431.07000000000005"/>
    <n v="431.07000000000005"/>
    <n v="431.07000000000005"/>
    <n v="431.06000000000006"/>
    <n v="4038.0000000000009"/>
    <s v="OK"/>
    <n v="0"/>
    <n v="4038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EN LA GESTIÓN FINANCIERA MEDIANTE EL FORTALECIMIENTO DE LAS METODOLOGÍAS, MEJORAMIENTO DE PROCESOS FINANCIEROS INTERNOS, APLICACIÓN DE NORMATIVAS Y REGULACIONES VIGENTES. "/>
    <s v="PLANTA_CENTRAL"/>
    <x v="8"/>
    <x v="11"/>
    <s v="OPERACIONES"/>
    <s v="CANCELACIÓN DE REMUNERACIONES Y BENEFICIOS SOCIALES"/>
    <n v="1"/>
    <x v="6"/>
    <n v="55"/>
    <n v="0"/>
    <n v="2"/>
    <n v="1700"/>
    <s v="PICHINCHA"/>
    <n v="1"/>
    <n v="0"/>
    <n v="0"/>
    <s v="CORRIENTE"/>
    <x v="3"/>
    <n v="510513"/>
    <s v="ENCARGOS"/>
    <n v="0"/>
    <n v="4650"/>
    <n v="0"/>
    <n v="0"/>
    <n v="0"/>
    <n v="0"/>
    <n v="0"/>
    <n v="4650"/>
    <n v="0"/>
    <n v="0"/>
    <n v="0"/>
    <n v="0"/>
    <n v="0"/>
    <n v="0"/>
    <n v="4650"/>
    <s v="OK"/>
    <n v="0"/>
    <n v="465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EN LA GESTIÓN FINANCIERA MEDIANTE EL FORTALECIMIENTO DE LAS METODOLOGÍAS, MEJORAMIENTO DE PROCESOS FINANCIEROS INTERNOS, APLICACIÓN DE NORMATIVAS Y REGULACIONES VIGENTES. "/>
    <s v="PLANTA_CENTRAL"/>
    <x v="8"/>
    <x v="11"/>
    <s v="OPERACIONES"/>
    <s v="CANCELACIÓN DE REMUNERACIONES Y BENEFICIOS SOCIALES"/>
    <n v="1"/>
    <x v="6"/>
    <n v="55"/>
    <n v="0"/>
    <n v="2"/>
    <n v="1700"/>
    <s v="PICHINCHA"/>
    <n v="1"/>
    <n v="0"/>
    <n v="0"/>
    <s v="CORRIENTE"/>
    <x v="3"/>
    <n v="510601"/>
    <s v="APORTE PATRONAL"/>
    <n v="146823"/>
    <n v="142472"/>
    <n v="11872.67"/>
    <n v="11872.67"/>
    <n v="11872.67"/>
    <n v="11872.67"/>
    <n v="11872.67"/>
    <n v="11872.67"/>
    <n v="11872.67"/>
    <n v="11872.67"/>
    <n v="11872.67"/>
    <n v="11872.67"/>
    <n v="11872.67"/>
    <n v="11872.63"/>
    <n v="142472"/>
    <s v="OK"/>
    <n v="0"/>
    <n v="142472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EN LA GESTIÓN FINANCIERA MEDIANTE EL FORTALECIMIENTO DE LAS METODOLOGÍAS, MEJORAMIENTO DE PROCESOS FINANCIEROS INTERNOS, APLICACIÓN DE NORMATIVAS Y REGULACIONES VIGENTES. "/>
    <s v="PLANTA_CENTRAL"/>
    <x v="8"/>
    <x v="11"/>
    <s v="OPERACIONES"/>
    <s v="CANCELACIÓN DE REMUNERACIONES Y BENEFICIOS SOCIALES"/>
    <n v="1"/>
    <x v="6"/>
    <n v="55"/>
    <n v="0"/>
    <n v="2"/>
    <n v="1700"/>
    <s v="PICHINCHA"/>
    <n v="1"/>
    <n v="0"/>
    <n v="0"/>
    <s v="CORRIENTE"/>
    <x v="3"/>
    <n v="510602"/>
    <s v="FONDO DE RESERVA"/>
    <n v="80791"/>
    <n v="115085.03"/>
    <n v="9341.67"/>
    <n v="9341.67"/>
    <n v="9341.67"/>
    <n v="9341.67"/>
    <n v="9341.67"/>
    <n v="9768.1"/>
    <n v="9768.1"/>
    <n v="9768.1"/>
    <n v="9768.1"/>
    <n v="9768.1"/>
    <n v="9768.1"/>
    <n v="9768.08"/>
    <n v="115085.03000000003"/>
    <s v="OK"/>
    <n v="0"/>
    <n v="115085.03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EN LA GESTIÓN FINANCIERA MEDIANTE EL FORTALECIMIENTO DE LAS METODOLOGÍAS, MEJORAMIENTO DE PROCESOS FINANCIEROS INTERNOS, APLICACIÓN DE NORMATIVAS Y REGULACIONES VIGENTES. "/>
    <s v="PLANTA_CENTRAL"/>
    <x v="8"/>
    <x v="11"/>
    <s v="OPERACIONES"/>
    <s v="CANCELACIÓN DE REMUNERACIONES Y BENEFICIOS SOCIALES"/>
    <n v="1"/>
    <x v="6"/>
    <n v="55"/>
    <n v="0"/>
    <n v="2"/>
    <n v="1700"/>
    <s v="PICHINCHA"/>
    <n v="1"/>
    <n v="0"/>
    <n v="0"/>
    <s v="CORRIENTE"/>
    <x v="3"/>
    <n v="510707"/>
    <s v="COMPENSACIÓN POR VACACIONES NO GOZADAS POR CESACIÓN DE FUNCIONES"/>
    <n v="0"/>
    <n v="9894.77"/>
    <n v="0"/>
    <n v="0"/>
    <n v="179.58"/>
    <n v="726.66000000000008"/>
    <n v="726.66000000000008"/>
    <n v="726.66000000000008"/>
    <n v="726.66000000000008"/>
    <n v="1361.71"/>
    <n v="1361.71"/>
    <n v="1361.71"/>
    <n v="1361.71"/>
    <n v="1361.71"/>
    <n v="9894.77"/>
    <s v="OK"/>
    <n v="0"/>
    <n v="9894.77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EN LA GESTIÓN FINANCIERA MEDIANTE EL FORTALECIMIENTO DE LAS METODOLOGÍAS, MEJORAMIENTO DE PROCESOS FINANCIEROS INTERNOS, APLICACIÓN DE NORMATIVAS Y REGULACIONES VIGENTES. "/>
    <s v="PLANTA_CENTRAL"/>
    <x v="9"/>
    <x v="12"/>
    <s v="TECNOLOGÍA"/>
    <s v="CANCELACIÓN DE REMUNERACIONES Y BENEFICIOS SOCIALES"/>
    <n v="1"/>
    <x v="6"/>
    <n v="55"/>
    <n v="0"/>
    <n v="3"/>
    <n v="1700"/>
    <s v="PICHINCHA"/>
    <n v="1"/>
    <n v="0"/>
    <n v="0"/>
    <s v="CORRIENTE"/>
    <x v="3"/>
    <n v="510105"/>
    <s v="REMUNERACIONES UNIFICADAS"/>
    <n v="323460"/>
    <n v="308779.59999999998"/>
    <n v="26955"/>
    <n v="26955"/>
    <n v="26955"/>
    <n v="26955"/>
    <n v="26299.37"/>
    <n v="26299.37"/>
    <n v="26299.37"/>
    <n v="24971.969999999998"/>
    <n v="24971.969999999998"/>
    <n v="24039.17"/>
    <n v="24039.17"/>
    <n v="24039.21"/>
    <n v="308779.59999999998"/>
    <s v="OK"/>
    <n v="0"/>
    <n v="308779.59999999998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EN LA GESTIÓN FINANCIERA MEDIANTE EL FORTALECIMIENTO DE LAS METODOLOGÍAS, MEJORAMIENTO DE PROCESOS FINANCIEROS INTERNOS, APLICACIÓN DE NORMATIVAS Y REGULACIONES VIGENTES. "/>
    <s v="PLANTA_CENTRAL"/>
    <x v="9"/>
    <x v="12"/>
    <s v="TECNOLOGÍA"/>
    <s v="CANCELACIÓN DE REMUNERACIONES Y BENEFICIOS SOCIALES"/>
    <n v="1"/>
    <x v="6"/>
    <n v="55"/>
    <n v="0"/>
    <n v="3"/>
    <n v="1700"/>
    <s v="PICHINCHA"/>
    <n v="1"/>
    <n v="0"/>
    <n v="0"/>
    <s v="CORRIENTE"/>
    <x v="3"/>
    <n v="510203"/>
    <s v="DÉCIMO TERCER SUELDO"/>
    <n v="18167"/>
    <n v="27853.73"/>
    <n v="0"/>
    <n v="0"/>
    <n v="0"/>
    <n v="0"/>
    <n v="0"/>
    <n v="0"/>
    <n v="0"/>
    <n v="0"/>
    <n v="0"/>
    <n v="0"/>
    <n v="0"/>
    <n v="27853.73"/>
    <n v="27853.73"/>
    <s v="OK"/>
    <n v="0"/>
    <n v="27853.73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EN LA GESTIÓN FINANCIERA MEDIANTE EL FORTALECIMIENTO DE LAS METODOLOGÍAS, MEJORAMIENTO DE PROCESOS FINANCIEROS INTERNOS, APLICACIÓN DE NORMATIVAS Y REGULACIONES VIGENTES. "/>
    <s v="PLANTA_CENTRAL"/>
    <x v="9"/>
    <x v="12"/>
    <s v="TECNOLOGÍA"/>
    <s v="CANCELACIÓN DE REMUNERACIONES Y BENEFICIOS SOCIALES"/>
    <n v="1"/>
    <x v="6"/>
    <n v="55"/>
    <n v="0"/>
    <n v="3"/>
    <n v="1700"/>
    <s v="PICHINCHA"/>
    <n v="1"/>
    <n v="0"/>
    <n v="0"/>
    <s v="CORRIENTE"/>
    <x v="3"/>
    <n v="510204"/>
    <s v="DÉCIMO CUARTO SUELDO"/>
    <n v="600"/>
    <n v="7135"/>
    <n v="0"/>
    <n v="0"/>
    <n v="0"/>
    <n v="0"/>
    <n v="0"/>
    <n v="0"/>
    <n v="0"/>
    <n v="7135"/>
    <n v="0"/>
    <n v="0"/>
    <n v="0"/>
    <n v="0"/>
    <n v="7135"/>
    <s v="OK"/>
    <n v="0"/>
    <n v="7135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EN LA GESTIÓN FINANCIERA MEDIANTE EL FORTALECIMIENTO DE LAS METODOLOGÍAS, MEJORAMIENTO DE PROCESOS FINANCIEROS INTERNOS, APLICACIÓN DE NORMATIVAS Y REGULACIONES VIGENTES. "/>
    <s v="PLANTA_CENTRAL"/>
    <x v="9"/>
    <x v="12"/>
    <s v="TECNOLOGÍA"/>
    <s v="CANCELACIÓN DE REMUNERACIONES Y BENEFICIOS SOCIALES"/>
    <n v="1"/>
    <x v="6"/>
    <n v="55"/>
    <n v="0"/>
    <n v="3"/>
    <n v="1700"/>
    <s v="PICHINCHA"/>
    <n v="1"/>
    <n v="0"/>
    <n v="0"/>
    <s v="CORRIENTE"/>
    <x v="3"/>
    <n v="510306"/>
    <s v="ALIMENTACION"/>
    <n v="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EN LA GESTIÓN FINANCIERA MEDIANTE EL FORTALECIMIENTO DE LAS METODOLOGÍAS, MEJORAMIENTO DE PROCESOS FINANCIEROS INTERNOS, APLICACIÓN DE NORMATIVAS Y REGULACIONES VIGENTES. "/>
    <s v="PLANTA_CENTRAL"/>
    <x v="9"/>
    <x v="12"/>
    <s v="TECNOLOGÍA"/>
    <s v="CANCELACIÓN DE REMUNERACIONES Y BENEFICIOS SOCIALES"/>
    <n v="1"/>
    <x v="6"/>
    <n v="55"/>
    <n v="0"/>
    <n v="3"/>
    <n v="1700"/>
    <s v="PICHINCHA"/>
    <n v="1"/>
    <n v="0"/>
    <n v="0"/>
    <s v="CORRIENTE"/>
    <x v="3"/>
    <n v="510401"/>
    <s v="POR CARGAS FAMILIARES"/>
    <n v="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EN LA GESTIÓN FINANCIERA MEDIANTE EL FORTALECIMIENTO DE LAS METODOLOGÍAS, MEJORAMIENTO DE PROCESOS FINANCIEROS INTERNOS, APLICACIÓN DE NORMATIVAS Y REGULACIONES VIGENTES. "/>
    <s v="PLANTA_CENTRAL"/>
    <x v="9"/>
    <x v="12"/>
    <s v="TECNOLOGÍA"/>
    <s v="CANCELACIÓN DE REMUNERACIONES Y BENEFICIOS SOCIALES"/>
    <n v="1"/>
    <x v="6"/>
    <n v="55"/>
    <n v="0"/>
    <n v="3"/>
    <n v="1700"/>
    <s v="PICHINCHA"/>
    <n v="1"/>
    <n v="0"/>
    <n v="0"/>
    <s v="CORRIENTE"/>
    <x v="3"/>
    <n v="510408"/>
    <s v="SUBSIDIO DE ANTIGUEDAD"/>
    <n v="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EN LA GESTIÓN FINANCIERA MEDIANTE EL FORTALECIMIENTO DE LAS METODOLOGÍAS, MEJORAMIENTO DE PROCESOS FINANCIEROS INTERNOS, APLICACIÓN DE NORMATIVAS Y REGULACIONES VIGENTES. "/>
    <s v="PLANTA_CENTRAL"/>
    <x v="9"/>
    <x v="12"/>
    <s v="TECNOLOGÍA"/>
    <s v="CANCELACIÓN DE REMUNERACIONES Y BENEFICIOS SOCIALES"/>
    <n v="1"/>
    <x v="6"/>
    <n v="55"/>
    <n v="0"/>
    <n v="3"/>
    <n v="1700"/>
    <s v="PICHINCHA"/>
    <n v="1"/>
    <n v="0"/>
    <n v="0"/>
    <s v="CORRIENTE"/>
    <x v="3"/>
    <n v="510510"/>
    <s v="SERVICIOS PERSONALES POR CONTRATO"/>
    <n v="14544"/>
    <n v="14544"/>
    <n v="1212"/>
    <n v="1212"/>
    <n v="1212"/>
    <n v="1212"/>
    <n v="1212"/>
    <n v="1212"/>
    <n v="1212"/>
    <n v="1212"/>
    <n v="1212"/>
    <n v="1212"/>
    <n v="1212"/>
    <n v="1212"/>
    <n v="14544"/>
    <s v="OK"/>
    <n v="0"/>
    <n v="14544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EN LA GESTIÓN FINANCIERA MEDIANTE EL FORTALECIMIENTO DE LAS METODOLOGÍAS, MEJORAMIENTO DE PROCESOS FINANCIEROS INTERNOS, APLICACIÓN DE NORMATIVAS Y REGULACIONES VIGENTES. "/>
    <s v="PLANTA_CENTRAL"/>
    <x v="9"/>
    <x v="12"/>
    <s v="TECNOLOGÍA"/>
    <s v="CANCELACIÓN DE REMUNERACIONES Y BENEFICIOS SOCIALES"/>
    <n v="1"/>
    <x v="6"/>
    <n v="55"/>
    <n v="0"/>
    <n v="3"/>
    <n v="1700"/>
    <s v="PICHINCHA"/>
    <n v="1"/>
    <n v="0"/>
    <n v="0"/>
    <s v="CORRIENTE"/>
    <x v="3"/>
    <n v="510512"/>
    <s v="SUBROGACIÓN "/>
    <n v="1000"/>
    <n v="936"/>
    <n v="98.5"/>
    <n v="98.5"/>
    <n v="43.9"/>
    <n v="43.9"/>
    <n v="56.4"/>
    <n v="156.4"/>
    <n v="156.4"/>
    <n v="56.400000000000006"/>
    <n v="56.400000000000006"/>
    <n v="56.400000000000006"/>
    <n v="56.400000000000006"/>
    <n v="56.400000000000006"/>
    <n v="935.99999999999989"/>
    <s v="OK"/>
    <n v="0"/>
    <n v="936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EN LA GESTIÓN FINANCIERA MEDIANTE EL FORTALECIMIENTO DE LAS METODOLOGÍAS, MEJORAMIENTO DE PROCESOS FINANCIEROS INTERNOS, APLICACIÓN DE NORMATIVAS Y REGULACIONES VIGENTES. "/>
    <s v="PLANTA_CENTRAL"/>
    <x v="9"/>
    <x v="12"/>
    <s v="TECNOLOGÍA"/>
    <s v="CANCELACIÓN DE REMUNERACIONES Y BENEFICIOS SOCIALES"/>
    <n v="1"/>
    <x v="6"/>
    <n v="55"/>
    <n v="0"/>
    <n v="3"/>
    <n v="1700"/>
    <s v="PICHINCHA"/>
    <n v="1"/>
    <n v="0"/>
    <n v="0"/>
    <s v="CORRIENTE"/>
    <x v="3"/>
    <n v="510513"/>
    <s v="ENCARGOS"/>
    <n v="0"/>
    <n v="3500"/>
    <n v="0"/>
    <n v="0"/>
    <n v="0"/>
    <n v="0"/>
    <n v="0"/>
    <n v="0"/>
    <n v="0"/>
    <n v="0"/>
    <n v="0"/>
    <n v="3500"/>
    <n v="0"/>
    <n v="0"/>
    <n v="3500"/>
    <s v="OK"/>
    <n v="0"/>
    <n v="350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EN LA GESTIÓN FINANCIERA MEDIANTE EL FORTALECIMIENTO DE LAS METODOLOGÍAS, MEJORAMIENTO DE PROCESOS FINANCIEROS INTERNOS, APLICACIÓN DE NORMATIVAS Y REGULACIONES VIGENTES. "/>
    <s v="PLANTA_CENTRAL"/>
    <x v="9"/>
    <x v="12"/>
    <s v="TECNOLOGÍA"/>
    <s v="CANCELACIÓN DE REMUNERACIONES Y BENEFICIOS SOCIALES"/>
    <n v="1"/>
    <x v="6"/>
    <n v="55"/>
    <n v="0"/>
    <n v="3"/>
    <n v="1700"/>
    <s v="PICHINCHA"/>
    <n v="1"/>
    <n v="0"/>
    <n v="0"/>
    <s v="CORRIENTE"/>
    <x v="3"/>
    <n v="510601"/>
    <s v="APORTE PATRONAL"/>
    <n v="32617"/>
    <n v="32152.91"/>
    <n v="2637.58"/>
    <n v="2637.58"/>
    <n v="2637.58"/>
    <n v="2637.58"/>
    <n v="2637.58"/>
    <n v="2709.2799999999997"/>
    <n v="2709.2799999999997"/>
    <n v="2709.2799999999997"/>
    <n v="2709.2799999999997"/>
    <n v="2709.2799999999997"/>
    <n v="2709.2799999999997"/>
    <n v="2709.33"/>
    <n v="32152.909999999996"/>
    <s v="OK"/>
    <n v="0"/>
    <n v="32152.91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EFICIENCIA EN LA GESTIÓN FINANCIERA MEDIANTE EL FORTALECIMIENTO DE LAS METODOLOGÍAS, MEJORAMIENTO DE PROCESOS FINANCIEROS INTERNOS, APLICACIÓN DE NORMATIVAS Y REGULACIONES VIGENTES. "/>
    <s v="PLANTA_CENTRAL"/>
    <x v="9"/>
    <x v="12"/>
    <s v="TECNOLOGÍA"/>
    <s v="CANCELACIÓN DE REMUNERACIONES Y BENEFICIOS SOCIALES"/>
    <n v="1"/>
    <x v="6"/>
    <n v="55"/>
    <n v="0"/>
    <n v="3"/>
    <n v="1700"/>
    <s v="PICHINCHA"/>
    <n v="1"/>
    <n v="0"/>
    <n v="0"/>
    <s v="CORRIENTE"/>
    <x v="3"/>
    <n v="510602"/>
    <s v="FONDO DE RESERVA"/>
    <n v="18167"/>
    <n v="26732.09"/>
    <n v="1994.75"/>
    <n v="1994.75"/>
    <n v="1994.75"/>
    <n v="1994.75"/>
    <n v="1994.75"/>
    <n v="2394.0500000000002"/>
    <n v="2394.0500000000002"/>
    <n v="2394.0500000000002"/>
    <n v="2394.0500000000002"/>
    <n v="2394.0500000000002"/>
    <n v="2394.0500000000002"/>
    <n v="2394.04"/>
    <n v="26732.089999999997"/>
    <s v="OK"/>
    <n v="0"/>
    <n v="26732.09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DE LA GESTIÓN ADMINISTRATIVA MEDIANTE LA OPTIMIZACIÓN DEL USO Y RENDIMIENTO DE LOS RECURSOS "/>
    <s v="PLANTA_CENTRAL"/>
    <x v="6"/>
    <x v="13"/>
    <s v="ADMINISTRACIÓN CENTRAL"/>
    <s v="CANCELACIÓN POR EL SERVICIO DE CONSUMOS BÁSICOS"/>
    <n v="1"/>
    <x v="6"/>
    <n v="1"/>
    <n v="0"/>
    <n v="1"/>
    <n v="1701"/>
    <s v="QUITO"/>
    <n v="1"/>
    <n v="0"/>
    <n v="0"/>
    <s v="CORRIENTE"/>
    <x v="0"/>
    <n v="530101"/>
    <s v="AGUA POTABLE"/>
    <n v="5400"/>
    <n v="5400"/>
    <n v="450"/>
    <n v="450"/>
    <n v="450"/>
    <n v="450"/>
    <n v="450"/>
    <n v="450"/>
    <n v="450"/>
    <n v="450"/>
    <n v="450"/>
    <n v="450"/>
    <n v="450"/>
    <n v="450"/>
    <n v="5400"/>
    <s v="OK"/>
    <n v="540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DE LA GESTIÓN ADMINISTRATIVA MEDIANTE LA OPTIMIZACIÓN DEL USO Y RENDIMIENTO DE LOS RECURSOS "/>
    <s v="PLANTA_CENTRAL"/>
    <x v="6"/>
    <x v="13"/>
    <s v="ADMINISTRACIÓN CENTRAL"/>
    <s v="CANCELACIÓN POR EL SERVICIO DE CONSUMOS BÁSICOS"/>
    <n v="1"/>
    <x v="6"/>
    <n v="1"/>
    <n v="0"/>
    <n v="1"/>
    <n v="1701"/>
    <s v="QUITO"/>
    <n v="1"/>
    <n v="0"/>
    <n v="0"/>
    <s v="CORRIENTE"/>
    <x v="0"/>
    <n v="530104"/>
    <s v="ENERGÍA ELÉCTRICA"/>
    <n v="122976"/>
    <n v="126976"/>
    <n v="10248"/>
    <n v="10248"/>
    <n v="10248"/>
    <n v="8025.78"/>
    <n v="8025.78"/>
    <n v="8025.78"/>
    <n v="8025.78"/>
    <n v="8025.78"/>
    <n v="8025.78"/>
    <n v="8025.78"/>
    <n v="20025.78"/>
    <n v="20025.760000000002"/>
    <n v="126976"/>
    <s v="OK"/>
    <n v="126976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DE LA GESTIÓN ADMINISTRATIVA MEDIANTE LA OPTIMIZACIÓN DEL USO Y RENDIMIENTO DE LOS RECURSOS "/>
    <s v="PLANTA_CENTRAL"/>
    <x v="6"/>
    <x v="13"/>
    <s v="ADMINISTRACIÓN CENTRAL"/>
    <s v="CONTRATACIÓN DEL SERVICIO DE TELEVISIÓN POR CABLE"/>
    <n v="1"/>
    <x v="6"/>
    <n v="1"/>
    <n v="0"/>
    <n v="1"/>
    <n v="1701"/>
    <s v="QUITO"/>
    <n v="1"/>
    <n v="0"/>
    <n v="0"/>
    <s v="CORRIENTE"/>
    <x v="0"/>
    <n v="530105"/>
    <s v="TELECOMUNICACIONES"/>
    <n v="120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DE LA ADMINISTRACIÓN DE DOCUMENTOS INSTITUCIONALES MEDIANTE LA EVALUACIÓN, SIMPLIFICACIÓN, MEJORA, CONTROL DE PROCESOS, GENERACIÓN DE LINEAMIENTOS Y CAPACITACIÓN DEL PERSONAL EN MANEJO DE LA INFORMACIÓN Y HERRAMIENTAS TECNOLÓGICAS DE GESTIÓN DOCUMENTAL Y ARCHIVO. "/>
    <s v="PLANTA_CENTRAL"/>
    <x v="10"/>
    <x v="14"/>
    <s v="ADMINISTRACIÓN CENTRAL"/>
    <s v="CANCELACIÓN DEL SERVICIO DE CORREO (ECU QUITO) 2023"/>
    <n v="1"/>
    <x v="6"/>
    <n v="1"/>
    <n v="0"/>
    <n v="1"/>
    <n v="1701"/>
    <s v="QUITO"/>
    <n v="1"/>
    <n v="0"/>
    <n v="0"/>
    <s v="CORRIENTE"/>
    <x v="0"/>
    <n v="530106"/>
    <s v="SERVICIO DE CORREO"/>
    <n v="2800"/>
    <n v="2079.6"/>
    <n v="200"/>
    <n v="200"/>
    <n v="240"/>
    <n v="240"/>
    <n v="240"/>
    <n v="240"/>
    <n v="240"/>
    <n v="240"/>
    <n v="239.6"/>
    <n v="0"/>
    <n v="0"/>
    <n v="0"/>
    <n v="2079.6"/>
    <s v="OK"/>
    <n v="1350.79"/>
    <n v="728.81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DE LA ADMINISTRACIÓN DE DOCUMENTOS INSTITUCIONALES MEDIANTE LA EVALUACIÓN, SIMPLIFICACIÓN, MEJORA, CONTROL DE PROCESOS, GENERACIÓN DE LINEAMIENTOS Y CAPACITACIÓN DEL PERSONAL EN MANEJO DE LA INFORMACIÓN Y HERRAMIENTAS TECNOLÓGICAS DE GESTIÓN DOCUMENTAL Y ARCHIVO. "/>
    <s v="PLANTA_CENTRAL"/>
    <x v="10"/>
    <x v="14"/>
    <s v="ADMINISTRACIÓN CENTRAL"/>
    <s v="ARRASTRE MES DE DICIEMBRE 2022"/>
    <n v="1"/>
    <x v="6"/>
    <n v="1"/>
    <n v="0"/>
    <n v="1"/>
    <n v="1701"/>
    <s v="QUITO"/>
    <n v="1"/>
    <n v="0"/>
    <n v="0"/>
    <s v="CORRIENTE"/>
    <x v="0"/>
    <n v="530106"/>
    <s v="SERVICIO DE CORREO"/>
    <n v="200"/>
    <n v="118.87"/>
    <n v="118.87"/>
    <n v="0"/>
    <n v="0"/>
    <n v="0"/>
    <n v="0"/>
    <n v="0"/>
    <n v="0"/>
    <n v="0"/>
    <n v="0"/>
    <n v="0"/>
    <n v="0"/>
    <n v="0"/>
    <n v="118.87"/>
    <s v="OK"/>
    <n v="118.87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DE LA GESTIÓN ADMINISTRATIVA MEDIANTE LA OPTIMIZACIÓN DEL USO Y RENDIMIENTO DE LOS RECURSOS "/>
    <s v="PLANTA_CENTRAL"/>
    <x v="6"/>
    <x v="13"/>
    <s v="ADMINISTRACIÓN CENTRAL"/>
    <s v="ADQUISICIÓN REALIZADA POR CAJA CHICA"/>
    <n v="3"/>
    <x v="6"/>
    <n v="1"/>
    <n v="0"/>
    <n v="1"/>
    <n v="1701"/>
    <s v="QUITO"/>
    <n v="1"/>
    <n v="0"/>
    <n v="0"/>
    <s v="CORRIENTE"/>
    <x v="0"/>
    <n v="530106"/>
    <s v="SERVICIO DE CORREO"/>
    <n v="100"/>
    <n v="100"/>
    <n v="0"/>
    <n v="0"/>
    <n v="0"/>
    <n v="0"/>
    <n v="0"/>
    <n v="0"/>
    <n v="0"/>
    <n v="0"/>
    <n v="0"/>
    <n v="0"/>
    <n v="0"/>
    <n v="100"/>
    <n v="100"/>
    <s v="OK"/>
    <n v="22.68"/>
    <n v="77.319999999999993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DE LA GESTIÓN ADMINISTRATIVA MEDIANTE LA OPTIMIZACIÓN DEL USO Y RENDIMIENTO DE LOS RECURSOS "/>
    <s v="PLANTA_CENTRAL"/>
    <x v="6"/>
    <x v="13"/>
    <s v="ADMINISTRACIÓN CENTRAL"/>
    <s v="CONTRATACIÓN DEL SERVICIO DE TRANSPORTE ADMINISTRATIVO Y OPERATIVO PARA EL SIS ECU 911 PC- CZ2-9"/>
    <n v="1"/>
    <x v="6"/>
    <n v="1"/>
    <n v="0"/>
    <n v="1"/>
    <n v="1701"/>
    <s v="QUITO"/>
    <n v="1"/>
    <n v="0"/>
    <n v="0"/>
    <s v="CORRIENTE"/>
    <x v="0"/>
    <n v="530201"/>
    <s v="TRANSPORTE DE PERSONAL"/>
    <n v="300000"/>
    <n v="294550"/>
    <n v="24545"/>
    <n v="24545"/>
    <n v="24545"/>
    <n v="24545"/>
    <n v="24545"/>
    <n v="24545"/>
    <n v="24545"/>
    <n v="24545"/>
    <n v="24545"/>
    <n v="24545"/>
    <n v="24545"/>
    <n v="24555"/>
    <n v="294550"/>
    <s v="OK"/>
    <n v="29455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DE LA GESTIÓN ADMINISTRATIVA MEDIANTE LA OPTIMIZACIÓN DEL USO Y RENDIMIENTO DE LOS RECURSOS "/>
    <s v="PLANTA_CENTRAL"/>
    <x v="6"/>
    <x v="13"/>
    <s v="ADMINISTRACIÓN CENTRAL"/>
    <s v="ADQUISICIÓN REALIZADA POR CAJA CHICA"/>
    <n v="3"/>
    <x v="6"/>
    <n v="1"/>
    <n v="0"/>
    <n v="1"/>
    <n v="1701"/>
    <s v="QUITO"/>
    <n v="1"/>
    <n v="0"/>
    <n v="0"/>
    <s v="CORRIENTE"/>
    <x v="0"/>
    <n v="530202"/>
    <s v="FLETES Y MANIOBRAS"/>
    <n v="10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DE LA GESTIÓN ADMINISTRATIVA MEDIANTE LA OPTIMIZACIÓN DEL USO Y RENDIMIENTO DE LOS RECURSOS "/>
    <s v="PLANTA_CENTRAL"/>
    <x v="6"/>
    <x v="13"/>
    <s v="ADMINISTRACIÓN CENTRAL"/>
    <s v="CONTRATACIÓN DE SERVICIOS DE RECARGAS DE EXTINTORES"/>
    <n v="1"/>
    <x v="6"/>
    <n v="1"/>
    <n v="0"/>
    <n v="1"/>
    <n v="1701"/>
    <s v="QUITO"/>
    <n v="1"/>
    <n v="0"/>
    <n v="0"/>
    <s v="CORRIENTE"/>
    <x v="0"/>
    <n v="530203"/>
    <s v="ALMACENAMIENTO, EMBALAJE, DESEMBALAJE, ENVASE, DESENVASE Y RECARGA DE EXTINTORES"/>
    <n v="3000"/>
    <n v="3422.5"/>
    <n v="0"/>
    <n v="0"/>
    <n v="0"/>
    <n v="0"/>
    <n v="0"/>
    <n v="0"/>
    <n v="0"/>
    <n v="0"/>
    <n v="2272.5"/>
    <n v="0"/>
    <n v="0"/>
    <n v="1150"/>
    <n v="3422.5"/>
    <s v="OK"/>
    <n v="2272.5"/>
    <n v="115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3 INCREMENTAR EL POSICIONAMIENTO DEL SERVICIO INTEGRADO DE SEGURIDAD ECU 911 A NIVEL NACIONAL E INTERNACIONAL"/>
    <s v="INCREMENTAR EL  NIVEL DE REPUTACIÓN E IMAGEN INSTITUCIONAL, MEDIANTE EL DISEÑO E IMPLEMENTACIÓN DEL PLAN ESTRATÉGICO DE COMUNICACIÓN APLICADO Y HOMOLOGADO A NIVEL NACIONAL. "/>
    <s v="PLANTA_CENTRAL"/>
    <x v="10"/>
    <x v="15"/>
    <s v="COMUNICACIÓN SOCIAL"/>
    <s v="CONTRATACIÓN DE SERVICIO DE ENTREGA DE PRENSA ESCRITA A NIVEL NACIONAL "/>
    <n v="1"/>
    <x v="6"/>
    <n v="1"/>
    <n v="0"/>
    <n v="1"/>
    <n v="1701"/>
    <s v="QUITO"/>
    <n v="1"/>
    <n v="0"/>
    <n v="0"/>
    <s v="CORRIENTE"/>
    <x v="0"/>
    <n v="530204"/>
    <s v="EDICIÓN, IMPRESIÓN, REPRODUCCIÓN, PUBLICACIONES, SUSCRIPCIONES, FOTOCOPIADO, TRADUCCIÓN, EMPASTADO, ENMARCACIÓN, SERIGRAFÍA, FOTOGRAFÍA, CARNETIZACIÓN, FILMACIÓN E IMÁGENES SATELITALES"/>
    <n v="1500"/>
    <n v="1500"/>
    <n v="125"/>
    <n v="125"/>
    <n v="125"/>
    <n v="125"/>
    <n v="125"/>
    <n v="125"/>
    <n v="125"/>
    <n v="125"/>
    <n v="125"/>
    <n v="125"/>
    <n v="125"/>
    <n v="125"/>
    <n v="1500"/>
    <s v="OK"/>
    <n v="1270.43"/>
    <n v="229.56999999999994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3 INCREMENTAR EL POSICIONAMIENTO DEL SERVICIO INTEGRADO DE SEGURIDAD ECU 911 A NIVEL NACIONAL E INTERNACIONAL"/>
    <s v="INCREMENTAR EL  NIVEL DE REPUTACIÓN E IMAGEN INSTITUCIONAL, MEDIANTE EL DISEÑO E IMPLEMENTACIÓN DEL PLAN ESTRATÉGICO DE COMUNICACIÓN APLICADO Y HOMOLOGADO A NIVEL NACIONAL. "/>
    <s v="PLANTA_CENTRAL"/>
    <x v="10"/>
    <x v="15"/>
    <s v="COMUNICACIÓN SOCIAL"/>
    <s v="SERVICIO DE IMPRESIÓN DE MATERIAL PARA REPORTEROS ECU 911 SEXTA EDICIÓN – PLANTA CENTRAL"/>
    <n v="1"/>
    <x v="6"/>
    <n v="1"/>
    <n v="0"/>
    <n v="1"/>
    <n v="1701"/>
    <s v="QUITO"/>
    <n v="1"/>
    <n v="0"/>
    <n v="0"/>
    <s v="CORRIENTE"/>
    <x v="0"/>
    <n v="530204"/>
    <s v="EDICIÓN, IMPRESIÓN, REPRODUCCIÓN, PUBLICACIONES, SUSCRIPCIONES, FOTOCOPIADO, TRADUCCIÓN, EMPASTADO, ENMARCACIÓN, SERIGRAFÍA, FOTOGRAFÍA, CARNETIZACIÓN, FILMACIÓN E IMÁGENES SATELITALES"/>
    <n v="450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3 INCREMENTAR EL POSICIONAMIENTO DEL SERVICIO INTEGRADO DE SEGURIDAD ECU 911 A NIVEL NACIONAL E INTERNACIONAL"/>
    <s v="INCREMENTAR EL  NIVEL DE REPUTACIÓN E IMAGEN INSTITUCIONAL, MEDIANTE EL DISEÑO E IMPLEMENTACIÓN DEL PLAN ESTRATÉGICO DE COMUNICACIÓN APLICADO Y HOMOLOGADO A NIVEL NACIONAL. "/>
    <s v="PLANTA_CENTRAL"/>
    <x v="10"/>
    <x v="15"/>
    <s v="COMUNICACIÓN SOCIAL"/>
    <s v="CONTRATACIÓN DEL SERVICIO DE IMPRESIÓN Y REPRODUCCIÓN DE MATERIAL COMUNICACIONAL PARA LAS ACTIVIDADES DE VINCULACIÓN DEL SIS ECU 9-1-1"/>
    <n v="1"/>
    <x v="6"/>
    <n v="1"/>
    <n v="0"/>
    <n v="1"/>
    <n v="1701"/>
    <s v="QUITO"/>
    <n v="1"/>
    <n v="0"/>
    <n v="0"/>
    <s v="CORRIENTE"/>
    <x v="0"/>
    <n v="530204"/>
    <s v="EDICIÓN, IMPRESIÓN, REPRODUCCIÓN, PUBLICACIONES, SUSCRIPCIONES, FOTOCOPIADO, TRADUCCIÓN, EMPASTADO, ENMARCACIÓN, SERIGRAFÍA, FOTOGRAFÍA, CARNETIZACIÓN, FILMACIÓN E IMÁGENES SATELITALES"/>
    <n v="3000"/>
    <n v="2263.44"/>
    <n v="0"/>
    <n v="0"/>
    <n v="2263.44"/>
    <n v="0"/>
    <n v="0"/>
    <n v="0"/>
    <n v="0"/>
    <n v="0"/>
    <n v="0"/>
    <n v="0"/>
    <n v="0"/>
    <n v="0"/>
    <n v="2263.44"/>
    <s v="OK"/>
    <n v="2065"/>
    <n v="198.44000000000005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DE LA GESTIÓN ADMINISTRATIVA MEDIANTE LA OPTIMIZACIÓN DEL USO Y RENDIMIENTO DE LOS RECURSOS "/>
    <s v="PLANTA_CENTRAL"/>
    <x v="6"/>
    <x v="13"/>
    <s v="ADMINISTRACIÓN CENTRAL"/>
    <s v="ADQUISICIÓN REALIZADA POR CAJA CHICA"/>
    <n v="3"/>
    <x v="6"/>
    <n v="1"/>
    <n v="0"/>
    <n v="1"/>
    <n v="1701"/>
    <s v="QUITO"/>
    <n v="1"/>
    <n v="0"/>
    <n v="0"/>
    <s v="CORRIENTE"/>
    <x v="0"/>
    <n v="530204"/>
    <s v="EDICIÓN, IMPRESIÓN, REPRODUCCIÓN, PUBLICACIONES, SUSCRIPCIONES, FOTOCOPIADO, TRADUCCIÓN, EMPASTADO, ENMARCACIÓN, SERIGRAFÍA, FOTOGRAFÍA, CARNETIZACIÓN, FILMACIÓN E IMÁGENES SATELITALES"/>
    <n v="130"/>
    <n v="100"/>
    <n v="0"/>
    <n v="0"/>
    <n v="0"/>
    <n v="0"/>
    <n v="0"/>
    <n v="0"/>
    <n v="0"/>
    <n v="0"/>
    <n v="60"/>
    <n v="0"/>
    <n v="0"/>
    <n v="40"/>
    <n v="100"/>
    <s v="OK"/>
    <n v="73.3"/>
    <n v="26.700000000000003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DE LA GESTIÓN ADMINISTRATIVA MEDIANTE LA OPTIMIZACIÓN DEL USO Y RENDIMIENTO DE LOS RECURSOS "/>
    <s v="PLANTA_CENTRAL"/>
    <x v="6"/>
    <x v="13"/>
    <s v="ADMINISTRACIÓN CENTRAL"/>
    <s v="ANUNCIO EN PRENSA"/>
    <n v="1"/>
    <x v="6"/>
    <n v="1"/>
    <n v="0"/>
    <n v="1"/>
    <n v="1701"/>
    <s v="QUITO"/>
    <n v="1"/>
    <n v="0"/>
    <n v="0"/>
    <s v="CORRIENTE"/>
    <x v="0"/>
    <n v="530207"/>
    <s v="DIFUSIÓN, INFORMACIÓN Y PUBLICIDAD"/>
    <n v="0"/>
    <n v="398"/>
    <n v="0"/>
    <n v="0"/>
    <n v="0"/>
    <n v="0"/>
    <n v="0"/>
    <n v="0"/>
    <n v="0"/>
    <n v="398"/>
    <n v="0"/>
    <n v="0"/>
    <n v="0"/>
    <n v="0"/>
    <n v="398"/>
    <s v="OK"/>
    <n v="196"/>
    <n v="202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DE LA GESTIÓN ADMINISTRATIVA MEDIANTE LA OPTIMIZACIÓN DEL USO Y RENDIMIENTO DE LOS RECURSOS "/>
    <s v="PLANTA_CENTRAL"/>
    <x v="6"/>
    <x v="13"/>
    <s v="ADMINISTRACIÓN CENTRAL"/>
    <s v="CONTRATACIÓN DEL SERVICIO DE VIGILANCIA PARA LAS INSTALACIONES DEL SIS ECU 911 PC-CZ 2-9"/>
    <n v="1"/>
    <x v="6"/>
    <n v="1"/>
    <n v="0"/>
    <n v="1"/>
    <n v="1701"/>
    <s v="QUITO"/>
    <n v="1"/>
    <n v="0"/>
    <n v="0"/>
    <s v="CORRIENTE"/>
    <x v="0"/>
    <n v="530208"/>
    <s v="SERVICIO DE SEGURIDAD Y VIGILANCIA"/>
    <n v="130000"/>
    <n v="129490.54"/>
    <n v="10824"/>
    <n v="10824"/>
    <n v="10824"/>
    <n v="10824"/>
    <n v="10824"/>
    <n v="10824"/>
    <n v="10824"/>
    <n v="10824"/>
    <n v="10724.64"/>
    <n v="10724.64"/>
    <n v="10724.64"/>
    <n v="10724.62"/>
    <n v="129490.54"/>
    <s v="OK"/>
    <n v="129090.8"/>
    <n v="399.73999999999069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DE LA GESTIÓN ADMINISTRATIVA MEDIANTE LA OPTIMIZACIÓN DEL USO Y RENDIMIENTO DE LOS RECURSOS "/>
    <s v="PLANTA_CENTRAL"/>
    <x v="6"/>
    <x v="13"/>
    <s v="ADMINISTRACIÓN CENTRAL"/>
    <s v="CONTRATACIÓN DEL SERVICIO DE ASEO Y LIMPIEZA INSTALACIONES SIS ECU 911 PC - CZ 2-9"/>
    <n v="1"/>
    <x v="6"/>
    <n v="1"/>
    <n v="0"/>
    <n v="1"/>
    <n v="1701"/>
    <s v="QUITO"/>
    <n v="1"/>
    <n v="0"/>
    <n v="0"/>
    <s v="CORRIENTE"/>
    <x v="0"/>
    <n v="530209"/>
    <s v="SERVICIOS DE ASEO, LAVADO DE VESTIMENTA DE TRABAJO, FUMIGACIÓN, DESINFECCIÓN, LIMPIEZA DE INSTALACIONES, MANEJO DE DESECHOS CONTAMINADOS, RECUPERACIÓN Y CLASIFICACIÓN DE MATERIALES RECICLABLES"/>
    <n v="126000"/>
    <n v="125126.32"/>
    <n v="10428.9"/>
    <n v="10428.9"/>
    <n v="10428.9"/>
    <n v="10428.9"/>
    <n v="10428.9"/>
    <n v="10428.9"/>
    <n v="10428.9"/>
    <n v="10428.9"/>
    <n v="10423.780000000001"/>
    <n v="10423.780000000001"/>
    <n v="10423.780000000001"/>
    <n v="10423.780000000001"/>
    <n v="125126.31999999999"/>
    <s v="OK"/>
    <n v="125105.81"/>
    <n v="20.510000000009313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DE LA GESTIÓN ADMINISTRATIVA MEDIANTE LA OPTIMIZACIÓN DEL USO Y RENDIMIENTO DE LOS RECURSOS "/>
    <s v="PLANTA_CENTRAL"/>
    <x v="6"/>
    <x v="13"/>
    <s v="ADMINISTRACIÓN CENTRAL"/>
    <s v="CONTRATACIÓN DEL SERVICIO DE LAVANDERÍA "/>
    <n v="1"/>
    <x v="6"/>
    <n v="1"/>
    <n v="0"/>
    <n v="1"/>
    <n v="1701"/>
    <s v="QUITO"/>
    <n v="1"/>
    <n v="0"/>
    <n v="0"/>
    <s v="CORRIENTE"/>
    <x v="0"/>
    <n v="530209"/>
    <s v="SERVICIOS DE ASEO, LAVADO DE VESTIMENTA DE TRABAJO, FUMIGACIÓN, DESINFECCIÓN, LIMPIEZA DE INSTALACIONES, MANEJO DE DESECHOS CONTAMINADOS, RECUPERACIÓN Y CLASIFICACIÓN DE MATERIALES RECICLABLES"/>
    <n v="480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LA EFICACIA DE LA GESTIÓN DE ADMINISTRACIÓN DEL RECURSO HUMANO MEDIANTE EL DESARROLLO DE MECANISMOS Y PLANES QUE PERMITAN OPTIMIZAR EL DESEMPEÑO LABORAL EN BASE AL CUMPLIMIENTO DE LA NORMATIVA LEGAL VIGENTE. "/>
    <s v="PLANTA_CENTRAL"/>
    <x v="6"/>
    <x v="16"/>
    <s v="ADMINISTRACIÓN CENTRAL"/>
    <s v="CANCELACIÓN DE SERVICIOS DE GUARDERÍA DE ADMINISTRACIÓN CENTRAL Y COORDINACIÓN ZONAL 2-9 EN CUMPLIMIENTO AL ACUERDO MINISTERIAL Nro.  MDT-2023-085"/>
    <n v="1"/>
    <x v="6"/>
    <n v="1"/>
    <n v="0"/>
    <n v="1"/>
    <n v="1701"/>
    <s v="QUITO"/>
    <n v="1"/>
    <n v="0"/>
    <n v="0"/>
    <s v="CORRIENTE"/>
    <x v="0"/>
    <n v="530210"/>
    <s v="SERVICIO DE GUARDERÍA"/>
    <n v="0"/>
    <n v="4743"/>
    <n v="0"/>
    <n v="0"/>
    <n v="0"/>
    <n v="0"/>
    <n v="0"/>
    <n v="0"/>
    <n v="0"/>
    <n v="0"/>
    <n v="0"/>
    <n v="0"/>
    <n v="2232"/>
    <n v="2511"/>
    <n v="4743"/>
    <s v="OK"/>
    <n v="4743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3 INCREMENTAR EL POSICIONAMIENTO DEL SERVICIO INTEGRADO DE SEGURIDAD ECU 911 A NIVEL NACIONAL E INTERNACIONAL"/>
    <s v="INCREMENTAR EL  NIVEL DE REPUTACIÓN E IMAGEN INSTITUCIONAL, MEDIANTE EL DISEÑO E IMPLEMENTACIÓN DEL PLAN ESTRATÉGICO DE COMUNICACIÓN APLICADO Y HOMOLOGADO A NIVEL NACIONAL. "/>
    <s v="PLANTA_CENTRAL"/>
    <x v="10"/>
    <x v="15"/>
    <s v="COMUNICACIÓN SOCIAL"/>
    <s v="CONTRATACIÓN DEL SERVICIO DE MONITOREO DE MEDIOS A ESCALA NACIONAL (CLIPPING DE NOTICIAS) DEL SERVICIO INTEGRADO DE SEGURIDAD ECU 911"/>
    <n v="1"/>
    <x v="6"/>
    <n v="1"/>
    <n v="0"/>
    <n v="1"/>
    <n v="1701"/>
    <s v="QUITO"/>
    <n v="1"/>
    <n v="0"/>
    <n v="0"/>
    <s v="CORRIENTE"/>
    <x v="0"/>
    <n v="530241"/>
    <s v="SERVICIO DE MONITOREO DE LA INFORMACIÓN EN -TELEVISIÓN - RADIO- PRENSA - MEDIOS ON LINE Y OTROS"/>
    <n v="7000"/>
    <n v="500"/>
    <n v="500"/>
    <n v="0"/>
    <n v="0"/>
    <n v="0"/>
    <n v="0"/>
    <n v="0"/>
    <n v="0"/>
    <n v="0"/>
    <n v="0"/>
    <n v="0"/>
    <n v="0"/>
    <n v="0"/>
    <n v="500"/>
    <s v="OK"/>
    <n v="50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3 INCREMENTAR EL POSICIONAMIENTO DEL SERVICIO INTEGRADO DE SEGURIDAD ECU 911 A NIVEL NACIONAL E INTERNACIONAL"/>
    <s v="INCREMENTAR EL  NIVEL DE REPUTACIÓN E IMAGEN INSTITUCIONAL, MEDIANTE EL DISEÑO E IMPLEMENTACIÓN DEL PLAN ESTRATÉGICO DE COMUNICACIÓN APLICADO Y HOMOLOGADO A NIVEL NACIONAL. "/>
    <s v="PLANTA_CENTRAL"/>
    <x v="10"/>
    <x v="15"/>
    <s v="COMUNICACIÓN SOCIAL"/>
    <s v="SERVICIO DE MONITOREO DE MEDIOS DE COMUNICACIÓN DE DIFUSIÓN NACIONAL, INTERNACIONAL, REGIONAL Y LOCAL (TELEVISIÓN, RADIO, PRENSA, REVISTAS Y MEDIOS DIGITALES) PARA EL SERVICIO INTEGRADO DE SEGURIDAD ECU 911 Y SUS PRINCIPALES AUTORIDADES"/>
    <n v="1"/>
    <x v="6"/>
    <n v="1"/>
    <n v="0"/>
    <n v="1"/>
    <n v="1701"/>
    <s v="QUITO"/>
    <n v="1"/>
    <n v="0"/>
    <n v="0"/>
    <s v="CORRIENTE"/>
    <x v="0"/>
    <n v="530241"/>
    <s v="SERVICIO DE MONITOREO DE LA INFORMACIÓN EN -TELEVISIÓN - RADIO- PRENSA - MEDIOS ON LINE Y OTROS"/>
    <n v="0"/>
    <n v="5500"/>
    <n v="0"/>
    <n v="500"/>
    <n v="500"/>
    <n v="500"/>
    <n v="500"/>
    <n v="500"/>
    <n v="500"/>
    <n v="500"/>
    <n v="500"/>
    <n v="500"/>
    <n v="500"/>
    <n v="500"/>
    <n v="5500"/>
    <s v="OK"/>
    <n v="550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DE LA GESTIÓN ADMINISTRATIVA MEDIANTE LA OPTIMIZACIÓN DEL USO Y RENDIMIENTO DE LOS RECURSOS "/>
    <s v="PLANTA_CENTRAL"/>
    <x v="6"/>
    <x v="13"/>
    <s v="ADMINISTRACIÓN CENTRAL"/>
    <s v="CONTRATACIÓN DEL SERVICIO DE RASTREO SATELITAL "/>
    <n v="1"/>
    <x v="6"/>
    <n v="1"/>
    <n v="0"/>
    <n v="1"/>
    <n v="1701"/>
    <s v="QUITO"/>
    <n v="1"/>
    <n v="0"/>
    <n v="0"/>
    <s v="CORRIENTE"/>
    <x v="0"/>
    <n v="530246"/>
    <s v="SERVICIOS DE IDENTIFICACIÓN, MARCACIÓN, AUTENTIFICACIÓN, RASTREO, MONITOREO, SEGUIMIENTO Y/O TRAZABILIDAD"/>
    <n v="0"/>
    <n v="753.6"/>
    <n v="0"/>
    <n v="0"/>
    <n v="0"/>
    <n v="0"/>
    <n v="0"/>
    <n v="0"/>
    <n v="0"/>
    <n v="0"/>
    <n v="0"/>
    <n v="753.6"/>
    <n v="0"/>
    <n v="0"/>
    <n v="753.6"/>
    <s v="OK"/>
    <n v="207.2"/>
    <n v="546.40000000000009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DE LA GESTIÓN ADMINISTRATIVA MEDIANTE LA OPTIMIZACIÓN DEL USO Y RENDIMIENTO DE LOS RECURSOS "/>
    <s v="PLANTA_CENTRAL"/>
    <x v="6"/>
    <x v="13"/>
    <s v="ADMINISTRACIÓN CENTRAL"/>
    <s v="CONTRATACIÓN DE ABASTECIMIENTO DE COMBUSTIBLE PARA EL PARQUE AUTOMOTOR PC-CZ 2-9"/>
    <n v="1"/>
    <x v="6"/>
    <n v="1"/>
    <n v="0"/>
    <n v="1"/>
    <n v="1701"/>
    <s v="QUITO"/>
    <n v="1"/>
    <n v="0"/>
    <n v="0"/>
    <s v="CORRIENTE"/>
    <x v="0"/>
    <n v="530255"/>
    <s v="COMBUSTIBLES"/>
    <n v="14400"/>
    <n v="17604.05"/>
    <n v="1186.1199999999999"/>
    <n v="1186.1199999999999"/>
    <n v="1147.9199999999998"/>
    <n v="1147.9199999999998"/>
    <n v="1147.9199999999998"/>
    <n v="1147.9199999999998"/>
    <n v="1147.9199999999998"/>
    <n v="1147.9199999999998"/>
    <n v="1147.9199999999998"/>
    <n v="1147.9199999999998"/>
    <n v="2646.92"/>
    <n v="3401.5299999999997"/>
    <n v="17604.05"/>
    <s v="OK"/>
    <n v="16837.159999999996"/>
    <n v="766.89000000000306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DE LA GESTIÓN ADMINISTRATIVA MEDIANTE LA OPTIMIZACIÓN DEL USO Y RENDIMIENTO DE LOS RECURSOS "/>
    <s v="PLANTA_CENTRAL"/>
    <x v="6"/>
    <x v="13"/>
    <s v="ADMINISTRACIÓN CENTRAL"/>
    <s v="GASTOS PARA CUBRIR VALORES DIARIOS DE HOSPEDAJE Y ALIMENTACIÓN DE LOS SERVIDORES Y TRABAJADORES PÚBLICOS ENVIADOS EN COMISIÓN DE SERVICIOS, DENTRO DEL PAÍS"/>
    <n v="1"/>
    <x v="6"/>
    <n v="1"/>
    <n v="0"/>
    <n v="1"/>
    <n v="1701"/>
    <s v="QUITO"/>
    <n v="1"/>
    <n v="0"/>
    <n v="0"/>
    <s v="CORRIENTE"/>
    <x v="0"/>
    <n v="530255"/>
    <s v="COMBUSTIBLES"/>
    <n v="0"/>
    <n v="382"/>
    <n v="0"/>
    <n v="0"/>
    <n v="0"/>
    <n v="0"/>
    <n v="0"/>
    <n v="0"/>
    <n v="0"/>
    <n v="0"/>
    <n v="0"/>
    <n v="0"/>
    <n v="0"/>
    <n v="382"/>
    <n v="382"/>
    <s v="OK"/>
    <n v="382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DE LA GESTIÓN ADMINISTRATIVA MEDIANTE LA OPTIMIZACIÓN DEL USO Y RENDIMIENTO DE LOS RECURSOS "/>
    <s v="PLANTA_CENTRAL"/>
    <x v="6"/>
    <x v="13"/>
    <s v="ADMINISTRACIÓN CENTRAL"/>
    <s v="CONTRATACIÓN DE ABASTECIMIENTO DE GAS LICUADO"/>
    <n v="1"/>
    <x v="6"/>
    <n v="1"/>
    <n v="0"/>
    <n v="1"/>
    <n v="1701"/>
    <s v="QUITO"/>
    <n v="1"/>
    <n v="0"/>
    <n v="0"/>
    <s v="CORRIENTE"/>
    <x v="0"/>
    <n v="530255"/>
    <s v="COMBUSTIBLES"/>
    <n v="382"/>
    <n v="700"/>
    <n v="0"/>
    <n v="0"/>
    <n v="0"/>
    <n v="0"/>
    <n v="0"/>
    <n v="0"/>
    <n v="0"/>
    <n v="0"/>
    <n v="0"/>
    <n v="0"/>
    <n v="700"/>
    <n v="0"/>
    <n v="700"/>
    <s v="OK"/>
    <n v="0"/>
    <n v="70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DE LA GESTIÓN ADMINISTRATIVA MEDIANTE LA OPTIMIZACIÓN DEL USO Y RENDIMIENTO DE LOS RECURSOS "/>
    <s v="PLANTA_CENTRAL"/>
    <x v="6"/>
    <x v="13"/>
    <s v="ADMINISTRACIÓN CENTRAL"/>
    <s v="ADQUISICIÓN REALIZADA POR CAJA CHICA"/>
    <n v="3"/>
    <x v="6"/>
    <n v="1"/>
    <n v="0"/>
    <n v="1"/>
    <n v="1701"/>
    <s v="QUITO"/>
    <n v="1"/>
    <n v="0"/>
    <n v="0"/>
    <s v="CORRIENTE"/>
    <x v="0"/>
    <n v="530255"/>
    <s v="COMBUSTIBLES"/>
    <n v="1400"/>
    <n v="30"/>
    <n v="0"/>
    <n v="0"/>
    <n v="0"/>
    <n v="0"/>
    <n v="0"/>
    <n v="0"/>
    <n v="0"/>
    <n v="0"/>
    <n v="0"/>
    <n v="0"/>
    <n v="0"/>
    <n v="30"/>
    <n v="30"/>
    <s v="OK"/>
    <n v="0"/>
    <n v="3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DE LA GESTIÓN ADMINISTRATIVA MEDIANTE LA OPTIMIZACIÓN DEL USO Y RENDIMIENTO DE LOS RECURSOS "/>
    <s v="PLANTA_CENTRAL"/>
    <x v="6"/>
    <x v="13"/>
    <s v="ADMINISTRACIÓN CENTRAL"/>
    <s v="CONTRATACIÓN DEL SERVICIO DE EMISIÓN DE PASAJES AÉREOS NACIONALES"/>
    <n v="1"/>
    <x v="6"/>
    <n v="1"/>
    <n v="0"/>
    <n v="1"/>
    <n v="1701"/>
    <s v="QUITO"/>
    <n v="1"/>
    <n v="0"/>
    <n v="0"/>
    <s v="CORRIENTE"/>
    <x v="0"/>
    <n v="530301"/>
    <s v="PASAJES AL INTERIOR"/>
    <n v="42000"/>
    <n v="71174.19"/>
    <n v="5931.18"/>
    <n v="5931.18"/>
    <n v="5931.18"/>
    <n v="5931.18"/>
    <n v="5931.18"/>
    <n v="5931.18"/>
    <n v="5931.18"/>
    <n v="5931.18"/>
    <n v="5931.18"/>
    <n v="5931.18"/>
    <n v="5931.18"/>
    <n v="5931.21"/>
    <n v="71174.19"/>
    <s v="OK"/>
    <n v="71174.19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DE LA GESTIÓN ADMINISTRATIVA MEDIANTE LA OPTIMIZACIÓN DEL USO Y RENDIMIENTO DE LOS RECURSOS "/>
    <s v="PLANTA_CENTRAL"/>
    <x v="6"/>
    <x v="13"/>
    <s v="ADMINISTRACIÓN CENTRAL"/>
    <s v="GASTOS PARA CUBRIR VALORES DIARIOS DE HOSPEDAJE Y ALIMENTACIÓN DE LOS SERVIDORES Y TRABAJADORES PÚBLICOS ENVIADOS EN COMISIÓN DE SERVICIOS, DENTRO DEL PAÍS"/>
    <n v="1"/>
    <x v="6"/>
    <n v="1"/>
    <n v="0"/>
    <n v="1"/>
    <n v="1701"/>
    <s v="QUITO"/>
    <n v="1"/>
    <n v="0"/>
    <n v="0"/>
    <s v="CORRIENTE"/>
    <x v="0"/>
    <n v="530301"/>
    <s v="PASAJES AL INTERIOR"/>
    <n v="0"/>
    <n v="200"/>
    <n v="16.670000000000002"/>
    <n v="16.670000000000002"/>
    <n v="16.670000000000002"/>
    <n v="16.670000000000002"/>
    <n v="16.670000000000002"/>
    <n v="16.670000000000002"/>
    <n v="16.670000000000002"/>
    <n v="16.670000000000002"/>
    <n v="16.670000000000002"/>
    <n v="16.670000000000002"/>
    <n v="16.670000000000002"/>
    <n v="16.63"/>
    <n v="200.00000000000006"/>
    <s v="OK"/>
    <n v="20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DE LA GESTIÓN ADMINISTRATIVA MEDIANTE LA OPTIMIZACIÓN DEL USO Y RENDIMIENTO DE LOS RECURSOS "/>
    <s v="PLANTA_CENTRAL"/>
    <x v="6"/>
    <x v="13"/>
    <s v="ADMINISTRACIÓN CENTRAL"/>
    <s v="REEMBOLSO DE PASAJES AL INTERIOR"/>
    <n v="1"/>
    <x v="6"/>
    <n v="1"/>
    <n v="0"/>
    <n v="1"/>
    <n v="1701"/>
    <s v="QUITO"/>
    <n v="1"/>
    <n v="0"/>
    <n v="0"/>
    <s v="CORRIENTE"/>
    <x v="0"/>
    <n v="530301"/>
    <s v="PASAJES AL INTERIOR"/>
    <n v="0"/>
    <n v="100.25"/>
    <n v="0"/>
    <n v="0"/>
    <n v="0"/>
    <n v="100.25"/>
    <n v="0"/>
    <n v="0"/>
    <n v="0"/>
    <n v="0"/>
    <n v="0"/>
    <n v="0"/>
    <n v="0"/>
    <n v="0"/>
    <n v="100.25"/>
    <s v="OK"/>
    <n v="100.25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DE LA GESTIÓN ADMINISTRATIVA MEDIANTE LA OPTIMIZACIÓN DEL USO Y RENDIMIENTO DE LOS RECURSOS "/>
    <s v="PLANTA_CENTRAL"/>
    <x v="6"/>
    <x v="13"/>
    <s v="ADMINISTRACIÓN CENTRAL"/>
    <s v="GASTOS PARA CUBRIR VALORES DIARIOS DE HOSPEDAJE Y ALIMENTACIÓN DE LOS SERVIDORES Y TRABAJADORES PÚBLICOS ENVIADOS EN COMISIÓN DE SERVICIOS, DENTRO DEL PAÍS"/>
    <n v="1"/>
    <x v="6"/>
    <n v="1"/>
    <n v="0"/>
    <n v="1"/>
    <n v="1701"/>
    <s v="QUITO"/>
    <n v="1"/>
    <n v="0"/>
    <n v="0"/>
    <s v="CORRIENTE"/>
    <x v="0"/>
    <n v="530303"/>
    <s v="VIÁTICOS Y SUBSISTENCIAS EN EL INTERIOR"/>
    <n v="30000"/>
    <n v="46082.020000000004"/>
    <n v="4800"/>
    <n v="4800"/>
    <n v="2040"/>
    <n v="2040"/>
    <n v="2040"/>
    <n v="2040"/>
    <n v="2040"/>
    <n v="2040"/>
    <n v="1810.5"/>
    <n v="7477.17"/>
    <n v="7477.17"/>
    <n v="7477.18"/>
    <n v="46082.02"/>
    <s v="OK"/>
    <n v="28164.04"/>
    <n v="17917.980000000003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DE LA GESTIÓN ADMINISTRATIVA MEDIANTE LA OPTIMIZACIÓN DEL USO Y RENDIMIENTO DE LOS RECURSOS "/>
    <s v="PLANTA_CENTRAL"/>
    <x v="6"/>
    <x v="13"/>
    <s v="ADMINISTRACIÓN CENTRAL"/>
    <s v="CONTRATACIÓN DEL SERVICIO DE MANTENIMIENTO DE ASCENSORES "/>
    <n v="1"/>
    <x v="6"/>
    <n v="1"/>
    <n v="0"/>
    <n v="1"/>
    <n v="1701"/>
    <s v="QUITO"/>
    <n v="1"/>
    <n v="0"/>
    <n v="0"/>
    <s v="CORRIENTE"/>
    <x v="0"/>
    <n v="530402"/>
    <s v="EDIFICIOS, LOCALES, RESIDENCIAS Y CABLEADO ESTRUCTURADO (INSTALACIÓN, MANTENIMIENTO Y REPARACIÓN)"/>
    <n v="5520"/>
    <n v="5367.73"/>
    <n v="447.31"/>
    <n v="447.31"/>
    <n v="447.31"/>
    <n v="447.31"/>
    <n v="447.31"/>
    <n v="447.31"/>
    <n v="447.31"/>
    <n v="447.31"/>
    <n v="447.31"/>
    <n v="447.31"/>
    <n v="447.31"/>
    <n v="447.32"/>
    <n v="5367.7300000000005"/>
    <s v="OK"/>
    <n v="5367.73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DE LA GESTIÓN ADMINISTRATIVA MEDIANTE LA OPTIMIZACIÓN DEL USO Y RENDIMIENTO DE LOS RECURSOS "/>
    <s v="PLANTA_CENTRAL"/>
    <x v="6"/>
    <x v="13"/>
    <s v="ADMINISTRACIÓN CENTRAL"/>
    <s v="CONTRATACIÓN DEL SERVICIO DE MANTENIMIENTO PREVENTIVO Y CORRECTIVO DEL SISTEMA DE CLIMATIZACIÓN SIS ECU 911 PC - CZ 2-9"/>
    <n v="1"/>
    <x v="6"/>
    <n v="1"/>
    <n v="0"/>
    <n v="1"/>
    <n v="1701"/>
    <s v="QUITO"/>
    <n v="1"/>
    <n v="0"/>
    <n v="0"/>
    <s v="CORRIENTE"/>
    <x v="0"/>
    <n v="530402"/>
    <s v="EDIFICIOS, LOCALES, RESIDENCIAS Y CABLEADO ESTRUCTURADO (INSTALACIÓN, MANTENIMIENTO Y REPARACIÓN)"/>
    <n v="15000"/>
    <n v="14220"/>
    <n v="0"/>
    <n v="0"/>
    <n v="0"/>
    <n v="0"/>
    <n v="0"/>
    <n v="0"/>
    <n v="0"/>
    <n v="0"/>
    <n v="0"/>
    <n v="7920"/>
    <n v="0"/>
    <n v="6300"/>
    <n v="14220"/>
    <s v="OK"/>
    <n v="7920"/>
    <n v="630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DE LA GESTIÓN ADMINISTRATIVA MEDIANTE LA OPTIMIZACIÓN DEL USO Y RENDIMIENTO DE LOS RECURSOS "/>
    <s v="PLANTA_CENTRAL"/>
    <x v="6"/>
    <x v="13"/>
    <s v="ADMINISTRACIÓN CENTRAL"/>
    <s v="SERVICIO DE PINTURA EXTERIOR PARA EL EDIFICIO DEL SERVICIO INTEGRADO DE SEGURIDAD ECU 911 QUITO – COORDINACIÓN ZONAL 2 -9"/>
    <n v="1"/>
    <x v="6"/>
    <n v="1"/>
    <n v="0"/>
    <n v="1"/>
    <n v="1701"/>
    <s v="QUITO"/>
    <n v="1"/>
    <n v="0"/>
    <n v="0"/>
    <s v="CORRIENTE"/>
    <x v="0"/>
    <n v="530402"/>
    <s v="EDIFICIOS, LOCALES, RESIDENCIAS Y CABLEADO ESTRUCTURADO (INSTALACIÓN, MANTENIMIENTO Y REPARACIÓN)"/>
    <n v="100015.72"/>
    <n v="18000"/>
    <n v="0"/>
    <n v="0"/>
    <n v="0"/>
    <n v="0"/>
    <n v="0"/>
    <n v="0"/>
    <n v="0"/>
    <n v="0"/>
    <n v="18000"/>
    <n v="0"/>
    <n v="0"/>
    <n v="0"/>
    <n v="18000"/>
    <s v="OK"/>
    <n v="18000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DE LA GESTIÓN ADMINISTRATIVA MEDIANTE LA OPTIMIZACIÓN DEL USO Y RENDIMIENTO DE LOS RECURSOS "/>
    <s v="PLANTA_CENTRAL"/>
    <x v="6"/>
    <x v="13"/>
    <s v="ADMINISTRACIÓN CENTRAL"/>
    <s v="ADQUISICIÓN REALIZADA POR CAJA CHICA"/>
    <n v="3"/>
    <x v="6"/>
    <n v="1"/>
    <n v="0"/>
    <n v="1"/>
    <n v="1701"/>
    <s v="QUITO"/>
    <n v="1"/>
    <n v="0"/>
    <n v="0"/>
    <s v="CORRIENTE"/>
    <x v="0"/>
    <n v="530402"/>
    <s v="EDIFICIOS, LOCALES, RESIDENCIAS Y CABLEADO ESTRUCTURADO (INSTALACIÓN, MANTENIMIENTO Y REPARACIÓN)"/>
    <n v="350"/>
    <n v="100"/>
    <n v="0"/>
    <n v="0"/>
    <n v="0"/>
    <n v="0"/>
    <n v="0"/>
    <n v="0"/>
    <n v="0"/>
    <n v="0"/>
    <n v="0"/>
    <n v="0"/>
    <n v="0"/>
    <n v="100"/>
    <n v="100"/>
    <s v="OK"/>
    <n v="24.62"/>
    <n v="75.38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DE LA GESTIÓN ADMINISTRATIVA MEDIANTE LA OPTIMIZACIÓN DEL USO Y RENDIMIENTO DE LOS RECURSOS "/>
    <s v="PLANTA_CENTRAL"/>
    <x v="6"/>
    <x v="13"/>
    <s v="ADMINISTRACIÓN CENTRAL"/>
    <s v="MANTENIMIENTO PREVENTIVO Y CORRECTIVO DEL CUARTO DE BOMBAS DEL SISTEMA HIDROSANITARIOS"/>
    <n v="1"/>
    <x v="6"/>
    <n v="1"/>
    <n v="0"/>
    <n v="1"/>
    <n v="1701"/>
    <s v="QUITO"/>
    <n v="1"/>
    <n v="0"/>
    <n v="0"/>
    <s v="CORRIENTE"/>
    <x v="0"/>
    <n v="530402"/>
    <s v="EDIFICIOS, LOCALES, RESIDENCIAS Y CABLEADO ESTRUCTURADO (INSTALACIÓN, MANTENIMIENTO Y REPARACIÓN)"/>
    <n v="0"/>
    <n v="1000"/>
    <n v="0"/>
    <n v="0"/>
    <n v="0"/>
    <n v="0"/>
    <n v="0"/>
    <n v="0"/>
    <n v="0"/>
    <n v="0"/>
    <n v="0"/>
    <n v="1000"/>
    <n v="0"/>
    <n v="0"/>
    <n v="1000"/>
    <s v="OK"/>
    <n v="100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DE LA GESTIÓN ADMINISTRATIVA MEDIANTE LA OPTIMIZACIÓN DEL USO Y RENDIMIENTO DE LOS RECURSOS "/>
    <s v="PLANTA_CENTRAL"/>
    <x v="6"/>
    <x v="13"/>
    <s v="ADMINISTRACIÓN CENTRAL"/>
    <s v="CONTRATACIÓN DEL SERVICIO DE MANTENIMIENTO PREVENTIVO DEL SISTEMA DE ELECTRICO SIS ECU 911 PC- CZ 2-9"/>
    <n v="1"/>
    <x v="6"/>
    <n v="1"/>
    <n v="0"/>
    <n v="1"/>
    <n v="1701"/>
    <s v="QUITO"/>
    <n v="1"/>
    <n v="0"/>
    <n v="0"/>
    <s v="CORRIENTE"/>
    <x v="0"/>
    <n v="530402"/>
    <s v="EDIFICIOS, LOCALES, RESIDENCIAS Y CABLEADO ESTRUCTURADO (INSTALACIÓN, MANTENIMIENTO Y REPARACIÓN)"/>
    <n v="0"/>
    <n v="1018.3999999999996"/>
    <n v="0"/>
    <n v="0"/>
    <n v="0"/>
    <n v="0"/>
    <n v="0"/>
    <n v="0"/>
    <n v="0"/>
    <n v="0"/>
    <n v="0"/>
    <n v="0"/>
    <n v="1018.4"/>
    <n v="0"/>
    <n v="1018.4"/>
    <s v="OK"/>
    <n v="0"/>
    <n v="1018.3999999999996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DE LA GESTIÓN ADMINISTRATIVA MEDIANTE LA OPTIMIZACIÓN DEL USO Y RENDIMIENTO DE LOS RECURSOS "/>
    <s v="PLANTA_CENTRAL"/>
    <x v="6"/>
    <x v="13"/>
    <s v="ADMINISTRACIÓN CENTRAL"/>
    <s v="ADECUACIONES EN EDIFICACIÓN SIS ECU 911"/>
    <n v="1"/>
    <x v="6"/>
    <n v="1"/>
    <n v="0"/>
    <n v="1"/>
    <n v="1701"/>
    <s v="QUITO"/>
    <n v="1"/>
    <n v="0"/>
    <n v="0"/>
    <s v="CORRIENTE"/>
    <x v="0"/>
    <n v="530402"/>
    <s v="EDIFICIOS, LOCALES, RESIDENCIAS Y CABLEADO ESTRUCTURADO (INSTALACIÓN, MANTENIMIENTO Y REPARACIÓN)"/>
    <n v="0"/>
    <n v="6300"/>
    <n v="0"/>
    <n v="0"/>
    <n v="0"/>
    <n v="0"/>
    <n v="0"/>
    <n v="0"/>
    <n v="0"/>
    <n v="0"/>
    <n v="0"/>
    <n v="6300"/>
    <n v="0"/>
    <n v="0"/>
    <n v="6300"/>
    <s v="OK"/>
    <n v="0"/>
    <n v="630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DE LA GESTIÓN ADMINISTRATIVA MEDIANTE LA OPTIMIZACIÓN DEL USO Y RENDIMIENTO DE LOS RECURSOS "/>
    <s v="PLANTA_CENTRAL"/>
    <x v="6"/>
    <x v="13"/>
    <s v="ADMINISTRACIÓN CENTRAL"/>
    <s v="ADQUISICIÓN DE BRAZOS DE ACCESO A PARQUEADEROS PARA LAS AUTORIDADES DEL SIS ECU 911 Y ENTIDADES ARTÍCULADAS AUTORIZADAS"/>
    <n v="1"/>
    <x v="6"/>
    <n v="1"/>
    <n v="0"/>
    <n v="1"/>
    <n v="1701"/>
    <s v="QUITO"/>
    <n v="1"/>
    <n v="0"/>
    <n v="0"/>
    <s v="CORRIENTE"/>
    <x v="0"/>
    <n v="530402"/>
    <s v="EDIFICIOS, LOCALES, RESIDENCIAS Y CABLEADO ESTRUCTURADO (INSTALACIÓN, MANTENIMIENTO Y REPARACIÓN)"/>
    <n v="0"/>
    <n v="3700"/>
    <n v="0"/>
    <n v="0"/>
    <n v="0"/>
    <n v="0"/>
    <n v="0"/>
    <n v="0"/>
    <n v="0"/>
    <n v="3700"/>
    <n v="0"/>
    <n v="0"/>
    <n v="0"/>
    <n v="0"/>
    <n v="3700"/>
    <s v="OK"/>
    <n v="370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DE LA GESTIÓN ADMINISTRATIVA MEDIANTE LA OPTIMIZACIÓN DEL USO Y RENDIMIENTO DE LOS RECURSOS "/>
    <s v="PLANTA_CENTRAL"/>
    <x v="6"/>
    <x v="13"/>
    <s v="ADMINISTRACIÓN CENTRAL"/>
    <s v="MANTENIMIENTO DEL SISTEMA DE GAS LICUADO"/>
    <n v="1"/>
    <x v="6"/>
    <n v="1"/>
    <n v="0"/>
    <n v="1"/>
    <n v="1701"/>
    <s v="QUITO"/>
    <n v="1"/>
    <n v="0"/>
    <n v="0"/>
    <s v="CORRIENTE"/>
    <x v="0"/>
    <n v="530402"/>
    <s v="EDIFICIOS, LOCALES, RESIDENCIAS Y CABLEADO ESTRUCTURADO (INSTALACIÓN, MANTENIMIENTO Y REPARACIÓN)"/>
    <n v="0"/>
    <n v="500"/>
    <n v="0"/>
    <n v="0"/>
    <n v="0"/>
    <n v="0"/>
    <n v="0"/>
    <n v="0"/>
    <n v="0"/>
    <n v="0"/>
    <n v="0"/>
    <n v="0"/>
    <n v="500"/>
    <n v="0"/>
    <n v="500"/>
    <s v="OK"/>
    <n v="0"/>
    <n v="50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DE LA GESTIÓN ADMINISTRATIVA MEDIANTE LA OPTIMIZACIÓN DEL USO Y RENDIMIENTO DE LOS RECURSOS "/>
    <s v="PLANTA_CENTRAL"/>
    <x v="6"/>
    <x v="13"/>
    <s v="ADMINISTRACIÓN CENTRAL"/>
    <s v="INSTALACIÓN DE SISTEMA DE ACCESOS"/>
    <n v="1"/>
    <x v="6"/>
    <n v="1"/>
    <n v="0"/>
    <n v="1"/>
    <n v="1701"/>
    <s v="QUITO"/>
    <n v="1"/>
    <n v="0"/>
    <n v="0"/>
    <s v="CORRIENTE"/>
    <x v="0"/>
    <n v="530402"/>
    <s v="EDIFICIOS, LOCALES, RESIDENCIAS Y CABLEADO ESTRUCTURADO (INSTALACIÓN, MANTENIMIENTO Y REPARACIÓN)"/>
    <n v="0"/>
    <n v="6300"/>
    <n v="0"/>
    <n v="0"/>
    <n v="0"/>
    <n v="0"/>
    <n v="0"/>
    <n v="0"/>
    <n v="0"/>
    <n v="0"/>
    <n v="0"/>
    <n v="0"/>
    <n v="0"/>
    <n v="6300"/>
    <n v="6300"/>
    <s v="OK"/>
    <n v="0"/>
    <n v="630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DE LA GESTIÓN ADMINISTRATIVA MEDIANTE LA OPTIMIZACIÓN DEL USO Y RENDIMIENTO DE LOS RECURSOS "/>
    <s v="PLANTA_CENTRAL"/>
    <x v="6"/>
    <x v="13"/>
    <s v="ADMINISTRACIÓN CENTRAL"/>
    <s v="ADQUISICIÓN REALIZADA POR CAJA CHICA"/>
    <n v="3"/>
    <x v="6"/>
    <n v="1"/>
    <n v="0"/>
    <n v="1"/>
    <n v="1701"/>
    <s v="QUITO"/>
    <n v="1"/>
    <n v="0"/>
    <n v="0"/>
    <s v="CORRIENTE"/>
    <x v="0"/>
    <n v="530403"/>
    <s v="MOBILIARIOS (INSTALACIÓN, MANTENIMIENTO Y REPARACIÓN)"/>
    <n v="100"/>
    <n v="50"/>
    <n v="0"/>
    <n v="0"/>
    <n v="0"/>
    <n v="0"/>
    <n v="0"/>
    <n v="0"/>
    <n v="0"/>
    <n v="0"/>
    <n v="0"/>
    <n v="0"/>
    <n v="0"/>
    <n v="50"/>
    <n v="50"/>
    <s v="OK"/>
    <n v="0"/>
    <n v="5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DE LA GESTIÓN ADMINISTRATIVA MEDIANTE LA OPTIMIZACIÓN DEL USO Y RENDIMIENTO DE LOS RECURSOS "/>
    <s v="PLANTA_CENTRAL"/>
    <x v="6"/>
    <x v="13"/>
    <s v="ADMINISTRACIÓN CENTRAL"/>
    <s v="MANTENIMIENTO DE SILLAS ERÓNOMICAS"/>
    <n v="1"/>
    <x v="6"/>
    <n v="1"/>
    <n v="0"/>
    <n v="1"/>
    <n v="1701"/>
    <s v="QUITO"/>
    <n v="1"/>
    <n v="0"/>
    <n v="0"/>
    <s v="CORRIENTE"/>
    <x v="0"/>
    <n v="530403"/>
    <s v="MOBILIARIOS (INSTALACIÓN, MANTENIMIENTO Y REPARACIÓN)"/>
    <n v="0"/>
    <n v="36322.400000000001"/>
    <n v="0"/>
    <n v="0"/>
    <n v="0"/>
    <n v="0"/>
    <n v="0"/>
    <n v="0"/>
    <n v="0"/>
    <n v="0"/>
    <n v="0"/>
    <n v="23671.88"/>
    <n v="0"/>
    <n v="12650.52"/>
    <n v="36322.400000000001"/>
    <s v="OK"/>
    <n v="34290"/>
    <n v="2032.4000000000015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DE LA GESTIÓN ADMINISTRATIVA MEDIANTE LA OPTIMIZACIÓN DEL USO Y RENDIMIENTO DE LOS RECURSOS "/>
    <s v="PLANTA_CENTRAL"/>
    <x v="6"/>
    <x v="13"/>
    <s v="ADMINISTRACIÓN CENTRAL"/>
    <s v="CONTRATACIÓN DEL SERVICIO DE MANTENIMIENTO PREVENTIVO Y CORRECTIVO DEL PARQUE AUTOMOTOR PC - CZ 2-9"/>
    <n v="1"/>
    <x v="6"/>
    <n v="1"/>
    <n v="0"/>
    <n v="1"/>
    <n v="1701"/>
    <s v="QUITO"/>
    <n v="1"/>
    <n v="0"/>
    <n v="0"/>
    <s v="CORRIENTE"/>
    <x v="0"/>
    <n v="530405"/>
    <s v="VEHÍCULOS (SERVICIO PARA MANTENIMIENTO Y REPARACIÓN)"/>
    <n v="51600"/>
    <n v="37105"/>
    <n v="3092.08"/>
    <n v="3092.08"/>
    <n v="3092.08"/>
    <n v="3092.08"/>
    <n v="3092.08"/>
    <n v="3092.08"/>
    <n v="3092.08"/>
    <n v="3092.08"/>
    <n v="3092.08"/>
    <n v="3092.08"/>
    <n v="3092.08"/>
    <n v="3092.12"/>
    <n v="37105.000000000007"/>
    <s v="OK"/>
    <n v="37105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DE LA GESTIÓN ADMINISTRATIVA MEDIANTE LA OPTIMIZACIÓN DEL USO Y RENDIMIENTO DE LOS RECURSOS "/>
    <s v="PLANTA_CENTRAL"/>
    <x v="6"/>
    <x v="13"/>
    <s v="ADMINISTRACIÓN CENTRAL"/>
    <s v="CONTRATACIÓN DEL SERVICIO DE REENCAUCHE"/>
    <n v="1"/>
    <x v="6"/>
    <n v="1"/>
    <n v="0"/>
    <n v="1"/>
    <n v="1701"/>
    <s v="QUITO"/>
    <n v="1"/>
    <n v="0"/>
    <n v="0"/>
    <s v="CORRIENTE"/>
    <x v="0"/>
    <n v="530405"/>
    <s v="VEHÍCULOS (SERVICIO PARA MANTENIMIENTO Y REPARACIÓN)"/>
    <n v="491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DE LA GESTIÓN ADMINISTRATIVA MEDIANTE LA OPTIMIZACIÓN DEL USO Y RENDIMIENTO DE LOS RECURSOS "/>
    <s v="PLANTA_CENTRAL"/>
    <x v="6"/>
    <x v="13"/>
    <s v="ADMINISTRACIÓN CENTRAL"/>
    <s v="ADQUISICIÓN REALIZADA POR CAJA CHICA"/>
    <n v="3"/>
    <x v="6"/>
    <n v="1"/>
    <n v="0"/>
    <n v="1"/>
    <n v="1701"/>
    <s v="QUITO"/>
    <n v="1"/>
    <n v="0"/>
    <n v="0"/>
    <s v="CORRIENTE"/>
    <x v="0"/>
    <n v="530405"/>
    <s v="VEHÍCULOS (SERVICIO PARA MANTENIMIENTO Y REPARACIÓN)"/>
    <n v="1700"/>
    <n v="249"/>
    <n v="0"/>
    <n v="0"/>
    <n v="0"/>
    <n v="0"/>
    <n v="0"/>
    <n v="0"/>
    <n v="0"/>
    <n v="0"/>
    <n v="0"/>
    <n v="0"/>
    <n v="0"/>
    <n v="249"/>
    <n v="249"/>
    <s v="OK"/>
    <n v="198"/>
    <n v="51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DE LA GESTIÓN ADMINISTRATIVA MEDIANTE LA OPTIMIZACIÓN DEL USO Y RENDIMIENTO DE LOS RECURSOS "/>
    <s v="PLANTA_CENTRAL"/>
    <x v="6"/>
    <x v="13"/>
    <s v="ADMINISTRACIÓN CENTRAL"/>
    <s v="GASTOS PARA CUBRIR VALORES DIARIOS DE HOSPEDAJE Y ALIMENTACIÓN DE LOS SERVIDORES Y TRABAJADORES PÚBLICOS ENVIADOS EN COMISIÓN DE SERVICIOS, DENTRO DEL PAÍS"/>
    <n v="1"/>
    <x v="6"/>
    <n v="1"/>
    <n v="0"/>
    <n v="1"/>
    <n v="1701"/>
    <s v="QUITO"/>
    <n v="1"/>
    <n v="0"/>
    <n v="0"/>
    <s v="CORRIENTE"/>
    <x v="0"/>
    <n v="530502"/>
    <s v="EDIFICIOS, LOCALES Y RESIDENCIAS, PARQUEADEROS, CASILLEROS JUDICIALES Y BANCARIOS (ARRENDAMIENTO)"/>
    <n v="0"/>
    <n v="100"/>
    <n v="8.33"/>
    <n v="8.33"/>
    <n v="8.33"/>
    <n v="8.33"/>
    <n v="8.33"/>
    <n v="8.33"/>
    <n v="8.33"/>
    <n v="8.33"/>
    <n v="8.33"/>
    <n v="8.33"/>
    <n v="8.33"/>
    <n v="8.3699999999999992"/>
    <n v="100"/>
    <s v="OK"/>
    <n v="10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DE LA GESTIÓN ADMINISTRATIVA MEDIANTE LA OPTIMIZACIÓN DEL USO Y RENDIMIENTO DE LOS RECURSOS "/>
    <s v="PLANTA_CENTRAL"/>
    <x v="6"/>
    <x v="13"/>
    <s v="ADMINISTRACIÓN CENTRAL"/>
    <s v="ADQUISICIÓN REALIZADA POR CAJA CHICA"/>
    <n v="3"/>
    <x v="6"/>
    <n v="1"/>
    <n v="0"/>
    <n v="1"/>
    <n v="1701"/>
    <s v="QUITO"/>
    <n v="1"/>
    <n v="0"/>
    <n v="0"/>
    <s v="CORRIENTE"/>
    <x v="0"/>
    <n v="530502"/>
    <s v="EDIFICIOS, LOCALES Y RESIDENCIAS, PARQUEADEROS, CASILLEROS JUDICIALES Y BANCARIOS (ARRENDAMIENTO)"/>
    <n v="100"/>
    <n v="10.75"/>
    <n v="0"/>
    <n v="0"/>
    <n v="0"/>
    <n v="0"/>
    <n v="0"/>
    <n v="0"/>
    <n v="0"/>
    <n v="0"/>
    <n v="0"/>
    <n v="0"/>
    <n v="0"/>
    <n v="10.75"/>
    <n v="10.75"/>
    <s v="OK"/>
    <n v="1.5"/>
    <n v="9.25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EN LA GESTIÓN LEGAL MEDIANTE LA EVALUACIÓN, SIMPLIFICACIÓN, MEJORA Y CONTROL DE LOS PROCESOS Y SERVICIOS DE ASESORÍA JURÍDICA INSTITUCIONAL, ASÍ COMO TAMBIÉN DE LA ATENCIÓN OPORTUNA Y ACERTADA A LOS REQUERIMIENTOS EFECTUADOS POR PARTE DE LOS USUARIOS INTERNOS, EXTERNOS Y LA ACTUALIZACIÓN DEL PERSONAL EN ÁMBITOS JURÍDICOS."/>
    <s v="PLANTA_CENTRAL"/>
    <x v="10"/>
    <x v="17"/>
    <s v="ADMINISTRACIÓN CENTRAL"/>
    <s v="CONTRATACIÓN DEL SERVICIO DEL_x000a_ SISTEMA DE NORMATIVA Y CONSULTAS JURÍDICAS"/>
    <n v="1"/>
    <x v="6"/>
    <n v="1"/>
    <n v="0"/>
    <n v="1"/>
    <n v="1701"/>
    <s v="QUITO"/>
    <n v="1"/>
    <n v="0"/>
    <n v="0"/>
    <s v="CORRIENTE"/>
    <x v="0"/>
    <n v="530702"/>
    <s v="ARRENDAMIENTO Y LICENCIAS DE USO DE PAQUETES INFORMÁTICOS"/>
    <n v="999"/>
    <n v="624.6"/>
    <n v="0"/>
    <n v="0"/>
    <n v="0"/>
    <n v="0"/>
    <n v="0"/>
    <n v="624.6"/>
    <n v="0"/>
    <n v="0"/>
    <n v="0"/>
    <n v="0"/>
    <n v="0"/>
    <n v="0"/>
    <n v="624.6"/>
    <s v="OK"/>
    <n v="550.19999999999993"/>
    <n v="74.400000000000091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EN LA GESTIÓN LEGAL MEDIANTE LA EVALUACIÓN, SIMPLIFICACIÓN, MEJORA Y CONTROL DE LOS PROCESOS Y SERVICIOS DE ASESORÍA JURÍDICA INSTITUCIONAL, ASÍ COMO TAMBIÉN DE LA ATENCIÓN OPORTUNA Y ACERTADA A LOS REQUERIMIENTOS EFECTUADOS POR PARTE DE LOS USUARIOS INTERNOS, EXTERNOS Y LA ACTUALIZACIÓN DEL PERSONAL EN ÁMBITOS JURÍDICOS."/>
    <s v="PLANTA_CENTRAL"/>
    <x v="6"/>
    <x v="13"/>
    <s v="ADMINISTRACIÓN CENTRAL"/>
    <s v="ADQUISICIÓN REALIZADA POR CAJA CHICA"/>
    <n v="1"/>
    <x v="6"/>
    <n v="1"/>
    <n v="0"/>
    <n v="1"/>
    <n v="1701"/>
    <s v="QUITO"/>
    <n v="1"/>
    <n v="0"/>
    <n v="0"/>
    <s v="CORRIENTE"/>
    <x v="0"/>
    <n v="530702"/>
    <s v="ARRENDAMIENTO Y LICENCIAS DE USO DE PAQUETES INFORMÁTICOS"/>
    <n v="0"/>
    <n v="56"/>
    <n v="0"/>
    <n v="0"/>
    <n v="0"/>
    <n v="0"/>
    <n v="0"/>
    <n v="0"/>
    <n v="0"/>
    <n v="0"/>
    <n v="56"/>
    <n v="0"/>
    <n v="0"/>
    <n v="0"/>
    <n v="56"/>
    <s v="OK"/>
    <n v="56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EN LA GESTIÓN FINANCIERA MEDIANTE EL FORTALECIMIENTO DE LAS METODOLOGÍAS, MEJORAMIENTO DE PROCESOS FINANCIEROS INTERNOS, APLICACIÓN DE NORMATIVAS Y REGULACIONES VIGENTES. "/>
    <s v="PLANTA_CENTRAL"/>
    <x v="6"/>
    <x v="8"/>
    <s v="ADMINISTRACIÓN CENTRAL"/>
    <s v="CONTRATACIÓN PARA LA ACTUALIZACIÓN DE SOFTWARE SITAC PLUS (TRIBUTACIÓN Y ADMINISTRACIÓN DE DOCUMENTOS ELECTRÓNICOS)"/>
    <n v="1"/>
    <x v="6"/>
    <n v="1"/>
    <n v="0"/>
    <n v="1"/>
    <n v="1701"/>
    <s v="QUITO"/>
    <n v="1"/>
    <n v="0"/>
    <n v="0"/>
    <s v="CORRIENTE"/>
    <x v="0"/>
    <n v="530702"/>
    <s v="ARRENDAMIENTO Y LICENCIAS DE USO DE PAQUETES INFORMÁTICOS"/>
    <n v="300"/>
    <n v="300"/>
    <n v="0"/>
    <n v="0"/>
    <n v="0"/>
    <n v="0"/>
    <n v="0"/>
    <n v="0"/>
    <n v="0"/>
    <n v="0"/>
    <n v="300"/>
    <n v="0"/>
    <n v="0"/>
    <n v="0"/>
    <n v="300"/>
    <s v="OK"/>
    <n v="30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DE LA GESTIÓN ADMINISTRATIVA MEDIANTE LA OPTIMIZACIÓN DEL USO Y RENDIMIENTO DE LOS RECURSOS "/>
    <s v="PLANTA_CENTRAL"/>
    <x v="6"/>
    <x v="13"/>
    <s v="ADMINISTRACIÓN CENTRAL"/>
    <s v="ADQUISICIÓN REALIZADA POR CAJA CHICA"/>
    <n v="3"/>
    <x v="6"/>
    <n v="1"/>
    <n v="0"/>
    <n v="1"/>
    <n v="1701"/>
    <s v="QUITO"/>
    <n v="1"/>
    <n v="0"/>
    <n v="0"/>
    <s v="CORRIENTE"/>
    <x v="0"/>
    <n v="530801"/>
    <s v="ALIMENTOS Y BEBIDAS"/>
    <n v="100"/>
    <n v="689.02"/>
    <n v="0"/>
    <n v="0"/>
    <n v="0"/>
    <n v="0"/>
    <n v="0"/>
    <n v="0"/>
    <n v="0"/>
    <n v="0"/>
    <n v="0"/>
    <n v="0"/>
    <n v="0"/>
    <n v="689.02"/>
    <n v="689.02"/>
    <s v="OK"/>
    <n v="462.17"/>
    <n v="226.84999999999997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DE LA GESTIÓN ADMINISTRATIVA MEDIANTE LA OPTIMIZACIÓN DEL USO Y RENDIMIENTO DE LOS RECURSOS "/>
    <s v="PLANTA_CENTRAL"/>
    <x v="6"/>
    <x v="13"/>
    <s v="ADMINISTRACIÓN CENTRAL"/>
    <s v="GASTOS PARA CUBRIR VALORES DIARIOS DE HOSPEDAJE Y ALIMENTACIÓN DE LOS SERVIDORES Y TRABAJADORES PÚBLICOS ENVIADOS EN COMISIÓN DE SERVICIOS, DENTRO DEL PAÍS"/>
    <n v="1"/>
    <x v="6"/>
    <n v="1"/>
    <n v="0"/>
    <n v="1"/>
    <n v="1701"/>
    <s v="QUITO"/>
    <n v="1"/>
    <n v="0"/>
    <n v="0"/>
    <s v="CORRIENTE"/>
    <x v="0"/>
    <n v="530801"/>
    <s v="ALIMENTOS Y BEBIDAS"/>
    <n v="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LA EFICACIA DE LA GESTIÓN DE ADMINISTRACIÓN DEL RECURSO HUMANO MEDIANTE EL DESARROLLO DE MECANISMOS Y PLANES QUE PERMITAN OPTIMIZAR EL DESEMPEÑO LABORAL EN BASE AL CUMPLIMIENTO DE LA NORMATIVA LEGAL VIGENTE. "/>
    <s v="PLANTA_CENTRAL"/>
    <x v="6"/>
    <x v="16"/>
    <s v="ADMINISTRACIÓN CENTRAL"/>
    <s v="ADQUISICIÓN DE ROPA DE TRABAJO PARA EL PERSONAL BAJO RÉGIMEN DE CÓDIGO DE TRABAJO DEL SIS ECU 911- PLANTA CENTRAL"/>
    <n v="1"/>
    <x v="6"/>
    <n v="1"/>
    <n v="0"/>
    <n v="1"/>
    <n v="1701"/>
    <s v="QUITO"/>
    <n v="1"/>
    <n v="0"/>
    <n v="0"/>
    <s v="CORRIENTE"/>
    <x v="0"/>
    <n v="530802"/>
    <s v="VESTUARIO, LENCERÍA, PRENDAS DE PROTECCIÓN Y ACCESORIOS PARA UNIFORMES DEL PERSONAL DE PROTECCIÓN, VIGILANCIA Y SEGURIDAD"/>
    <n v="2720"/>
    <n v="2720"/>
    <n v="0"/>
    <n v="0"/>
    <n v="0"/>
    <n v="0"/>
    <n v="0"/>
    <n v="0"/>
    <n v="0"/>
    <n v="2720"/>
    <n v="0"/>
    <n v="0"/>
    <n v="0"/>
    <n v="0"/>
    <n v="2720"/>
    <s v="OK"/>
    <n v="2516.91"/>
    <n v="203.09000000000015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DE LA GESTIÓN ADMINISTRATIVA MEDIANTE LA OPTIMIZACIÓN DEL USO Y RENDIMIENTO DE LOS RECURSOS "/>
    <s v="PLANTA_CENTRAL"/>
    <x v="6"/>
    <x v="13"/>
    <s v="ADMINISTRACIÓN CENTRAL"/>
    <s v="ADQUISICIÓN DE SUMINISTROS DE OFICINA"/>
    <n v="1"/>
    <x v="6"/>
    <n v="1"/>
    <n v="0"/>
    <n v="1"/>
    <n v="1701"/>
    <s v="QUITO"/>
    <n v="1"/>
    <n v="0"/>
    <n v="0"/>
    <s v="CORRIENTE"/>
    <x v="0"/>
    <n v="530804"/>
    <s v="MATERIALES DE OFICINA"/>
    <n v="9189"/>
    <n v="5389.1900000000005"/>
    <n v="0"/>
    <n v="0"/>
    <n v="0"/>
    <n v="0"/>
    <n v="0"/>
    <n v="0"/>
    <n v="0"/>
    <n v="0"/>
    <n v="0"/>
    <n v="5389.19"/>
    <n v="0"/>
    <n v="0"/>
    <n v="5389.19"/>
    <s v="OK"/>
    <n v="3989.22"/>
    <n v="1399.9700000000007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DE LA GESTIÓN ADMINISTRATIVA MEDIANTE LA OPTIMIZACIÓN DEL USO Y RENDIMIENTO DE LOS RECURSOS "/>
    <s v="PLANTA_CENTRAL"/>
    <x v="6"/>
    <x v="13"/>
    <s v="ADMINISTRACIÓN CENTRAL"/>
    <s v="ADQUISICIÓN DE TARJETAS DE PROXIMIDAD HID , COLGANTES INSTITUCIONALES ,TARJETAS ADHESIVAS BASE MILLER Y PORTACREDENCIALES"/>
    <n v="1"/>
    <x v="6"/>
    <n v="1"/>
    <n v="0"/>
    <n v="1"/>
    <n v="1701"/>
    <s v="QUITO"/>
    <n v="1"/>
    <n v="0"/>
    <n v="0"/>
    <s v="CORRIENTE"/>
    <x v="0"/>
    <n v="530804"/>
    <s v="MATERIALES DE OFICINA"/>
    <n v="0"/>
    <n v="4000"/>
    <n v="0"/>
    <n v="0"/>
    <n v="0"/>
    <n v="0"/>
    <n v="0"/>
    <n v="0"/>
    <n v="0"/>
    <n v="0"/>
    <n v="0"/>
    <n v="0"/>
    <n v="4000"/>
    <n v="0"/>
    <n v="4000"/>
    <s v="OK"/>
    <n v="0"/>
    <n v="400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DE LA GESTIÓN ADMINISTRATIVA MEDIANTE LA OPTIMIZACIÓN DEL USO Y RENDIMIENTO DE LOS RECURSOS "/>
    <s v="PLANTA_CENTRAL"/>
    <x v="6"/>
    <x v="13"/>
    <s v="ADMINISTRACIÓN CENTRAL"/>
    <s v="ADQUISICIÓN REALIZADA POR CAJA CHICA"/>
    <n v="3"/>
    <x v="6"/>
    <n v="1"/>
    <n v="0"/>
    <n v="1"/>
    <n v="1701"/>
    <s v="QUITO"/>
    <n v="1"/>
    <n v="0"/>
    <n v="0"/>
    <s v="CORRIENTE"/>
    <x v="0"/>
    <n v="530804"/>
    <s v="MATERIALES DE OFICINA"/>
    <n v="100"/>
    <n v="30"/>
    <n v="0"/>
    <n v="0"/>
    <n v="0"/>
    <n v="0"/>
    <n v="0"/>
    <n v="0"/>
    <n v="0"/>
    <n v="0"/>
    <n v="0"/>
    <n v="0"/>
    <n v="0"/>
    <n v="30"/>
    <n v="30"/>
    <s v="OK"/>
    <n v="19.149999999999999"/>
    <n v="10.850000000000001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DE LA GESTIÓN ADMINISTRATIVA MEDIANTE LA OPTIMIZACIÓN DEL USO Y RENDIMIENTO DE LOS RECURSOS "/>
    <s v="PLANTA_CENTRAL"/>
    <x v="6"/>
    <x v="13"/>
    <s v="ADMINISTRACIÓN CENTRAL"/>
    <s v="ADQUISICIÓN DE SUMINISTROS DE LIMPIEZA"/>
    <n v="1"/>
    <x v="6"/>
    <n v="1"/>
    <n v="0"/>
    <n v="1"/>
    <n v="1701"/>
    <s v="QUITO"/>
    <n v="1"/>
    <n v="0"/>
    <n v="0"/>
    <s v="CORRIENTE"/>
    <x v="0"/>
    <n v="530805"/>
    <s v="MATERIALES DE ASEO"/>
    <n v="2000"/>
    <n v="2998.35"/>
    <n v="0"/>
    <n v="0"/>
    <n v="0"/>
    <n v="0"/>
    <n v="0"/>
    <n v="0"/>
    <n v="0"/>
    <n v="0"/>
    <n v="0"/>
    <n v="2998.35"/>
    <n v="0"/>
    <n v="0"/>
    <n v="2998.35"/>
    <s v="OK"/>
    <n v="1799.16"/>
    <n v="1199.1899999999998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DE LA GESTIÓN ADMINISTRATIVA MEDIANTE LA OPTIMIZACIÓN DEL USO Y RENDIMIENTO DE LOS RECURSOS "/>
    <s v="PLANTA_CENTRAL"/>
    <x v="6"/>
    <x v="13"/>
    <s v="ADMINISTRACIÓN CENTRAL"/>
    <s v="ADQUISICIÓN REALIZADA POR CAJA CHICA"/>
    <n v="3"/>
    <x v="6"/>
    <n v="1"/>
    <n v="0"/>
    <n v="1"/>
    <n v="1701"/>
    <s v="QUITO"/>
    <n v="1"/>
    <n v="0"/>
    <n v="0"/>
    <s v="CORRIENTE"/>
    <x v="0"/>
    <n v="530805"/>
    <s v="MATERIALES DE ASEO"/>
    <n v="101"/>
    <n v="130"/>
    <n v="0"/>
    <n v="0"/>
    <n v="0"/>
    <n v="0"/>
    <n v="0"/>
    <n v="0"/>
    <n v="0"/>
    <n v="0"/>
    <n v="0"/>
    <n v="0"/>
    <n v="0"/>
    <n v="130"/>
    <n v="130"/>
    <s v="OK"/>
    <n v="75.300000000000011"/>
    <n v="54.699999999999989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DE LA GESTIÓN ADMINISTRATIVA MEDIANTE LA OPTIMIZACIÓN DEL USO Y RENDIMIENTO DE LOS RECURSOS "/>
    <s v="PLANTA_CENTRAL"/>
    <x v="6"/>
    <x v="13"/>
    <s v="ADMINISTRACIÓN CENTRAL"/>
    <s v="ADQUISICIÓN DE SUMINISTROS DE IMPRESIÓN (TONER Y OTROS)"/>
    <n v="1"/>
    <x v="6"/>
    <n v="1"/>
    <n v="0"/>
    <n v="1"/>
    <n v="1701"/>
    <s v="QUITO"/>
    <n v="1"/>
    <n v="0"/>
    <n v="0"/>
    <s v="CORRIENTE"/>
    <x v="0"/>
    <n v="530807"/>
    <s v="MATERIALES DE IMPRESIÓN, FOTOGRAFÍA, REPRODUCCIÓN Y PUBLICACIONES"/>
    <n v="45000"/>
    <n v="35559.75"/>
    <n v="0"/>
    <n v="0"/>
    <n v="0"/>
    <n v="0"/>
    <n v="0"/>
    <n v="0"/>
    <n v="0"/>
    <n v="34151.800000000003"/>
    <n v="0"/>
    <n v="0"/>
    <n v="0"/>
    <n v="1407.95"/>
    <n v="35559.75"/>
    <s v="OK"/>
    <n v="33467.700000000004"/>
    <n v="2092.0499999999956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LA EFICACIA DE LA GESTIÓN DE ADMINISTRACIÓN DEL RECURSO HUMANO MEDIANTE EL DESARROLLO DE MECANISMOS Y PLANES QUE PERMITAN OPTIMIZAR EL DESEMPEÑO LABORAL EN BASE AL CUMPLIMIENTO DE LA NORMATIVA LEGAL VIGENTE. "/>
    <s v="PLANTA_CENTRAL"/>
    <x v="6"/>
    <x v="16"/>
    <s v="ADMINISTRACIÓN CENTRAL"/>
    <s v="ADQUISICIÓN DE MEDICAMENTOS BÁSICOS PARA EL CONSULTORIO MÉDICO"/>
    <n v="1"/>
    <x v="6"/>
    <n v="1"/>
    <n v="0"/>
    <n v="1"/>
    <n v="1701"/>
    <s v="QUITO"/>
    <n v="1"/>
    <n v="0"/>
    <n v="0"/>
    <s v="CORRIENTE"/>
    <x v="0"/>
    <n v="530809"/>
    <s v="MEDICAMENTOS"/>
    <n v="1500"/>
    <n v="1500"/>
    <n v="0"/>
    <n v="0"/>
    <n v="0"/>
    <n v="0"/>
    <n v="0"/>
    <n v="0"/>
    <n v="0"/>
    <n v="750"/>
    <n v="0"/>
    <n v="0"/>
    <n v="0"/>
    <n v="750"/>
    <n v="1500"/>
    <s v="OK"/>
    <n v="1353.85"/>
    <n v="146.15000000000009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DE LA GESTIÓN ADMINISTRATIVA MEDIANTE LA OPTIMIZACIÓN DEL USO Y RENDIMIENTO DE LOS RECURSOS "/>
    <s v="PLANTA_CENTRAL"/>
    <x v="6"/>
    <x v="13"/>
    <s v="ADMINISTRACIÓN CENTRAL"/>
    <s v="ADQUISICIÓN REALIZADA POR CAJA CHICA"/>
    <n v="3"/>
    <x v="6"/>
    <n v="1"/>
    <n v="0"/>
    <n v="1"/>
    <n v="1701"/>
    <s v="QUITO"/>
    <n v="1"/>
    <n v="0"/>
    <n v="0"/>
    <s v="CORRIENTE"/>
    <x v="0"/>
    <n v="530811"/>
    <s v="INSUMOS, MATERIALES Y SUMINISTROS PARA CONSTRUCCIÓN, ELECTRICIDAD, PLOMERÍA, CARPINTERÍA, SEÑALIZACIÓN VIAL, NAVEGACIÓN, CONTRA INCENDIOS Y PLACAS"/>
    <n v="1034"/>
    <n v="1034"/>
    <n v="0"/>
    <n v="0"/>
    <n v="0"/>
    <n v="0"/>
    <n v="0"/>
    <n v="0"/>
    <n v="0"/>
    <n v="0"/>
    <n v="0"/>
    <n v="0"/>
    <n v="0"/>
    <n v="1034"/>
    <n v="1034"/>
    <s v="OK"/>
    <n v="289.85000000000002"/>
    <n v="744.15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DE LA GESTIÓN ADMINISTRATIVA MEDIANTE LA OPTIMIZACIÓN DEL USO Y RENDIMIENTO DE LOS RECURSOS "/>
    <s v="PLANTA_CENTRAL"/>
    <x v="6"/>
    <x v="13"/>
    <s v="ADMINISTRACIÓN CENTRAL"/>
    <s v="ADQUISICIÓN DE MATERIALES DE FERRETERÍA"/>
    <n v="1"/>
    <x v="6"/>
    <n v="1"/>
    <n v="0"/>
    <n v="1"/>
    <n v="1701"/>
    <s v="QUITO"/>
    <n v="1"/>
    <n v="0"/>
    <n v="0"/>
    <s v="CORRIENTE"/>
    <x v="0"/>
    <n v="530811"/>
    <s v="INSUMOS, MATERIALES Y SUMINISTROS PARA CONSTRUCCIÓN, ELECTRICIDAD, PLOMERÍA, CARPINTERÍA, SEÑALIZACIÓN VIAL, NAVEGACIÓN, CONTRA INCENDIOS Y PLACAS"/>
    <n v="10000"/>
    <n v="24287.05"/>
    <n v="0"/>
    <n v="0"/>
    <n v="0"/>
    <n v="0"/>
    <n v="0"/>
    <n v="0"/>
    <n v="0"/>
    <n v="0"/>
    <n v="0"/>
    <n v="0"/>
    <n v="24287.05"/>
    <n v="0"/>
    <n v="24287.05"/>
    <s v="OK"/>
    <n v="22318.240000000002"/>
    <n v="1968.8099999999977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DE LA GESTIÓN ADMINISTRATIVA MEDIANTE LA OPTIMIZACIÓN DEL USO Y RENDIMIENTO DE LOS RECURSOS "/>
    <s v="PLANTA_CENTRAL"/>
    <x v="6"/>
    <x v="13"/>
    <s v="ADMINISTRACIÓN CENTRAL"/>
    <s v="ADQUISICIÓN REALIZADA POR CAJA CHICA"/>
    <n v="3"/>
    <x v="6"/>
    <n v="1"/>
    <n v="0"/>
    <n v="1"/>
    <n v="1701"/>
    <s v="QUITO"/>
    <n v="1"/>
    <n v="0"/>
    <n v="0"/>
    <s v="CORRIENTE"/>
    <x v="0"/>
    <n v="530813"/>
    <s v="REPUESTOS Y ACCESORIOS"/>
    <n v="115"/>
    <n v="165"/>
    <n v="0"/>
    <n v="0"/>
    <n v="0"/>
    <n v="0"/>
    <n v="0"/>
    <n v="0"/>
    <n v="0"/>
    <n v="0"/>
    <n v="0"/>
    <n v="0"/>
    <n v="0"/>
    <n v="165"/>
    <n v="165"/>
    <s v="OK"/>
    <n v="115.52"/>
    <n v="49.480000000000004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DE LA GESTIÓN ADMINISTRATIVA MEDIANTE LA OPTIMIZACIÓN DEL USO Y RENDIMIENTO DE LOS RECURSOS "/>
    <s v="PLANTA_CENTRAL"/>
    <x v="6"/>
    <x v="13"/>
    <s v="ADMINISTRACIÓN CENTRAL"/>
    <s v="GASTOS PARA CUBRIR VALORES DIARIOS DE HOSPEDAJE Y ALIMENTACIÓN DE LOS SERVIDORES Y TRABAJADORES PÚBLICOS ENVIADOS EN COMISIÓN DE SERVICIOS, DENTRO DEL PAÍS"/>
    <n v="1"/>
    <x v="6"/>
    <n v="1"/>
    <n v="0"/>
    <n v="1"/>
    <n v="1701"/>
    <s v="QUITO"/>
    <n v="1"/>
    <n v="0"/>
    <n v="0"/>
    <s v="CORRIENTE"/>
    <x v="0"/>
    <n v="530813"/>
    <s v="REPUESTOS Y ACCESORIOS"/>
    <n v="0"/>
    <n v="200"/>
    <n v="16.670000000000002"/>
    <n v="16.670000000000002"/>
    <n v="16.670000000000002"/>
    <n v="16.670000000000002"/>
    <n v="16.670000000000002"/>
    <n v="16.670000000000002"/>
    <n v="16.670000000000002"/>
    <n v="16.670000000000002"/>
    <n v="16.670000000000002"/>
    <n v="16.670000000000002"/>
    <n v="16.670000000000002"/>
    <n v="16.63"/>
    <n v="200.00000000000006"/>
    <s v="OK"/>
    <n v="20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DE LA GESTIÓN ADMINISTRATIVA MEDIANTE LA OPTIMIZACIÓN DEL USO Y RENDIMIENTO DE LOS RECURSOS "/>
    <s v="PLANTA_CENTRAL"/>
    <x v="6"/>
    <x v="13"/>
    <s v="ADMINISTRACIÓN CENTRAL"/>
    <s v="ADQUISICIÓN DE BANCO DE BATERIAS"/>
    <n v="1"/>
    <x v="6"/>
    <n v="1"/>
    <n v="0"/>
    <n v="1"/>
    <n v="1701"/>
    <s v="QUITO"/>
    <n v="1"/>
    <n v="0"/>
    <n v="0"/>
    <s v="CORRIENTE"/>
    <x v="0"/>
    <n v="530813"/>
    <s v="REPUESTOS Y ACCESORIOS"/>
    <n v="0"/>
    <n v="11700"/>
    <n v="0"/>
    <n v="0"/>
    <n v="0"/>
    <n v="0"/>
    <n v="0"/>
    <n v="0"/>
    <n v="0"/>
    <n v="0"/>
    <n v="11700"/>
    <n v="0"/>
    <n v="0"/>
    <n v="0"/>
    <n v="11700"/>
    <s v="OK"/>
    <n v="11700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DE LA GESTIÓN ADMINISTRATIVA MEDIANTE LA OPTIMIZACIÓN DEL USO Y RENDIMIENTO DE LOS RECURSOS "/>
    <s v="PLANTA_CENTRAL"/>
    <x v="6"/>
    <x v="13"/>
    <s v="ADMINISTRACIÓN CENTRAL"/>
    <s v="BLINDAJE DE VEHÍCULOS"/>
    <n v="1"/>
    <x v="6"/>
    <n v="1"/>
    <n v="0"/>
    <n v="1"/>
    <n v="1701"/>
    <s v="QUITO"/>
    <n v="1"/>
    <n v="0"/>
    <n v="0"/>
    <s v="CORRIENTE"/>
    <x v="0"/>
    <n v="530813"/>
    <s v="REPUESTOS Y ACCESORIOS"/>
    <n v="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DE LA GESTIÓN ADMINISTRATIVA MEDIANTE LA OPTIMIZACIÓN DEL USO Y RENDIMIENTO DE LOS RECURSOS "/>
    <s v="PLANTA_CENTRAL"/>
    <x v="6"/>
    <x v="13"/>
    <s v="ADMINISTRACIÓN CENTRAL"/>
    <s v="ACTUALIZACIÓN SISTEMA CONTRAINCENDIOS"/>
    <n v="1"/>
    <x v="6"/>
    <n v="1"/>
    <n v="0"/>
    <n v="1"/>
    <n v="1701"/>
    <s v="QUITO"/>
    <n v="1"/>
    <n v="0"/>
    <n v="0"/>
    <s v="CORRIENTE"/>
    <x v="0"/>
    <n v="530813"/>
    <s v="REPUESTOS Y ACCESORIOS"/>
    <n v="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DE LA GESTIÓN ADMINISTRATIVA MEDIANTE LA OPTIMIZACIÓN DEL USO Y RENDIMIENTO DE LOS RECURSOS "/>
    <s v="PLANTA_CENTRAL"/>
    <x v="6"/>
    <x v="13"/>
    <s v="ADMINISTRACIÓN CENTRAL"/>
    <s v="ADQUISICIÓN DE REPUESTOS PARA GENERADORES"/>
    <n v="1"/>
    <x v="6"/>
    <n v="1"/>
    <n v="0"/>
    <n v="1"/>
    <n v="1701"/>
    <s v="QUITO"/>
    <n v="1"/>
    <n v="0"/>
    <n v="0"/>
    <s v="CORRIENTE"/>
    <x v="0"/>
    <n v="530813"/>
    <s v="REPUESTOS Y ACCESORIOS"/>
    <n v="0"/>
    <n v="6235"/>
    <n v="0"/>
    <n v="0"/>
    <n v="0"/>
    <n v="0"/>
    <n v="0"/>
    <n v="0"/>
    <n v="0"/>
    <n v="0"/>
    <n v="0"/>
    <n v="6235"/>
    <n v="0"/>
    <n v="0"/>
    <n v="6235"/>
    <s v="OK"/>
    <n v="6235"/>
    <n v="0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DE LA GESTIÓN ADMINISTRATIVA MEDIANTE LA OPTIMIZACIÓN DEL USO Y RENDIMIENTO DE LOS RECURSOS "/>
    <s v="PLANTA_CENTRAL"/>
    <x v="6"/>
    <x v="13"/>
    <s v="ADMINISTRACIÓN CENTRAL"/>
    <s v="ADQUISICIÓN DE REPUESTOS PARA FILTROS DE AGUA"/>
    <n v="1"/>
    <x v="6"/>
    <n v="1"/>
    <n v="0"/>
    <n v="1"/>
    <n v="1701"/>
    <s v="QUITO"/>
    <n v="1"/>
    <n v="0"/>
    <n v="0"/>
    <s v="CORRIENTE"/>
    <x v="0"/>
    <n v="530813"/>
    <s v="REPUESTOS Y ACCESORIOS"/>
    <n v="0"/>
    <n v="2152.98"/>
    <n v="0"/>
    <n v="0"/>
    <n v="0"/>
    <n v="0"/>
    <n v="0"/>
    <n v="0"/>
    <n v="1200"/>
    <n v="0"/>
    <n v="0"/>
    <n v="0"/>
    <n v="952.98"/>
    <n v="0"/>
    <n v="2152.98"/>
    <s v="OK"/>
    <n v="765.24"/>
    <n v="1387.74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DE LA GESTIÓN ADMINISTRATIVA MEDIANTE LA OPTIMIZACIÓN DEL USO Y RENDIMIENTO DE LOS RECURSOS "/>
    <s v="PLANTA_CENTRAL"/>
    <x v="6"/>
    <x v="13"/>
    <s v="ADMINISTRACIÓN CENTRAL"/>
    <s v="ADQUISICIÓN DE REPUESTOS PARA CLIMATIZACIÓN"/>
    <n v="1"/>
    <x v="6"/>
    <n v="1"/>
    <n v="0"/>
    <n v="1"/>
    <n v="1701"/>
    <s v="QUITO"/>
    <n v="1"/>
    <n v="0"/>
    <n v="0"/>
    <s v="CORRIENTE"/>
    <x v="0"/>
    <n v="530813"/>
    <s v="REPUESTOS Y ACCESORIOS"/>
    <n v="0"/>
    <n v="5023.6099999999997"/>
    <n v="0"/>
    <n v="0"/>
    <n v="0"/>
    <n v="0"/>
    <n v="0"/>
    <n v="0"/>
    <n v="0"/>
    <n v="2491"/>
    <n v="2532.6099999999997"/>
    <n v="0"/>
    <n v="0"/>
    <n v="0"/>
    <n v="5023.6099999999997"/>
    <s v="OK"/>
    <n v="2500"/>
    <n v="2523.6099999999997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DE LA GESTIÓN ADMINISTRATIVA MEDIANTE LA OPTIMIZACIÓN DEL USO Y RENDIMIENTO DE LOS RECURSOS "/>
    <s v="PLANTA_CENTRAL"/>
    <x v="6"/>
    <x v="13"/>
    <s v="ADMINISTRACIÓN CENTRAL"/>
    <s v="ADQUISICIÓN DE PARTES Y PIEZAS PARA EL SISTEMAS DE INFRAESTRUCTURA"/>
    <n v="1"/>
    <x v="6"/>
    <n v="1"/>
    <n v="0"/>
    <n v="1"/>
    <n v="1701"/>
    <s v="QUITO"/>
    <n v="1"/>
    <n v="0"/>
    <n v="0"/>
    <s v="CORRIENTE"/>
    <x v="0"/>
    <n v="530813"/>
    <s v="REPUESTOS Y ACCESORIOS"/>
    <n v="0"/>
    <n v="3000"/>
    <n v="0"/>
    <n v="0"/>
    <n v="0"/>
    <n v="0"/>
    <n v="0"/>
    <n v="0"/>
    <n v="0"/>
    <n v="0"/>
    <n v="0"/>
    <n v="0"/>
    <n v="3000"/>
    <n v="0"/>
    <n v="3000"/>
    <s v="OK"/>
    <n v="1463.81"/>
    <n v="1536.19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DE LA GESTIÓN ADMINISTRATIVA MEDIANTE LA OPTIMIZACIÓN DEL USO Y RENDIMIENTO DE LOS RECURSOS "/>
    <s v="PLANTA_CENTRAL"/>
    <x v="6"/>
    <x v="13"/>
    <s v="ADMINISTRACIÓN CENTRAL"/>
    <s v="ADQUISICIÓN REALIZADA POR CAJA CHICA"/>
    <n v="3"/>
    <x v="6"/>
    <n v="1"/>
    <n v="0"/>
    <n v="1"/>
    <n v="1701"/>
    <s v="QUITO"/>
    <n v="1"/>
    <n v="0"/>
    <n v="0"/>
    <s v="CORRIENTE"/>
    <x v="0"/>
    <n v="530820"/>
    <s v="MENAJE Y ACCESORIOS DESCARTABLES"/>
    <n v="100"/>
    <n v="26.46"/>
    <n v="0"/>
    <n v="0"/>
    <n v="0"/>
    <n v="0"/>
    <n v="0"/>
    <n v="0"/>
    <n v="0"/>
    <n v="0"/>
    <n v="0"/>
    <n v="0"/>
    <n v="0"/>
    <n v="26.46"/>
    <n v="26.46"/>
    <s v="OK"/>
    <n v="24.770000000000003"/>
    <n v="1.6899999999999977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3 INCREMENTAR EL POSICIONAMIENTO DEL SERVICIO INTEGRADO DE SEGURIDAD ECU 911 A NIVEL NACIONAL E INTERNACIONAL"/>
    <s v="INCREMENTAR EL  NIVEL DE REPUTACIÓN E IMAGEN INSTITUCIONAL, MEDIANTE EL DISEÑO E IMPLEMENTACIÓN DEL PLAN ESTRATÉGICO DE COMUNICACIÓN APLICADO Y HOMOLOGADO A NIVEL NACIONAL. "/>
    <s v="PLANTA_CENTRAL"/>
    <x v="10"/>
    <x v="15"/>
    <s v="COMUNICACIÓN SOCIAL"/>
    <s v="ADQUISICIÓN DE CARPAS E INFLABLES PARA ACTIVIDADES DE VINCULACIÓN CON LA COMUNIDAD"/>
    <n v="1"/>
    <x v="6"/>
    <n v="1"/>
    <n v="0"/>
    <n v="1"/>
    <n v="1701"/>
    <s v="QUITO"/>
    <n v="1"/>
    <n v="0"/>
    <n v="0"/>
    <s v="CORRIENTE"/>
    <x v="0"/>
    <n v="530824"/>
    <s v="INSUMOS, BIENES Y MATERIALES PARA PRODUCCIÓN DE PROGRAMAS DE RADIO, TELEVISIÓN, EVENTOS CULTURALES, ARTÍSTICOS Y ENTRETENIMIENTO EN GENERAL"/>
    <n v="3000"/>
    <n v="1950.73"/>
    <n v="0"/>
    <n v="0"/>
    <n v="1950.73"/>
    <n v="0"/>
    <n v="0"/>
    <n v="0"/>
    <n v="0"/>
    <n v="0"/>
    <n v="0"/>
    <n v="0"/>
    <n v="0"/>
    <n v="0"/>
    <n v="1950.73"/>
    <s v="OK"/>
    <n v="1950.73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3 INCREMENTAR EL POSICIONAMIENTO DEL SERVICIO INTEGRADO DE SEGURIDAD ECU 911 A NIVEL NACIONAL E INTERNACIONAL"/>
    <s v="INCREMENTAR EL  NIVEL DE REPUTACIÓN E IMAGEN INSTITUCIONAL, MEDIANTE EL DISEÑO E IMPLEMENTACIÓN DEL PLAN ESTRATÉGICO DE COMUNICACIÓN APLICADO Y HOMOLOGADO A NIVEL NACIONAL. "/>
    <s v="PLANTA_CENTRAL"/>
    <x v="10"/>
    <x v="15"/>
    <s v="COMUNICACIÓN SOCIAL"/>
    <s v="ADQUISICIÓN DE MATERIAL COMUNICACIONAL PARA LAS ACTIVIDADES DE VINCULACIÓN DEL SERVICIO INTEGRADO DE SEGURIDAD ECU 911"/>
    <n v="1"/>
    <x v="6"/>
    <n v="1"/>
    <n v="0"/>
    <n v="1"/>
    <n v="1701"/>
    <s v="QUITO"/>
    <n v="1"/>
    <n v="0"/>
    <n v="0"/>
    <s v="CORRIENTE"/>
    <x v="0"/>
    <n v="530824"/>
    <s v="INSUMOS, BIENES Y MATERIALES PARA PRODUCCIÓN DE PROGRAMAS DE RADIO, TELEVISIÓN, EVENTOS CULTURALES, ARTÍSTICOS Y ENTRETENIMIENTO EN GENERAL"/>
    <n v="5770"/>
    <n v="6300.5700000000006"/>
    <n v="0"/>
    <n v="0"/>
    <n v="0"/>
    <n v="0"/>
    <n v="0"/>
    <n v="5659.64"/>
    <n v="0"/>
    <n v="0"/>
    <n v="0"/>
    <n v="0"/>
    <n v="0"/>
    <n v="640.92999999999995"/>
    <n v="6300.5700000000006"/>
    <s v="OK"/>
    <n v="0"/>
    <n v="6300.5700000000006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LA EFICACIA DE LA GESTIÓN DE ADMINISTRACIÓN DEL RECURSO HUMANO MEDIANTE EL DESARROLLO DE MECANISMOS Y PLANES QUE PERMITAN OPTIMIZAR EL DESEMPEÑO LABORAL EN BASE AL CUMPLIMIENTO DE LA NORMATIVA LEGAL VIGENTE. "/>
    <s v="PLANTA_CENTRAL"/>
    <x v="6"/>
    <x v="16"/>
    <s v="ADMINISTRACIÓN CENTRAL"/>
    <s v="ADQUISICIÓN DE DISPOSITIVOS MÉDICOS PARA EL CONSULTORIO MÉDICO"/>
    <n v="1"/>
    <x v="6"/>
    <n v="1"/>
    <n v="0"/>
    <n v="1"/>
    <n v="1701"/>
    <s v="QUITO"/>
    <n v="1"/>
    <n v="0"/>
    <n v="0"/>
    <s v="CORRIENTE"/>
    <x v="0"/>
    <n v="530826"/>
    <s v="DISPOSITIVOS MÉDICOS DE USO GENERAL"/>
    <n v="1000"/>
    <n v="1000"/>
    <n v="0"/>
    <n v="0"/>
    <n v="0"/>
    <n v="0"/>
    <n v="0"/>
    <n v="0"/>
    <n v="0"/>
    <n v="500"/>
    <n v="0"/>
    <n v="0"/>
    <n v="0"/>
    <n v="500"/>
    <n v="1000"/>
    <s v="OK"/>
    <n v="497.05"/>
    <n v="502.95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DE LA GESTIÓN ADMINISTRATIVA MEDIANTE LA OPTIMIZACIÓN DEL USO Y RENDIMIENTO DE LOS RECURSOS "/>
    <s v="PLANTA_CENTRAL"/>
    <x v="6"/>
    <x v="13"/>
    <s v="ADMINISTRACIÓN CENTRAL"/>
    <s v="PAGO POR EL SERVICIO DE PEAJES DEL PARQUE AUTOMOTOR DE PLANTA CENTRAL Y COORDINACIÓN ZONAL 2-9"/>
    <n v="1"/>
    <x v="6"/>
    <n v="1"/>
    <n v="0"/>
    <n v="1"/>
    <n v="1701"/>
    <s v="QUITO"/>
    <n v="1"/>
    <n v="0"/>
    <n v="0"/>
    <s v="CORRIENTE"/>
    <x v="1"/>
    <n v="570102"/>
    <s v="TASAS GENERALES, IMPUESTOS, CONTRIBUCIONES, PERMISOS, LICENCIAS Y PATENTES"/>
    <n v="1000"/>
    <n v="500"/>
    <n v="0"/>
    <n v="0"/>
    <n v="0"/>
    <n v="0"/>
    <n v="0"/>
    <n v="0"/>
    <n v="0"/>
    <n v="0"/>
    <n v="0"/>
    <n v="0"/>
    <n v="0"/>
    <n v="500"/>
    <n v="500"/>
    <s v="OK"/>
    <n v="0"/>
    <n v="50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DE LA GESTIÓN ADMINISTRATIVA MEDIANTE LA OPTIMIZACIÓN DEL USO Y RENDIMIENTO DE LOS RECURSOS "/>
    <s v="PLANTA_CENTRAL"/>
    <x v="6"/>
    <x v="13"/>
    <s v="ADMINISTRACIÓN CENTRAL"/>
    <s v="GASTOS PARA CUBRIR VALORES DIARIOS DE HOSPEDAJE Y ALIMENTACIÓN DE LOS SERVIDORES Y TRABAJADORES PÚBLICOS ENVIADOS EN COMISIÓN DE SERVICIOS, DENTRO DEL PAÍS"/>
    <n v="1"/>
    <x v="6"/>
    <n v="1"/>
    <n v="0"/>
    <n v="1"/>
    <n v="1701"/>
    <s v="QUITO"/>
    <n v="1"/>
    <n v="0"/>
    <n v="0"/>
    <s v="CORRIENTE"/>
    <x v="1"/>
    <n v="570102"/>
    <s v="TASAS GENERALES, IMPUESTOS, CONTRIBUCIONES, PERMISOS, LICENCIAS Y PATENTES"/>
    <n v="0"/>
    <n v="500"/>
    <n v="0"/>
    <n v="0"/>
    <n v="0"/>
    <n v="0"/>
    <n v="0"/>
    <n v="0"/>
    <n v="0"/>
    <n v="0"/>
    <n v="0"/>
    <n v="0"/>
    <n v="0"/>
    <n v="500"/>
    <n v="500"/>
    <s v="OK"/>
    <n v="500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DE LA GESTIÓN ADMINISTRATIVA MEDIANTE LA OPTIMIZACIÓN DEL USO Y RENDIMIENTO DE LOS RECURSOS "/>
    <s v="PLANTA_CENTRAL"/>
    <x v="6"/>
    <x v="13"/>
    <s v="ADMINISTRACIÓN CENTRAL"/>
    <s v="PAGO IMPUESTO PREDIAL"/>
    <n v="1"/>
    <x v="6"/>
    <n v="1"/>
    <n v="0"/>
    <n v="1"/>
    <n v="1701"/>
    <s v="QUITO"/>
    <n v="1"/>
    <n v="0"/>
    <n v="0"/>
    <s v="CORRIENTE"/>
    <x v="1"/>
    <n v="570102"/>
    <s v="TASAS GENERALES, IMPUESTOS, CONTRIBUCIONES, PERMISOS, LICENCIAS Y PATENTES"/>
    <n v="0"/>
    <n v="8144.42"/>
    <n v="0"/>
    <n v="8144.42"/>
    <n v="0"/>
    <n v="0"/>
    <n v="0"/>
    <n v="0"/>
    <n v="0"/>
    <n v="0"/>
    <n v="0"/>
    <n v="0"/>
    <n v="0"/>
    <n v="0"/>
    <n v="8144.42"/>
    <s v="OK"/>
    <n v="8144.42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DE LA GESTIÓN ADMINISTRATIVA MEDIANTE LA OPTIMIZACIÓN DEL USO Y RENDIMIENTO DE LOS RECURSOS "/>
    <s v="PLANTA_CENTRAL"/>
    <x v="6"/>
    <x v="13"/>
    <s v="ADMINISTRACIÓN CENTRAL"/>
    <s v="ADQUISICIÓN REALIZADA POR CAJA CHICA"/>
    <n v="3"/>
    <x v="6"/>
    <n v="1"/>
    <n v="0"/>
    <n v="1"/>
    <n v="1701"/>
    <s v="QUITO"/>
    <n v="1"/>
    <n v="0"/>
    <n v="0"/>
    <s v="CORRIENTE"/>
    <x v="1"/>
    <n v="570102"/>
    <s v="TASAS GENERALES, IMPUESTOS, CONTRIBUCIONES, PERMISOS, LICENCIAS Y PATENTES"/>
    <n v="1500"/>
    <n v="900"/>
    <n v="0"/>
    <n v="0"/>
    <n v="0"/>
    <n v="0"/>
    <n v="0"/>
    <n v="0"/>
    <n v="0"/>
    <n v="0"/>
    <n v="0"/>
    <n v="0"/>
    <n v="0"/>
    <n v="900"/>
    <n v="900"/>
    <s v="OK"/>
    <n v="532.97"/>
    <n v="367.03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DE LA GESTIÓN ADMINISTRATIVA MEDIANTE LA OPTIMIZACIÓN DEL USO Y RENDIMIENTO DE LOS RECURSOS "/>
    <s v="PLANTA_CENTRAL"/>
    <x v="6"/>
    <x v="13"/>
    <s v="ADMINISTRACIÓN CENTRAL"/>
    <s v="PAGO DE REVISIÓN VEHICULAR Y MATRÍCULAS"/>
    <n v="1"/>
    <x v="6"/>
    <n v="1"/>
    <n v="0"/>
    <n v="1"/>
    <n v="1701"/>
    <s v="QUITO"/>
    <n v="1"/>
    <n v="0"/>
    <n v="0"/>
    <s v="CORRIENTE"/>
    <x v="1"/>
    <n v="570102"/>
    <s v="TASAS GENERALES, IMPUESTOS, CONTRIBUCIONES, PERMISOS, LICENCIAS Y PATENTES"/>
    <n v="3000"/>
    <n v="2144.75"/>
    <n v="0"/>
    <n v="0"/>
    <n v="0"/>
    <n v="0"/>
    <n v="0"/>
    <n v="0"/>
    <n v="0"/>
    <n v="0"/>
    <n v="0"/>
    <n v="0"/>
    <n v="0"/>
    <n v="2144.75"/>
    <n v="2144.75"/>
    <s v="OK"/>
    <n v="1565.3000000000002"/>
    <n v="579.44999999999982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DE LA GESTIÓN ADMINISTRATIVA MEDIANTE LA OPTIMIZACIÓN DEL USO Y RENDIMIENTO DE LOS RECURSOS "/>
    <s v="PLANTA_CENTRAL"/>
    <x v="6"/>
    <x v="13"/>
    <s v="ADMINISTRACIÓN CENTRAL"/>
    <s v="PAGO DE TASAS, IMPUESTOS, PERMISOS, CONTRIBUCIONES Y OTROS"/>
    <n v="1"/>
    <x v="6"/>
    <n v="1"/>
    <n v="0"/>
    <n v="1"/>
    <n v="1701"/>
    <s v="QUITO"/>
    <n v="1"/>
    <n v="0"/>
    <n v="0"/>
    <s v="CORRIENTE"/>
    <x v="1"/>
    <n v="570102"/>
    <s v="TASAS GENERALES, IMPUESTOS, CONTRIBUCIONES, PERMISOS, LICENCIAS Y PATENTES"/>
    <n v="0"/>
    <n v="200"/>
    <n v="0"/>
    <n v="0"/>
    <n v="0"/>
    <n v="0"/>
    <n v="0"/>
    <n v="0"/>
    <n v="0"/>
    <n v="0"/>
    <n v="0"/>
    <n v="0"/>
    <n v="0"/>
    <n v="200"/>
    <n v="200"/>
    <s v="OK"/>
    <n v="0"/>
    <n v="20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DE LA GESTIÓN ADMINISTRATIVA MEDIANTE LA OPTIMIZACIÓN DEL USO Y RENDIMIENTO DE LOS RECURSOS "/>
    <s v="PLANTA_CENTRAL"/>
    <x v="6"/>
    <x v="13"/>
    <s v="ADMINISTRACIÓN CENTRAL"/>
    <s v="CONTRATACIÓN DEL SERVICIO DE PÓLIZAS DE SEGUROS"/>
    <n v="1"/>
    <x v="6"/>
    <n v="1"/>
    <n v="0"/>
    <n v="1"/>
    <n v="1701"/>
    <s v="QUITO"/>
    <n v="1"/>
    <n v="0"/>
    <n v="0"/>
    <s v="CORRIENTE"/>
    <x v="1"/>
    <n v="570201"/>
    <s v="SEGUROS"/>
    <n v="449068.28"/>
    <n v="804759.52"/>
    <n v="0"/>
    <n v="0"/>
    <n v="0"/>
    <n v="504475.54"/>
    <n v="0"/>
    <n v="0"/>
    <n v="300283.98"/>
    <n v="0"/>
    <n v="0"/>
    <n v="0"/>
    <n v="0"/>
    <n v="0"/>
    <n v="804759.52"/>
    <s v="OK"/>
    <n v="745025.79999999993"/>
    <n v="59733.720000000088"/>
    <s v="R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DE LA GESTIÓN ADMINISTRATIVA MEDIANTE LA OPTIMIZACIÓN DEL USO Y RENDIMIENTO DE LOS RECURSOS "/>
    <s v="PLANTA_CENTRAL"/>
    <x v="6"/>
    <x v="13"/>
    <s v="ADMINISTRACIÓN CENTRAL"/>
    <s v="PAGO DE SEGUNDA EXTENSIÓN DE SEGUROS CONVENIO DE PAGO"/>
    <n v="1"/>
    <x v="6"/>
    <n v="1"/>
    <n v="0"/>
    <n v="1"/>
    <n v="1701"/>
    <s v="QUITO"/>
    <n v="1"/>
    <n v="0"/>
    <n v="0"/>
    <s v="CORRIENTE"/>
    <x v="1"/>
    <n v="570201"/>
    <s v="SEGUROS"/>
    <n v="0"/>
    <n v="87548.08"/>
    <n v="0"/>
    <n v="0"/>
    <n v="0"/>
    <n v="0"/>
    <n v="0"/>
    <n v="0"/>
    <n v="0"/>
    <n v="0"/>
    <n v="0"/>
    <n v="0"/>
    <n v="87548.08"/>
    <n v="0"/>
    <n v="87548.08"/>
    <s v="OK"/>
    <n v="87548.08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LA EFICACIA DE LA GESTIÓN DE ADMINISTRACIÓN DEL RECURSO HUMANO MEDIANTE EL DESARROLLO DE MECANISMOS Y PLANES QUE PERMITAN OPTIMIZAR EL DESEMPEÑO LABORAL EN BASE AL CUMPLIMIENTO DE LA NORMATIVA LEGAL VIGENTE. "/>
    <s v="PLANTA_CENTRAL"/>
    <x v="6"/>
    <x v="16"/>
    <s v="ADMINISTRACIÓN CENTRAL"/>
    <s v="CONTRATACIÓN DE PÓLIZA DE FIDELIDAD DEL SERVICIO INTEGRADO DE SEGURIDAD SIS ECU 911"/>
    <n v="1"/>
    <x v="6"/>
    <n v="1"/>
    <n v="0"/>
    <n v="1"/>
    <n v="1701"/>
    <s v="QUITO"/>
    <n v="1"/>
    <n v="0"/>
    <n v="0"/>
    <s v="CORRIENTE"/>
    <x v="1"/>
    <n v="570201"/>
    <s v="SEGUROS"/>
    <n v="2000"/>
    <n v="878.99"/>
    <n v="0"/>
    <n v="0"/>
    <n v="0"/>
    <n v="0"/>
    <n v="0"/>
    <n v="0"/>
    <n v="0"/>
    <n v="878.99"/>
    <n v="0"/>
    <n v="0"/>
    <n v="0"/>
    <n v="0"/>
    <n v="878.99"/>
    <s v="OK"/>
    <n v="878.99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LA EFICACIA DE LA GESTIÓN DE ADMINISTRACIÓN DEL RECURSO HUMANO MEDIANTE EL DESARROLLO DE MECANISMOS Y PLANES QUE PERMITAN OPTIMIZAR EL DESEMPEÑO LABORAL EN BASE AL CUMPLIMIENTO DE LA NORMATIVA LEGAL VIGENTE. "/>
    <s v="PLANTA_CENTRAL"/>
    <x v="6"/>
    <x v="13"/>
    <s v="ADMINISTRACIÓN CENTRAL"/>
    <s v="ADQUISICIÓN REALIZADA POR CAJA CHICA"/>
    <n v="1"/>
    <x v="6"/>
    <n v="1"/>
    <n v="0"/>
    <n v="1"/>
    <n v="1701"/>
    <s v="QUITO"/>
    <n v="1"/>
    <n v="0"/>
    <n v="0"/>
    <s v="CORRIENTE"/>
    <x v="1"/>
    <n v="570206"/>
    <s v="COSTAS JUDICIALES, TRÁMITES NOTARIALES,  LEGALIZACIÓN DE DOCUMENTOS Y ARREGLOS EXTRAJUDICIALES"/>
    <n v="0"/>
    <n v="411.87"/>
    <n v="0"/>
    <n v="0"/>
    <n v="0"/>
    <n v="0"/>
    <n v="0"/>
    <n v="0"/>
    <n v="0"/>
    <n v="261.87"/>
    <n v="0"/>
    <n v="50"/>
    <n v="50"/>
    <n v="50"/>
    <n v="411.87"/>
    <s v="OK"/>
    <n v="332.13"/>
    <n v="79.740000000000009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DE LA GESTIÓN ADMINISTRATIVA MEDIANTE LA OPTIMIZACIÓN DEL USO Y RENDIMIENTO DE LOS RECURSOS "/>
    <s v="PLANTA_CENTRAL"/>
    <x v="6"/>
    <x v="13"/>
    <s v="ADMINISTRACIÓN CENTRAL"/>
    <s v="ADQUISICIÓN DE SILLAS ERGONÓMICAS"/>
    <n v="1"/>
    <x v="6"/>
    <n v="1"/>
    <n v="0"/>
    <n v="1"/>
    <n v="1701"/>
    <s v="QUITO"/>
    <n v="1"/>
    <n v="0"/>
    <n v="0"/>
    <s v="CAPITAL"/>
    <x v="5"/>
    <n v="840103"/>
    <s v="MOBILIARIOS"/>
    <n v="0"/>
    <n v="206876.95"/>
    <n v="0"/>
    <n v="0"/>
    <n v="0"/>
    <n v="0"/>
    <n v="0"/>
    <n v="0"/>
    <n v="0"/>
    <n v="0"/>
    <n v="0"/>
    <n v="0"/>
    <n v="0"/>
    <n v="206876.95"/>
    <n v="206876.95"/>
    <s v="OK"/>
    <n v="206876.95"/>
    <n v="0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DE LA GESTIÓN ADMINISTRATIVA MEDIANTE LA OPTIMIZACIÓN DEL USO Y RENDIMIENTO DE LOS RECURSOS "/>
    <s v="PLANTA_CENTRAL"/>
    <x v="6"/>
    <x v="13"/>
    <s v="ADMINISTRACIÓN CENTRAL"/>
    <s v="ADQUISICIÓN DE MOBILIARIO INSTITUCIONAL"/>
    <n v="1"/>
    <x v="6"/>
    <n v="1"/>
    <n v="0"/>
    <n v="1"/>
    <n v="1701"/>
    <s v="QUITO"/>
    <n v="1"/>
    <n v="0"/>
    <n v="0"/>
    <s v="CAPITAL"/>
    <x v="5"/>
    <n v="840103"/>
    <s v="MOBILIARIOS"/>
    <n v="0"/>
    <n v="45803.05"/>
    <n v="0"/>
    <n v="0"/>
    <n v="0"/>
    <n v="0"/>
    <n v="0"/>
    <n v="0"/>
    <n v="0"/>
    <n v="0"/>
    <n v="0"/>
    <n v="0"/>
    <n v="0"/>
    <n v="45803.05"/>
    <n v="45803.05"/>
    <s v="OK"/>
    <n v="0"/>
    <n v="45803.05"/>
    <n v="0"/>
  </r>
  <r>
    <s v="OBJETIVO 14: FORTALECER LAS CAPACIDADES DEL ESTADO CON ÉNFASIS EN LA ADMINISTRACIÓN DE JUSTICIA Y EFICIENCIA EN LOS PROCESOS DE REGULACIÓN Y CONTROL CON INDEPENDENCIA Y AUTONOMÍA."/>
    <s v="14.2 POTENCIAR LAS CAPACIDADES DE LOS DISTINTOS NIVELES DE GOBIERNO PARA EL CUMPLIMIENTO DE LOS OBJETIVOS NACIONALES Y LA PRESTACIÓN DE SERVICIOS CON CALIDAD"/>
    <s v="OE 4 FORTALECER LAS CAPACIDADES INSTITUCIONALES (PARA LA MEJORA CONTINUA DEL SERVICIO)"/>
    <s v="INCREMENTAR LA EFICIENCIA Y LA EFICACIA DE LA GESTIÓN DE ADMINISTRACIÓN DEL RECURSO HUMANO MEDIANTE EL DESARROLLO DE MECANISMOS Y PLANES QUE PERMITAN OPTIMIZAR EL DESEMPEÑO LABORAL EN BASE AL CUMPLIMIENTO DE LA NORMATIVA LEGAL VIGENTE. "/>
    <s v="PLANTA_CENTRAL"/>
    <x v="6"/>
    <x v="13"/>
    <s v="ADMINISTRACIÓN CENTRAL"/>
    <s v="PAGO DE AÑOS ANTERIORES"/>
    <n v="1"/>
    <x v="6"/>
    <n v="1"/>
    <n v="0"/>
    <n v="1"/>
    <n v="1701"/>
    <s v="QUITO"/>
    <n v="1"/>
    <n v="0"/>
    <n v="0"/>
    <s v="CORRIENTE"/>
    <x v="4"/>
    <n v="990102"/>
    <s v="OBLIGACIONES DE EJERCICIOS ANTERIORES POR EGRESOS EN SERVICIOS"/>
    <n v="0"/>
    <n v="4087.82"/>
    <n v="0"/>
    <n v="0"/>
    <n v="0"/>
    <n v="0"/>
    <n v="0"/>
    <n v="0"/>
    <n v="4087.82"/>
    <n v="0"/>
    <n v="0"/>
    <n v="0"/>
    <n v="0"/>
    <n v="0"/>
    <n v="4087.82"/>
    <s v="OK"/>
    <n v="3467.35"/>
    <n v="620.47000000000025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2 INCREMENTAR LA ARTICULACIÓN INTERINSTITUCIONAL EN LA PRESTACIÓN DE SERVICIOS DE ATENCIÓN DE EMERGENCIAS"/>
    <s v="INCREMENTAR  LA EFICIENCIA DE LOS PROCESOS DE INTERVENCIÓN Y CONTRIBUCIÓN DE INSTRUMENTOS NORMATIVOS VINCULADOS A LA PRESTACIÓN DE SERVICIOS DE EMERGENCIA, MEDIANTE LA GENERACIÓN DE PROPUESTAS A NIVEL INTERNACIONAL, EL ACOMPAÑAMIENTO TÉCNICO PARA LA INTERVENCIÓN DE NORMATIVA INTERNA E INTERSECTORIAL Y EL MONITOREO DE LA APLICACIÓN DE LAS REGULACIONES TÉCNICAS Y DE TELECOMUNICACIONES VIGENTES"/>
    <s v="PLANTA_CENTRAL"/>
    <x v="7"/>
    <x v="10"/>
    <s v="DOCTRINA"/>
    <s v="CONTRATACIÓN DEL SERVICIO DE MENSAJERÍA SMS PARA EL PROYECTO PILOTO DE ENVÍO DE MENSAJES INFORMATIVOS A LOS USUARIOS QUE REALIZAN MAL USO DEL SERVICIO"/>
    <n v="1"/>
    <x v="6"/>
    <n v="55"/>
    <n v="0"/>
    <n v="1"/>
    <n v="1701"/>
    <s v="QUITO"/>
    <n v="1"/>
    <n v="0"/>
    <n v="0"/>
    <s v="CORRIENTE"/>
    <x v="0"/>
    <n v="530105"/>
    <s v="TELECOMUNICACIONES"/>
    <n v="0"/>
    <n v="1692"/>
    <n v="0"/>
    <n v="0"/>
    <n v="0"/>
    <n v="0"/>
    <n v="0"/>
    <n v="0"/>
    <n v="282"/>
    <n v="282"/>
    <n v="282"/>
    <n v="282"/>
    <n v="282"/>
    <n v="282"/>
    <n v="1692"/>
    <s v="OK"/>
    <n v="1692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2 INCREMENTAR LA ARTICULACIÓN INTERINSTITUCIONAL EN LA PRESTACIÓN DE SERVICIOS DE ATENCIÓN DE EMERGENCIAS"/>
    <s v="INCREMENTAR LA EFICACIA EN EL PROCESO DE ADIESTRAMIENTO DE PERSONAS VINCULADAS CON LA PRESTACIÓN DEL SERVICIO DE EMERGENCIA MEDIANTE LA IMPLEMENTACIÓN Y MEJORA DE PROGRAMAS DE ADIESTRAMIENTO, EDUCACIÓN CONTINUA, TÉCNICA Y AVANZADA PARA EL PERSONAL OPERATIVO, INSTITUCIONES ARTICULADAS AL SIS ECU 911 Y CIUDADANÍA, ASÍ COMO TAMBIÉN LA SUSCRIPCIÓN DE ACUERDOS Y/O CONVENIOS Y LA GESTIÓN DE ESTUDIOS CON INSTITUCIONES NACIONALES E INTERNACIONALES."/>
    <s v="PLANTA_CENTRAL"/>
    <x v="7"/>
    <x v="9"/>
    <s v="DOCTRINA"/>
    <s v="CONTRATACIÓN DEL SERVICIO DE IMPRESIÓN"/>
    <n v="1"/>
    <x v="6"/>
    <n v="55"/>
    <n v="0"/>
    <n v="1"/>
    <n v="1701"/>
    <s v="QUITO"/>
    <n v="1"/>
    <n v="0"/>
    <n v="0"/>
    <s v="CORRIENTE"/>
    <x v="0"/>
    <n v="530204"/>
    <s v="EDICIÓN, IMPRESIÓN, REPRODUCCIÓN, PUBLICACIONES, SUSCRIPCIONES, FOTOCOPIADO, TRADUCCIÓN, EMPASTADO, ENMARCACIÓN, SERIGRAFÍA, FOTOGRAFÍA, CARNETIZACIÓN, FILMACIÓN E IMÁGENES SATELITALES"/>
    <n v="6500"/>
    <n v="5225.3999999999996"/>
    <n v="0"/>
    <n v="0"/>
    <n v="0"/>
    <n v="0"/>
    <n v="813"/>
    <n v="813"/>
    <n v="599.9"/>
    <n v="599.9"/>
    <n v="599.9"/>
    <n v="599.9"/>
    <n v="599.9"/>
    <n v="599.9"/>
    <n v="5225.3999999999996"/>
    <s v="OK"/>
    <n v="5225.3999999999996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2 INCREMENTAR LA ARTICULACIÓN INTERINSTITUCIONAL EN LA PRESTACIÓN DE SERVICIOS DE ATENCIÓN DE EMERGENCIAS"/>
    <s v="INCREMENTAR LA EFICACIA EN EL PROCESO DE ADIESTRAMIENTO DE PERSONAS VINCULADAS CON LA PRESTACIÓN DEL SERVICIO DE EMERGENCIA MEDIANTE LA IMPLEMENTACIÓN Y MEJORA DE PROGRAMAS DE ADIESTRAMIENTO, EDUCACIÓN CONTINUA, TÉCNICA Y AVANZADA PARA EL PERSONAL OPERATIVO, INSTITUCIONES ARTICULADAS AL SIS ECU 911 Y CIUDADANÍA, ASÍ COMO TAMBIÉN LA SUSCRIPCIÓN DE ACUERDOS Y/O CONVENIOS Y LA GESTIÓN DE ESTUDIOS CON INSTITUCIONES NACIONALES E INTERNACIONALES."/>
    <s v="PLANTA_CENTRAL"/>
    <x v="7"/>
    <x v="9"/>
    <s v="DOCTRINA"/>
    <s v="SERVICIO DE LOGISTICA PARA LA CERTIFICACIÓN DE INSTRUCTORES EN SISTEMA DE COMANDO DE INCIDENTES BÁSICO PARA EL SIS ECU 911"/>
    <n v="1"/>
    <x v="6"/>
    <n v="55"/>
    <n v="0"/>
    <n v="1"/>
    <n v="1701"/>
    <s v="QUITO"/>
    <n v="1"/>
    <n v="0"/>
    <n v="0"/>
    <s v="CORRIENTE"/>
    <x v="0"/>
    <n v="530248"/>
    <s v="EVENTOS OFICIALES"/>
    <n v="0"/>
    <n v="6300.5"/>
    <n v="0"/>
    <n v="0"/>
    <n v="0"/>
    <n v="0"/>
    <n v="0"/>
    <n v="0"/>
    <n v="0"/>
    <n v="0"/>
    <n v="0"/>
    <n v="0"/>
    <n v="6300.5"/>
    <n v="0"/>
    <n v="6300.5"/>
    <s v="OK"/>
    <n v="6300.5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2 INCREMENTAR LA ARTICULACIÓN INTERINSTITUCIONAL EN LA PRESTACIÓN DE SERVICIOS DE ATENCIÓN DE EMERGENCIAS"/>
    <s v="INCREMENTAR LA EFICACIA EN EL PROCESO DE ADIESTRAMIENTO DE PERSONAS VINCULADAS CON LA PRESTACIÓN DEL SERVICIO DE EMERGENCIA MEDIANTE LA IMPLEMENTACIÓN Y MEJORA DE PROGRAMAS DE ADIESTRAMIENTO, EDUCACIÓN CONTINUA, TÉCNICA Y AVANZADA PARA EL PERSONAL OPERATIVO, INSTITUCIONES ARTICULADAS AL SIS ECU 911 Y CIUDADANÍA, ASÍ COMO TAMBIÉN LA SUSCRIPCIÓN DE ACUERDOS Y/O CONVENIOS Y LA GESTIÓN DE ESTUDIOS CON INSTITUCIONES NACIONALES E INTERNACIONALES."/>
    <s v="PLANTA_CENTRAL"/>
    <x v="7"/>
    <x v="9"/>
    <s v="DOCTRINA"/>
    <s v="CONTRATACIÓN DEL SERVICIO DE HOSPEDAJE Y POTENCIACIÓN DEL ENTORNO VIRTUAL DE APRENDIZAJE EVA PARA EL SERVICIO INTEGRADO DE SEGURIDAD ECU 911"/>
    <n v="1"/>
    <x v="6"/>
    <n v="55"/>
    <n v="0"/>
    <n v="1"/>
    <n v="1701"/>
    <s v="QUITO"/>
    <n v="1"/>
    <n v="0"/>
    <n v="0"/>
    <s v="CORRIENTE"/>
    <x v="0"/>
    <n v="530701"/>
    <s v="DESARROLLO, ACTUALIZACIÓN, ASISTENCIA TÉCNICA Y SOPORTE DE SISTEMAS INFORMÁTICOS"/>
    <n v="6500"/>
    <n v="5170"/>
    <n v="0"/>
    <n v="0"/>
    <n v="0"/>
    <n v="0"/>
    <n v="4136"/>
    <n v="0"/>
    <n v="0"/>
    <n v="0"/>
    <n v="0"/>
    <n v="0"/>
    <n v="0"/>
    <n v="1034"/>
    <n v="5170"/>
    <s v="OK"/>
    <n v="5170"/>
    <n v="0"/>
    <s v="R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2 INCREMENTAR LA ARTICULACIÓN INTERINSTITUCIONAL EN LA PRESTACIÓN DE SERVICIOS DE ATENCIÓN DE EMERGENCIAS"/>
    <s v="INCREMENTAR LA EFICACIA EN EL PROCESO DE ADIESTRAMIENTO DE PERSONAS VINCULADAS CON LA PRESTACIÓN DEL SERVICIO DE EMERGENCIA MEDIANTE LA IMPLEMENTACIÓN Y MEJORA DE PROGRAMAS DE ADIESTRAMIENTO, EDUCACIÓN CONTINUA, TÉCNICA Y AVANZADA PARA EL PERSONAL OPERATIVO, INSTITUCIONES ARTICULADAS AL SIS ECU 911 Y CIUDADANÍA, ASÍ COMO TAMBIÉN LA SUSCRIPCIÓN DE ACUERDOS Y/O CONVENIOS Y LA GESTIÓN DE ESTUDIOS CON INSTITUCIONES NACIONALES E INTERNACIONALES."/>
    <s v="PLANTA_CENTRAL"/>
    <x v="7"/>
    <x v="9"/>
    <s v="DOCTRINA"/>
    <s v="ADQUISICIÓN DE MATERIAL ACADÉMICO PARA EL DESARROLLO DE PROCESOS ACADÉMICOS"/>
    <n v="1"/>
    <x v="6"/>
    <n v="55"/>
    <n v="0"/>
    <n v="1"/>
    <n v="1701"/>
    <s v="QUITO"/>
    <n v="1"/>
    <n v="0"/>
    <n v="0"/>
    <s v="CORRIENTE"/>
    <x v="0"/>
    <n v="530812"/>
    <s v="MATERIALES DIDÁCTICOS"/>
    <n v="0"/>
    <n v="5403.5899999999992"/>
    <n v="0"/>
    <n v="0"/>
    <n v="0"/>
    <n v="0"/>
    <n v="0"/>
    <n v="0"/>
    <n v="0"/>
    <n v="0"/>
    <n v="2253.52"/>
    <n v="3150.07"/>
    <n v="0"/>
    <n v="0"/>
    <n v="5403.59"/>
    <s v="OK"/>
    <n v="5338"/>
    <n v="65.589999999999236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2 INCREMENTAR LA ARTICULACIÓN INTERINSTITUCIONAL EN LA PRESTACIÓN DE SERVICIOS DE ATENCIÓN DE EMERGENCIAS"/>
    <s v="INCREMENTAR  LA EFICIENCIA DE LOS PROCESOS DE INTERVENCIÓN Y CONTRIBUCIÓN DE INSTRUMENTOS NORMATIVOS VINCULADOS A LA PRESTACIÓN DE SERVICIOS DE EMERGENCIA, MEDIANTE LA GENERACIÓN DE PROPUESTAS A NIVEL INTERNACIONAL, EL ACOMPAÑAMIENTO TÉCNICO PARA LA INTERVENCIÓN DE NORMATIVA INTERNA E INTERSECTORIAL Y EL MONITOREO DE LA APLICACIÓN DE LAS REGULACIONES TÉCNICAS Y DE TELECOMUNICACIONES VIGENTES"/>
    <s v="PLANTA_CENTRAL"/>
    <x v="7"/>
    <x v="10"/>
    <s v="DOCTRINA"/>
    <s v="ADQUISICIÓN DE UN SISTEMA DE MENSAJERÍA USSD PARA LA CONSULTA DEL ESTADO DE LA GESTIÓN DE LÍNEAS SUSPENDIDAS"/>
    <n v="1"/>
    <x v="6"/>
    <n v="55"/>
    <n v="0"/>
    <n v="1"/>
    <n v="1701"/>
    <s v="QUITO"/>
    <n v="1"/>
    <n v="0"/>
    <n v="0"/>
    <s v="CORRIENTE"/>
    <x v="0"/>
    <n v="531407"/>
    <s v="EQUIPOS, SISTEMAS Y PAQUETES INFORMÁTICOS"/>
    <n v="8203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2 INCREMENTAR LA ARTICULACIÓN INTERINSTITUCIONAL EN LA PRESTACIÓN DE SERVICIOS DE ATENCIÓN DE EMERGENCIAS"/>
    <s v="INCREMENTAR  LA EFICIENCIA DE LOS PROCESOS DE INTERVENCIÓN Y CONTRIBUCIÓN DE INSTRUMENTOS NORMATIVOS VINCULADOS A LA PRESTACIÓN DE SERVICIOS DE EMERGENCIA, MEDIANTE LA GENERACIÓN DE PROPUESTAS A NIVEL INTERNACIONAL, EL ACOMPAÑAMIENTO TÉCNICO PARA LA INTERVENCIÓN DE NORMATIVA INTERNA E INTERSECTORIAL Y EL MONITOREO DE LA APLICACIÓN DE LAS REGULACIONES TÉCNICAS Y DE TELECOMUNICACIONES VIGENTES"/>
    <s v="PLANTA_CENTRAL"/>
    <x v="7"/>
    <x v="10"/>
    <s v="DOCTRINA"/>
    <s v="CERTIFICACIÓN DE PROPIEDAD INTELECTUAL DE LA NORMATIVA INTERNA "/>
    <n v="1"/>
    <x v="6"/>
    <n v="55"/>
    <n v="0"/>
    <n v="1"/>
    <n v="1701"/>
    <s v="QUITO"/>
    <n v="1"/>
    <n v="0"/>
    <n v="0"/>
    <s v="CORRIENTE"/>
    <x v="1"/>
    <n v="570102"/>
    <s v="TASAS GENERALES, IMPUESTOS, CONTRIBUCIONES, PERMISOS, LICENCIAS Y PATENTES"/>
    <n v="100"/>
    <n v="100"/>
    <n v="0"/>
    <n v="0"/>
    <n v="0"/>
    <n v="0"/>
    <n v="100"/>
    <n v="0"/>
    <n v="0"/>
    <n v="0"/>
    <n v="0"/>
    <n v="0"/>
    <n v="0"/>
    <n v="0"/>
    <n v="100"/>
    <s v="OK"/>
    <n v="42"/>
    <n v="58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2 INCREMENTAR LA ARTICULACIÓN INTERINSTITUCIONAL EN LA PRESTACIÓN DE SERVICIOS DE ATENCIÓN DE EMERGENCIAS"/>
    <s v="INCREMENTAR LA CALIDAD Y OPORTUNIDAD DE LA GENERACIÓN DE INFORMACIÓN ESTADÍSTICA MEDIANTE EL DESARROLLO Y MEJORA DE REPORTES ESTADÍSTICOS Y ESTUDIOS RELACIONADOS CON LOS HECHOS GENERADORES DE SITUACIONES DE EMERGENCIA PARA LA TOMA DE DECISIONES."/>
    <s v="COORDINACIÓN_ZONAL"/>
    <x v="11"/>
    <x v="4"/>
    <s v="OPERACIONES"/>
    <s v="SERVICIO DE IMPRESIÓN DE MATERIAL ACADÉMICO PARA LOS CURSOS PRESENCIALES DEL SISTEMA DE COMANDO DE INCIDENTES BÁSICO PARA LA COORDINACIÓN ZONAL 2-9"/>
    <n v="1"/>
    <x v="6"/>
    <n v="55"/>
    <n v="0"/>
    <n v="2"/>
    <n v="1701"/>
    <s v="QUITO"/>
    <n v="1"/>
    <n v="0"/>
    <n v="0"/>
    <s v="CORRIENTE"/>
    <x v="0"/>
    <n v="530204"/>
    <s v="EDICIÓN, IMPRESIÓN, REPRODUCCIÓN, PUBLICACIONES, SUSCRIPCIONES, FOTOCOPIADO, TRADUCCIÓN, EMPASTADO, ENMARCACIÓN, SERIGRAFÍA, FOTOGRAFÍA, CARNETIZACIÓN, FILMACIÓN E IMÁGENES SATELITALES"/>
    <n v="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2 INCREMENTAR LA ARTICULACIÓN INTERINSTITUCIONAL EN LA PRESTACIÓN DE SERVICIOS DE ATENCIÓN DE EMERGENCIAS"/>
    <s v="INCREMENTAR LA CALIDAD Y OPORTUNIDAD DE LA GENERACIÓN DE INFORMACIÓN ESTADÍSTICA MEDIANTE EL DESARROLLO Y MEJORA DE REPORTES ESTADÍSTICOS Y ESTUDIOS RELACIONADOS CON LOS HECHOS GENERADORES DE SITUACIONES DE EMERGENCIA PARA LA TOMA DE DECISIONES."/>
    <s v="PLANTA_CENTRAL"/>
    <x v="8"/>
    <x v="11"/>
    <s v="OPERACIONES"/>
    <s v="RENOVACIÓN LICENCIA POWER BI"/>
    <n v="1"/>
    <x v="6"/>
    <n v="55"/>
    <n v="0"/>
    <n v="2"/>
    <n v="1701"/>
    <s v="QUITO"/>
    <n v="1"/>
    <n v="0"/>
    <n v="0"/>
    <s v="CORRIENTE"/>
    <x v="0"/>
    <n v="530702"/>
    <s v="ARRENDAMIENTO Y LICENCIAS DE USO DE PAQUETES INFORMÁTICOS"/>
    <n v="7840"/>
    <n v="6167.04"/>
    <n v="0"/>
    <n v="0"/>
    <n v="0"/>
    <n v="0"/>
    <n v="0"/>
    <n v="0"/>
    <n v="0"/>
    <n v="6167.04"/>
    <n v="0"/>
    <n v="0"/>
    <n v="0"/>
    <n v="0"/>
    <n v="6167.04"/>
    <s v="OK"/>
    <n v="6167.04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2 INCREMENTAR LA ARTICULACIÓN INTERINSTITUCIONAL EN LA PRESTACIÓN DE SERVICIOS DE ATENCIÓN DE EMERGENCIAS"/>
    <s v="INCREMENTAR LA CALIDAD Y OPORTUNIDAD DE LA GENERACIÓN DE INFORMACIÓN ESTADÍSTICA MEDIANTE EL DESARROLLO Y MEJORA DE REPORTES ESTADÍSTICOS Y ESTUDIOS RELACIONADOS CON LOS HECHOS GENERADORES DE SITUACIONES DE EMERGENCIA PARA LA TOMA DE DECISIONES."/>
    <s v="PLANTA_CENTRAL"/>
    <x v="8"/>
    <x v="11"/>
    <s v="OPERACIONES"/>
    <s v="ADQUISICIÓN LICENCIA ARCGIS"/>
    <n v="1"/>
    <x v="6"/>
    <n v="55"/>
    <n v="0"/>
    <n v="2"/>
    <n v="1701"/>
    <s v="QUITO"/>
    <n v="1"/>
    <n v="0"/>
    <n v="0"/>
    <s v="CORRIENTE"/>
    <x v="0"/>
    <n v="530702"/>
    <s v="ARRENDAMIENTO Y LICENCIAS DE USO DE PAQUETES INFORMÁTICOS"/>
    <n v="0"/>
    <n v="1556.88"/>
    <n v="0"/>
    <n v="0"/>
    <n v="0"/>
    <n v="0"/>
    <n v="0"/>
    <n v="0"/>
    <n v="0"/>
    <n v="0"/>
    <n v="0"/>
    <n v="0"/>
    <n v="1556.88"/>
    <n v="0"/>
    <n v="1556.88"/>
    <s v="OK"/>
    <n v="0"/>
    <n v="1556.88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MANTENER LA EFICAZ OPERACIÓN DE LA INFRAESTRUCTURA BASE Y DE LA PLATAFORMA TECNOLÓGICA DEL SERVICIO INTEGRADO DE SEGURIDAD ECU 911 A NIVEL NACIONAL MEDIANTE LA PLANIFICACIÓN, IMPLEMENTACIÓN Y CONTROL, DE NORMAS, PROCESOS Y HERRAMIENTAS APLICADAS, DESARROLLANDO Y MEJORANDO LOS SERVICIOS CON RECURSOS Y COMPONENTES TECNOLÓGICOS."/>
    <s v="PLANTA_CENTRAL"/>
    <x v="9"/>
    <x v="12"/>
    <s v="TECNOLOGÍA"/>
    <s v="CONTRATACIÓN DEL SERVICIO POR EL USO DEL ESPECTRO RADIOELÉCTRICO DE LAS FRECUENCIAS PARA RADIO COMUNICACIÓN TIERRA AIRE DE LOS CENTROS A NIVEL NACIONAL Y COMUNICACIONES VHF DE LOS CUERPOS DE BOMBEROS DEL ESPECTRO"/>
    <n v="1"/>
    <x v="6"/>
    <n v="55"/>
    <n v="0"/>
    <n v="3"/>
    <n v="1701"/>
    <s v="QUITO"/>
    <n v="1"/>
    <n v="0"/>
    <n v="0"/>
    <s v="CORRIENTE"/>
    <x v="0"/>
    <n v="530105"/>
    <s v="TELECOMUNICACIONES"/>
    <n v="5000"/>
    <n v="5000"/>
    <n v="0"/>
    <n v="0"/>
    <n v="0"/>
    <n v="0"/>
    <n v="0"/>
    <n v="0"/>
    <n v="0"/>
    <n v="0"/>
    <n v="0"/>
    <n v="4600"/>
    <n v="200"/>
    <n v="200"/>
    <n v="5000"/>
    <s v="OK"/>
    <n v="0"/>
    <n v="5000"/>
    <s v="R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MANTENER LA EFICAZ OPERACIÓN DE LA INFRAESTRUCTURA BASE Y DE LA PLATAFORMA TECNOLÓGICA DEL SERVICIO INTEGRADO DE SEGURIDAD ECU 911 A NIVEL NACIONAL MEDIANTE LA PLANIFICACIÓN, IMPLEMENTACIÓN Y CONTROL, DE NORMAS, PROCESOS Y HERRAMIENTAS APLICADAS, DESARROLLANDO Y MEJORANDO LOS SERVICIOS CON RECURSOS Y COMPONENTES TECNOLÓGICOS."/>
    <s v="PLANTA_CENTRAL"/>
    <x v="9"/>
    <x v="12"/>
    <s v="TECNOLOGÍA"/>
    <s v="CONTRATACIÓN DEL SERVICIO DE COMUNICACIÓN DE TIEMPO AIRE SATELITAL PARA 176 TERMINALES SATELITALES IDP-280 QUE FORMAN PARTE DEL SISTEMA DE ALERTA TEMPRANA  "/>
    <n v="1"/>
    <x v="6"/>
    <n v="55"/>
    <n v="0"/>
    <n v="3"/>
    <n v="1701"/>
    <s v="QUITO"/>
    <n v="1"/>
    <n v="0"/>
    <n v="0"/>
    <s v="CORRIENTE"/>
    <x v="0"/>
    <n v="530105"/>
    <s v="TELECOMUNICACIONES"/>
    <n v="53601"/>
    <n v="41293.97"/>
    <n v="0"/>
    <n v="0"/>
    <n v="15000"/>
    <n v="0"/>
    <n v="0"/>
    <n v="0"/>
    <n v="17139.160000000003"/>
    <n v="4272.16"/>
    <n v="1220.6499999999996"/>
    <n v="1220.6499999999996"/>
    <n v="1220.6499999999996"/>
    <n v="1220.6999999999998"/>
    <n v="41293.970000000008"/>
    <s v="OK"/>
    <n v="39187.980000000003"/>
    <n v="2105.989999999998"/>
    <s v="R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MANTENER LA EFICAZ OPERACIÓN DE LA INFRAESTRUCTURA BASE Y DE LA PLATAFORMA TECNOLÓGICA DEL SERVICIO INTEGRADO DE SEGURIDAD ECU 911 A NIVEL NACIONAL MEDIANTE LA PLANIFICACIÓN, IMPLEMENTACIÓN Y CONTROL, DE NORMAS, PROCESOS Y HERRAMIENTAS APLICADAS, DESARROLLANDO Y MEJORANDO LOS SERVICIOS CON RECURSOS Y COMPONENTES TECNOLÓGICOS."/>
    <s v="PLANTA_CENTRAL"/>
    <x v="9"/>
    <x v="12"/>
    <s v="TECNOLOGÍA"/>
    <s v="SERVICIO DE RADIO COMUNICACIONES DE LA RED NACIONAL TRONCALIZADA PARA LA ATENCIÓN DE EMERGENCIAS Y MISIÓN CRÍTICA PARA LAS INSTITUCIONES ARTICULADAS"/>
    <n v="1"/>
    <x v="6"/>
    <n v="55"/>
    <n v="0"/>
    <n v="3"/>
    <n v="1701"/>
    <s v="QUITO"/>
    <n v="1"/>
    <n v="0"/>
    <n v="0"/>
    <s v="CORRIENTE"/>
    <x v="0"/>
    <n v="530105"/>
    <s v="TELECOMUNICACIONES"/>
    <n v="1344446.28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MEJORA DE LOS SERVICIOS TECNOLÓGICOS DEL SIS ECU 911 MEDIANTE EL DESARROLLO DE PROYECTOS DE INNOVACIÓN Y DEMÁS INSTRUMENTOS RELATIVOS AL MEJORAMIENTO DE LA PRESTACIÓN DEL SERVICIO, FORTALECIMIENTO DE LA PLATAFORMA TECNOLÓGICA Y LA INCORPORACIÓN DE NUEVOS PRODUCTOS Y SERVICIOS PARA EL SIS ECU 911."/>
    <s v="COORDINACIÓN_ZONAL"/>
    <x v="11"/>
    <x v="5"/>
    <s v="TECNOLOGÍA"/>
    <s v="ARRASTRE: PROVISIÓN DEL SERVICIO DE TELEFONÍA FIJA, ENLACES DE DATOS, INTERNET Y SERVICIOS MÓVILES AVANZADOS PARA EL SERVICIO INTEGRADO DE SEGURIDAD ECU 911 QUITO"/>
    <n v="1"/>
    <x v="6"/>
    <n v="55"/>
    <n v="0"/>
    <n v="3"/>
    <n v="1701"/>
    <s v="QUITO"/>
    <n v="1"/>
    <n v="0"/>
    <n v="0"/>
    <s v="CORRIENTE"/>
    <x v="0"/>
    <n v="530105"/>
    <s v="TELECOMUNICACIONES"/>
    <n v="26780"/>
    <n v="20992.93"/>
    <n v="0"/>
    <n v="20992.93"/>
    <n v="0"/>
    <n v="0"/>
    <n v="0"/>
    <n v="0"/>
    <n v="0"/>
    <n v="0"/>
    <n v="0"/>
    <n v="0"/>
    <n v="0"/>
    <n v="0"/>
    <n v="20992.93"/>
    <s v="OK"/>
    <n v="20992.93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MEJORA DE LOS SERVICIOS TECNOLÓGICOS DEL SIS ECU 911 MEDIANTE EL DESARROLLO DE PROYECTOS DE INNOVACIÓN Y DEMÁS INSTRUMENTOS RELATIVOS AL MEJORAMIENTO DE LA PRESTACIÓN DEL SERVICIO, FORTALECIMIENTO DE LA PLATAFORMA TECNOLÓGICA Y LA INCORPORACIÓN DE NUEVOS PRODUCTOS Y SERVICIOS PARA EL SIS ECU 911."/>
    <s v="COORDINACIÓN_ZONAL"/>
    <x v="11"/>
    <x v="5"/>
    <s v="TECNOLOGÍA"/>
    <s v="PROVISIÓN DEL SERVICIO DE TELEFONÍA FIJA, ENLACES DE DATOS, INTERNET, SERVICIOS MÓVILES AVANZADOS Y ANTIVIRUS PARA EL SERVICIO INTEGRADO DE SEGURIDAD ECU 911 QUITO"/>
    <n v="1"/>
    <x v="6"/>
    <n v="55"/>
    <n v="0"/>
    <n v="3"/>
    <n v="1701"/>
    <s v="QUITO"/>
    <n v="1"/>
    <n v="0"/>
    <n v="0"/>
    <s v="CORRIENTE"/>
    <x v="0"/>
    <n v="530105"/>
    <s v="TELECOMUNICACIONES"/>
    <n v="327824"/>
    <n v="296397.43"/>
    <n v="0"/>
    <n v="26945.22"/>
    <n v="26945.22"/>
    <n v="26945.22"/>
    <n v="26945.22"/>
    <n v="26945.22"/>
    <n v="26945.22"/>
    <n v="26945.22"/>
    <n v="26945.22"/>
    <n v="26945.22"/>
    <n v="26945.22"/>
    <n v="26945.23"/>
    <n v="296397.43"/>
    <s v="OK"/>
    <n v="296397.43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MEJORA DE LOS SERVICIOS TECNOLÓGICOS DEL SIS ECU 911 MEDIANTE EL DESARROLLO DE PROYECTOS DE INNOVACIÓN Y DEMÁS INSTRUMENTOS RELATIVOS AL MEJORAMIENTO DE LA PRESTACIÓN DEL SERVICIO, FORTALECIMIENTO DE LA PLATAFORMA TECNOLÓGICA Y LA INCORPORACIÓN DE NUEVOS PRODUCTOS Y SERVICIOS PARA EL SIS ECU 911."/>
    <s v="COORDINACIÓN_ZONAL"/>
    <x v="11"/>
    <x v="5"/>
    <s v="TECNOLOGÍA"/>
    <s v="CONTRATACIÓN DEL SOSTENIMIENTO TECNOLÓGICO DE SITIOS DE VIDEO MONITOREO DE LA COORDINACIÓN ZONAL 2-9"/>
    <n v="1"/>
    <x v="6"/>
    <n v="55"/>
    <n v="0"/>
    <n v="3"/>
    <n v="1701"/>
    <s v="QUITO"/>
    <n v="1"/>
    <n v="0"/>
    <n v="0"/>
    <s v="CORRIENTE"/>
    <x v="0"/>
    <n v="530404"/>
    <s v="MAQUINARIAS Y EQUIPOS (INSTALACIÓN, MANTENIMIENTO Y REPARACIÓN)"/>
    <n v="0"/>
    <n v="5000"/>
    <n v="0"/>
    <n v="0"/>
    <n v="0"/>
    <n v="0"/>
    <n v="1666.67"/>
    <n v="1666.67"/>
    <n v="1666.66"/>
    <n v="0"/>
    <n v="0"/>
    <n v="0"/>
    <n v="0"/>
    <n v="0"/>
    <n v="5000"/>
    <s v="OK"/>
    <n v="5000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MEJORA DE LOS SERVICIOS TECNOLÓGICOS DEL SIS ECU 911 MEDIANTE EL DESARROLLO DE PROYECTOS DE INNOVACIÓN Y DEMÁS INSTRUMENTOS RELATIVOS AL MEJORAMIENTO DE LA PRESTACIÓN DEL SERVICIO, FORTALECIMIENTO DE LA PLATAFORMA TECNOLÓGICA Y LA INCORPORACIÓN DE NUEVOS PRODUCTOS Y SERVICIOS PARA EL SIS ECU 911."/>
    <s v="PLANTA_CENTRAL"/>
    <x v="9"/>
    <x v="18"/>
    <s v="TECNOLOGÍA"/>
    <s v="CONTRATACIÓN DE SERVICIO DE MANTENIMIENTO CORRECTIVO DE LOS MICRÓFONOS CUELLO DE GANSO PARA LA SALA DE CRISIS NACIONAL DEL SERVICIO INTEGRADO DE SEGURIDAD ECU 911"/>
    <n v="1"/>
    <x v="6"/>
    <n v="55"/>
    <n v="0"/>
    <n v="3"/>
    <n v="1701"/>
    <s v="QUITO"/>
    <n v="1"/>
    <n v="0"/>
    <n v="0"/>
    <s v="CORRIENTE"/>
    <x v="0"/>
    <n v="530406"/>
    <s v="HERRAMIENTAS (MANTENIMIENTO Y REPARACIÓN)"/>
    <n v="0"/>
    <n v="1000"/>
    <n v="0"/>
    <n v="0"/>
    <n v="0"/>
    <n v="0"/>
    <n v="0"/>
    <n v="0"/>
    <n v="0"/>
    <n v="0"/>
    <n v="1000"/>
    <n v="0"/>
    <n v="0"/>
    <n v="0"/>
    <n v="1000"/>
    <s v="OK"/>
    <n v="1000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MEJORA DE LOS SERVICIOS TECNOLÓGICOS DEL SIS ECU 911 MEDIANTE EL DESARROLLO DE PROYECTOS DE INNOVACIÓN Y DEMÁS INSTRUMENTOS RELATIVOS AL MEJORAMIENTO DE LA PRESTACIÓN DEL SERVICIO, FORTALECIMIENTO DE LA PLATAFORMA TECNOLÓGICA Y LA INCORPORACIÓN DE NUEVOS PRODUCTOS Y SERVICIOS PARA EL SIS ECU 911."/>
    <s v="PLANTA_CENTRAL"/>
    <x v="9"/>
    <x v="12"/>
    <s v="TECNOLOGÍA"/>
    <s v="CONTRATACIÓN DEL SERVICIO DE ARRENDAMIENTO DE PUNTOS DE VIDEO VIGILANCIA PARA EL SIS ECU 911 A NIVEL NACIONAL"/>
    <n v="1"/>
    <x v="6"/>
    <n v="55"/>
    <n v="0"/>
    <n v="3"/>
    <n v="1701"/>
    <s v="QUITO"/>
    <n v="1"/>
    <n v="0"/>
    <n v="0"/>
    <s v="CORRIENTE"/>
    <x v="0"/>
    <n v="530504"/>
    <s v="MAQUINARIAS Y EQUIPOS (ARRENDAMIENTO)"/>
    <n v="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MEJORA DE LOS SERVICIOS TECNOLÓGICOS DEL SIS ECU 911 MEDIANTE EL DESARROLLO DE PROYECTOS DE INNOVACIÓN Y DEMÁS INSTRUMENTOS RELATIVOS AL MEJORAMIENTO DE LA PRESTACIÓN DEL SERVICIO, FORTALECIMIENTO DE LA PLATAFORMA TECNOLÓGICA Y LA INCORPORACIÓN DE NUEVOS PRODUCTOS Y SERVICIOS PARA EL SIS ECU 911."/>
    <s v="PLANTA_CENTRAL"/>
    <x v="9"/>
    <x v="18"/>
    <s v="TECNOLOGÍA"/>
    <s v="CONTRATACIÓN DE SERVICIOS ESPECIALIZADOS PARA RESOLVER LOS INCIDENTES SIN SOPORTE TECNOLÓGICO"/>
    <n v="1"/>
    <x v="6"/>
    <n v="55"/>
    <n v="0"/>
    <n v="3"/>
    <n v="1701"/>
    <s v="QUITO"/>
    <n v="1"/>
    <n v="0"/>
    <n v="0"/>
    <s v="CORRIENTE"/>
    <x v="0"/>
    <n v="530606"/>
    <s v="HONORARIOS POR CONTRATOS CIVILES DE SERVICIOS"/>
    <n v="0"/>
    <n v="6000"/>
    <n v="0"/>
    <n v="0"/>
    <n v="0"/>
    <n v="0"/>
    <n v="0"/>
    <n v="0"/>
    <n v="0"/>
    <n v="0"/>
    <n v="0"/>
    <n v="0"/>
    <n v="3000"/>
    <n v="3000"/>
    <n v="6000"/>
    <s v="OK"/>
    <n v="0"/>
    <n v="600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MANTENER LA EFICAZ OPERACIÓN DE LA INFRAESTRUCTURA BASE Y DE LA PLATAFORMA TECNOLÓGICA DEL SERVICIO INTEGRADO DE SEGURIDAD ECU 911 A NIVEL NACIONAL MEDIANTE LA PLANIFICACIÓN, IMPLEMENTACIÓN Y CONTROL, DE NORMAS, PROCESOS Y HERRAMIENTAS APLICADAS, DESARROLLANDO Y MEJORANDO LOS SERVICIOS CON RECURSOS Y COMPONENTES TECNOLÓGICOS."/>
    <s v="PLANTA_CENTRAL"/>
    <x v="9"/>
    <x v="12"/>
    <s v="TECNOLOGÍA"/>
    <s v="CONTRATACIÓN DE LICENCIAMIENTO PARA EQUIPO FIREWALL-IPS FORTIGATE 200E SIS ECU911 QUITO"/>
    <n v="1"/>
    <x v="6"/>
    <n v="55"/>
    <n v="0"/>
    <n v="3"/>
    <n v="1701"/>
    <s v="QUITO"/>
    <n v="1"/>
    <n v="0"/>
    <n v="0"/>
    <s v="CORRIENTE"/>
    <x v="0"/>
    <n v="530702"/>
    <s v="ARRENDAMIENTO Y LICENCIAS DE USO DE PAQUETES INFORMÁTICOS"/>
    <n v="270"/>
    <n v="4623.6400000000003"/>
    <n v="0"/>
    <n v="0"/>
    <n v="0"/>
    <n v="0"/>
    <n v="0"/>
    <n v="0"/>
    <n v="0"/>
    <n v="0"/>
    <n v="4623.6400000000003"/>
    <n v="0"/>
    <n v="0"/>
    <n v="0"/>
    <n v="4623.6400000000003"/>
    <s v="OK"/>
    <n v="4623.6400000000003"/>
    <n v="0"/>
    <s v="R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MANTENER LA EFICAZ OPERACIÓN DE LA INFRAESTRUCTURA BASE Y DE LA PLATAFORMA TECNOLÓGICA DEL SERVICIO INTEGRADO DE SEGURIDAD ECU 911 A NIVEL NACIONAL MEDIANTE LA PLANIFICACIÓN, IMPLEMENTACIÓN Y CONTROL, DE NORMAS, PROCESOS Y HERRAMIENTAS APLICADAS, DESARROLLANDO Y MEJORANDO LOS SERVICIOS CON RECURSOS Y COMPONENTES TECNOLÓGICOS."/>
    <s v="PLANTA_CENTRAL"/>
    <x v="9"/>
    <x v="12"/>
    <s v="TECNOLOGÍA"/>
    <s v="CONTRATACIÓN DE LICENCIAMIENTO DE LA SOLUCIÓN DE ANTIVIRUS PARA EL EQUIPAMIENTO INFORMATICO DE LOS CENTROS OPERATIVOS ZONALES, LOCALES Y PLANTA CENTRAL DEL SERVICIO INTEGRADO DE SEGURIDAD ECU 911"/>
    <n v="1"/>
    <x v="6"/>
    <n v="55"/>
    <n v="0"/>
    <n v="3"/>
    <n v="1701"/>
    <s v="QUITO"/>
    <n v="1"/>
    <n v="0"/>
    <n v="0"/>
    <s v="CORRIENTE"/>
    <x v="0"/>
    <n v="530702"/>
    <s v="ARRENDAMIENTO Y LICENCIAS DE USO DE PAQUETES INFORMÁTICOS"/>
    <n v="45000"/>
    <n v="25717.200000000001"/>
    <n v="0"/>
    <n v="0"/>
    <n v="0"/>
    <n v="0"/>
    <n v="0"/>
    <n v="0"/>
    <n v="0"/>
    <n v="0"/>
    <n v="25717.200000000001"/>
    <n v="0"/>
    <n v="0"/>
    <n v="0"/>
    <n v="25717.200000000001"/>
    <s v="OK"/>
    <n v="25717.200000000001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MANTENER LA EFICAZ OPERACIÓN DE LA INFRAESTRUCTURA BASE Y DE LA PLATAFORMA TECNOLÓGICA DEL SERVICIO INTEGRADO DE SEGURIDAD ECU 911 A NIVEL NACIONAL MEDIANTE LA PLANIFICACIÓN, IMPLEMENTACIÓN Y CONTROL, DE NORMAS, PROCESOS Y HERRAMIENTAS APLICADAS, DESARROLLANDO Y MEJORANDO LOS SERVICIOS CON RECURSOS Y COMPONENTES TECNOLÓGICOS."/>
    <s v="PLANTA_CENTRAL"/>
    <x v="9"/>
    <x v="18"/>
    <s v="TECNOLOGÍA"/>
    <s v="CONTRATACIÓN DE ARRENDAMIENTO DEL SERVICIO EN NUBE PARA LOS PROYECTOS TECNOLÓGICOS QUE MANEJA EL SIS ECU 911"/>
    <n v="1"/>
    <x v="6"/>
    <n v="55"/>
    <n v="0"/>
    <n v="3"/>
    <n v="1701"/>
    <s v="QUITO"/>
    <n v="1"/>
    <n v="0"/>
    <n v="0"/>
    <s v="CORRIENTE"/>
    <x v="0"/>
    <n v="530702"/>
    <s v="ARRENDAMIENTO Y LICENCIAS DE USO DE PAQUETES INFORMÁTICOS"/>
    <n v="0"/>
    <n v="28000"/>
    <n v="0"/>
    <n v="0"/>
    <n v="0"/>
    <n v="0"/>
    <n v="0"/>
    <n v="0"/>
    <n v="0"/>
    <n v="0"/>
    <n v="0"/>
    <n v="10000"/>
    <n v="9000"/>
    <n v="9000"/>
    <n v="28000"/>
    <s v="OK"/>
    <n v="0"/>
    <n v="2800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MANTENER LA EFICAZ OPERACIÓN DE LA INFRAESTRUCTURA BASE Y DE LA PLATAFORMA TECNOLÓGICA DEL SERVICIO INTEGRADO DE SEGURIDAD ECU 911 A NIVEL NACIONAL MEDIANTE LA PLANIFICACIÓN, IMPLEMENTACIÓN Y CONTROL, DE NORMAS, PROCESOS Y HERRAMIENTAS APLICADAS, DESARROLLANDO Y MEJORANDO LOS SERVICIOS CON RECURSOS Y COMPONENTES TECNOLÓGICOS."/>
    <s v="PLANTA_CENTRAL"/>
    <x v="9"/>
    <x v="12"/>
    <s v="TECNOLOGÍA"/>
    <s v="RENOVACIÓN DE LICENCIAS PARA HERRAMIENTA DE VIDEOCONFERENCIAS PARA EL SERVICIO INTEGRADO DE SEGURIDAD ECU 911"/>
    <n v="1"/>
    <x v="6"/>
    <n v="55"/>
    <n v="0"/>
    <n v="3"/>
    <n v="1701"/>
    <s v="QUITO"/>
    <n v="1"/>
    <n v="0"/>
    <n v="0"/>
    <s v="CORRIENTE"/>
    <x v="0"/>
    <n v="530702"/>
    <s v="ARRENDAMIENTO Y LICENCIAS DE USO DE PAQUETES INFORMÁTICOS"/>
    <n v="670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MANTENER LA EFICAZ OPERACIÓN DE LA INFRAESTRUCTURA BASE Y DE LA PLATAFORMA TECNOLÓGICA DEL SERVICIO INTEGRADO DE SEGURIDAD ECU 911 A NIVEL NACIONAL MEDIANTE LA PLANIFICACIÓN, IMPLEMENTACIÓN Y CONTROL, DE NORMAS, PROCESOS Y HERRAMIENTAS APLICADAS, DESARROLLANDO Y MEJORANDO LOS SERVICIOS CON RECURSOS Y COMPONENTES TECNOLÓGICOS."/>
    <s v="PLANTA_CENTRAL"/>
    <x v="9"/>
    <x v="12"/>
    <s v="TECNOLOGÍA"/>
    <s v="RENOVACIÓN E INSTALACIÓN DE CERTIFICADOS SSL (SECURE SOCKET LAYER) PARA LA  APLICACIÓN DE CORREO ELECTRÓNICO DEL SERVICIO INTEGRADO DE SEGURIDAD ECU 911"/>
    <n v="1"/>
    <x v="6"/>
    <n v="55"/>
    <n v="0"/>
    <n v="3"/>
    <n v="1701"/>
    <s v="QUITO"/>
    <n v="1"/>
    <n v="0"/>
    <n v="0"/>
    <s v="CORRIENTE"/>
    <x v="0"/>
    <n v="530702"/>
    <s v="ARRENDAMIENTO Y LICENCIAS DE USO DE PAQUETES INFORMÁTICOS"/>
    <n v="2000"/>
    <n v="2500"/>
    <n v="0"/>
    <n v="2500"/>
    <n v="0"/>
    <n v="0"/>
    <n v="0"/>
    <n v="0"/>
    <n v="0"/>
    <n v="0"/>
    <n v="0"/>
    <n v="0"/>
    <n v="0"/>
    <n v="0"/>
    <n v="2500"/>
    <s v="OK"/>
    <n v="2500"/>
    <n v="0"/>
    <s v="R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MEJORA DE LOS SERVICIOS TECNOLÓGICOS DEL SIS ECU 911 MEDIANTE EL DESARROLLO DE PROYECTOS DE INNOVACIÓN Y DEMÁS INSTRUMENTOS RELATIVOS AL MEJORAMIENTO DE LA PRESTACIÓN DEL SERVICIO, FORTALECIMIENTO DE LA PLATAFORMA TECNOLÓGICA Y LA INCORPORACIÓN DE NUEVOS PRODUCTOS Y SERVICIOS PARA EL SIS ECU 911."/>
    <s v="PLANTA_CENTRAL"/>
    <x v="9"/>
    <x v="18"/>
    <s v="TECNOLOGÍA"/>
    <s v="CONTRATACIÓN DE CUENTA SENCHA PARA EL DESARROLLO DE APLICACIONES INTERCOMUNICADAS CON EL SIS ECU 911"/>
    <n v="1"/>
    <x v="6"/>
    <n v="55"/>
    <n v="0"/>
    <n v="3"/>
    <n v="1701"/>
    <s v="QUITO"/>
    <n v="1"/>
    <n v="0"/>
    <n v="0"/>
    <s v="CORRIENTE"/>
    <x v="0"/>
    <n v="530702"/>
    <s v="ARRENDAMIENTO Y LICENCIAS DE USO DE PAQUETES INFORMÁTICOS"/>
    <n v="3600"/>
    <n v="3600"/>
    <n v="0"/>
    <n v="0"/>
    <n v="0"/>
    <n v="0"/>
    <n v="0"/>
    <n v="0"/>
    <n v="0"/>
    <n v="0"/>
    <n v="0"/>
    <n v="0"/>
    <n v="3600"/>
    <n v="0"/>
    <n v="3600"/>
    <s v="OK"/>
    <n v="2811"/>
    <n v="789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MEJORA DE LOS SERVICIOS TECNOLÓGICOS DEL SIS ECU 911 MEDIANTE EL DESARROLLO DE PROYECTOS DE INNOVACIÓN Y DEMÁS INSTRUMENTOS RELATIVOS AL MEJORAMIENTO DE LA PRESTACIÓN DEL SERVICIO, FORTALECIMIENTO DE LA PLATAFORMA TECNOLÓGICA Y LA INCORPORACIÓN DE NUEVOS PRODUCTOS Y SERVICIOS PARA EL SIS ECU 911."/>
    <s v="PLANTA_CENTRAL"/>
    <x v="9"/>
    <x v="18"/>
    <s v="TECNOLOGÍA"/>
    <s v="CONTRATACIÓN DE LA CUENTA APP DE APPLE PARA LA APLICACIÓN SMARTPHONE DEL SERVICIO INTEGRADO DE SEGURIDAD ECU 911"/>
    <n v="1"/>
    <x v="6"/>
    <n v="55"/>
    <n v="0"/>
    <n v="3"/>
    <n v="1701"/>
    <s v="QUITO"/>
    <n v="1"/>
    <n v="0"/>
    <n v="0"/>
    <s v="CORRIENTE"/>
    <x v="0"/>
    <n v="530702"/>
    <s v="ARRENDAMIENTO Y LICENCIAS DE USO DE PAQUETES INFORMÁTICOS"/>
    <n v="270"/>
    <n v="179"/>
    <n v="0"/>
    <n v="0"/>
    <n v="0"/>
    <n v="0"/>
    <n v="179"/>
    <n v="0"/>
    <n v="0"/>
    <n v="0"/>
    <n v="0"/>
    <n v="0"/>
    <n v="0"/>
    <n v="0"/>
    <n v="179"/>
    <s v="OK"/>
    <n v="179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MEJORA DE LOS SERVICIOS TECNOLÓGICOS DEL SIS ECU 911 MEDIANTE EL DESARROLLO DE PROYECTOS DE INNOVACIÓN Y DEMÁS INSTRUMENTOS RELATIVOS AL MEJORAMIENTO DE LA PRESTACIÓN DEL SERVICIO, FORTALECIMIENTO DE LA PLATAFORMA TECNOLÓGICA Y LA INCORPORACIÓN DE NUEVOS PRODUCTOS Y SERVICIOS PARA EL SIS ECU 911."/>
    <s v="PLANTA_CENTRAL"/>
    <x v="9"/>
    <x v="12"/>
    <s v="TECNOLOGÍA"/>
    <s v="ADQUISICIÓN DEL CERTIFICADO DIGITAL SSL WILDCARD MULTIDOMINIO PARA APLICAR NIVELES DE SEGURIDAD A LOS DOMINIOS Y SUBDOMINIOS DE LOS SISTEMAS DESARROLLADOS INCLUÍDO EL SISTEMA SAEI-FJ DEL SERVICIO INTEGRADO DE SEGURIDAD ECU"/>
    <n v="1"/>
    <x v="6"/>
    <n v="55"/>
    <n v="0"/>
    <n v="3"/>
    <n v="1701"/>
    <s v="QUITO"/>
    <n v="1"/>
    <n v="0"/>
    <n v="0"/>
    <s v="CORRIENTE"/>
    <x v="0"/>
    <n v="530702"/>
    <s v="ARRENDAMIENTO Y LICENCIAS DE USO DE PAQUETES INFORMÁTICOS"/>
    <n v="0"/>
    <n v="6300"/>
    <n v="0"/>
    <n v="0"/>
    <n v="0"/>
    <n v="0"/>
    <n v="0"/>
    <n v="0"/>
    <n v="0"/>
    <n v="0"/>
    <n v="0"/>
    <n v="0"/>
    <n v="0"/>
    <n v="6300"/>
    <n v="6300"/>
    <s v="OK"/>
    <n v="0"/>
    <n v="630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MEJORA DE LOS SERVICIOS TECNOLÓGICOS DEL SIS ECU 911 MEDIANTE EL DESARROLLO DE PROYECTOS DE INNOVACIÓN Y DEMÁS INSTRUMENTOS RELATIVOS AL MEJORAMIENTO DE LA PRESTACIÓN DEL SERVICIO, FORTALECIMIENTO DE LA PLATAFORMA TECNOLÓGICA Y LA INCORPORACIÓN DE NUEVOS PRODUCTOS Y SERVICIOS PARA EL SIS ECU 911."/>
    <s v="COORDINACIÓN_ZONAL"/>
    <x v="11"/>
    <x v="5"/>
    <s v="TECNOLOGÍA"/>
    <s v="CONTRATACIÓN DE LICENCIAMIENTO PARA EQUIPOS MERAKI DE PLANTA CENTRAL Y LA COORDINACIÓN ZONAL 2-9 DEL SERVICIO INTEGRADO DE SEGURIDAD ECU911"/>
    <n v="1"/>
    <x v="6"/>
    <n v="55"/>
    <n v="0"/>
    <n v="3"/>
    <n v="1701"/>
    <s v="QUITO"/>
    <n v="1"/>
    <n v="0"/>
    <n v="0"/>
    <s v="CORRIENTE"/>
    <x v="0"/>
    <n v="530702"/>
    <s v="ARRENDAMIENTO Y LICENCIAS DE USO DE PAQUETES INFORMÁTICOS"/>
    <n v="0"/>
    <n v="1910.37"/>
    <n v="0"/>
    <n v="0"/>
    <n v="0"/>
    <n v="0"/>
    <n v="0"/>
    <n v="0"/>
    <n v="0"/>
    <n v="0"/>
    <n v="0"/>
    <n v="1910.37"/>
    <n v="0"/>
    <n v="0"/>
    <n v="1910.37"/>
    <s v="OK"/>
    <n v="1910.37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MANTENER LA EFICAZ OPERACIÓN DE LA INFRAESTRUCTURA BASE Y DE LA PLATAFORMA TECNOLÓGICA DEL SERVICIO INTEGRADO DE SEGURIDAD ECU 911 A NIVEL NACIONAL MEDIANTE LA PLANIFICACIÓN, IMPLEMENTACIÓN Y CONTROL, DE NORMAS, PROCESOS Y HERRAMIENTAS APLICADAS, DESARROLLANDO Y MEJORANDO LOS SERVICIOS CON RECURSOS Y COMPONENTES TECNOLÓGICOS."/>
    <s v="PLANTA_CENTRAL"/>
    <x v="9"/>
    <x v="12"/>
    <s v="TECNOLOGÍA"/>
    <s v="MANTENIMIENTO TECNOLÓGICO DEL SUBSISTEMA DE SERVIDORES Y ALMACENAMIENTO DE LOS CENTROS OPERATIVOS DEL SIS ECU 911"/>
    <n v="1"/>
    <x v="6"/>
    <n v="55"/>
    <n v="0"/>
    <n v="3"/>
    <n v="1701"/>
    <s v="QUITO"/>
    <n v="1"/>
    <n v="0"/>
    <n v="0"/>
    <s v="CORRIENTE"/>
    <x v="0"/>
    <n v="530704"/>
    <s v="MANTENIMIENTO Y REPARACIÓN DE EQUIPOS Y SISTEMAS INFORMÁTICOS "/>
    <n v="400100"/>
    <n v="452820.04"/>
    <n v="0"/>
    <n v="0"/>
    <n v="0"/>
    <n v="0"/>
    <n v="0"/>
    <n v="0"/>
    <n v="270000"/>
    <n v="0"/>
    <n v="0"/>
    <n v="182820.04"/>
    <n v="0"/>
    <n v="0"/>
    <n v="452820.04000000004"/>
    <s v="OK"/>
    <n v="282774"/>
    <n v="170046.03999999998"/>
    <s v="R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MANTENER LA EFICAZ OPERACIÓN DE LA INFRAESTRUCTURA BASE Y DE LA PLATAFORMA TECNOLÓGICA DEL SERVICIO INTEGRADO DE SEGURIDAD ECU 911 A NIVEL NACIONAL MEDIANTE LA PLANIFICACIÓN, IMPLEMENTACIÓN Y CONTROL, DE NORMAS, PROCESOS Y HERRAMIENTAS APLICADAS, DESARROLLANDO Y MEJORANDO LOS SERVICIOS CON RECURSOS Y COMPONENTES TECNOLÓGICOS."/>
    <s v="PLANTA_CENTRAL"/>
    <x v="9"/>
    <x v="12"/>
    <s v="TECNOLOGÍA"/>
    <s v="SERVICIO DE MANTENIMIENTO Y ACTUALIZACIÓN DE LOS EQUIPOS VCN DE LOS CENTROS OPERATIVOS ZONALES Y EL CENTRO OPERATIVO LOCAL ESMERALDAS DEL SIS ECU 911 CON GARANTÍA EXTENDIDA"/>
    <n v="1"/>
    <x v="6"/>
    <n v="55"/>
    <n v="0"/>
    <n v="3"/>
    <n v="1701"/>
    <s v="QUITO"/>
    <n v="1"/>
    <n v="0"/>
    <n v="0"/>
    <s v="CORRIENTE"/>
    <x v="0"/>
    <n v="530704"/>
    <s v="MANTENIMIENTO Y REPARACIÓN DE EQUIPOS Y SISTEMAS INFORMÁTICOS "/>
    <n v="0"/>
    <n v="0"/>
    <n v="0"/>
    <n v="0"/>
    <n v="0"/>
    <n v="0"/>
    <n v="0"/>
    <n v="0"/>
    <n v="0"/>
    <n v="0"/>
    <n v="0"/>
    <n v="0"/>
    <n v="0"/>
    <n v="0"/>
    <n v="0"/>
    <s v="OK"/>
    <n v="0"/>
    <n v="0"/>
    <s v="R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MANTENER LA EFICAZ OPERACIÓN DE LA INFRAESTRUCTURA BASE Y DE LA PLATAFORMA TECNOLÓGICA DEL SERVICIO INTEGRADO DE SEGURIDAD ECU 911 A NIVEL NACIONAL MEDIANTE LA PLANIFICACIÓN, IMPLEMENTACIÓN Y CONTROL, DE NORMAS, PROCESOS Y HERRAMIENTAS APLICADAS, DESARROLLANDO Y MEJORANDO LOS SERVICIOS CON RECURSOS Y COMPONENTES TECNOLÓGICOS."/>
    <s v="PLANTA_CENTRAL"/>
    <x v="9"/>
    <x v="12"/>
    <s v="TECNOLOGÍA"/>
    <s v="ADQUISICIÓN Y PUESTA EN MARCHA DE EQUIPOS DE ALMACENAMIENTO PARA REPOTENCIAR EL SISTEMA DE VIDEO VIGILANCIA IVS QUE ACTUALMENTE DISPONE EL SERVICIO INTEGRADO DE SEGURIDAD ECU 911 A NIVEL NACIONAL"/>
    <n v="1"/>
    <x v="6"/>
    <n v="55"/>
    <n v="0"/>
    <n v="3"/>
    <n v="1701"/>
    <s v="QUITO"/>
    <n v="1"/>
    <n v="0"/>
    <n v="0"/>
    <s v="CORRIENTE"/>
    <x v="0"/>
    <n v="530704"/>
    <s v="MANTENIMIENTO Y REPARACIÓN DE EQUIPOS Y SISTEMAS INFORMÁTICOS "/>
    <n v="0"/>
    <n v="226786.52"/>
    <n v="0"/>
    <n v="0"/>
    <n v="0"/>
    <n v="0"/>
    <n v="0"/>
    <n v="0"/>
    <n v="0"/>
    <n v="0"/>
    <n v="0"/>
    <n v="0"/>
    <n v="0"/>
    <n v="226786.52"/>
    <n v="226786.52"/>
    <s v="OK"/>
    <n v="141110.64000000001"/>
    <n v="85675.879999999976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MANTENER LA EFICAZ OPERACIÓN DE LA INFRAESTRUCTURA BASE Y DE LA PLATAFORMA TECNOLÓGICA DEL SERVICIO INTEGRADO DE SEGURIDAD ECU 911 A NIVEL NACIONAL MEDIANTE LA PLANIFICACIÓN, IMPLEMENTACIÓN Y CONTROL, DE NORMAS, PROCESOS Y HERRAMIENTAS APLICADAS, DESARROLLANDO Y MEJORANDO LOS SERVICIOS CON RECURSOS Y COMPONENTES TECNOLÓGICOS."/>
    <s v="PLANTA_CENTRAL"/>
    <x v="9"/>
    <x v="12"/>
    <s v="TECNOLOGÍA"/>
    <s v="ADQUISICIÓN DE PANTALLAS PARA LOS VIDEOWALLS DE LOS CENTROS OPERATIVOS ZONALES, LOCALES Y SALAS DESCONCENTRADAS, E IMPLEMENTACIÓN DE DOS VIDEO WALLS PARA PLANTA CENTRAL DEL SERVICIO INTEGRADO DE SEGURIDAD ECU 911"/>
    <n v="1"/>
    <x v="6"/>
    <n v="55"/>
    <n v="0"/>
    <n v="3"/>
    <n v="1701"/>
    <s v="QUITO"/>
    <n v="1"/>
    <n v="0"/>
    <n v="0"/>
    <s v="CORRIENTE"/>
    <x v="0"/>
    <n v="530704"/>
    <s v="MANTENIMIENTO Y REPARACIÓN DE EQUIPOS Y SISTEMAS INFORMÁTICOS "/>
    <n v="0"/>
    <n v="2000"/>
    <n v="0"/>
    <n v="0"/>
    <n v="0"/>
    <n v="0"/>
    <n v="0"/>
    <n v="0"/>
    <n v="0"/>
    <n v="0"/>
    <n v="0"/>
    <n v="0"/>
    <n v="0"/>
    <n v="2000"/>
    <n v="2000"/>
    <s v="OK"/>
    <n v="2000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MANTENER LA EFICAZ OPERACIÓN DE LA INFRAESTRUCTURA BASE Y DE LA PLATAFORMA TECNOLÓGICA DEL SERVICIO INTEGRADO DE SEGURIDAD ECU 911 A NIVEL NACIONAL MEDIANTE LA PLANIFICACIÓN, IMPLEMENTACIÓN Y CONTROL, DE NORMAS, PROCESOS Y HERRAMIENTAS APLICADAS, DESARROLLANDO Y MEJORANDO LOS SERVICIOS CON RECURSOS Y COMPONENTES TECNOLÓGICOS."/>
    <s v="PLANTA_CENTRAL"/>
    <x v="9"/>
    <x v="12"/>
    <s v="TECNOLOGÍA"/>
    <s v="SERVICIO DE SEGURIDAD PERIMETRAL PARA SIS ECU 911"/>
    <n v="1"/>
    <x v="6"/>
    <n v="55"/>
    <n v="0"/>
    <n v="3"/>
    <n v="1701"/>
    <s v="QUITO"/>
    <n v="1"/>
    <n v="0"/>
    <n v="0"/>
    <s v="CORRIENTE"/>
    <x v="0"/>
    <n v="530704"/>
    <s v="MANTENIMIENTO Y REPARACIÓN DE EQUIPOS Y SISTEMAS INFORMÁTICOS "/>
    <n v="60000"/>
    <n v="0"/>
    <n v="0"/>
    <n v="0"/>
    <n v="0"/>
    <n v="0"/>
    <n v="0"/>
    <n v="0"/>
    <n v="0"/>
    <n v="0"/>
    <n v="0"/>
    <n v="0"/>
    <n v="0"/>
    <n v="0"/>
    <n v="0"/>
    <s v="OK"/>
    <n v="0"/>
    <n v="0"/>
    <s v="R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MANTENER LA EFICAZ OPERACIÓN DE LA INFRAESTRUCTURA BASE Y DE LA PLATAFORMA TECNOLÓGICA DEL SERVICIO INTEGRADO DE SEGURIDAD ECU 911 A NIVEL NACIONAL MEDIANTE LA PLANIFICACIÓN, IMPLEMENTACIÓN Y CONTROL, DE NORMAS, PROCESOS Y HERRAMIENTAS APLICADAS, DESARROLLANDO Y MEJORANDO LOS SERVICIOS CON RECURSOS Y COMPONENTES TECNOLÓGICOS."/>
    <s v="PLANTA_CENTRAL"/>
    <x v="9"/>
    <x v="12"/>
    <s v="TECNOLOGÍA"/>
    <s v="MANTENIMIENTO TECNOLÓGICO PREVENTIVO Y CORRECTIVO DE LOS 176 PUNTOS DE ALERTA TEMPRANA Y 6 CENTROS DE CONTROL DE LA FASE I y II, QUE FORMAN PARTE DEL SISTEMA NACIONAL DE ALERTA TEMPRANA FRENTE A EVENTOS ADVERSOS DE TSUNAMI Y DESBORDAMIENTO DE REPRESAS PARA LAS PROVINCIAS DE MANABÍ, ESMERALDAS, GUAYAS, SANTA ELENA, EL ORO, Y GALÁPAGOS."/>
    <n v="1"/>
    <x v="6"/>
    <n v="55"/>
    <n v="0"/>
    <n v="3"/>
    <n v="1701"/>
    <s v="QUITO"/>
    <n v="1"/>
    <n v="0"/>
    <n v="0"/>
    <s v="CORRIENTE"/>
    <x v="0"/>
    <n v="530704"/>
    <s v="MANTENIMIENTO Y REPARACIÓN DE EQUIPOS Y SISTEMAS INFORMÁTICOS "/>
    <n v="193670"/>
    <n v="25058"/>
    <n v="0"/>
    <n v="0"/>
    <n v="0"/>
    <n v="25058"/>
    <n v="0"/>
    <n v="0"/>
    <n v="0"/>
    <n v="0"/>
    <n v="0"/>
    <n v="0"/>
    <n v="0"/>
    <n v="0"/>
    <n v="25058"/>
    <s v="OK"/>
    <n v="25058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MANTENER LA EFICAZ OPERACIÓN DE LA INFRAESTRUCTURA BASE Y DE LA PLATAFORMA TECNOLÓGICA DEL SERVICIO INTEGRADO DE SEGURIDAD ECU 911 A NIVEL NACIONAL MEDIANTE LA PLANIFICACIÓN, IMPLEMENTACIÓN Y CONTROL, DE NORMAS, PROCESOS Y HERRAMIENTAS APLICADAS, DESARROLLANDO Y MEJORANDO LOS SERVICIOS CON RECURSOS Y COMPONENTES TECNOLÓGICOS."/>
    <s v="PLANTA_CENTRAL"/>
    <x v="9"/>
    <x v="12"/>
    <s v="TECNOLOGÍA"/>
    <s v="MANTENIMIENTO TECNOLÓGICO PREVENTIVO Y CORRECTIVO DE LOS 176 PUNTOS DE ALERTA TEMPRANA Y 6 CENTROS DE CONTROL DE LA FASE I y II, QUE FORMAN PARTE DEL SISTEMA NACIONAL DE ALERTA TEMPRANA FRENTE A EVENTOS ADVERSOS DE TSUNAMI Y DESBORDAMIENTO DE REPRESAS PARA LAS PROVINCIAS DE MANABÍ, ESMERALDAS, GUAYAS, SANTA ELENA, EL ORO, Y GALÁPAGOS."/>
    <n v="1"/>
    <x v="6"/>
    <n v="55"/>
    <n v="0"/>
    <n v="3"/>
    <n v="1701"/>
    <s v="QUITO"/>
    <n v="998"/>
    <n v="0"/>
    <n v="0"/>
    <s v="CORRIENTE"/>
    <x v="0"/>
    <n v="530704"/>
    <s v="MANTENIMIENTO Y REPARACIÓN DE EQUIPOS Y SISTEMAS INFORMÁTICOS "/>
    <n v="0"/>
    <n v="31155.06"/>
    <n v="0"/>
    <n v="0"/>
    <n v="0"/>
    <n v="31155.06"/>
    <n v="0"/>
    <n v="0"/>
    <n v="0"/>
    <n v="0"/>
    <n v="0"/>
    <n v="0"/>
    <n v="0"/>
    <n v="0"/>
    <n v="31155.06"/>
    <s v="OK"/>
    <n v="31155.06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MEJORA DE LOS SERVICIOS TECNOLÓGICOS DEL SIS ECU 911 MEDIANTE EL DESARROLLO DE PROYECTOS DE INNOVACIÓN Y DEMÁS INSTRUMENTOS RELATIVOS AL MEJORAMIENTO DE LA PRESTACIÓN DEL SERVICIO, FORTALECIMIENTO DE LA PLATAFORMA TECNOLÓGICA Y LA INCORPORACIÓN DE NUEVOS PRODUCTOS Y SERVICIOS PARA EL SIS ECU 911."/>
    <s v="PLANTA_CENTRAL"/>
    <x v="9"/>
    <x v="18"/>
    <s v="TECNOLOGÍA"/>
    <s v="MANTENIMIENTO PREVENTIVO Y CORRECTIVO ESPECIALIZADO A LAS BASES DE DATOS ORACLE A NIVEL NACIONAL DEL SIS ECU911"/>
    <n v="1"/>
    <x v="6"/>
    <n v="55"/>
    <n v="0"/>
    <n v="3"/>
    <n v="1701"/>
    <s v="QUITO"/>
    <n v="1"/>
    <n v="0"/>
    <n v="0"/>
    <s v="CORRIENTE"/>
    <x v="0"/>
    <n v="530704"/>
    <s v="MANTENIMIENTO Y REPARACIÓN DE EQUIPOS Y SISTEMAS INFORMÁTICOS "/>
    <n v="6000"/>
    <n v="5950"/>
    <n v="0"/>
    <n v="0"/>
    <n v="0"/>
    <n v="0"/>
    <n v="0"/>
    <n v="1000"/>
    <n v="1000"/>
    <n v="988"/>
    <n v="988"/>
    <n v="987"/>
    <n v="987"/>
    <n v="0"/>
    <n v="5950"/>
    <s v="OK"/>
    <n v="5950"/>
    <n v="0"/>
    <s v="R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MEJORA DE LOS SERVICIOS TECNOLÓGICOS DEL SIS ECU 911 MEDIANTE EL DESARROLLO DE PROYECTOS DE INNOVACIÓN Y DEMÁS INSTRUMENTOS RELATIVOS AL MEJORAMIENTO DE LA PRESTACIÓN DEL SERVICIO, FORTALECIMIENTO DE LA PLATAFORMA TECNOLÓGICA Y LA INCORPORACIÓN DE NUEVOS PRODUCTOS Y SERVICIOS PARA EL SIS ECU 911."/>
    <s v="PLANTA_CENTRAL"/>
    <x v="9"/>
    <x v="18"/>
    <s v="TECNOLOGÍA"/>
    <s v="CONTRATACIÓN DEL SERVICIO DE SOPORTE TÉCNICO HACIA LOS SISTEMAS INTEGRADOS DE LA PLATAFORMA TECNOLÓGICA DEL SERVICIO INTEGRADO DE SEGURIDAD ECU-911 EN LOS CENTROS OPERATIVOS ECU 911 A NIVEL NACIONAL"/>
    <n v="1"/>
    <x v="6"/>
    <n v="55"/>
    <n v="0"/>
    <n v="3"/>
    <n v="1701"/>
    <s v="QUITO"/>
    <n v="1"/>
    <n v="0"/>
    <n v="0"/>
    <s v="CORRIENTE"/>
    <x v="0"/>
    <n v="530704"/>
    <s v="MANTENIMIENTO Y REPARACIÓN DE EQUIPOS Y SISTEMAS INFORMÁTICOS "/>
    <n v="981254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MEJORA DE LOS SERVICIOS TECNOLÓGICOS DEL SIS ECU 911 MEDIANTE EL DESARROLLO DE PROYECTOS DE INNOVACIÓN Y DEMÁS INSTRUMENTOS RELATIVOS AL MEJORAMIENTO DE LA PRESTACIÓN DEL SERVICIO, FORTALECIMIENTO DE LA PLATAFORMA TECNOLÓGICA Y LA INCORPORACIÓN DE NUEVOS PRODUCTOS Y SERVICIOS PARA EL SIS ECU 911."/>
    <s v="COORDINACIÓN_ZONAL"/>
    <x v="11"/>
    <x v="5"/>
    <s v="TECNOLOGÍA"/>
    <s v="CONTRATACIÓN DEL SOSTENIMIENTO TECNOLÓGICO DE SITIOS DE VIDEO MONITOREO DE LA COORDINACIÓN ZONAL 2-9"/>
    <n v="1"/>
    <x v="6"/>
    <n v="55"/>
    <n v="0"/>
    <n v="3"/>
    <n v="1701"/>
    <s v="QUITO"/>
    <n v="1"/>
    <n v="0"/>
    <n v="0"/>
    <s v="CORRIENTE"/>
    <x v="0"/>
    <n v="530704"/>
    <s v="MANTENIMIENTO Y REPARACIÓN DE EQUIPOS Y SISTEMAS INFORMÁTICOS "/>
    <n v="133929"/>
    <n v="119933.5"/>
    <n v="0"/>
    <n v="0"/>
    <n v="0"/>
    <n v="16741.13"/>
    <n v="16741.13"/>
    <n v="16741.13"/>
    <n v="16741.13"/>
    <n v="14680.369999999999"/>
    <n v="12762.87"/>
    <n v="12762.87"/>
    <n v="12762.87"/>
    <n v="0"/>
    <n v="119933.49999999999"/>
    <s v="OK"/>
    <n v="119933.5"/>
    <n v="0"/>
    <s v="R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MEJORA DE LOS SERVICIOS TECNOLÓGICOS DEL SIS ECU 911 MEDIANTE EL DESARROLLO DE PROYECTOS DE INNOVACIÓN Y DEMÁS INSTRUMENTOS RELATIVOS AL MEJORAMIENTO DE LA PRESTACIÓN DEL SERVICIO, FORTALECIMIENTO DE LA PLATAFORMA TECNOLÓGICA Y LA INCORPORACIÓN DE NUEVOS PRODUCTOS Y SERVICIOS PARA EL SIS ECU 911."/>
    <s v="COORDINACIÓN_ZONAL"/>
    <x v="11"/>
    <x v="5"/>
    <s v="TECNOLOGÍA"/>
    <s v="CONTRATACIÓN DEL SERVICIO DE REPARACIÓN INTEGRAL DE MONITORES DE LAS CONSOLAS DE LAS SALAS OPERATIVAS Y SALAS DESCONCENTRADAS DE LA COORDINACIÓN ZONAL 2-9"/>
    <n v="1"/>
    <x v="6"/>
    <n v="55"/>
    <n v="0"/>
    <n v="3"/>
    <n v="1701"/>
    <s v="QUITO"/>
    <n v="1"/>
    <n v="0"/>
    <n v="0"/>
    <s v="CORRIENTE"/>
    <x v="0"/>
    <n v="530704"/>
    <s v="MANTENIMIENTO Y REPARACIÓN DE EQUIPOS Y SISTEMAS INFORMÁTICOS "/>
    <n v="0"/>
    <n v="6300"/>
    <n v="0"/>
    <n v="0"/>
    <n v="0"/>
    <n v="0"/>
    <n v="0"/>
    <n v="0"/>
    <n v="0"/>
    <n v="0"/>
    <n v="0"/>
    <n v="6300"/>
    <n v="0"/>
    <n v="0"/>
    <n v="6300"/>
    <s v="OK"/>
    <n v="5753.6"/>
    <n v="546.39999999999964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MEJORA DE LOS SERVICIOS TECNOLÓGICOS DEL SIS ECU 911 MEDIANTE EL DESARROLLO DE PROYECTOS DE INNOVACIÓN Y DEMÁS INSTRUMENTOS RELATIVOS AL MEJORAMIENTO DE LA PRESTACIÓN DEL SERVICIO, FORTALECIMIENTO DE LA PLATAFORMA TECNOLÓGICA Y LA INCORPORACIÓN DE NUEVOS PRODUCTOS Y SERVICIOS PARA EL SIS ECU 911."/>
    <s v="COORDINACIÓN_ZONAL"/>
    <x v="11"/>
    <x v="5"/>
    <s v="TECNOLOGÍA"/>
    <s v="ADQUISICIÓN DE EQUIPO DE SEGURIDAD PERIMETRAL PARA LA COORDINACIÓN ZONAL 2-9 DEL SIS ECU 911"/>
    <n v="1"/>
    <x v="6"/>
    <n v="55"/>
    <n v="0"/>
    <n v="3"/>
    <n v="1701"/>
    <s v="QUITO"/>
    <n v="1"/>
    <n v="0"/>
    <n v="0"/>
    <s v="CORRIENTE"/>
    <x v="0"/>
    <n v="530704"/>
    <s v="MANTENIMIENTO Y REPARACIÓN DE EQUIPOS Y SISTEMAS INFORMÁTICOS "/>
    <n v="0"/>
    <n v="2169.96"/>
    <n v="0"/>
    <n v="0"/>
    <n v="0"/>
    <n v="0"/>
    <n v="0"/>
    <n v="0"/>
    <n v="0"/>
    <n v="0"/>
    <n v="0"/>
    <n v="0"/>
    <n v="0"/>
    <n v="2169.96"/>
    <n v="2169.96"/>
    <s v="OK"/>
    <n v="0"/>
    <n v="2169.96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MEJORA DE LOS SERVICIOS TECNOLÓGICOS DEL SIS ECU 911 MEDIANTE EL DESARROLLO DE PROYECTOS DE INNOVACIÓN Y DEMÁS INSTRUMENTOS RELATIVOS AL MEJORAMIENTO DE LA PRESTACIÓN DEL SERVICIO, FORTALECIMIENTO DE LA PLATAFORMA TECNOLÓGICA Y LA INCORPORACIÓN DE NUEVOS PRODUCTOS Y SERVICIOS PARA EL SIS ECU 911."/>
    <s v="COORDINACIÓN_ZONAL"/>
    <x v="11"/>
    <x v="5"/>
    <s v="TECNOLOGÍA"/>
    <s v="SOSTENIMIENTO DE EQUIPOS DE IMPRESIÓN DE LA ZONAL 2-9 Y PLANTA CENTRAL"/>
    <n v="1"/>
    <x v="6"/>
    <n v="55"/>
    <n v="0"/>
    <n v="3"/>
    <n v="1701"/>
    <s v="QUITO"/>
    <n v="1"/>
    <n v="0"/>
    <n v="0"/>
    <s v="CORRIENTE"/>
    <x v="0"/>
    <n v="530813"/>
    <s v="REPUESTOS Y ACCESORIOS"/>
    <n v="2143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MEJORA DE LOS SERVICIOS TECNOLÓGICOS DEL SIS ECU 911 MEDIANTE EL DESARROLLO DE PROYECTOS DE INNOVACIÓN Y DEMÁS INSTRUMENTOS RELATIVOS AL MEJORAMIENTO DE LA PRESTACIÓN DEL SERVICIO, FORTALECIMIENTO DE LA PLATAFORMA TECNOLÓGICA Y LA INCORPORACIÓN DE NUEVOS PRODUCTOS Y SERVICIOS PARA EL SIS ECU 911."/>
    <s v="COORDINACIÓN_ZONAL"/>
    <x v="11"/>
    <x v="5"/>
    <s v="TECNOLOGÍA"/>
    <s v="ADQUISICIÓN DE PARTES Y PIEZAS PARA EQUIPOS SERVIDORES Y DE ALMACENAMIENTO PARA LA COORDINACIÓN ZONAL 2-9"/>
    <n v="1"/>
    <x v="6"/>
    <n v="55"/>
    <n v="0"/>
    <n v="3"/>
    <n v="1701"/>
    <s v="QUITO"/>
    <n v="1"/>
    <n v="0"/>
    <n v="0"/>
    <s v="CORRIENTE"/>
    <x v="0"/>
    <n v="530813"/>
    <s v="REPUESTOS Y ACCESORIOS"/>
    <n v="0"/>
    <n v="6210"/>
    <n v="0"/>
    <n v="0"/>
    <n v="0"/>
    <n v="0"/>
    <n v="6210"/>
    <n v="0"/>
    <n v="0"/>
    <n v="0"/>
    <n v="0"/>
    <n v="0"/>
    <n v="0"/>
    <n v="0"/>
    <n v="6210"/>
    <s v="OK"/>
    <n v="6210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MANTENER LA EFICAZ OPERACIÓN DE LA INFRAESTRUCTURA BASE Y DE LA PLATAFORMA TECNOLÓGICA DEL SERVICIO INTEGRADO DE SEGURIDAD ECU 911 A NIVEL NACIONAL MEDIANTE LA PLANIFICACIÓN, IMPLEMENTACIÓN Y CONTROL, DE NORMAS, PROCESOS Y HERRAMIENTAS APLICADAS, DESARROLLANDO Y MEJORANDO LOS SERVICIOS CON RECURSOS Y COMPONENTES TECNOLÓGICOS."/>
    <s v="PLANTA_CENTRAL"/>
    <x v="9"/>
    <x v="12"/>
    <s v="TECNOLOGÍA"/>
    <s v="MANTENIMIENTO TECNOLÓGICO PREVENTIVO Y CORRECTIVO DE LOS 176 PUNTOS DE ALERTA TEMPRANA Y 6 CENTROS DE CONTROL DE LA FASE I y II, QUE FORMAN PARTE DEL SISTEMA NACIONAL DE ALERTA TEMPRANA FRENTE A EVENTOS ADVERSOS DE TSUNAMI Y DESBORDAMIENTO DE REPRESAS PARA LAS PROVINCIAS DE MANABÍ, ESMERALDAS, GUAYAS, SANTA ELENA, EL ORO, Y GALÁPAGOS."/>
    <n v="1"/>
    <x v="6"/>
    <n v="55"/>
    <n v="0"/>
    <n v="3"/>
    <n v="1701"/>
    <s v="QUITO"/>
    <n v="1"/>
    <n v="0"/>
    <n v="0"/>
    <s v="CORRIENTE"/>
    <x v="0"/>
    <n v="530813"/>
    <s v="REPUESTOS Y ACCESORIOS"/>
    <n v="187500"/>
    <n v="36399.06"/>
    <n v="0"/>
    <n v="0"/>
    <n v="0"/>
    <n v="36399.06"/>
    <n v="0"/>
    <n v="0"/>
    <n v="0"/>
    <n v="0"/>
    <n v="0"/>
    <n v="0"/>
    <n v="0"/>
    <n v="0"/>
    <n v="36399.06"/>
    <s v="OK"/>
    <n v="36399.06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MANTENER LA EFICAZ OPERACIÓN DE LA INFRAESTRUCTURA BASE Y DE LA PLATAFORMA TECNOLÓGICA DEL SERVICIO INTEGRADO DE SEGURIDAD ECU 911 A NIVEL NACIONAL MEDIANTE LA PLANIFICACIÓN, IMPLEMENTACIÓN Y CONTROL, DE NORMAS, PROCESOS Y HERRAMIENTAS APLICADAS, DESARROLLANDO Y MEJORANDO LOS SERVICIOS CON RECURSOS Y COMPONENTES TECNOLÓGICOS."/>
    <s v="PLANTA_CENTRAL"/>
    <x v="9"/>
    <x v="12"/>
    <s v="TECNOLOGÍA"/>
    <s v="MANTENIMIENTO TECNOLÓGICO PREVENTIVO Y CORRECTIVO DE LOS 176 PUNTOS DE ALERTA TEMPRANA Y 6 CENTROS DE CONTROL DE LA FASE I y II, QUE FORMAN PARTE DEL SISTEMA NACIONAL DE ALERTA TEMPRANA FRENTE A EVENTOS ADVERSOS DE TSUNAMI Y DESBORDAMIENTO DE REPRESAS PARA LAS PROVINCIAS DE MANABÍ, ESMERALDAS, GUAYAS, SANTA ELENA, EL ORO, Y GALÁPAGOS."/>
    <n v="1"/>
    <x v="6"/>
    <n v="55"/>
    <n v="0"/>
    <n v="3"/>
    <n v="1701"/>
    <s v="QUITO"/>
    <n v="998"/>
    <n v="0"/>
    <n v="0"/>
    <s v="CORRIENTE"/>
    <x v="0"/>
    <n v="530813"/>
    <s v="REPUESTOS Y ACCESORIOS"/>
    <n v="0"/>
    <n v="39136.65"/>
    <n v="0"/>
    <n v="0"/>
    <n v="0"/>
    <n v="39136.65"/>
    <n v="0"/>
    <n v="0"/>
    <n v="0"/>
    <n v="0"/>
    <n v="0"/>
    <n v="0"/>
    <n v="0"/>
    <n v="0"/>
    <n v="39136.65"/>
    <s v="OK"/>
    <n v="39136.65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MANTENER LA EFICAZ OPERACIÓN DE LA INFRAESTRUCTURA BASE Y DE LA PLATAFORMA TECNOLÓGICA DEL SERVICIO INTEGRADO DE SEGURIDAD ECU 911 A NIVEL NACIONAL MEDIANTE LA PLANIFICACIÓN, IMPLEMENTACIÓN Y CONTROL, DE NORMAS, PROCESOS Y HERRAMIENTAS APLICADAS, DESARROLLANDO Y MEJORANDO LOS SERVICIOS CON RECURSOS Y COMPONENTES TECNOLÓGICOS."/>
    <s v="PLANTA_CENTRAL"/>
    <x v="9"/>
    <x v="12"/>
    <s v="TECNOLOGÍA"/>
    <s v="ADQUISICIÓN DE REPUESTOS PARA INFRAESTRUCTURA TECNOLÓGICA"/>
    <n v="1"/>
    <x v="6"/>
    <n v="55"/>
    <n v="0"/>
    <n v="3"/>
    <n v="1701"/>
    <s v="QUITO"/>
    <n v="1"/>
    <n v="0"/>
    <n v="0"/>
    <s v="CORRIENTE"/>
    <x v="0"/>
    <n v="530813"/>
    <s v="REPUESTOS Y ACCESORIOS"/>
    <n v="750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MANTENER LA EFICAZ OPERACIÓN DE LA INFRAESTRUCTURA BASE Y DE LA PLATAFORMA TECNOLÓGICA DEL SERVICIO INTEGRADO DE SEGURIDAD ECU 911 A NIVEL NACIONAL MEDIANTE LA PLANIFICACIÓN, IMPLEMENTACIÓN Y CONTROL, DE NORMAS, PROCESOS Y HERRAMIENTAS APLICADAS, DESARROLLANDO Y MEJORANDO LOS SERVICIOS CON RECURSOS Y COMPONENTES TECNOLÓGICOS."/>
    <s v="PLANTA_CENTRAL"/>
    <x v="9"/>
    <x v="12"/>
    <s v="TECNOLOGÍA"/>
    <s v="ADQUISICIÓN DE REPUESTOS PARA EL MCE (EQUIPO DE CONTROL DE GESTIÓN) DEL SISTEMA DE ALERTA TEMPRANA ANTE TSUNAMIS Y DESBORDAMIENTO DE RIOS Y REPRESAS DEL CENTRO OPERATIVO QUITO DEL SERVICIO INTEGRADO DE SEGURIDAD ECU 911"/>
    <n v="1"/>
    <x v="6"/>
    <n v="55"/>
    <n v="0"/>
    <n v="3"/>
    <n v="1701"/>
    <s v="QUITO"/>
    <n v="1"/>
    <n v="0"/>
    <n v="0"/>
    <s v="CORRIENTE"/>
    <x v="0"/>
    <n v="530813"/>
    <s v="REPUESTOS Y ACCESORIOS"/>
    <n v="0"/>
    <n v="5837.55"/>
    <n v="0"/>
    <n v="0"/>
    <n v="0"/>
    <n v="0"/>
    <n v="0"/>
    <n v="5837.55"/>
    <n v="0"/>
    <n v="0"/>
    <n v="0"/>
    <n v="0"/>
    <n v="0"/>
    <n v="0"/>
    <n v="5837.55"/>
    <s v="OK"/>
    <n v="5837.55"/>
    <n v="0"/>
    <s v="R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MANTENER LA EFICAZ OPERACIÓN DE LA INFRAESTRUCTURA BASE Y DE LA PLATAFORMA TECNOLÓGICA DEL SERVICIO INTEGRADO DE SEGURIDAD ECU 911 A NIVEL NACIONAL MEDIANTE LA PLANIFICACIÓN, IMPLEMENTACIÓN Y CONTROL, DE NORMAS, PROCESOS Y HERRAMIENTAS APLICADAS, DESARROLLANDO Y MEJORANDO LOS SERVICIOS CON RECURSOS Y COMPONENTES TECNOLÓGICOS."/>
    <s v="PLANTA_CENTRAL"/>
    <x v="9"/>
    <x v="12"/>
    <s v="TECNOLOGÍA"/>
    <s v="ADQUISICIÓN DE REPUESTOS Y ACCESORIOS PARA RADIOS APX 2000 DE LOS CENTROS ZONALES, LOCALES, SALAS DESCONCENTRADAS Y PLANTA CENTRAL DEL SERVICIO INTEGRADO DE SEGURIDAD ECU 911"/>
    <n v="1"/>
    <x v="6"/>
    <n v="55"/>
    <n v="0"/>
    <n v="3"/>
    <n v="1701"/>
    <s v="QUITO"/>
    <n v="1"/>
    <n v="0"/>
    <n v="0"/>
    <s v="CORRIENTE"/>
    <x v="0"/>
    <n v="530813"/>
    <s v="REPUESTOS Y ACCESORIOS"/>
    <n v="62500"/>
    <n v="50000"/>
    <n v="0"/>
    <n v="0"/>
    <n v="0"/>
    <n v="0"/>
    <n v="0"/>
    <n v="0"/>
    <n v="0"/>
    <n v="0"/>
    <n v="0"/>
    <n v="0"/>
    <n v="0"/>
    <n v="50000"/>
    <n v="50000"/>
    <s v="OK"/>
    <n v="0"/>
    <n v="50000"/>
    <s v="R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MANTENER LA EFICAZ OPERACIÓN DE LA INFRAESTRUCTURA BASE Y DE LA PLATAFORMA TECNOLÓGICA DEL SERVICIO INTEGRADO DE SEGURIDAD ECU 911 A NIVEL NACIONAL MEDIANTE LA PLANIFICACIÓN, IMPLEMENTACIÓN Y CONTROL, DE NORMAS, PROCESOS Y HERRAMIENTAS APLICADAS, DESARROLLANDO Y MEJORANDO LOS SERVICIOS CON RECURSOS Y COMPONENTES TECNOLÓGICOS."/>
    <s v="PLANTA_CENTRAL"/>
    <x v="9"/>
    <x v="12"/>
    <s v="TECNOLOGÍA"/>
    <s v="ADQUISICIÓN DE PARTES Y PIEZAS PARA REPOTENCIAR EL EQUIPO DE ALMACENAMIENTO Y ACCESOS A LA RED INALÁMBRICA"/>
    <n v="1"/>
    <x v="6"/>
    <n v="55"/>
    <n v="0"/>
    <n v="3"/>
    <n v="1701"/>
    <s v="QUITO"/>
    <n v="1"/>
    <n v="0"/>
    <n v="0"/>
    <s v="CORRIENTE"/>
    <x v="0"/>
    <n v="530813"/>
    <s v="REPUESTOS Y ACCESORIOS"/>
    <n v="7500"/>
    <n v="0"/>
    <n v="0"/>
    <n v="0"/>
    <n v="0"/>
    <n v="0"/>
    <n v="0"/>
    <n v="0"/>
    <n v="0"/>
    <n v="0"/>
    <n v="0"/>
    <n v="0"/>
    <n v="0"/>
    <n v="0"/>
    <n v="0"/>
    <s v="OK"/>
    <n v="0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MEJORA DE LOS SERVICIOS TECNOLÓGICOS DEL SIS ECU 911 MEDIANTE EL DESARROLLO DE PROYECTOS DE INNOVACIÓN Y DEMÁS INSTRUMENTOS RELATIVOS AL MEJORAMIENTO DE LA PRESTACIÓN DEL SERVICIO, FORTALECIMIENTO DE LA PLATAFORMA TECNOLÓGICA Y LA INCORPORACIÓN DE NUEVOS PRODUCTOS Y SERVICIOS PARA EL SIS ECU 911."/>
    <s v="COORDINACIÓN_ZONAL"/>
    <x v="11"/>
    <x v="5"/>
    <s v="TECNOLOGÍA"/>
    <s v="CONTRATACIÓN DEL SOSTENIMIENTO TECNOLÓGICO DE SITIOS DE VIDEO MONITOREO DE LA COORDINACIÓN ZONAL 2-9"/>
    <n v="1"/>
    <x v="6"/>
    <n v="55"/>
    <n v="0"/>
    <n v="3"/>
    <n v="1701"/>
    <s v="QUITO"/>
    <n v="1"/>
    <n v="0"/>
    <n v="0"/>
    <s v="CORRIENTE"/>
    <x v="0"/>
    <n v="530813"/>
    <s v="REPUESTOS Y ACCESORIOS"/>
    <n v="107145"/>
    <n v="66187.5"/>
    <n v="0"/>
    <n v="0"/>
    <n v="0"/>
    <n v="9643.1299999999992"/>
    <n v="9643.1299999999992"/>
    <n v="9643.1299999999992"/>
    <n v="7451.62"/>
    <n v="7451.62"/>
    <n v="7451.62"/>
    <n v="7451.62"/>
    <n v="7451.63"/>
    <n v="0"/>
    <n v="66187.500000000015"/>
    <s v="OK"/>
    <n v="37502.5"/>
    <n v="28685"/>
    <s v="R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MANTENER LA EFICAZ OPERACIÓN DE LA INFRAESTRUCTURA BASE Y DE LA PLATAFORMA TECNOLÓGICA DEL SERVICIO INTEGRADO DE SEGURIDAD ECU 911 A NIVEL NACIONAL MEDIANTE LA PLANIFICACIÓN, IMPLEMENTACIÓN Y CONTROL, DE NORMAS, PROCESOS Y HERRAMIENTAS APLICADAS, DESARROLLANDO Y MEJORANDO LOS SERVICIOS CON RECURSOS Y COMPONENTES TECNOLÓGICOS."/>
    <s v="COORDINACIÓN_ZONAL"/>
    <x v="11"/>
    <x v="5"/>
    <s v="TECNOLOGÍA"/>
    <s v="ADQUISICIÓN DE COMPONENTES, REPUESTOS Y ACCESORIOS PARA REPOTENCIAR LOS EQUIPOS ELECTRÓNICOS DE LA COORDINACIÓN ZONAL 2-9 Y PLANTA CENTRAL DEL SIS ECU911"/>
    <n v="1"/>
    <x v="6"/>
    <n v="55"/>
    <n v="0"/>
    <n v="3"/>
    <n v="1701"/>
    <s v="QUITO"/>
    <n v="1"/>
    <n v="0"/>
    <n v="0"/>
    <s v="CORRIENTE"/>
    <x v="0"/>
    <n v="530813"/>
    <s v="REPUESTOS Y ACCESORIOS"/>
    <n v="0"/>
    <n v="16325"/>
    <n v="0"/>
    <n v="0"/>
    <n v="0"/>
    <n v="0"/>
    <n v="0"/>
    <n v="0"/>
    <n v="0"/>
    <n v="0"/>
    <n v="0"/>
    <n v="0"/>
    <n v="16325"/>
    <n v="0"/>
    <n v="16325"/>
    <s v="OK"/>
    <n v="16242.13"/>
    <n v="82.8700000000008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MEJORA DE LOS SERVICIOS TECNOLÓGICOS DEL SIS ECU 911 MEDIANTE EL DESARROLLO DE PROYECTOS DE INNOVACIÓN Y DEMÁS INSTRUMENTOS RELATIVOS AL MEJORAMIENTO DE LA PRESTACIÓN DEL SERVICIO, FORTALECIMIENTO DE LA PLATAFORMA TECNOLÓGICA Y LA INCORPORACIÓN DE NUEVOS PRODUCTOS Y SERVICIOS PARA EL SIS ECU 911."/>
    <s v="PLANTA_CENTRAL"/>
    <x v="9"/>
    <x v="18"/>
    <s v="TECNOLOGÍA"/>
    <s v="CONTRATACIÓN DE SERVICIO DE MANTENIMIENTO CORRECTIVO DE LOS MICRÓFONOS CUELLO DE GANSO PARA LA SALA DE CRISIS NACIONAL DEL SERVICIO INTEGRADO DE SEGURIDAD ECU 911"/>
    <n v="1"/>
    <x v="6"/>
    <n v="55"/>
    <n v="0"/>
    <n v="3"/>
    <n v="1701"/>
    <s v="QUITO"/>
    <n v="1"/>
    <n v="0"/>
    <n v="0"/>
    <s v="CORRIENTE"/>
    <x v="0"/>
    <n v="530813"/>
    <s v="REPUESTOS Y ACCESORIOS"/>
    <n v="6600"/>
    <n v="6300"/>
    <n v="0"/>
    <n v="0"/>
    <n v="0"/>
    <n v="0"/>
    <n v="0"/>
    <n v="0"/>
    <n v="0"/>
    <n v="0"/>
    <n v="6300"/>
    <n v="0"/>
    <n v="0"/>
    <n v="0"/>
    <n v="6300"/>
    <s v="OK"/>
    <n v="5300"/>
    <n v="1000"/>
    <s v="R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MEJORA DE LOS SERVICIOS TECNOLÓGICOS DEL SIS ECU 911 MEDIANTE EL DESARROLLO DE PROYECTOS DE INNOVACIÓN Y DEMÁS INSTRUMENTOS RELATIVOS AL MEJORAMIENTO DE LA PRESTACIÓN DEL SERVICIO, FORTALECIMIENTO DE LA PLATAFORMA TECNOLÓGICA Y LA INCORPORACIÓN DE NUEVOS PRODUCTOS Y SERVICIOS PARA EL SIS ECU 911."/>
    <s v="PLANTA_CENTRAL"/>
    <x v="9"/>
    <x v="18"/>
    <s v="TECNOLOGÍA"/>
    <s v="ADQUISICIÓN DE PROYECTORES PARA LA SALA DE CRISIS Y SALA CAPACITACIÓN DEL CENTRO QUITO"/>
    <n v="1"/>
    <x v="6"/>
    <n v="55"/>
    <n v="0"/>
    <n v="3"/>
    <n v="1701"/>
    <s v="QUITO"/>
    <n v="1"/>
    <n v="0"/>
    <n v="0"/>
    <s v="CORRIENTE"/>
    <x v="0"/>
    <n v="530813"/>
    <s v="REPUESTOS Y ACCESORIOS"/>
    <n v="45000"/>
    <n v="0"/>
    <n v="0"/>
    <n v="0"/>
    <n v="0"/>
    <n v="0"/>
    <n v="0"/>
    <n v="0"/>
    <n v="0"/>
    <n v="0"/>
    <n v="0"/>
    <n v="0"/>
    <n v="0"/>
    <n v="0"/>
    <n v="0"/>
    <s v="OK"/>
    <n v="0"/>
    <n v="0"/>
    <s v="R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MEJORA DE LOS SERVICIOS TECNOLÓGICOS DEL SIS ECU 911 MEDIANTE EL DESARROLLO DE PROYECTOS DE INNOVACIÓN Y DEMÁS INSTRUMENTOS RELATIVOS AL MEJORAMIENTO DE LA PRESTACIÓN DEL SERVICIO, FORTALECIMIENTO DE LA PLATAFORMA TECNOLÓGICA Y LA INCORPORACIÓN DE NUEVOS PRODUCTOS Y SERVICIOS PARA EL SIS ECU 911."/>
    <s v="COORDINACIÓN_ZONAL"/>
    <x v="11"/>
    <x v="5"/>
    <s v="TECNOLOGÍA"/>
    <s v="ADQUISICIÓN DE COMPONENTES, REPUESTOS Y ACCESORIOS PARA REPOTENCIAR LOS EQUIPOS ELECTRÓNICOS DE LA COORDINACIÓN ZONAL 2-9 Y PLANTA CENTRAL DEL SIS ECU911"/>
    <n v="1"/>
    <x v="6"/>
    <n v="55"/>
    <n v="0"/>
    <n v="3"/>
    <n v="1701"/>
    <s v="QUITO"/>
    <n v="1"/>
    <n v="0"/>
    <n v="0"/>
    <s v="CORRIENTE"/>
    <x v="0"/>
    <n v="531406"/>
    <s v="HERRAMIENTAS Y EQUIPOS MENORES"/>
    <n v="0"/>
    <n v="50"/>
    <n v="0"/>
    <n v="0"/>
    <n v="0"/>
    <n v="0"/>
    <n v="0"/>
    <n v="0"/>
    <n v="0"/>
    <n v="0"/>
    <n v="0"/>
    <n v="0"/>
    <n v="50"/>
    <n v="0"/>
    <n v="50"/>
    <s v="OK"/>
    <n v="30"/>
    <n v="2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INCREMENTAR LA MEJORA DE LOS SERVICIOS TECNOLÓGICOS DEL SIS ECU 911 MEDIANTE EL DESARROLLO DE PROYECTOS DE INNOVACIÓN Y DEMÁS INSTRUMENTOS RELATIVOS AL MEJORAMIENTO DE LA PRESTACIÓN DEL SERVICIO, FORTALECIMIENTO DE LA PLATAFORMA TECNOLÓGICA Y LA INCORPORACIÓN DE NUEVOS PRODUCTOS Y SERVICIOS PARA EL SIS ECU 911."/>
    <s v="COORDINACIÓN_ZONAL"/>
    <x v="11"/>
    <x v="5"/>
    <s v="TECNOLOGÍA"/>
    <s v="ADQUISICIÓN DE COMPONENTES, REPUESTOS Y ACCESORIOS PARA REPOTENCIAR LOS EQUIPOS ELECTRÓNICOS DE LA COORDINACIÓN ZONAL 2-9 Y PLANTA CENTRAL DEL SIS ECU911"/>
    <n v="1"/>
    <x v="6"/>
    <n v="55"/>
    <n v="0"/>
    <n v="3"/>
    <n v="1701"/>
    <s v="QUITO"/>
    <n v="1"/>
    <n v="0"/>
    <n v="0"/>
    <s v="CORRIENTE"/>
    <x v="0"/>
    <n v="531407"/>
    <s v="EQUIPOS, SISTEMAS Y PAQUETES INFORMÁTICOS"/>
    <n v="0"/>
    <n v="3787.5"/>
    <n v="0"/>
    <n v="0"/>
    <n v="0"/>
    <n v="0"/>
    <n v="0"/>
    <n v="0"/>
    <n v="0"/>
    <n v="0"/>
    <n v="0"/>
    <n v="0"/>
    <n v="3787.5"/>
    <n v="0"/>
    <n v="3787.5"/>
    <s v="OK"/>
    <n v="3750"/>
    <n v="37.5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MANTENER LA EFICAZ OPERACIÓN DE LA INFRAESTRUCTURA BASE Y DE LA PLATAFORMA TECNOLÓGICA DEL SERVICIO INTEGRADO DE SEGURIDAD ECU 911 A NIVEL NACIONAL MEDIANTE LA PLANIFICACIÓN, IMPLEMENTACIÓN Y CONTROL, DE NORMAS, PROCESOS Y HERRAMIENTAS APLICADAS, DESARROLLANDO Y MEJORANDO LOS SERVICIOS CON RECURSOS Y COMPONENTES TECNOLÓGICOS."/>
    <s v="PLANTA_CENTRAL"/>
    <x v="9"/>
    <x v="12"/>
    <s v="TECNOLOGÍA"/>
    <s v="ADQUISICIÓN DE PANTALLAS PARA LOS VIDEOWALLS DE LOS CENTROS OPERATIVOS ZONALES, LOCALES Y SALAS DESCONCENTRADAS, E IMPLEMENTACIÓN DE DOS VIDEO WALLS PARA PLANTA CENTRAL DEL SERVICIO INTEGRADO DE SEGURIDAD ECU 911"/>
    <n v="1"/>
    <x v="6"/>
    <n v="55"/>
    <n v="0"/>
    <n v="3"/>
    <n v="1701"/>
    <s v="QUITO"/>
    <n v="1"/>
    <n v="0"/>
    <n v="0"/>
    <s v="CAPITAL"/>
    <x v="5"/>
    <n v="840104"/>
    <s v="MAQUINARIAS Y EQUIPOS"/>
    <n v="0"/>
    <n v="238895"/>
    <n v="0"/>
    <n v="0"/>
    <n v="0"/>
    <n v="0"/>
    <n v="0"/>
    <n v="0"/>
    <n v="0"/>
    <n v="0"/>
    <n v="0"/>
    <n v="0"/>
    <n v="0"/>
    <n v="238895"/>
    <n v="238895"/>
    <s v="OK"/>
    <n v="176643.6"/>
    <n v="62251.399999999994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MANTENER LA EFICAZ OPERACIÓN DE LA INFRAESTRUCTURA BASE Y DE LA PLATAFORMA TECNOLÓGICA DEL SERVICIO INTEGRADO DE SEGURIDAD ECU 911 A NIVEL NACIONAL MEDIANTE LA PLANIFICACIÓN, IMPLEMENTACIÓN Y CONTROL, DE NORMAS, PROCESOS Y HERRAMIENTAS APLICADAS, DESARROLLANDO Y MEJORANDO LOS SERVICIOS CON RECURSOS Y COMPONENTES TECNOLÓGICOS."/>
    <s v="PLANTA_CENTRAL"/>
    <x v="9"/>
    <x v="12"/>
    <s v="TECNOLOGÍA"/>
    <s v="ADQUISICIÓN DE EQUIPOS PORTÁTILES, DESKTOP E IMPRESORA PARA PLANTA CENTRAL Y LA COORDINACIÓN ZONAL 2-9 DEL SIS ECU 911"/>
    <n v="1"/>
    <x v="6"/>
    <n v="55"/>
    <n v="0"/>
    <n v="3"/>
    <n v="1701"/>
    <s v="QUITO"/>
    <n v="1"/>
    <n v="0"/>
    <n v="0"/>
    <s v="CAPITAL"/>
    <x v="5"/>
    <n v="840107"/>
    <s v="EQUIPOS SISTEMAS Y PAQUETES INFORMÁTICOS"/>
    <n v="0"/>
    <n v="124598"/>
    <n v="0"/>
    <n v="0"/>
    <n v="0"/>
    <n v="0"/>
    <n v="0"/>
    <n v="0"/>
    <n v="0"/>
    <n v="0"/>
    <n v="0"/>
    <n v="0"/>
    <n v="124598"/>
    <n v="0"/>
    <n v="124598"/>
    <s v="OK"/>
    <n v="124598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MANTENER LA EFICAZ OPERACIÓN DE LA INFRAESTRUCTURA BASE Y DE LA PLATAFORMA TECNOLÓGICA DEL SERVICIO INTEGRADO DE SEGURIDAD ECU 911 A NIVEL NACIONAL MEDIANTE LA PLANIFICACIÓN, IMPLEMENTACIÓN Y CONTROL, DE NORMAS, PROCESOS Y HERRAMIENTAS APLICADAS, DESARROLLANDO Y MEJORANDO LOS SERVICIOS CON RECURSOS Y COMPONENTES TECNOLÓGICOS."/>
    <s v="PLANTA_CENTRAL"/>
    <x v="9"/>
    <x v="12"/>
    <s v="TECNOLOGÍA"/>
    <s v="ADQUISICIÓN Y PUESTA EN MARCHA DE EQUIPOS DE ALMACENAMIENTO PARA REPOTENCIAR EL SISTEMA DE VIDEO VIGILANCIA IVS QUE ACTUALMENTE DISPONE EL SERVICIO INTEGRADO DE SEGURIDAD ECU 911 A NIVEL NACIONAL"/>
    <n v="1"/>
    <x v="6"/>
    <n v="55"/>
    <n v="0"/>
    <n v="3"/>
    <n v="1701"/>
    <s v="QUITO"/>
    <n v="1"/>
    <n v="0"/>
    <n v="0"/>
    <s v="CAPITAL"/>
    <x v="5"/>
    <n v="840107"/>
    <s v="EQUIPOS SISTEMAS Y PAQUETES INFORMÁTICOS"/>
    <n v="0"/>
    <n v="389229.32"/>
    <n v="0"/>
    <n v="0"/>
    <n v="0"/>
    <n v="0"/>
    <n v="0"/>
    <n v="0"/>
    <n v="0"/>
    <n v="0"/>
    <n v="0"/>
    <n v="0"/>
    <n v="0"/>
    <n v="389229.32"/>
    <n v="389229.32"/>
    <s v="OK"/>
    <n v="389229.32"/>
    <n v="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MANTENER LA EFICAZ OPERACIÓN DE LA INFRAESTRUCTURA BASE Y DE LA PLATAFORMA TECNOLÓGICA DEL SERVICIO INTEGRADO DE SEGURIDAD ECU 911 A NIVEL NACIONAL MEDIANTE LA PLANIFICACIÓN, IMPLEMENTACIÓN Y CONTROL, DE NORMAS, PROCESOS Y HERRAMIENTAS APLICADAS, DESARROLLANDO Y MEJORANDO LOS SERVICIOS CON RECURSOS Y COMPONENTES TECNOLÓGICOS."/>
    <s v="PLANTA_CENTRAL"/>
    <x v="9"/>
    <x v="18"/>
    <s v="TECNOLOGÍA"/>
    <s v="ADQUISICIÓN DE TRES SCANNER PARA DIGITALIZACIÓN DE DOCUMENTOS DEL SERVICIO INTEGRADO DE SEGURIDAD ECU 911"/>
    <n v="1"/>
    <x v="6"/>
    <n v="55"/>
    <n v="0"/>
    <n v="3"/>
    <n v="1701"/>
    <s v="QUITO"/>
    <n v="1"/>
    <n v="0"/>
    <n v="0"/>
    <s v="CAPITAL"/>
    <x v="5"/>
    <n v="840107"/>
    <s v="EQUIPOS SISTEMAS Y PAQUETES INFORMÁTICOS"/>
    <n v="0"/>
    <n v="4950"/>
    <n v="0"/>
    <n v="0"/>
    <n v="0"/>
    <n v="0"/>
    <n v="0"/>
    <n v="0"/>
    <n v="0"/>
    <n v="0"/>
    <n v="0"/>
    <n v="0"/>
    <n v="0"/>
    <n v="4950"/>
    <n v="4950"/>
    <s v="OK"/>
    <n v="0"/>
    <n v="495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MANTENER LA EFICAZ OPERACIÓN DE LA INFRAESTRUCTURA BASE Y DE LA PLATAFORMA TECNOLÓGICA DEL SERVICIO INTEGRADO DE SEGURIDAD ECU 911 A NIVEL NACIONAL MEDIANTE LA PLANIFICACIÓN, IMPLEMENTACIÓN Y CONTROL, DE NORMAS, PROCESOS Y HERRAMIENTAS APLICADAS, DESARROLLANDO Y MEJORANDO LOS SERVICIOS CON RECURSOS Y COMPONENTES TECNOLÓGICOS."/>
    <s v="PLANTA_CENTRAL"/>
    <x v="9"/>
    <x v="12"/>
    <s v="TECNOLOGÍA"/>
    <s v="ADQUISICIÓN DE UNA IMPRESORA PARA CREDENCIALES INSTITUCIONALES DE LOS SERVIDORES DEL SIS ECU 911"/>
    <n v="1"/>
    <x v="6"/>
    <n v="55"/>
    <n v="0"/>
    <n v="3"/>
    <n v="1701"/>
    <s v="QUITO"/>
    <n v="1"/>
    <n v="0"/>
    <n v="0"/>
    <s v="CAPITAL"/>
    <x v="5"/>
    <n v="840107"/>
    <s v="EQUIPOS SISTEMAS Y PAQUETES INFORMÁTICOS"/>
    <n v="0"/>
    <n v="1750"/>
    <n v="0"/>
    <n v="0"/>
    <n v="0"/>
    <n v="0"/>
    <n v="0"/>
    <n v="0"/>
    <n v="0"/>
    <n v="0"/>
    <n v="0"/>
    <n v="0"/>
    <n v="0"/>
    <n v="1750"/>
    <n v="1750"/>
    <s v="OK"/>
    <n v="0"/>
    <n v="175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MANTENER LA EFICAZ OPERACIÓN DE LA INFRAESTRUCTURA BASE Y DE LA PLATAFORMA TECNOLÓGICA DEL SERVICIO INTEGRADO DE SEGURIDAD ECU 911 A NIVEL NACIONAL MEDIANTE LA PLANIFICACIÓN, IMPLEMENTACIÓN Y CONTROL, DE NORMAS, PROCESOS Y HERRAMIENTAS APLICADAS, DESARROLLANDO Y MEJORANDO LOS SERVICIOS CON RECURSOS Y COMPONENTES TECNOLÓGICOS."/>
    <s v="COORDINACIÓN_ZONAL"/>
    <x v="11"/>
    <x v="5"/>
    <s v="TECNOLOGÍA"/>
    <s v="ADQUISICIÓN DE IMPRESORAS MULTIFUNCIONAL PARA PLANTA CENTRAL Y LA COORDINACIÓN ZONAL 2-9"/>
    <n v="1"/>
    <x v="6"/>
    <n v="55"/>
    <n v="0"/>
    <n v="3"/>
    <n v="1701"/>
    <s v="QUITO"/>
    <n v="1"/>
    <n v="0"/>
    <n v="0"/>
    <s v="CAPITAL"/>
    <x v="5"/>
    <n v="840107"/>
    <s v="EQUIPOS SISTEMAS Y PAQUETES INFORMÁTICOS"/>
    <n v="0"/>
    <n v="30830"/>
    <n v="0"/>
    <n v="0"/>
    <n v="0"/>
    <n v="0"/>
    <n v="0"/>
    <n v="0"/>
    <n v="0"/>
    <n v="0"/>
    <n v="0"/>
    <n v="0"/>
    <n v="0"/>
    <n v="30830"/>
    <n v="30830"/>
    <s v="OK"/>
    <n v="30829"/>
    <n v="1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MANTENER LA EFICAZ OPERACIÓN DE LA INFRAESTRUCTURA BASE Y DE LA PLATAFORMA TECNOLÓGICA DEL SERVICIO INTEGRADO DE SEGURIDAD ECU 911 A NIVEL NACIONAL MEDIANTE LA PLANIFICACIÓN, IMPLEMENTACIÓN Y CONTROL, DE NORMAS, PROCESOS Y HERRAMIENTAS APLICADAS, DESARROLLANDO Y MEJORANDO LOS SERVICIOS CON RECURSOS Y COMPONENTES TECNOLÓGICOS."/>
    <s v="COORDINACIÓN_ZONAL"/>
    <x v="11"/>
    <x v="5"/>
    <s v="TECNOLOGÍA"/>
    <s v="ADQUISICIÓN DE EQUIPOS TECNOLÓGICOS PARA GESTIONAR LOS PROCESOS DE COMUNICACIÓN OPERATIVA Y EVENTOS RELEVANTES DE LA SALA OPERATIVA Y SALAS DESCONCENTRADAS DE LA COORDINACIÓN ZONAL 2-9 DEL SERVICIO INTEGRADO DE SEGURIDAD ECU 911"/>
    <n v="1"/>
    <x v="6"/>
    <n v="55"/>
    <n v="0"/>
    <n v="3"/>
    <n v="1701"/>
    <s v="QUITO"/>
    <n v="1"/>
    <n v="0"/>
    <n v="0"/>
    <s v="CAPITAL"/>
    <x v="5"/>
    <n v="840107"/>
    <s v="EQUIPOS SISTEMAS Y PAQUETES INFORMÁTICOS"/>
    <n v="0"/>
    <n v="5550"/>
    <n v="0"/>
    <n v="0"/>
    <n v="0"/>
    <n v="0"/>
    <n v="0"/>
    <n v="0"/>
    <n v="0"/>
    <n v="0"/>
    <n v="0"/>
    <n v="0"/>
    <n v="0"/>
    <n v="5550"/>
    <n v="5550"/>
    <s v="OK"/>
    <n v="5520"/>
    <n v="30"/>
    <n v="0"/>
  </r>
  <r>
    <s v="OBJETIVO 9: GARANTIZAR LA SEGURIDAD CIUDADANA, ORDEN PÚBLICO Y GESTIÓN DE RIESGOS"/>
    <s v="9.3 MPULSAR LA REDUCCIÓN DE RIESGOS DE DESASTRES Y ATENCIÓN OPORTUNA A EMERGENCIAS ANTE AMENAZAS NATURALES O ANTRÓPICAS EN TODOS LOS SECTORES Y NIVELES TERRITORIALES"/>
    <s v="OE 1 INCREMENTAR LA CALIDAD EN LA PRESTACIÓN DEL SERVICIO DE ATENCIÓN DE EMERGENCIAS A NIVEL NACIONAL"/>
    <s v="MANTENER LA EFICAZ OPERACIÓN DE LA INFRAESTRUCTURA BASE Y DE LA PLATAFORMA TECNOLÓGICA DEL SERVICIO INTEGRADO DE SEGURIDAD ECU 911 A NIVEL NACIONAL MEDIANTE LA PLANIFICACIÓN, IMPLEMENTACIÓN Y CONTROL, DE NORMAS, PROCESOS Y HERRAMIENTAS APLICADAS, DESARROLLANDO Y MEJORANDO LOS SERVICIOS CON RECURSOS Y COMPONENTES TECNOLÓGICOS."/>
    <s v="COORDINACIÓN_ZONAL"/>
    <x v="11"/>
    <x v="5"/>
    <s v="TECNOLOGÍA"/>
    <s v="ADQUISICIÓN DE EQUIPO DE SEGURIDAD PERIMETRAL PARA LA COORDINACIÓN ZONAL 2-9 DEL SIS ECU 911"/>
    <n v="1"/>
    <x v="6"/>
    <n v="55"/>
    <n v="0"/>
    <n v="3"/>
    <n v="1701"/>
    <s v="QUITO"/>
    <n v="1"/>
    <n v="0"/>
    <n v="0"/>
    <s v="CAPITAL"/>
    <x v="5"/>
    <n v="840107"/>
    <s v="EQUIPOS SISTEMAS Y PAQUETES INFORMÁTICOS"/>
    <n v="0"/>
    <n v="4130.04"/>
    <n v="0"/>
    <n v="0"/>
    <n v="0"/>
    <n v="0"/>
    <n v="0"/>
    <n v="0"/>
    <n v="0"/>
    <n v="0"/>
    <n v="0"/>
    <n v="0"/>
    <n v="0"/>
    <n v="4130.04"/>
    <n v="4130.04"/>
    <s v="OK"/>
    <n v="0"/>
    <n v="4130.04"/>
    <n v="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000-000000000000}" name="TablaDinámica2" cacheId="0" applyNumberFormats="0" applyBorderFormats="0" applyFontFormats="0" applyPatternFormats="0" applyAlignmentFormats="0" applyWidthHeightFormats="1" dataCaption="Valores" updatedVersion="8" minRefreshableVersion="3" useAutoFormatting="1" itemPrintTitles="1" createdVersion="8" indent="0" outline="1" outlineData="1" multipleFieldFilters="0">
  <location ref="A3:B50" firstHeaderRow="1" firstDataRow="1" firstDataCol="1" rowPageCount="1" colPageCount="1"/>
  <pivotFields count="42">
    <pivotField showAll="0"/>
    <pivotField showAll="0"/>
    <pivotField showAll="0"/>
    <pivotField showAll="0"/>
    <pivotField showAll="0"/>
    <pivotField axis="axisRow" showAll="0">
      <items count="13">
        <item x="6"/>
        <item x="0"/>
        <item x="11"/>
        <item x="1"/>
        <item x="2"/>
        <item x="3"/>
        <item x="4"/>
        <item x="5"/>
        <item x="10"/>
        <item x="7"/>
        <item x="8"/>
        <item x="9"/>
        <item t="default"/>
      </items>
    </pivotField>
    <pivotField axis="axisRow" showAll="0">
      <items count="20">
        <item x="13"/>
        <item x="16"/>
        <item x="17"/>
        <item x="15"/>
        <item x="14"/>
        <item x="8"/>
        <item x="9"/>
        <item x="11"/>
        <item x="12"/>
        <item x="18"/>
        <item x="10"/>
        <item x="0"/>
        <item x="1"/>
        <item x="7"/>
        <item x="2"/>
        <item x="3"/>
        <item x="6"/>
        <item x="4"/>
        <item x="5"/>
        <item t="default"/>
      </items>
    </pivotField>
    <pivotField showAll="0"/>
    <pivotField showAll="0"/>
    <pivotField showAll="0"/>
    <pivotField axis="axisPage" multipleItemSelectionAllowed="1" showAll="0">
      <items count="8">
        <item h="1" x="0"/>
        <item h="1" x="1"/>
        <item h="1" x="2"/>
        <item h="1" x="3"/>
        <item h="1" x="4"/>
        <item h="1" x="5"/>
        <item x="6"/>
        <item t="default"/>
      </items>
    </pivotField>
    <pivotField numFmtId="166" showAll="0"/>
    <pivotField numFmtId="167" showAll="0"/>
    <pivotField showAll="0"/>
    <pivotField numFmtId="168" showAll="0"/>
    <pivotField showAll="0"/>
    <pivotField numFmtId="167" showAll="0"/>
    <pivotField numFmtId="168" showAll="0"/>
    <pivotField numFmtId="168" showAll="0"/>
    <pivotField showAll="0"/>
    <pivotField axis="axisRow" numFmtId="49" showAll="0">
      <items count="8">
        <item x="3"/>
        <item x="0"/>
        <item x="1"/>
        <item x="5"/>
        <item x="4"/>
        <item x="6"/>
        <item x="2"/>
        <item t="default"/>
      </items>
    </pivotField>
    <pivotField showAll="0"/>
    <pivotField showAll="0"/>
    <pivotField numFmtId="164" showAll="0"/>
    <pivotField dataField="1" numFmtId="164" showAll="0"/>
    <pivotField showAll="0"/>
    <pivotField showAll="0"/>
    <pivotField showAll="0"/>
    <pivotField showAll="0"/>
    <pivotField numFmtId="164" showAll="0"/>
    <pivotField showAll="0"/>
    <pivotField showAll="0"/>
    <pivotField showAll="0"/>
    <pivotField showAll="0"/>
    <pivotField showAll="0"/>
    <pivotField showAll="0"/>
    <pivotField showAll="0"/>
    <pivotField numFmtId="164" showAll="0"/>
    <pivotField showAll="0"/>
    <pivotField numFmtId="164" showAll="0"/>
    <pivotField numFmtId="164" showAll="0"/>
    <pivotField showAll="0"/>
  </pivotFields>
  <rowFields count="3">
    <field x="5"/>
    <field x="6"/>
    <field x="20"/>
  </rowFields>
  <rowItems count="47">
    <i>
      <x/>
    </i>
    <i r="1">
      <x/>
    </i>
    <i r="2">
      <x v="1"/>
    </i>
    <i r="2">
      <x v="2"/>
    </i>
    <i r="2">
      <x v="3"/>
    </i>
    <i r="2">
      <x v="4"/>
    </i>
    <i r="1">
      <x v="1"/>
    </i>
    <i r="2">
      <x v="1"/>
    </i>
    <i r="2">
      <x v="2"/>
    </i>
    <i r="1">
      <x v="5"/>
    </i>
    <i r="2">
      <x/>
    </i>
    <i r="2">
      <x v="1"/>
    </i>
    <i r="2">
      <x v="4"/>
    </i>
    <i>
      <x v="2"/>
    </i>
    <i r="1">
      <x v="17"/>
    </i>
    <i r="2">
      <x v="1"/>
    </i>
    <i r="1">
      <x v="18"/>
    </i>
    <i r="2">
      <x v="1"/>
    </i>
    <i r="2">
      <x v="3"/>
    </i>
    <i>
      <x v="8"/>
    </i>
    <i r="1">
      <x v="2"/>
    </i>
    <i r="2">
      <x v="1"/>
    </i>
    <i r="1">
      <x v="3"/>
    </i>
    <i r="2">
      <x v="1"/>
    </i>
    <i r="1">
      <x v="4"/>
    </i>
    <i r="2">
      <x v="1"/>
    </i>
    <i>
      <x v="9"/>
    </i>
    <i r="1">
      <x v="6"/>
    </i>
    <i r="2">
      <x/>
    </i>
    <i r="2">
      <x v="1"/>
    </i>
    <i r="1">
      <x v="10"/>
    </i>
    <i r="2">
      <x/>
    </i>
    <i r="2">
      <x v="1"/>
    </i>
    <i r="2">
      <x v="2"/>
    </i>
    <i>
      <x v="10"/>
    </i>
    <i r="1">
      <x v="7"/>
    </i>
    <i r="2">
      <x/>
    </i>
    <i r="2">
      <x v="1"/>
    </i>
    <i>
      <x v="11"/>
    </i>
    <i r="1">
      <x v="8"/>
    </i>
    <i r="2">
      <x/>
    </i>
    <i r="2">
      <x v="1"/>
    </i>
    <i r="2">
      <x v="3"/>
    </i>
    <i r="1">
      <x v="9"/>
    </i>
    <i r="2">
      <x v="1"/>
    </i>
    <i r="2">
      <x v="3"/>
    </i>
    <i t="grand">
      <x/>
    </i>
  </rowItems>
  <colItems count="1">
    <i/>
  </colItems>
  <pageFields count="1">
    <pageField fld="10" hier="-1"/>
  </pageFields>
  <dataFields count="1">
    <dataField name="Suma de PRESUPUESTO VIGENTE" fld="24" baseField="0" baseItem="0"/>
  </dataFields>
  <formats count="2">
    <format dxfId="99">
      <pivotArea outline="0" collapsedLevelsAreSubtotals="1" fieldPosition="0"/>
    </format>
    <format dxfId="98">
      <pivotArea dataOnly="0" labelOnly="1" outline="0" axis="axisValues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0000000}" name="Tabla6" displayName="Tabla6" ref="A8:AP1464" totalsRowShown="0" headerRowDxfId="97" dataDxfId="95" headerRowBorderDxfId="96" tableBorderDxfId="94" totalsRowBorderDxfId="93" headerRowCellStyle="Millares" dataCellStyle="Millares">
  <autoFilter ref="A8:AP1464" xr:uid="{00000000-0009-0000-0100-000006000000}"/>
  <tableColumns count="42">
    <tableColumn id="1" xr3:uid="{00000000-0010-0000-0000-000001000000}" name="OBJETIVOS PND" dataDxfId="92"/>
    <tableColumn id="2" xr3:uid="{00000000-0010-0000-0000-000002000000}" name="POLÍTICAS PND" dataDxfId="91">
      <calculatedColumnFormula>VLOOKUP(Tabla6[[#This Row],[OBJETIVOS PND]],Listas!$A$1:$B$3,2,0)</calculatedColumnFormula>
    </tableColumn>
    <tableColumn id="3" xr3:uid="{00000000-0010-0000-0000-000003000000}" name="OBJETIVOS ESTRATÉGICOS" dataDxfId="90"/>
    <tableColumn id="4" xr3:uid="{00000000-0010-0000-0000-000004000000}" name="OBJETIVOS OPERATIVOS" dataDxfId="89"/>
    <tableColumn id="5" xr3:uid="{00000000-0010-0000-0000-000005000000}" name="PLANTA CENTRAL / ZONAS" dataDxfId="88"/>
    <tableColumn id="6" xr3:uid="{00000000-0010-0000-0000-000006000000}" name="DIRECCIÓN GENERAL / COORDINACIÓN / SUBDIRECCIÓN" dataDxfId="87"/>
    <tableColumn id="7" xr3:uid="{00000000-0010-0000-0000-000007000000}" name="DIRECCIÓN" dataDxfId="86"/>
    <tableColumn id="8" xr3:uid="{00000000-0010-0000-0000-000008000000}" name="MACROACTIVIDAD" dataDxfId="85">
      <calculatedColumnFormula>VLOOKUP(Tabla6[[#This Row],[DIRECCIÓN]],DIRECCIÓN[#All],2,0)</calculatedColumnFormula>
    </tableColumn>
    <tableColumn id="9" xr3:uid="{00000000-0010-0000-0000-000009000000}" name="ACTIVIDAD PAPP" dataDxfId="84"/>
    <tableColumn id="10" xr3:uid="{00000000-0010-0000-0000-00000A000000}" name="PONDERACIÓN" dataDxfId="83"/>
    <tableColumn id="11" xr3:uid="{00000000-0010-0000-0000-00000B000000}" name="EOD" dataDxfId="82">
      <calculatedColumnFormula>VLOOKUP(Tabla6[[#This Row],[DIRECCIÓN GENERAL / COORDINACIÓN / SUBDIRECCIÓN]],Tabla37[[#All],[Columna1]:[EOD]],2,0)</calculatedColumnFormula>
    </tableColumn>
    <tableColumn id="12" xr3:uid="{00000000-0010-0000-0000-00000C000000}" name="PG" dataDxfId="81">
      <calculatedColumnFormula>VLOOKUP(Tabla6[[#This Row],[OBJETIVOS PND]],Listas!$A$1:$C$3,3,0)</calculatedColumnFormula>
    </tableColumn>
    <tableColumn id="13" xr3:uid="{00000000-0010-0000-0000-00000D000000}" name="PY" dataDxfId="80">
      <calculatedColumnFormula>VLOOKUP(Tabla6[[#This Row],[PG]],Listas2!$G$14:$K$16,5,0)</calculatedColumnFormula>
    </tableColumn>
    <tableColumn id="14" xr3:uid="{00000000-0010-0000-0000-00000E000000}" name="AC" dataDxfId="79"/>
    <tableColumn id="15" xr3:uid="{00000000-0010-0000-0000-00000F000000}" name="GEO" dataDxfId="78"/>
    <tableColumn id="16" xr3:uid="{00000000-0010-0000-0000-000010000000}" name="NOMBRE GEO" dataDxfId="77">
      <calculatedColumnFormula>VLOOKUP(Tabla6[[#This Row],[GEO]],Listas!$A$48:$B$77,2,0)</calculatedColumnFormula>
    </tableColumn>
    <tableColumn id="17" xr3:uid="{00000000-0010-0000-0000-000011000000}" name="FTE" dataDxfId="76">
      <calculatedColumnFormula>VLOOKUP(Tabla6[[#This Row],[PG]],Listas2!$G$14:$K$16,3,0)</calculatedColumnFormula>
    </tableColumn>
    <tableColumn id="18" xr3:uid="{00000000-0010-0000-0000-000012000000}" name="ORG" dataDxfId="75">
      <calculatedColumnFormula>VLOOKUP(Tabla6[[#This Row],[PG]],Listas2!H14:'Listas2'!$G$14:$K$16,4,0)</calculatedColumnFormula>
    </tableColumn>
    <tableColumn id="19" xr3:uid="{00000000-0010-0000-0000-000013000000}" name="COR" dataDxfId="74">
      <calculatedColumnFormula>VLOOKUP(Tabla6[[#This Row],[PG]],Listas2!$G$14:$K$16,2,0)</calculatedColumnFormula>
    </tableColumn>
    <tableColumn id="20" xr3:uid="{00000000-0010-0000-0000-000014000000}" name="TIPO DE GASTO" dataDxfId="73"/>
    <tableColumn id="21" xr3:uid="{00000000-0010-0000-0000-000015000000}" name="GG" dataDxfId="72"/>
    <tableColumn id="22" xr3:uid="{00000000-0010-0000-0000-000016000000}" name="ÍTEM PRESUPUESTARIO" dataDxfId="71"/>
    <tableColumn id="23" xr3:uid="{00000000-0010-0000-0000-000017000000}" name="DESCRIPCIÓN ÍTEM PRESUPUESTARIO" dataDxfId="70">
      <calculatedColumnFormula>VLOOKUP(Tabla6[[#This Row],[ÍTEM PRESUPUESTARIO]],Tabla2[#All],2,0)</calculatedColumnFormula>
    </tableColumn>
    <tableColumn id="24" xr3:uid="{00000000-0010-0000-0000-000018000000}" name="PRESUPUESTO INICIAL 2023" dataDxfId="69" dataCellStyle="Millares"/>
    <tableColumn id="25" xr3:uid="{00000000-0010-0000-0000-000019000000}" name="PRESUPUESTO VIGENTE" dataDxfId="68" dataCellStyle="Millares"/>
    <tableColumn id="26" xr3:uid="{00000000-0010-0000-0000-00001A000000}" name="ENE" dataDxfId="67" dataCellStyle="Millares"/>
    <tableColumn id="27" xr3:uid="{00000000-0010-0000-0000-00001B000000}" name="FEB" dataDxfId="66" dataCellStyle="Millares"/>
    <tableColumn id="28" xr3:uid="{00000000-0010-0000-0000-00001C000000}" name="MAR" dataDxfId="65" dataCellStyle="Millares"/>
    <tableColumn id="29" xr3:uid="{00000000-0010-0000-0000-00001D000000}" name="ABR" dataDxfId="64" dataCellStyle="Millares"/>
    <tableColumn id="30" xr3:uid="{00000000-0010-0000-0000-00001E000000}" name="MAY" dataDxfId="63" dataCellStyle="Millares"/>
    <tableColumn id="31" xr3:uid="{00000000-0010-0000-0000-00001F000000}" name="JUN" dataDxfId="62" dataCellStyle="Millares"/>
    <tableColumn id="32" xr3:uid="{00000000-0010-0000-0000-000020000000}" name="JUL" dataDxfId="61" dataCellStyle="Millares"/>
    <tableColumn id="33" xr3:uid="{00000000-0010-0000-0000-000021000000}" name="AGO" dataDxfId="60" dataCellStyle="Millares"/>
    <tableColumn id="34" xr3:uid="{00000000-0010-0000-0000-000022000000}" name="SEP" dataDxfId="59" dataCellStyle="Millares"/>
    <tableColumn id="35" xr3:uid="{00000000-0010-0000-0000-000023000000}" name="OCT" dataDxfId="58" dataCellStyle="Millares"/>
    <tableColumn id="36" xr3:uid="{00000000-0010-0000-0000-000024000000}" name="NOV" dataDxfId="57" dataCellStyle="Millares"/>
    <tableColumn id="37" xr3:uid="{00000000-0010-0000-0000-000025000000}" name="DIC" dataDxfId="56" dataCellStyle="Millares"/>
    <tableColumn id="38" xr3:uid="{00000000-0010-0000-0000-000026000000}" name="TOTAL PROGRAMADO" dataDxfId="55" dataCellStyle="Millares">
      <calculatedColumnFormula>+SUBTOTAL(9,Tabla6[[#This Row],[ENE]:[DIC]])</calculatedColumnFormula>
    </tableColumn>
    <tableColumn id="39" xr3:uid="{00000000-0010-0000-0000-000027000000}" name="REVISIÓN DE SUMAS" dataDxfId="54" dataCellStyle="Millares 2">
      <calculatedColumnFormula>IF(AL9=Y9,"OK",Y9-AL9)</calculatedColumnFormula>
    </tableColumn>
    <tableColumn id="44" xr3:uid="{00000000-0010-0000-0000-00002C000000}" name="CERTIFICACIÓN PAPP" dataDxfId="53" dataCellStyle="Millares"/>
    <tableColumn id="45" xr3:uid="{00000000-0010-0000-0000-00002D000000}" name="SALDO DSIPONIBLE" dataDxfId="52" dataCellStyle="Millares">
      <calculatedColumnFormula>+Tabla6[[#This Row],[PRESUPUESTO VIGENTE]]-Tabla6[[#This Row],[CERTIFICACIÓN PAPP]]</calculatedColumnFormula>
    </tableColumn>
    <tableColumn id="40" xr3:uid="{00000000-0010-0000-0000-000028000000}" name="REPROGRAMACIONES" dataDxfId="51" dataCellStyle="Millares"/>
  </tableColumns>
  <tableStyleInfo name="TableStyleLight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1000000}" name="Tabla1" displayName="Tabla1" ref="A1:A3" totalsRowShown="0" dataDxfId="50">
  <autoFilter ref="A1:A3" xr:uid="{00000000-0009-0000-0100-000001000000}"/>
  <tableColumns count="1">
    <tableColumn id="1" xr3:uid="{00000000-0010-0000-0100-000001000000}" name="OBJETIVOS" dataDxfId="49"/>
  </tableColumns>
  <tableStyleInfo name="TableStyleLight9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2000000}" name="Tabla9" displayName="Tabla9" ref="B1:B3" totalsRowShown="0">
  <autoFilter ref="B1:B3" xr:uid="{00000000-0009-0000-0100-000009000000}"/>
  <tableColumns count="1">
    <tableColumn id="1" xr3:uid="{00000000-0010-0000-0200-000001000000}" name="POLÍTICAS"/>
  </tableColumns>
  <tableStyleInfo name="TableStyleLight9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3000000}" name="Tabla11" displayName="Tabla11" ref="E1:E5" totalsRowShown="0" dataDxfId="48">
  <autoFilter ref="E1:E5" xr:uid="{00000000-0009-0000-0100-00000B000000}"/>
  <tableColumns count="1">
    <tableColumn id="1" xr3:uid="{00000000-0010-0000-0300-000001000000}" name="OBJETIVOS ESTRATÉGICOS" dataDxfId="47"/>
  </tableColumns>
  <tableStyleInfo name="TableStyleLight9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00000000-000C-0000-FFFF-FFFF04000000}" name="Tabla13" displayName="Tabla13" ref="I1:I3" totalsRowShown="0">
  <autoFilter ref="I1:I3" xr:uid="{00000000-0009-0000-0100-00000D000000}"/>
  <tableColumns count="1">
    <tableColumn id="1" xr3:uid="{00000000-0010-0000-0400-000001000000}" name="PLANTA"/>
  </tableColumns>
  <tableStyleInfo name="TableStyleLight9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00000000-000C-0000-FFFF-FFFF05000000}" name="DIRECCIÓN" displayName="DIRECCIÓN" ref="M1:N24" totalsRowShown="0" dataDxfId="46">
  <autoFilter ref="M1:N24" xr:uid="{00000000-0009-0000-0100-00000F000000}"/>
  <tableColumns count="2">
    <tableColumn id="1" xr3:uid="{00000000-0010-0000-0500-000001000000}" name="DIRECCIÓN" dataDxfId="45"/>
    <tableColumn id="2" xr3:uid="{00000000-0010-0000-0500-000002000000}" name="Columna1" dataDxfId="44"/>
  </tableColumns>
  <tableStyleInfo name="TableStyleLight9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" xr:uid="{00000000-000C-0000-FFFF-FFFF06000000}" name="SUBDIRECCIÓN" displayName="SUBDIRECCIÓN" ref="K1:K13" totalsRowShown="0">
  <autoFilter ref="K1:K13" xr:uid="{00000000-0009-0000-0100-000010000000}"/>
  <tableColumns count="1">
    <tableColumn id="1" xr3:uid="{00000000-0010-0000-0600-000001000000}" name="DIRECCIÓN GENERAL / COORDINACIÓN / SUBDIRECCIÓN"/>
  </tableColumns>
  <tableStyleInfo name="TableStyleLight9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7000000}" name="Tabla12" displayName="Tabla12" ref="G1:G18" totalsRowCount="1" dataDxfId="43" totalsRowDxfId="42" totalsRowBorderDxfId="41">
  <autoFilter ref="G1:G17" xr:uid="{00000000-0009-0000-0100-00000C000000}"/>
  <tableColumns count="1">
    <tableColumn id="1" xr3:uid="{00000000-0010-0000-0700-000001000000}" name="OBJETIVOS OPERATIVOS" totalsRowLabel="INCREMENTAR LA CALIDAD Y OPORTUNIDAD DE LA GENERACIÓN DE INFORMACIÓN ESTADÍSTICA MEDIANTE EL DESARROLLO Y MEJORA DE REPORTES ESTADÍSTICOS Y ESTUDIOS RELACIONADOS CON LOS HECHOS GENERADORES DE SITUACIONES DE EMERGENCIA PARA LA TOMA DE DECISIONES." dataDxfId="40" totalsRowDxfId="39"/>
  </tableColumns>
  <tableStyleInfo name="TableStyleLight9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8000000}" name="Tabla2" displayName="Tabla2" ref="Q1:R98" totalsRowShown="0">
  <autoFilter ref="Q1:R98" xr:uid="{00000000-0009-0000-0100-000002000000}"/>
  <tableColumns count="2">
    <tableColumn id="1" xr3:uid="{00000000-0010-0000-0800-000001000000}" name="ÍTEM PRESUPUESTARIO"/>
    <tableColumn id="2" xr3:uid="{00000000-0010-0000-0800-000002000000}" name="DESCRIPCIÓN ÍTEM PRESUPUESTARIO"/>
  </tableColumns>
  <tableStyleInfo name="TableStyleLight9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9000000}" name="Tabla3" displayName="Tabla3" ref="C28:C35" totalsRowShown="0">
  <autoFilter ref="C28:C35" xr:uid="{00000000-0009-0000-0100-000003000000}"/>
  <tableColumns count="1">
    <tableColumn id="1" xr3:uid="{00000000-0010-0000-0900-000001000000}" name="GG"/>
  </tableColumns>
  <tableStyleInfo name="TableStyleLight9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A000000}" name="Tabla4" displayName="Tabla4" ref="A28:B31" totalsRowShown="0" headerRowDxfId="38" dataDxfId="37">
  <autoFilter ref="A28:B31" xr:uid="{00000000-0009-0000-0100-000004000000}"/>
  <tableColumns count="2">
    <tableColumn id="1" xr3:uid="{00000000-0010-0000-0A00-000001000000}" name="TIPO DE GASTO" dataDxfId="36"/>
    <tableColumn id="2" xr3:uid="{00000000-0010-0000-0A00-000002000000}" name="Columna1" dataDxfId="35"/>
  </tableColumns>
  <tableStyleInfo name="TableStyleLight9"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0" xr:uid="{00000000-000C-0000-FFFF-FFFF0B000000}" name="Tabla20" displayName="Tabla20" ref="C1:C3" totalsRowShown="0">
  <autoFilter ref="C1:C3" xr:uid="{00000000-0009-0000-0100-000014000000}"/>
  <tableColumns count="1">
    <tableColumn id="1" xr3:uid="{00000000-0010-0000-0B00-000001000000}" name="PG"/>
  </tableColumns>
  <tableStyleInfo name="TableStyleLight9" showFirstColumn="0" showLastColumn="0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6" xr:uid="{00000000-000C-0000-FFFF-FFFF0C000000}" name="Tabla36" displayName="Tabla36" ref="D38:D41" totalsRowShown="0">
  <autoFilter ref="D38:D41" xr:uid="{00000000-0009-0000-0100-000024000000}"/>
  <tableColumns count="1">
    <tableColumn id="1" xr3:uid="{00000000-0010-0000-0C00-000001000000}" name="AC" dataDxfId="34"/>
  </tableColumns>
  <tableStyleInfo name="TableStyleLight9" showFirstColumn="0" showLastColumn="0" showRowStripes="1" showColumnStripes="0"/>
</table>
</file>

<file path=xl/tables/table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7" xr:uid="{00000000-000C-0000-FFFF-FFFF0D000000}" name="Tabla37" displayName="Tabla37" ref="A48:E82" totalsRowShown="0">
  <autoFilter ref="A48:E82" xr:uid="{00000000-0009-0000-0100-000025000000}"/>
  <tableColumns count="5">
    <tableColumn id="1" xr3:uid="{00000000-0010-0000-0D00-000001000000}" name="GEO"/>
    <tableColumn id="2" xr3:uid="{00000000-0010-0000-0D00-000002000000}" name="NOMBRE GEO"/>
    <tableColumn id="3" xr3:uid="{00000000-0010-0000-0D00-000003000000}" name="Columna1"/>
    <tableColumn id="4" xr3:uid="{00000000-0010-0000-0D00-000004000000}" name="EOD"/>
    <tableColumn id="5" xr3:uid="{00000000-0010-0000-0D00-000005000000}" name="Columna2"/>
  </tableColumns>
  <tableStyleInfo name="TableStyleLight9" showFirstColumn="0" showLastColumn="0" showRowStripes="1" showColumnStripes="0"/>
</table>
</file>

<file path=xl/tables/table1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00000000-000C-0000-FFFF-FFFF0E000000}" name="Tabla14" displayName="Tabla14" ref="A85:A90" totalsRowShown="0" headerRowDxfId="33" dataDxfId="32" tableBorderDxfId="31">
  <autoFilter ref="A85:A90" xr:uid="{00000000-0009-0000-0100-00000E000000}"/>
  <tableColumns count="1">
    <tableColumn id="1" xr3:uid="{00000000-0010-0000-0E00-000001000000}" name="266 0001" dataDxfId="30"/>
  </tableColumns>
  <tableStyleInfo name="TableStyleLight9" showFirstColumn="0" showLastColumn="0" showRowStripes="1" showColumnStripes="0"/>
</table>
</file>

<file path=xl/tables/table1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8" xr:uid="{00000000-000C-0000-FFFF-FFFF0F000000}" name="Tabla18" displayName="Tabla18" ref="B85:B89" totalsRowShown="0" headerRowDxfId="29" dataDxfId="28" tableBorderDxfId="27">
  <autoFilter ref="B85:B89" xr:uid="{00000000-0009-0000-0100-000012000000}"/>
  <tableColumns count="1">
    <tableColumn id="1" xr3:uid="{00000000-0010-0000-0F00-000001000000}" name="266 0003" dataDxfId="26"/>
  </tableColumns>
  <tableStyleInfo name="TableStyleLight9" showFirstColumn="0" showLastColumn="0" showRowStripes="1" showColumnStripes="0"/>
</table>
</file>

<file path=xl/tables/table1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9" xr:uid="{00000000-000C-0000-FFFF-FFFF10000000}" name="Tabla39" displayName="Tabla39" ref="C85:C89" totalsRowShown="0" headerRowDxfId="25" dataDxfId="24" tableBorderDxfId="23">
  <autoFilter ref="C85:C89" xr:uid="{00000000-0009-0000-0100-000027000000}"/>
  <tableColumns count="1">
    <tableColumn id="1" xr3:uid="{00000000-0010-0000-1000-000001000000}" name="266 0004" dataDxfId="22"/>
  </tableColumns>
  <tableStyleInfo name="TableStyleLight9" showFirstColumn="0" showLastColumn="0" showRowStripes="1" showColumnStripes="0"/>
</table>
</file>

<file path=xl/tables/table1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3" xr:uid="{00000000-000C-0000-FFFF-FFFF11000000}" name="Tabla43" displayName="Tabla43" ref="D85:D91" totalsRowShown="0" headerRowDxfId="21" dataDxfId="20" tableBorderDxfId="19">
  <autoFilter ref="D85:D91" xr:uid="{00000000-0009-0000-0100-00002B000000}"/>
  <tableColumns count="1">
    <tableColumn id="1" xr3:uid="{00000000-0010-0000-1100-000001000000}" name="266 0005" dataDxfId="18"/>
  </tableColumns>
  <tableStyleInfo name="TableStyleLight9" showFirstColumn="0" showLastColumn="0" showRowStripes="1" showColumnStripes="0"/>
</table>
</file>

<file path=xl/tables/table1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4" xr:uid="{00000000-000C-0000-FFFF-FFFF12000000}" name="Tabla44" displayName="Tabla44" ref="A93:A97" totalsRowShown="0" headerRowDxfId="17" dataDxfId="16" tableBorderDxfId="15">
  <autoFilter ref="A93:A97" xr:uid="{00000000-0009-0000-0100-00002C000000}"/>
  <tableColumns count="1">
    <tableColumn id="1" xr3:uid="{00000000-0010-0000-1200-000001000000}" name="266 0006" dataDxfId="14"/>
  </tableColumns>
  <tableStyleInfo name="TableStyleLight9" showFirstColumn="0" showLastColumn="0" showRowStripes="1" showColumnStripes="0"/>
</table>
</file>

<file path=xl/tables/table2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5" xr:uid="{00000000-000C-0000-FFFF-FFFF13000000}" name="Tabla45" displayName="Tabla45" ref="B93:B97" totalsRowShown="0" headerRowDxfId="13" dataDxfId="12" tableBorderDxfId="11">
  <autoFilter ref="B93:B97" xr:uid="{00000000-0009-0000-0100-00002D000000}"/>
  <tableColumns count="1">
    <tableColumn id="1" xr3:uid="{00000000-0010-0000-1300-000001000000}" name="266 0007" dataDxfId="10"/>
  </tableColumns>
  <tableStyleInfo name="TableStyleLight9" showFirstColumn="0" showLastColumn="0" showRowStripes="1" showColumnStripes="0"/>
</table>
</file>

<file path=xl/tables/table2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6" xr:uid="{00000000-000C-0000-FFFF-FFFF14000000}" name="Tabla46" displayName="Tabla46" ref="C93:C95" totalsRowShown="0" headerRowDxfId="9" dataDxfId="8" tableBorderDxfId="7">
  <autoFilter ref="C93:C95" xr:uid="{00000000-0009-0000-0100-00002E000000}"/>
  <tableColumns count="1">
    <tableColumn id="1" xr3:uid="{00000000-0010-0000-1400-000001000000}" name="266 9999" dataDxfId="6"/>
  </tableColumns>
  <tableStyleInfo name="TableStyleLight9" showFirstColumn="0" showLastColumn="0" showRowStripes="1" showColumnStripes="0"/>
</table>
</file>

<file path=xl/tables/table2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15000000}" name="Tabla5" displayName="Tabla5" ref="A1:A20" totalsRowShown="0">
  <autoFilter ref="A1:A20" xr:uid="{00000000-0009-0000-0100-000005000000}"/>
  <tableColumns count="1">
    <tableColumn id="1" xr3:uid="{00000000-0010-0000-1500-000001000000}" name="51"/>
  </tableColumns>
  <tableStyleInfo name="TableStyleLight9" showFirstColumn="0" showLastColumn="0" showRowStripes="1" showColumnStripes="0"/>
</table>
</file>

<file path=xl/tables/table2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16000000}" name="Tabla7" displayName="Tabla7" ref="C1:C60" totalsRowShown="0">
  <autoFilter ref="C1:C60" xr:uid="{00000000-0009-0000-0100-000007000000}"/>
  <tableColumns count="1">
    <tableColumn id="1" xr3:uid="{00000000-0010-0000-1600-000001000000}" name="53"/>
  </tableColumns>
  <tableStyleInfo name="TableStyleLight9" showFirstColumn="0" showLastColumn="0" showRowStripes="1" showColumnStripes="0"/>
</table>
</file>

<file path=xl/tables/table2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17000000}" name="Tabla8" displayName="Tabla8" ref="E1:E8" totalsRowShown="0">
  <autoFilter ref="E1:E8" xr:uid="{00000000-0009-0000-0100-000008000000}"/>
  <tableColumns count="1">
    <tableColumn id="1" xr3:uid="{00000000-0010-0000-1700-000001000000}" name="57"/>
  </tableColumns>
  <tableStyleInfo name="TableStyleLight9" showFirstColumn="0" showLastColumn="0" showRowStripes="1" showColumnStripes="0"/>
</table>
</file>

<file path=xl/tables/table2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00000000-000C-0000-FFFF-FFFF18000000}" name="Tabla10" displayName="Tabla10" ref="G1:G3" totalsRowShown="0">
  <autoFilter ref="G1:G3" xr:uid="{00000000-0009-0000-0100-00000A000000}"/>
  <tableColumns count="1">
    <tableColumn id="1" xr3:uid="{00000000-0010-0000-1800-000001000000}" name="99"/>
  </tableColumns>
  <tableStyleInfo name="TableStyleLight9" showFirstColumn="0" showLastColumn="0" showRowStripes="1" showColumnStripes="0"/>
</table>
</file>

<file path=xl/tables/table2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" xr:uid="{00000000-000C-0000-FFFF-FFFF19000000}" name="Tabla19" displayName="Tabla19" ref="I1:I6" totalsRowShown="0">
  <autoFilter ref="I1:I6" xr:uid="{00000000-0009-0000-0100-000013000000}"/>
  <tableColumns count="1">
    <tableColumn id="1" xr3:uid="{00000000-0010-0000-1900-000001000000}" name="PLANTA CENTRAL"/>
  </tableColumns>
  <tableStyleInfo name="TableStyleLight9" showFirstColumn="0" showLastColumn="0" showRowStripes="1" showColumnStripes="0"/>
</table>
</file>

<file path=xl/tables/table2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1" xr:uid="{00000000-000C-0000-FFFF-FFFF1A000000}" name="Tabla21" displayName="Tabla21" ref="K1:K8" totalsRowShown="0">
  <autoFilter ref="K1:K8" xr:uid="{00000000-0009-0000-0100-000015000000}"/>
  <tableColumns count="1">
    <tableColumn id="1" xr3:uid="{00000000-0010-0000-1A00-000001000000}" name="COORDINACIÓN ZONAL"/>
  </tableColumns>
  <tableStyleInfo name="TableStyleLight9" showFirstColumn="0" showLastColumn="0" showRowStripes="1" showColumnStripes="0"/>
</table>
</file>

<file path=xl/tables/table2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2" xr:uid="{00000000-000C-0000-FFFF-FFFF1B000000}" name="Tabla22" displayName="Tabla22" ref="M1:N4" totalsRowShown="0">
  <autoFilter ref="M1:N4" xr:uid="{00000000-0009-0000-0100-000016000000}"/>
  <tableColumns count="2">
    <tableColumn id="1" xr3:uid="{00000000-0010-0000-1B00-000001000000}" name="COORDINACIÓN GENERAL ADMINISTRATIVA FINANCIERA"/>
    <tableColumn id="3" xr3:uid="{00000000-0010-0000-1B00-000003000000}" name="PONDERACIÓN"/>
  </tableColumns>
  <tableStyleInfo name="TableStyleLight9" showFirstColumn="0" showLastColumn="0" showRowStripes="1" showColumnStripes="0"/>
</table>
</file>

<file path=xl/tables/table2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3" xr:uid="{00000000-000C-0000-FFFF-FFFF1C000000}" name="Tabla23" displayName="Tabla23" ref="O1:O4" totalsRowShown="0">
  <autoFilter ref="O1:O4" xr:uid="{00000000-0009-0000-0100-000017000000}"/>
  <tableColumns count="1">
    <tableColumn id="1" xr3:uid="{00000000-0010-0000-1C00-000001000000}" name="DIRECCIÓN GENERAL "/>
  </tableColumns>
  <tableStyleInfo name="TableStyleLight9" showFirstColumn="0" showLastColumn="0" showRowStripes="1" showColumnStripes="0"/>
</table>
</file>

<file path=xl/tables/table3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4" xr:uid="{00000000-000C-0000-FFFF-FFFF1D000000}" name="Tabla24" displayName="Tabla24" ref="Q1:Q3" totalsRowShown="0">
  <autoFilter ref="Q1:Q3" xr:uid="{00000000-0009-0000-0100-000018000000}"/>
  <tableColumns count="1">
    <tableColumn id="1" xr3:uid="{00000000-0010-0000-1D00-000001000000}" name="SUBDIRECCIÓN TÉCNICA DE DOCTRINA"/>
  </tableColumns>
  <tableStyleInfo name="TableStyleLight9" showFirstColumn="0" showLastColumn="0" showRowStripes="1" showColumnStripes="0"/>
</table>
</file>

<file path=xl/tables/table3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5" xr:uid="{00000000-000C-0000-FFFF-FFFF1E000000}" name="Tabla25" displayName="Tabla25" ref="S1:S3" totalsRowShown="0">
  <autoFilter ref="S1:S3" xr:uid="{00000000-0009-0000-0100-000019000000}"/>
  <tableColumns count="1">
    <tableColumn id="1" xr3:uid="{00000000-0010-0000-1E00-000001000000}" name="SUBDIRECCIÓN TÉCNICA DE OPERACIONES"/>
  </tableColumns>
  <tableStyleInfo name="TableStyleLight9" showFirstColumn="0" showLastColumn="0" showRowStripes="1" showColumnStripes="0"/>
</table>
</file>

<file path=xl/tables/table3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6" xr:uid="{00000000-000C-0000-FFFF-FFFF1F000000}" name="Tabla26" displayName="Tabla26" ref="U1:U3" totalsRowShown="0">
  <autoFilter ref="U1:U3" xr:uid="{00000000-0009-0000-0100-00001A000000}"/>
  <tableColumns count="1">
    <tableColumn id="1" xr3:uid="{00000000-0010-0000-1F00-000001000000}" name="SUBDIRECCIÓN TÉCNICA DE TECNOLOGÍA E INNOVACIÓN"/>
  </tableColumns>
  <tableStyleInfo name="TableStyleLight9" showFirstColumn="0" showLastColumn="0" showRowStripes="1" showColumnStripes="0"/>
</table>
</file>

<file path=xl/tables/table3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7" xr:uid="{00000000-000C-0000-FFFF-FFFF20000000}" name="Tabla27" displayName="Tabla27" ref="W1:W9" totalsRowShown="0">
  <autoFilter ref="W1:W9" xr:uid="{00000000-0009-0000-0100-00001B000000}"/>
  <tableColumns count="1">
    <tableColumn id="1" xr3:uid="{00000000-0010-0000-2000-000001000000}" name="COORDINACIÓN ZONAL 1"/>
  </tableColumns>
  <tableStyleInfo name="TableStyleLight9" showFirstColumn="0" showLastColumn="0" showRowStripes="1" showColumnStripes="0"/>
</table>
</file>

<file path=xl/tables/table3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8" xr:uid="{00000000-000C-0000-FFFF-FFFF21000000}" name="Tabla28" displayName="Tabla28" ref="Y1:Y3" totalsRowShown="0">
  <autoFilter ref="Y1:Y3" xr:uid="{00000000-0009-0000-0100-00001C000000}"/>
  <tableColumns count="1">
    <tableColumn id="1" xr3:uid="{00000000-0010-0000-2100-000001000000}" name="COORDINACIÓN ZONAL 2 - 9"/>
  </tableColumns>
  <tableStyleInfo name="TableStyleLight9" showFirstColumn="0" showLastColumn="0" showRowStripes="1" showColumnStripes="0"/>
</table>
</file>

<file path=xl/tables/table3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9" xr:uid="{00000000-000C-0000-FFFF-FFFF22000000}" name="Tabla29" displayName="Tabla29" ref="AA1:AA8" totalsRowShown="0">
  <autoFilter ref="AA1:AA8" xr:uid="{00000000-0009-0000-0100-00001D000000}"/>
  <tableColumns count="1">
    <tableColumn id="1" xr3:uid="{00000000-0010-0000-2200-000001000000}" name="COORDINACIÓN ZONAL 3"/>
  </tableColumns>
  <tableStyleInfo name="TableStyleLight9" showFirstColumn="0" showLastColumn="0" showRowStripes="1" showColumnStripes="0"/>
</table>
</file>

<file path=xl/tables/table3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0" xr:uid="{00000000-000C-0000-FFFF-FFFF23000000}" name="Tabla30" displayName="Tabla30" ref="AC1:AC9" totalsRowShown="0">
  <autoFilter ref="AC1:AC9" xr:uid="{00000000-0009-0000-0100-00001E000000}"/>
  <tableColumns count="1">
    <tableColumn id="1" xr3:uid="{00000000-0010-0000-2300-000001000000}" name="COORDINACIÓN ZONAL 4"/>
  </tableColumns>
  <tableStyleInfo name="TableStyleLight9" showFirstColumn="0" showLastColumn="0" showRowStripes="1" showColumnStripes="0"/>
</table>
</file>

<file path=xl/tables/table3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1" xr:uid="{00000000-000C-0000-FFFF-FFFF24000000}" name="Tabla31" displayName="Tabla31" ref="AE1:AE8" totalsRowShown="0">
  <autoFilter ref="AE1:AE8" xr:uid="{00000000-0009-0000-0100-00001F000000}"/>
  <tableColumns count="1">
    <tableColumn id="1" xr3:uid="{00000000-0010-0000-2400-000001000000}" name="COORDINACIÓN ZONAL 5 - 8"/>
  </tableColumns>
  <tableStyleInfo name="TableStyleLight9" showFirstColumn="0" showLastColumn="0" showRowStripes="1" showColumnStripes="0"/>
</table>
</file>

<file path=xl/tables/table3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2" xr:uid="{00000000-000C-0000-FFFF-FFFF25000000}" name="Tabla32" displayName="Tabla32" ref="AG1:AG9" totalsRowShown="0">
  <autoFilter ref="AG1:AG9" xr:uid="{00000000-0009-0000-0100-000020000000}"/>
  <tableColumns count="1">
    <tableColumn id="1" xr3:uid="{00000000-0010-0000-2500-000001000000}" name="COORDINACIÓN ZONAL 6"/>
  </tableColumns>
  <tableStyleInfo name="TableStyleLight9" showFirstColumn="0" showLastColumn="0" showRowStripes="1" showColumnStripes="0"/>
</table>
</file>

<file path=xl/tables/table3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3" xr:uid="{00000000-000C-0000-FFFF-FFFF26000000}" name="Tabla33" displayName="Tabla33" ref="AI1:AI10" totalsRowShown="0">
  <autoFilter ref="AI1:AI10" xr:uid="{00000000-0009-0000-0100-000021000000}"/>
  <tableColumns count="1">
    <tableColumn id="1" xr3:uid="{00000000-0010-0000-2600-000001000000}" name="COORDINACIÓN ZONAL 7"/>
  </tableColumns>
  <tableStyleInfo name="TableStyleLight9" showFirstColumn="0" showLastColumn="0" showRowStripes="1" showColumnStripes="0"/>
</table>
</file>

<file path=xl/tables/table4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4" xr:uid="{00000000-000C-0000-FFFF-FFFF27000000}" name="Tabla2035" displayName="Tabla2035" ref="G14:H16" totalsRowShown="0">
  <autoFilter ref="G14:H16" xr:uid="{00000000-0009-0000-0100-000022000000}"/>
  <tableColumns count="2">
    <tableColumn id="1" xr3:uid="{00000000-0010-0000-2700-000001000000}" name="PG"/>
    <tableColumn id="2" xr3:uid="{00000000-0010-0000-2700-000002000000}" name="COR"/>
  </tableColumns>
  <tableStyleInfo name="TableStyleLight9" showFirstColumn="0" showLastColumn="0" showRowStripes="1" showColumnStripes="0"/>
</table>
</file>

<file path=xl/tables/table4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5" xr:uid="{00000000-000C-0000-FFFF-FFFF28000000}" name="Tabla35" displayName="Tabla35" ref="K14:K15" totalsRowShown="0">
  <autoFilter ref="K14:K15" xr:uid="{00000000-0009-0000-0100-000023000000}"/>
  <tableColumns count="1">
    <tableColumn id="1" xr3:uid="{00000000-0010-0000-2800-000001000000}" name="PY" dataDxfId="5"/>
  </tableColumns>
  <tableStyleInfo name="TableStyleLight9" showFirstColumn="0" showLastColumn="0" showRowStripes="1" showColumnStripes="0"/>
</table>
</file>

<file path=xl/tables/table4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7" xr:uid="{00000000-000C-0000-FFFF-FFFF29000000}" name="Tabla47" displayName="Tabla47" ref="I14:I15" totalsRowShown="0">
  <autoFilter ref="I14:I15" xr:uid="{00000000-0009-0000-0100-00002F000000}"/>
  <tableColumns count="1">
    <tableColumn id="1" xr3:uid="{00000000-0010-0000-2900-000001000000}" name="FTE" dataDxfId="4"/>
  </tableColumns>
  <tableStyleInfo name="TableStyleLight9" showFirstColumn="0" showLastColumn="0" showRowStripes="1" showColumnStripes="0"/>
</table>
</file>

<file path=xl/tables/table4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8" xr:uid="{00000000-000C-0000-FFFF-FFFF2A000000}" name="Tabla48" displayName="Tabla48" ref="J14:J15" totalsRowShown="0">
  <autoFilter ref="J14:J15" xr:uid="{00000000-0009-0000-0100-000030000000}"/>
  <tableColumns count="1">
    <tableColumn id="1" xr3:uid="{00000000-0010-0000-2A00-000001000000}" name="ORG" dataDxfId="3"/>
  </tableColumns>
  <tableStyleInfo name="TableStyleLight9" showFirstColumn="0" showLastColumn="0" showRowStripes="1" showColumnStripes="0"/>
</table>
</file>

<file path=xl/tables/table4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9" xr:uid="{00000000-000C-0000-FFFF-FFFF2B000000}" name="Tabla49" displayName="Tabla49" ref="I20:I24" totalsRowShown="0">
  <autoFilter ref="I20:I24" xr:uid="{00000000-0009-0000-0100-000031000000}"/>
  <tableColumns count="1">
    <tableColumn id="1" xr3:uid="{00000000-0010-0000-2B00-000001000000}" name="73"/>
  </tableColumns>
  <tableStyleInfo name="TableStyleLight9" showFirstColumn="0" showLastColumn="0" showRowStripes="1" showColumnStripes="0"/>
</table>
</file>

<file path=xl/tables/table4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0" xr:uid="{00000000-000C-0000-FFFF-FFFF2C000000}" name="Tabla50" displayName="Tabla50" ref="M20:M24" totalsRowShown="0">
  <autoFilter ref="M20:M24" xr:uid="{00000000-0009-0000-0100-000032000000}"/>
  <tableColumns count="1">
    <tableColumn id="1" xr3:uid="{00000000-0010-0000-2C00-000001000000}" name="84"/>
  </tableColumns>
  <tableStyleInfo name="TableStyleLight9" showFirstColumn="0" showLastColumn="0" showRowStripes="1" showColumnStripes="0"/>
</table>
</file>

<file path=xl/tables/table4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1" xr:uid="{00000000-000C-0000-FFFF-FFFF2D000000}" name="Tabla51" displayName="Tabla51" ref="G20:G25" totalsRowShown="0">
  <autoFilter ref="G20:G25" xr:uid="{00000000-0009-0000-0100-000033000000}"/>
  <tableColumns count="1">
    <tableColumn id="1" xr3:uid="{00000000-0010-0000-2D00-000001000000}" name="CORRIENTE"/>
  </tableColumns>
  <tableStyleInfo name="TableStyleLight9" showFirstColumn="0" showLastColumn="0" showRowStripes="1" showColumnStripes="0"/>
</table>
</file>

<file path=xl/tables/table4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2" xr:uid="{00000000-000C-0000-FFFF-FFFF2E000000}" name="Tabla52" displayName="Tabla52" ref="H20:H22" totalsRowShown="0">
  <autoFilter ref="H20:H22" xr:uid="{00000000-0009-0000-0100-000034000000}"/>
  <tableColumns count="1">
    <tableColumn id="1" xr3:uid="{00000000-0010-0000-2E00-000001000000}" name="INVERSIÓN"/>
  </tableColumns>
  <tableStyleInfo name="TableStyleLight9" showFirstColumn="0" showLastColumn="0" showRowStripes="1" showColumnStripes="0"/>
</table>
</file>

<file path=xl/tables/table4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3" xr:uid="{00000000-000C-0000-FFFF-FFFF2F000000}" name="Tabla53" displayName="Tabla53" ref="F20:F21" totalsRowShown="0">
  <autoFilter ref="F20:F21" xr:uid="{00000000-0009-0000-0100-000035000000}"/>
  <tableColumns count="1">
    <tableColumn id="1" xr3:uid="{00000000-0010-0000-2F00-000001000000}" name="CAPITAL "/>
  </tableColumns>
  <tableStyleInfo name="TableStyleMedium2" showFirstColumn="0" showLastColumn="0" showRowStripes="1" showColumnStripes="0"/>
</table>
</file>

<file path=xl/tables/table4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" xr:uid="{00000000-000C-0000-FFFF-FFFF30000000}" name="Tabla17" displayName="Tabla17" ref="A2:B17" totalsRowShown="0">
  <autoFilter ref="A2:B17" xr:uid="{00000000-0009-0000-0100-000011000000}"/>
  <tableColumns count="2">
    <tableColumn id="1" xr3:uid="{00000000-0010-0000-3000-000001000000}" name="OBJETIVOS ESTRATÉGICOS" dataDxfId="2"/>
    <tableColumn id="2" xr3:uid="{00000000-0010-0000-3000-000002000000}" name="OBJETIVOS OPERATIVOS" dataDxfId="1"/>
  </tableColumns>
  <tableStyleInfo name="TableStyleLight9" showFirstColumn="0" showLastColumn="0" showRowStripes="1" showColumnStripes="0"/>
</table>
</file>

<file path=xl/tables/table5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8" xr:uid="{00000000-000C-0000-FFFF-FFFF31000000}" name="Tabla38" displayName="Tabla38" ref="D2:D4" totalsRowShown="0">
  <autoFilter ref="D2:D4" xr:uid="{00000000-0009-0000-0100-000026000000}"/>
  <tableColumns count="1">
    <tableColumn id="1" xr3:uid="{00000000-0010-0000-3100-000001000000}" name="OE 1 Incrementar la calidad en la prestación del servicio de atención de emergencias a nivel nacional"/>
  </tableColumns>
  <tableStyleInfo name="TableStyleLight9" showFirstColumn="0" showLastColumn="0" showRowStripes="1" showColumnStripes="0"/>
</table>
</file>

<file path=xl/tables/table5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0" xr:uid="{00000000-000C-0000-FFFF-FFFF32000000}" name="Tabla40" displayName="Tabla40" ref="G2:G5" totalsRowShown="0" headerRowDxfId="0">
  <autoFilter ref="G2:G5" xr:uid="{00000000-0009-0000-0100-000028000000}"/>
  <tableColumns count="1">
    <tableColumn id="1" xr3:uid="{00000000-0010-0000-3200-000001000000}" name="OE 1 Incrementar la calidad en la prestación del servicio de atención de emergencias a nivel nacional_x000a_OE 2 Incrementar la articulación interinstitucional en la prestación de servicios de atención de emergencias_x000a_OE 4 Fortalecer las capacidades instituciona"/>
  </tableColumns>
  <tableStyleInfo name="TableStyleLight9" showFirstColumn="0" showLastColumn="0" showRowStripes="1" showColumnStripes="0"/>
</table>
</file>

<file path=xl/tables/table5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1" xr:uid="{00000000-000C-0000-FFFF-FFFF33000000}" name="Tabla41" displayName="Tabla41" ref="K2:K7" totalsRowShown="0">
  <autoFilter ref="K2:K7" xr:uid="{00000000-0009-0000-0100-000029000000}"/>
  <tableColumns count="1">
    <tableColumn id="1" xr3:uid="{00000000-0010-0000-3300-000001000000}" name="OE 4 Fortalecer las capacidades institucionales (para la mejora continua del servicio)"/>
  </tableColumns>
  <tableStyleInfo name="TableStyleLight9" showFirstColumn="0" showLastColumn="0" showRowStripes="1" showColumnStripes="0"/>
</table>
</file>

<file path=xl/tables/table5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2" xr:uid="{00000000-000C-0000-FFFF-FFFF34000000}" name="Tabla42" displayName="Tabla42" ref="M2:M3" totalsRowShown="0">
  <autoFilter ref="M2:M3" xr:uid="{00000000-0009-0000-0100-00002A000000}"/>
  <tableColumns count="1">
    <tableColumn id="1" xr3:uid="{00000000-0010-0000-3400-000001000000}" name="OE 3 Incrementar el posicionamiento del Servicio Integrado de Seguridad ECU 911 a nivel nacional e internacional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omments" Target="../comments1.xml"/><Relationship Id="rId4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table" Target="../tables/table8.xml"/><Relationship Id="rId13" Type="http://schemas.openxmlformats.org/officeDocument/2006/relationships/table" Target="../tables/table13.xml"/><Relationship Id="rId18" Type="http://schemas.openxmlformats.org/officeDocument/2006/relationships/table" Target="../tables/table18.xml"/><Relationship Id="rId3" Type="http://schemas.openxmlformats.org/officeDocument/2006/relationships/table" Target="../tables/table3.xml"/><Relationship Id="rId21" Type="http://schemas.openxmlformats.org/officeDocument/2006/relationships/table" Target="../tables/table21.xml"/><Relationship Id="rId7" Type="http://schemas.openxmlformats.org/officeDocument/2006/relationships/table" Target="../tables/table7.xml"/><Relationship Id="rId12" Type="http://schemas.openxmlformats.org/officeDocument/2006/relationships/table" Target="../tables/table12.xml"/><Relationship Id="rId17" Type="http://schemas.openxmlformats.org/officeDocument/2006/relationships/table" Target="../tables/table17.xml"/><Relationship Id="rId2" Type="http://schemas.openxmlformats.org/officeDocument/2006/relationships/table" Target="../tables/table2.xml"/><Relationship Id="rId16" Type="http://schemas.openxmlformats.org/officeDocument/2006/relationships/table" Target="../tables/table16.xml"/><Relationship Id="rId20" Type="http://schemas.openxmlformats.org/officeDocument/2006/relationships/table" Target="../tables/table20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6.xml"/><Relationship Id="rId11" Type="http://schemas.openxmlformats.org/officeDocument/2006/relationships/table" Target="../tables/table11.xml"/><Relationship Id="rId5" Type="http://schemas.openxmlformats.org/officeDocument/2006/relationships/table" Target="../tables/table5.xml"/><Relationship Id="rId15" Type="http://schemas.openxmlformats.org/officeDocument/2006/relationships/table" Target="../tables/table15.xml"/><Relationship Id="rId10" Type="http://schemas.openxmlformats.org/officeDocument/2006/relationships/table" Target="../tables/table10.xml"/><Relationship Id="rId19" Type="http://schemas.openxmlformats.org/officeDocument/2006/relationships/table" Target="../tables/table19.xml"/><Relationship Id="rId4" Type="http://schemas.openxmlformats.org/officeDocument/2006/relationships/table" Target="../tables/table4.xml"/><Relationship Id="rId9" Type="http://schemas.openxmlformats.org/officeDocument/2006/relationships/table" Target="../tables/table9.xml"/><Relationship Id="rId14" Type="http://schemas.openxmlformats.org/officeDocument/2006/relationships/table" Target="../tables/table14.xm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table" Target="../tables/table29.xml"/><Relationship Id="rId13" Type="http://schemas.openxmlformats.org/officeDocument/2006/relationships/table" Target="../tables/table34.xml"/><Relationship Id="rId18" Type="http://schemas.openxmlformats.org/officeDocument/2006/relationships/table" Target="../tables/table39.xml"/><Relationship Id="rId26" Type="http://schemas.openxmlformats.org/officeDocument/2006/relationships/table" Target="../tables/table47.xml"/><Relationship Id="rId3" Type="http://schemas.openxmlformats.org/officeDocument/2006/relationships/table" Target="../tables/table24.xml"/><Relationship Id="rId21" Type="http://schemas.openxmlformats.org/officeDocument/2006/relationships/table" Target="../tables/table42.xml"/><Relationship Id="rId7" Type="http://schemas.openxmlformats.org/officeDocument/2006/relationships/table" Target="../tables/table28.xml"/><Relationship Id="rId12" Type="http://schemas.openxmlformats.org/officeDocument/2006/relationships/table" Target="../tables/table33.xml"/><Relationship Id="rId17" Type="http://schemas.openxmlformats.org/officeDocument/2006/relationships/table" Target="../tables/table38.xml"/><Relationship Id="rId25" Type="http://schemas.openxmlformats.org/officeDocument/2006/relationships/table" Target="../tables/table46.xml"/><Relationship Id="rId2" Type="http://schemas.openxmlformats.org/officeDocument/2006/relationships/table" Target="../tables/table23.xml"/><Relationship Id="rId16" Type="http://schemas.openxmlformats.org/officeDocument/2006/relationships/table" Target="../tables/table37.xml"/><Relationship Id="rId20" Type="http://schemas.openxmlformats.org/officeDocument/2006/relationships/table" Target="../tables/table41.xml"/><Relationship Id="rId1" Type="http://schemas.openxmlformats.org/officeDocument/2006/relationships/table" Target="../tables/table22.xml"/><Relationship Id="rId6" Type="http://schemas.openxmlformats.org/officeDocument/2006/relationships/table" Target="../tables/table27.xml"/><Relationship Id="rId11" Type="http://schemas.openxmlformats.org/officeDocument/2006/relationships/table" Target="../tables/table32.xml"/><Relationship Id="rId24" Type="http://schemas.openxmlformats.org/officeDocument/2006/relationships/table" Target="../tables/table45.xml"/><Relationship Id="rId5" Type="http://schemas.openxmlformats.org/officeDocument/2006/relationships/table" Target="../tables/table26.xml"/><Relationship Id="rId15" Type="http://schemas.openxmlformats.org/officeDocument/2006/relationships/table" Target="../tables/table36.xml"/><Relationship Id="rId23" Type="http://schemas.openxmlformats.org/officeDocument/2006/relationships/table" Target="../tables/table44.xml"/><Relationship Id="rId10" Type="http://schemas.openxmlformats.org/officeDocument/2006/relationships/table" Target="../tables/table31.xml"/><Relationship Id="rId19" Type="http://schemas.openxmlformats.org/officeDocument/2006/relationships/table" Target="../tables/table40.xml"/><Relationship Id="rId4" Type="http://schemas.openxmlformats.org/officeDocument/2006/relationships/table" Target="../tables/table25.xml"/><Relationship Id="rId9" Type="http://schemas.openxmlformats.org/officeDocument/2006/relationships/table" Target="../tables/table30.xml"/><Relationship Id="rId14" Type="http://schemas.openxmlformats.org/officeDocument/2006/relationships/table" Target="../tables/table35.xml"/><Relationship Id="rId22" Type="http://schemas.openxmlformats.org/officeDocument/2006/relationships/table" Target="../tables/table43.xml"/><Relationship Id="rId27" Type="http://schemas.openxmlformats.org/officeDocument/2006/relationships/table" Target="../tables/table48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table" Target="../tables/table51.xml"/><Relationship Id="rId2" Type="http://schemas.openxmlformats.org/officeDocument/2006/relationships/table" Target="../tables/table50.xml"/><Relationship Id="rId1" Type="http://schemas.openxmlformats.org/officeDocument/2006/relationships/table" Target="../tables/table49.xml"/><Relationship Id="rId5" Type="http://schemas.openxmlformats.org/officeDocument/2006/relationships/table" Target="../tables/table53.xml"/><Relationship Id="rId4" Type="http://schemas.openxmlformats.org/officeDocument/2006/relationships/table" Target="../tables/table5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0"/>
  <sheetViews>
    <sheetView topLeftCell="A12" zoomScale="80" zoomScaleNormal="80" workbookViewId="0">
      <selection activeCell="B53" sqref="B53"/>
    </sheetView>
  </sheetViews>
  <sheetFormatPr baseColWidth="10" defaultColWidth="11.42578125" defaultRowHeight="15" x14ac:dyDescent="0.25"/>
  <cols>
    <col min="1" max="1" width="66.140625" customWidth="1"/>
    <col min="2" max="2" width="30.28515625" style="51" bestFit="1" customWidth="1"/>
    <col min="4" max="4" width="13.7109375" customWidth="1"/>
  </cols>
  <sheetData>
    <row r="1" spans="1:2" x14ac:dyDescent="0.25">
      <c r="A1" s="50" t="s">
        <v>0</v>
      </c>
      <c r="B1" t="s">
        <v>1</v>
      </c>
    </row>
    <row r="3" spans="1:2" x14ac:dyDescent="0.25">
      <c r="A3" s="50" t="s">
        <v>2</v>
      </c>
      <c r="B3" s="51" t="s">
        <v>3</v>
      </c>
    </row>
    <row r="4" spans="1:2" x14ac:dyDescent="0.25">
      <c r="A4" s="52" t="s">
        <v>4</v>
      </c>
      <c r="B4" s="51">
        <v>4736086.8100000005</v>
      </c>
    </row>
    <row r="5" spans="1:2" x14ac:dyDescent="0.25">
      <c r="A5" s="82" t="s">
        <v>5</v>
      </c>
      <c r="B5" s="51">
        <v>2217485.62</v>
      </c>
    </row>
    <row r="6" spans="1:2" x14ac:dyDescent="0.25">
      <c r="A6" s="83">
        <v>53</v>
      </c>
      <c r="B6" s="51">
        <v>1055609.1600000001</v>
      </c>
    </row>
    <row r="7" spans="1:2" x14ac:dyDescent="0.25">
      <c r="A7" s="83">
        <v>57</v>
      </c>
      <c r="B7" s="51">
        <v>905108.64</v>
      </c>
    </row>
    <row r="8" spans="1:2" x14ac:dyDescent="0.25">
      <c r="A8" s="83">
        <v>84</v>
      </c>
      <c r="B8" s="51">
        <v>252680</v>
      </c>
    </row>
    <row r="9" spans="1:2" x14ac:dyDescent="0.25">
      <c r="A9" s="83">
        <v>99</v>
      </c>
      <c r="B9" s="51">
        <v>4087.82</v>
      </c>
    </row>
    <row r="10" spans="1:2" x14ac:dyDescent="0.25">
      <c r="A10" s="82" t="s">
        <v>6</v>
      </c>
      <c r="B10" s="51">
        <v>10841.99</v>
      </c>
    </row>
    <row r="11" spans="1:2" x14ac:dyDescent="0.25">
      <c r="A11" s="83">
        <v>53</v>
      </c>
      <c r="B11" s="51">
        <v>9963</v>
      </c>
    </row>
    <row r="12" spans="1:2" x14ac:dyDescent="0.25">
      <c r="A12" s="83">
        <v>57</v>
      </c>
      <c r="B12" s="51">
        <v>878.99</v>
      </c>
    </row>
    <row r="13" spans="1:2" x14ac:dyDescent="0.25">
      <c r="A13" s="82" t="s">
        <v>7</v>
      </c>
      <c r="B13" s="51">
        <v>2507759.1999999997</v>
      </c>
    </row>
    <row r="14" spans="1:2" x14ac:dyDescent="0.25">
      <c r="A14" s="83">
        <v>51</v>
      </c>
      <c r="B14" s="51">
        <v>2497730.34</v>
      </c>
    </row>
    <row r="15" spans="1:2" x14ac:dyDescent="0.25">
      <c r="A15" s="83">
        <v>53</v>
      </c>
      <c r="B15" s="51">
        <v>300</v>
      </c>
    </row>
    <row r="16" spans="1:2" x14ac:dyDescent="0.25">
      <c r="A16" s="83">
        <v>99</v>
      </c>
      <c r="B16" s="51">
        <v>9728.86</v>
      </c>
    </row>
    <row r="17" spans="1:4" x14ac:dyDescent="0.25">
      <c r="A17" s="52" t="s">
        <v>8</v>
      </c>
      <c r="B17" s="51">
        <v>585774.2300000001</v>
      </c>
    </row>
    <row r="18" spans="1:4" x14ac:dyDescent="0.25">
      <c r="A18" s="82" t="s">
        <v>9</v>
      </c>
      <c r="B18" s="51">
        <v>0</v>
      </c>
      <c r="D18" s="80"/>
    </row>
    <row r="19" spans="1:4" x14ac:dyDescent="0.25">
      <c r="A19" s="83">
        <v>53</v>
      </c>
      <c r="B19" s="51">
        <v>0</v>
      </c>
    </row>
    <row r="20" spans="1:4" x14ac:dyDescent="0.25">
      <c r="A20" s="82" t="s">
        <v>10</v>
      </c>
      <c r="B20" s="51">
        <v>585774.2300000001</v>
      </c>
    </row>
    <row r="21" spans="1:4" x14ac:dyDescent="0.25">
      <c r="A21" s="83">
        <v>53</v>
      </c>
      <c r="B21" s="51">
        <v>545264.19000000006</v>
      </c>
    </row>
    <row r="22" spans="1:4" x14ac:dyDescent="0.25">
      <c r="A22" s="83">
        <v>84</v>
      </c>
      <c r="B22" s="51">
        <v>40510.04</v>
      </c>
    </row>
    <row r="23" spans="1:4" x14ac:dyDescent="0.25">
      <c r="A23" s="52" t="s">
        <v>11</v>
      </c>
      <c r="B23" s="51">
        <v>20837.810000000001</v>
      </c>
    </row>
    <row r="24" spans="1:4" x14ac:dyDescent="0.25">
      <c r="A24" s="82" t="s">
        <v>12</v>
      </c>
      <c r="B24" s="51">
        <v>624.6</v>
      </c>
    </row>
    <row r="25" spans="1:4" x14ac:dyDescent="0.25">
      <c r="A25" s="83">
        <v>53</v>
      </c>
      <c r="B25" s="51">
        <v>624.6</v>
      </c>
    </row>
    <row r="26" spans="1:4" x14ac:dyDescent="0.25">
      <c r="A26" s="82" t="s">
        <v>13</v>
      </c>
      <c r="B26" s="51">
        <v>18014.740000000002</v>
      </c>
    </row>
    <row r="27" spans="1:4" x14ac:dyDescent="0.25">
      <c r="A27" s="83">
        <v>53</v>
      </c>
      <c r="B27" s="51">
        <v>18014.740000000002</v>
      </c>
    </row>
    <row r="28" spans="1:4" x14ac:dyDescent="0.25">
      <c r="A28" s="82" t="s">
        <v>14</v>
      </c>
      <c r="B28" s="51">
        <v>2198.4699999999998</v>
      </c>
    </row>
    <row r="29" spans="1:4" x14ac:dyDescent="0.25">
      <c r="A29" s="83">
        <v>53</v>
      </c>
      <c r="B29" s="51">
        <v>2198.4699999999998</v>
      </c>
    </row>
    <row r="30" spans="1:4" x14ac:dyDescent="0.25">
      <c r="A30" s="52" t="s">
        <v>15</v>
      </c>
      <c r="B30" s="51">
        <v>257901.78</v>
      </c>
    </row>
    <row r="31" spans="1:4" x14ac:dyDescent="0.25">
      <c r="A31" s="82" t="s">
        <v>16</v>
      </c>
      <c r="B31" s="51">
        <v>253309.78</v>
      </c>
    </row>
    <row r="32" spans="1:4" x14ac:dyDescent="0.25">
      <c r="A32" s="83">
        <v>51</v>
      </c>
      <c r="B32" s="51">
        <v>231210.29</v>
      </c>
    </row>
    <row r="33" spans="1:2" x14ac:dyDescent="0.25">
      <c r="A33" s="83">
        <v>53</v>
      </c>
      <c r="B33" s="51">
        <v>22099.489999999998</v>
      </c>
    </row>
    <row r="34" spans="1:2" x14ac:dyDescent="0.25">
      <c r="A34" s="82" t="s">
        <v>17</v>
      </c>
      <c r="B34" s="51">
        <v>4592</v>
      </c>
    </row>
    <row r="35" spans="1:2" x14ac:dyDescent="0.25">
      <c r="A35" s="83">
        <v>51</v>
      </c>
      <c r="B35" s="51">
        <v>2800</v>
      </c>
    </row>
    <row r="36" spans="1:2" x14ac:dyDescent="0.25">
      <c r="A36" s="83">
        <v>53</v>
      </c>
      <c r="B36" s="51">
        <v>1692</v>
      </c>
    </row>
    <row r="37" spans="1:2" x14ac:dyDescent="0.25">
      <c r="A37" s="83">
        <v>57</v>
      </c>
      <c r="B37" s="51">
        <v>100</v>
      </c>
    </row>
    <row r="38" spans="1:2" x14ac:dyDescent="0.25">
      <c r="A38" s="52" t="s">
        <v>18</v>
      </c>
      <c r="B38" s="51">
        <v>1935641.67</v>
      </c>
    </row>
    <row r="39" spans="1:2" x14ac:dyDescent="0.25">
      <c r="A39" s="82" t="s">
        <v>19</v>
      </c>
      <c r="B39" s="51">
        <v>1935641.67</v>
      </c>
    </row>
    <row r="40" spans="1:2" x14ac:dyDescent="0.25">
      <c r="A40" s="83">
        <v>51</v>
      </c>
      <c r="B40" s="51">
        <v>1927917.75</v>
      </c>
    </row>
    <row r="41" spans="1:2" x14ac:dyDescent="0.25">
      <c r="A41" s="83">
        <v>53</v>
      </c>
      <c r="B41" s="51">
        <v>7723.92</v>
      </c>
    </row>
    <row r="42" spans="1:2" x14ac:dyDescent="0.25">
      <c r="A42" s="52" t="s">
        <v>20</v>
      </c>
      <c r="B42" s="51">
        <v>2186712.34</v>
      </c>
    </row>
    <row r="43" spans="1:2" x14ac:dyDescent="0.25">
      <c r="A43" s="82" t="s">
        <v>21</v>
      </c>
      <c r="B43" s="51">
        <v>2130733.34</v>
      </c>
    </row>
    <row r="44" spans="1:2" x14ac:dyDescent="0.25">
      <c r="A44" s="83">
        <v>51</v>
      </c>
      <c r="B44" s="51">
        <v>421633.32999999996</v>
      </c>
    </row>
    <row r="45" spans="1:2" x14ac:dyDescent="0.25">
      <c r="A45" s="83">
        <v>53</v>
      </c>
      <c r="B45" s="51">
        <v>954627.68999999983</v>
      </c>
    </row>
    <row r="46" spans="1:2" x14ac:dyDescent="0.25">
      <c r="A46" s="83">
        <v>84</v>
      </c>
      <c r="B46" s="51">
        <v>754472.32000000007</v>
      </c>
    </row>
    <row r="47" spans="1:2" x14ac:dyDescent="0.25">
      <c r="A47" s="82" t="s">
        <v>22</v>
      </c>
      <c r="B47" s="51">
        <v>55979</v>
      </c>
    </row>
    <row r="48" spans="1:2" x14ac:dyDescent="0.25">
      <c r="A48" s="83">
        <v>53</v>
      </c>
      <c r="B48" s="51">
        <v>51029</v>
      </c>
    </row>
    <row r="49" spans="1:2" x14ac:dyDescent="0.25">
      <c r="A49" s="83">
        <v>84</v>
      </c>
      <c r="B49" s="51">
        <v>4950</v>
      </c>
    </row>
    <row r="50" spans="1:2" x14ac:dyDescent="0.25">
      <c r="A50" s="52" t="s">
        <v>23</v>
      </c>
      <c r="B50" s="51">
        <v>9722954.6400000006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1">
    <tabColor rgb="FF00B0F0"/>
    <pageSetUpPr fitToPage="1"/>
  </sheetPr>
  <dimension ref="A1:AS1487"/>
  <sheetViews>
    <sheetView showGridLines="0" tabSelected="1" topLeftCell="AB1" zoomScale="80" zoomScaleNormal="80" workbookViewId="0">
      <selection activeCell="AM1463" sqref="AM1463"/>
    </sheetView>
  </sheetViews>
  <sheetFormatPr baseColWidth="10" defaultColWidth="11.42578125" defaultRowHeight="11.25" x14ac:dyDescent="0.25"/>
  <cols>
    <col min="1" max="1" width="28.140625" style="5" customWidth="1"/>
    <col min="2" max="2" width="19.42578125" style="5" customWidth="1"/>
    <col min="3" max="3" width="27.28515625" style="5" customWidth="1"/>
    <col min="4" max="4" width="26.28515625" style="5" customWidth="1"/>
    <col min="5" max="5" width="19.7109375" style="5" customWidth="1"/>
    <col min="6" max="6" width="22.7109375" style="5" customWidth="1"/>
    <col min="7" max="7" width="18.7109375" style="5" customWidth="1"/>
    <col min="8" max="8" width="19.5703125" style="5" customWidth="1"/>
    <col min="9" max="9" width="33.42578125" style="5" customWidth="1"/>
    <col min="10" max="10" width="8.5703125" style="6" customWidth="1"/>
    <col min="11" max="11" width="9.42578125" style="6" customWidth="1"/>
    <col min="12" max="12" width="5.85546875" style="7" customWidth="1"/>
    <col min="13" max="13" width="5.5703125" style="8" customWidth="1"/>
    <col min="14" max="14" width="6.140625" style="8" customWidth="1"/>
    <col min="15" max="15" width="7.7109375" style="9" customWidth="1"/>
    <col min="16" max="16" width="9.5703125" style="9" customWidth="1"/>
    <col min="17" max="17" width="7.28515625" style="8" customWidth="1"/>
    <col min="18" max="18" width="6.28515625" style="9" customWidth="1"/>
    <col min="19" max="19" width="5.7109375" style="9" customWidth="1"/>
    <col min="20" max="20" width="12" style="6" customWidth="1"/>
    <col min="21" max="21" width="6.140625" style="10" customWidth="1"/>
    <col min="22" max="22" width="10.140625" style="6" customWidth="1"/>
    <col min="23" max="23" width="21.42578125" style="5" customWidth="1"/>
    <col min="24" max="25" width="17" style="11" customWidth="1"/>
    <col min="26" max="26" width="15.28515625" style="11" customWidth="1"/>
    <col min="27" max="37" width="15.28515625" style="12" customWidth="1"/>
    <col min="38" max="38" width="16.7109375" style="12" customWidth="1"/>
    <col min="39" max="39" width="17.28515625" style="12" customWidth="1"/>
    <col min="40" max="40" width="15.5703125" style="5" customWidth="1"/>
    <col min="41" max="41" width="16.140625" style="5" customWidth="1"/>
    <col min="42" max="42" width="14.140625" style="5" customWidth="1"/>
    <col min="43" max="16384" width="11.42578125" style="5"/>
  </cols>
  <sheetData>
    <row r="1" spans="1:42" ht="22.5" customHeight="1" x14ac:dyDescent="0.25">
      <c r="A1" s="100"/>
      <c r="B1" s="100"/>
      <c r="C1" s="100"/>
      <c r="D1" s="101" t="s">
        <v>24</v>
      </c>
      <c r="E1" s="101"/>
      <c r="F1" s="101"/>
      <c r="G1" s="101"/>
      <c r="H1" s="101"/>
      <c r="I1" s="101"/>
      <c r="J1" s="101"/>
      <c r="K1" s="101"/>
      <c r="L1" s="101"/>
      <c r="M1" s="101"/>
      <c r="N1" s="101"/>
      <c r="O1" s="101"/>
      <c r="P1" s="101"/>
      <c r="Q1" s="101"/>
      <c r="R1" s="101"/>
      <c r="S1" s="101"/>
      <c r="T1" s="101"/>
      <c r="U1" s="101"/>
      <c r="V1" s="101"/>
      <c r="W1" s="101"/>
      <c r="X1" s="101"/>
      <c r="Y1" s="101"/>
      <c r="Z1" s="101"/>
      <c r="AA1" s="101"/>
      <c r="AB1" s="101"/>
      <c r="AC1" s="101"/>
      <c r="AD1" s="101"/>
      <c r="AE1" s="101"/>
      <c r="AF1" s="101"/>
      <c r="AG1" s="101"/>
      <c r="AH1" s="101"/>
      <c r="AI1" s="101"/>
      <c r="AJ1" s="101"/>
      <c r="AK1" s="101"/>
      <c r="AL1" s="101"/>
      <c r="AM1" s="101"/>
      <c r="AN1" s="101"/>
    </row>
    <row r="2" spans="1:42" ht="22.5" customHeight="1" x14ac:dyDescent="0.25">
      <c r="A2" s="100"/>
      <c r="B2" s="100"/>
      <c r="C2" s="100"/>
      <c r="D2" s="101" t="s">
        <v>25</v>
      </c>
      <c r="E2" s="101"/>
      <c r="F2" s="101"/>
      <c r="G2" s="101"/>
      <c r="H2" s="101"/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/>
      <c r="AH2" s="101"/>
      <c r="AI2" s="101"/>
      <c r="AJ2" s="101"/>
      <c r="AK2" s="101"/>
      <c r="AL2" s="101"/>
      <c r="AM2" s="101"/>
      <c r="AN2" s="101"/>
    </row>
    <row r="3" spans="1:42" ht="22.5" customHeight="1" x14ac:dyDescent="0.25">
      <c r="A3" s="100"/>
      <c r="B3" s="100"/>
      <c r="C3" s="100"/>
      <c r="D3" s="101" t="s">
        <v>26</v>
      </c>
      <c r="E3" s="101"/>
      <c r="F3" s="101"/>
      <c r="G3" s="101"/>
      <c r="H3" s="101"/>
      <c r="I3" s="101"/>
      <c r="J3" s="101"/>
      <c r="K3" s="101"/>
      <c r="L3" s="101"/>
      <c r="M3" s="101"/>
      <c r="N3" s="101"/>
      <c r="O3" s="101"/>
      <c r="P3" s="101"/>
      <c r="Q3" s="101"/>
      <c r="R3" s="101"/>
      <c r="S3" s="101"/>
      <c r="T3" s="101"/>
      <c r="U3" s="101"/>
      <c r="V3" s="101"/>
      <c r="W3" s="101"/>
      <c r="X3" s="101"/>
      <c r="Y3" s="101"/>
      <c r="Z3" s="101"/>
      <c r="AA3" s="101"/>
      <c r="AB3" s="101"/>
      <c r="AC3" s="101"/>
      <c r="AD3" s="101"/>
      <c r="AE3" s="101"/>
      <c r="AF3" s="101"/>
      <c r="AG3" s="101"/>
      <c r="AH3" s="101"/>
      <c r="AI3" s="101"/>
      <c r="AJ3" s="101"/>
      <c r="AK3" s="101"/>
      <c r="AL3" s="101"/>
      <c r="AM3" s="101"/>
      <c r="AN3" s="101"/>
    </row>
    <row r="4" spans="1:42" ht="22.5" customHeight="1" x14ac:dyDescent="0.25">
      <c r="A4" s="100"/>
      <c r="B4" s="100"/>
      <c r="C4" s="100"/>
      <c r="D4" s="101" t="s">
        <v>27</v>
      </c>
      <c r="E4" s="101"/>
      <c r="F4" s="101"/>
      <c r="G4" s="101"/>
      <c r="H4" s="101"/>
      <c r="I4" s="101"/>
      <c r="J4" s="101"/>
      <c r="K4" s="101"/>
      <c r="L4" s="101"/>
      <c r="M4" s="101"/>
      <c r="N4" s="101"/>
      <c r="O4" s="101"/>
      <c r="P4" s="101"/>
      <c r="Q4" s="101"/>
      <c r="R4" s="101"/>
      <c r="S4" s="101"/>
      <c r="T4" s="101"/>
      <c r="U4" s="101"/>
      <c r="V4" s="101" t="s">
        <v>28</v>
      </c>
      <c r="W4" s="101"/>
      <c r="X4" s="101"/>
      <c r="Y4" s="101"/>
      <c r="Z4" s="101"/>
      <c r="AA4" s="101"/>
      <c r="AB4" s="101"/>
      <c r="AC4" s="101"/>
      <c r="AD4" s="101"/>
      <c r="AE4" s="101"/>
      <c r="AF4" s="101"/>
      <c r="AG4" s="101"/>
      <c r="AH4" s="101"/>
      <c r="AI4" s="101"/>
      <c r="AJ4" s="101"/>
      <c r="AK4" s="101"/>
      <c r="AL4" s="101"/>
      <c r="AM4" s="101"/>
      <c r="AN4" s="101"/>
    </row>
    <row r="5" spans="1:42" ht="22.5" customHeight="1" x14ac:dyDescent="0.25">
      <c r="A5" s="100"/>
      <c r="B5" s="100"/>
      <c r="C5" s="100"/>
      <c r="D5" s="101" t="s">
        <v>29</v>
      </c>
      <c r="E5" s="101"/>
      <c r="F5" s="101"/>
      <c r="G5" s="101"/>
      <c r="H5" s="101"/>
      <c r="I5" s="101"/>
      <c r="J5" s="101"/>
      <c r="K5" s="101"/>
      <c r="L5" s="101"/>
      <c r="M5" s="101"/>
      <c r="N5" s="101"/>
      <c r="O5" s="101"/>
      <c r="P5" s="101"/>
      <c r="Q5" s="101"/>
      <c r="R5" s="101"/>
      <c r="S5" s="101"/>
      <c r="T5" s="101"/>
      <c r="U5" s="101"/>
      <c r="V5" s="84" t="s">
        <v>30</v>
      </c>
      <c r="W5" s="84"/>
      <c r="X5" s="84"/>
      <c r="Y5" s="84"/>
      <c r="Z5" s="84"/>
      <c r="AA5" s="84"/>
      <c r="AB5" s="84"/>
      <c r="AC5" s="84"/>
      <c r="AD5" s="84"/>
      <c r="AE5" s="84"/>
      <c r="AF5" s="84"/>
      <c r="AG5" s="84"/>
      <c r="AH5" s="84"/>
      <c r="AI5" s="84"/>
      <c r="AJ5" s="84"/>
      <c r="AK5" s="84"/>
      <c r="AL5" s="84"/>
      <c r="AM5" s="84"/>
      <c r="AN5" s="84"/>
    </row>
    <row r="6" spans="1:42" s="4" customFormat="1" ht="26.25" customHeight="1" x14ac:dyDescent="0.4">
      <c r="A6" s="85" t="s">
        <v>31</v>
      </c>
      <c r="B6" s="85"/>
      <c r="C6" s="85"/>
      <c r="D6" s="85"/>
      <c r="E6" s="85"/>
      <c r="F6" s="85"/>
      <c r="G6" s="85"/>
      <c r="H6" s="85"/>
      <c r="I6" s="85"/>
      <c r="J6" s="85"/>
      <c r="K6" s="85"/>
      <c r="L6" s="85"/>
      <c r="M6" s="85"/>
      <c r="N6" s="85"/>
      <c r="O6" s="85"/>
      <c r="P6" s="85"/>
      <c r="Q6" s="85"/>
      <c r="R6" s="85"/>
      <c r="S6" s="85"/>
      <c r="T6" s="85"/>
      <c r="U6" s="85"/>
      <c r="V6" s="85"/>
      <c r="W6" s="85"/>
      <c r="X6" s="85"/>
      <c r="Y6" s="85"/>
      <c r="Z6" s="85"/>
      <c r="AA6" s="85"/>
      <c r="AB6" s="85"/>
      <c r="AC6" s="85"/>
      <c r="AD6" s="85"/>
      <c r="AE6" s="85"/>
      <c r="AF6" s="85"/>
      <c r="AG6" s="85"/>
      <c r="AH6" s="85"/>
      <c r="AI6" s="85"/>
      <c r="AJ6" s="85"/>
      <c r="AK6" s="85"/>
      <c r="AL6" s="85"/>
      <c r="AM6" s="85"/>
      <c r="AN6" s="85"/>
    </row>
    <row r="7" spans="1:42" s="31" customFormat="1" ht="24.95" customHeight="1" x14ac:dyDescent="0.25">
      <c r="A7" s="92" t="s">
        <v>32</v>
      </c>
      <c r="B7" s="93"/>
      <c r="C7" s="93"/>
      <c r="D7" s="93"/>
      <c r="E7" s="94" t="s">
        <v>33</v>
      </c>
      <c r="F7" s="94"/>
      <c r="G7" s="95"/>
      <c r="H7" s="96" t="s">
        <v>34</v>
      </c>
      <c r="I7" s="97"/>
      <c r="J7" s="97"/>
      <c r="K7" s="98" t="s">
        <v>35</v>
      </c>
      <c r="L7" s="98"/>
      <c r="M7" s="98"/>
      <c r="N7" s="98"/>
      <c r="O7" s="98"/>
      <c r="P7" s="98"/>
      <c r="Q7" s="98"/>
      <c r="R7" s="98"/>
      <c r="S7" s="98"/>
      <c r="T7" s="98"/>
      <c r="U7" s="98"/>
      <c r="V7" s="98"/>
      <c r="W7" s="99"/>
      <c r="X7" s="89" t="s">
        <v>36</v>
      </c>
      <c r="Y7" s="90"/>
      <c r="Z7" s="90"/>
      <c r="AA7" s="90"/>
      <c r="AB7" s="90"/>
      <c r="AC7" s="90"/>
      <c r="AD7" s="90"/>
      <c r="AE7" s="90"/>
      <c r="AF7" s="90"/>
      <c r="AG7" s="90"/>
      <c r="AH7" s="90"/>
      <c r="AI7" s="90"/>
      <c r="AJ7" s="90"/>
      <c r="AK7" s="90"/>
      <c r="AL7" s="90"/>
      <c r="AM7" s="90"/>
      <c r="AN7" s="91"/>
    </row>
    <row r="8" spans="1:42" s="31" customFormat="1" ht="30.75" customHeight="1" x14ac:dyDescent="0.25">
      <c r="A8" s="32" t="s">
        <v>37</v>
      </c>
      <c r="B8" s="33" t="s">
        <v>38</v>
      </c>
      <c r="C8" s="33" t="s">
        <v>39</v>
      </c>
      <c r="D8" s="33" t="s">
        <v>40</v>
      </c>
      <c r="E8" s="34" t="s">
        <v>41</v>
      </c>
      <c r="F8" s="34" t="s">
        <v>42</v>
      </c>
      <c r="G8" s="34" t="s">
        <v>43</v>
      </c>
      <c r="H8" s="35" t="s">
        <v>44</v>
      </c>
      <c r="I8" s="35" t="s">
        <v>45</v>
      </c>
      <c r="J8" s="35" t="s">
        <v>46</v>
      </c>
      <c r="K8" s="36" t="s">
        <v>0</v>
      </c>
      <c r="L8" s="37" t="s">
        <v>47</v>
      </c>
      <c r="M8" s="38" t="s">
        <v>48</v>
      </c>
      <c r="N8" s="38" t="s">
        <v>49</v>
      </c>
      <c r="O8" s="39" t="s">
        <v>50</v>
      </c>
      <c r="P8" s="39" t="s">
        <v>51</v>
      </c>
      <c r="Q8" s="38" t="s">
        <v>52</v>
      </c>
      <c r="R8" s="40" t="s">
        <v>53</v>
      </c>
      <c r="S8" s="40" t="s">
        <v>54</v>
      </c>
      <c r="T8" s="36" t="s">
        <v>55</v>
      </c>
      <c r="U8" s="41" t="s">
        <v>56</v>
      </c>
      <c r="V8" s="42" t="s">
        <v>57</v>
      </c>
      <c r="W8" s="42" t="s">
        <v>58</v>
      </c>
      <c r="X8" s="43" t="s">
        <v>59</v>
      </c>
      <c r="Y8" s="44" t="s">
        <v>60</v>
      </c>
      <c r="Z8" s="46" t="s">
        <v>61</v>
      </c>
      <c r="AA8" s="46" t="s">
        <v>62</v>
      </c>
      <c r="AB8" s="46" t="s">
        <v>63</v>
      </c>
      <c r="AC8" s="46" t="s">
        <v>64</v>
      </c>
      <c r="AD8" s="46" t="s">
        <v>65</v>
      </c>
      <c r="AE8" s="46" t="s">
        <v>66</v>
      </c>
      <c r="AF8" s="46" t="s">
        <v>67</v>
      </c>
      <c r="AG8" s="46" t="s">
        <v>68</v>
      </c>
      <c r="AH8" s="46" t="s">
        <v>69</v>
      </c>
      <c r="AI8" s="46" t="s">
        <v>70</v>
      </c>
      <c r="AJ8" s="46" t="s">
        <v>71</v>
      </c>
      <c r="AK8" s="46" t="s">
        <v>72</v>
      </c>
      <c r="AL8" s="43" t="s">
        <v>73</v>
      </c>
      <c r="AM8" s="45" t="s">
        <v>74</v>
      </c>
      <c r="AN8" s="54" t="s">
        <v>75</v>
      </c>
      <c r="AO8" s="54" t="s">
        <v>76</v>
      </c>
      <c r="AP8" s="44" t="s">
        <v>77</v>
      </c>
    </row>
    <row r="9" spans="1:42" ht="93" customHeight="1" x14ac:dyDescent="0.25">
      <c r="A9" s="62" t="s">
        <v>78</v>
      </c>
      <c r="B9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9" s="64" t="s">
        <v>79</v>
      </c>
      <c r="D9" s="64" t="s">
        <v>80</v>
      </c>
      <c r="E9" s="64" t="s">
        <v>81</v>
      </c>
      <c r="F9" s="64" t="s">
        <v>82</v>
      </c>
      <c r="G9" s="64" t="s">
        <v>83</v>
      </c>
      <c r="H9" s="65" t="str">
        <f>VLOOKUP(Tabla6[[#This Row],[DIRECCIÓN]],DIRECCIÓN[#All],2,0)</f>
        <v>ADMINISTRACIÓN CENTRAL</v>
      </c>
      <c r="I9" s="66" t="s">
        <v>779</v>
      </c>
      <c r="J9" s="67">
        <v>1</v>
      </c>
      <c r="K9" s="68" t="str">
        <f>VLOOKUP(Tabla6[[#This Row],[DIRECCIÓN GENERAL / COORDINACIÓN / SUBDIRECCIÓN]],Tabla37[[#All],[Columna1]:[EOD]],2,0)</f>
        <v>266_0001</v>
      </c>
      <c r="L9" s="69">
        <f>VLOOKUP(Tabla6[[#This Row],[OBJETIVOS PND]],Listas!$A$1:$C$3,3,0)</f>
        <v>1</v>
      </c>
      <c r="M9" s="70">
        <f>VLOOKUP(Tabla6[[#This Row],[PG]],Listas2!$G$14:$K$16,5,0)</f>
        <v>0</v>
      </c>
      <c r="N9" s="71">
        <v>1</v>
      </c>
      <c r="O9" s="72">
        <v>401</v>
      </c>
      <c r="P9" s="73" t="str">
        <f>VLOOKUP(Tabla6[[#This Row],[GEO]],Listas!$A$48:$B$77,2,0)</f>
        <v>TULCÁN</v>
      </c>
      <c r="Q9" s="70">
        <f>VLOOKUP(Tabla6[[#This Row],[PG]],Listas2!$G$14:$K$16,3,0)</f>
        <v>1</v>
      </c>
      <c r="R9" s="73">
        <f>VLOOKUP(Tabla6[[#This Row],[PG]],Listas2!H14:'Listas2'!$G$14:$K$16,4,0)</f>
        <v>0</v>
      </c>
      <c r="S9" s="73">
        <f>VLOOKUP(Tabla6[[#This Row],[PG]],Listas2!$G$14:$K$16,2,0)</f>
        <v>0</v>
      </c>
      <c r="T9" s="66" t="s">
        <v>84</v>
      </c>
      <c r="U9" s="74">
        <v>53</v>
      </c>
      <c r="V9" s="66">
        <v>530101</v>
      </c>
      <c r="W9" s="63" t="str">
        <f>VLOOKUP(Tabla6[[#This Row],[ÍTEM PRESUPUESTARIO]],Tabla2[#All],2,0)</f>
        <v>AGUA POTABLE</v>
      </c>
      <c r="X9" s="57">
        <v>100</v>
      </c>
      <c r="Y9" s="57">
        <f>100-56.57</f>
        <v>43.43</v>
      </c>
      <c r="Z9" s="58">
        <v>43.43</v>
      </c>
      <c r="AA9" s="58">
        <v>0</v>
      </c>
      <c r="AB9" s="58">
        <v>0</v>
      </c>
      <c r="AC9" s="58">
        <v>0</v>
      </c>
      <c r="AD9" s="58">
        <v>0</v>
      </c>
      <c r="AE9" s="58">
        <v>0</v>
      </c>
      <c r="AF9" s="58">
        <v>0</v>
      </c>
      <c r="AG9" s="58">
        <v>0</v>
      </c>
      <c r="AH9" s="58">
        <v>0</v>
      </c>
      <c r="AI9" s="58">
        <v>0</v>
      </c>
      <c r="AJ9" s="58">
        <v>0</v>
      </c>
      <c r="AK9" s="58">
        <v>0</v>
      </c>
      <c r="AL9" s="75">
        <f>+SUBTOTAL(9,Tabla6[[#This Row],[ENE]:[DIC]])</f>
        <v>43.43</v>
      </c>
      <c r="AM9" s="76" t="str">
        <f t="shared" ref="AM9:AM72" si="0">IF(AL9=Y9,"OK",Y9-AL9)</f>
        <v>OK</v>
      </c>
      <c r="AN9" s="60">
        <v>43.43</v>
      </c>
      <c r="AO9" s="61">
        <f>+Tabla6[[#This Row],[PRESUPUESTO VIGENTE]]-Tabla6[[#This Row],[CERTIFICACIÓN PAPP]]</f>
        <v>0</v>
      </c>
      <c r="AP9" s="59">
        <v>0</v>
      </c>
    </row>
    <row r="10" spans="1:42" ht="93" customHeight="1" x14ac:dyDescent="0.25">
      <c r="A10" s="62" t="s">
        <v>78</v>
      </c>
      <c r="B10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0" s="64" t="s">
        <v>79</v>
      </c>
      <c r="D10" s="64" t="s">
        <v>80</v>
      </c>
      <c r="E10" s="64" t="s">
        <v>81</v>
      </c>
      <c r="F10" s="64" t="s">
        <v>82</v>
      </c>
      <c r="G10" s="64" t="s">
        <v>83</v>
      </c>
      <c r="H10" s="65" t="str">
        <f>VLOOKUP(Tabla6[[#This Row],[DIRECCIÓN]],DIRECCIÓN[#All],2,0)</f>
        <v>ADMINISTRACIÓN CENTRAL</v>
      </c>
      <c r="I10" s="66" t="s">
        <v>780</v>
      </c>
      <c r="J10" s="67">
        <v>1</v>
      </c>
      <c r="K10" s="68" t="str">
        <f>VLOOKUP(Tabla6[[#This Row],[DIRECCIÓN GENERAL / COORDINACIÓN / SUBDIRECCIÓN]],Tabla37[[#All],[Columna1]:[EOD]],2,0)</f>
        <v>266_0001</v>
      </c>
      <c r="L10" s="69">
        <f>VLOOKUP(Tabla6[[#This Row],[OBJETIVOS PND]],Listas!$A$1:$C$3,3,0)</f>
        <v>1</v>
      </c>
      <c r="M10" s="70">
        <f>VLOOKUP(Tabla6[[#This Row],[PG]],Listas2!$G$14:$K$16,5,0)</f>
        <v>0</v>
      </c>
      <c r="N10" s="71">
        <v>1</v>
      </c>
      <c r="O10" s="72">
        <v>401</v>
      </c>
      <c r="P10" s="73" t="str">
        <f>VLOOKUP(Tabla6[[#This Row],[GEO]],Listas!$A$48:$B$77,2,0)</f>
        <v>TULCÁN</v>
      </c>
      <c r="Q10" s="70">
        <f>VLOOKUP(Tabla6[[#This Row],[PG]],Listas2!$G$14:$K$16,3,0)</f>
        <v>1</v>
      </c>
      <c r="R10" s="73">
        <f>VLOOKUP(Tabla6[[#This Row],[PG]],Listas2!H15:'Listas2'!$G$14:$K$16,4,0)</f>
        <v>0</v>
      </c>
      <c r="S10" s="73">
        <f>VLOOKUP(Tabla6[[#This Row],[PG]],Listas2!$G$14:$K$16,2,0)</f>
        <v>0</v>
      </c>
      <c r="T10" s="66" t="s">
        <v>84</v>
      </c>
      <c r="U10" s="74">
        <v>53</v>
      </c>
      <c r="V10" s="66">
        <v>530101</v>
      </c>
      <c r="W10" s="63" t="str">
        <f>VLOOKUP(Tabla6[[#This Row],[ÍTEM PRESUPUESTARIO]],Tabla2[#All],2,0)</f>
        <v>AGUA POTABLE</v>
      </c>
      <c r="X10" s="57">
        <v>600</v>
      </c>
      <c r="Y10" s="57">
        <f>600+100</f>
        <v>700</v>
      </c>
      <c r="Z10" s="58">
        <v>0</v>
      </c>
      <c r="AA10" s="58">
        <v>63.63</v>
      </c>
      <c r="AB10" s="58">
        <v>63.63</v>
      </c>
      <c r="AC10" s="58">
        <v>63.63</v>
      </c>
      <c r="AD10" s="58">
        <v>63.63</v>
      </c>
      <c r="AE10" s="58">
        <v>63.63</v>
      </c>
      <c r="AF10" s="58">
        <v>63.63</v>
      </c>
      <c r="AG10" s="58">
        <v>63.63</v>
      </c>
      <c r="AH10" s="58">
        <v>63.63</v>
      </c>
      <c r="AI10" s="58">
        <v>63.63</v>
      </c>
      <c r="AJ10" s="58">
        <v>63.63</v>
      </c>
      <c r="AK10" s="58">
        <v>63.7</v>
      </c>
      <c r="AL10" s="75">
        <f>+SUBTOTAL(9,Tabla6[[#This Row],[ENE]:[DIC]])</f>
        <v>700.00000000000011</v>
      </c>
      <c r="AM10" s="76" t="str">
        <f t="shared" si="0"/>
        <v>OK</v>
      </c>
      <c r="AN10" s="60">
        <v>700</v>
      </c>
      <c r="AO10" s="61">
        <f>+Tabla6[[#This Row],[PRESUPUESTO VIGENTE]]-Tabla6[[#This Row],[CERTIFICACIÓN PAPP]]</f>
        <v>0</v>
      </c>
      <c r="AP10" s="59">
        <v>0</v>
      </c>
    </row>
    <row r="11" spans="1:42" ht="93" customHeight="1" x14ac:dyDescent="0.25">
      <c r="A11" s="62" t="s">
        <v>78</v>
      </c>
      <c r="B11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1" s="64" t="s">
        <v>79</v>
      </c>
      <c r="D11" s="64" t="s">
        <v>80</v>
      </c>
      <c r="E11" s="64" t="s">
        <v>81</v>
      </c>
      <c r="F11" s="64" t="s">
        <v>82</v>
      </c>
      <c r="G11" s="64" t="s">
        <v>83</v>
      </c>
      <c r="H11" s="65" t="str">
        <f>VLOOKUP(Tabla6[[#This Row],[DIRECCIÓN]],DIRECCIÓN[#All],2,0)</f>
        <v>ADMINISTRACIÓN CENTRAL</v>
      </c>
      <c r="I11" s="66" t="s">
        <v>781</v>
      </c>
      <c r="J11" s="67">
        <v>1</v>
      </c>
      <c r="K11" s="68" t="str">
        <f>VLOOKUP(Tabla6[[#This Row],[DIRECCIÓN GENERAL / COORDINACIÓN / SUBDIRECCIÓN]],Tabla37[[#All],[Columna1]:[EOD]],2,0)</f>
        <v>266_0001</v>
      </c>
      <c r="L11" s="69">
        <f>VLOOKUP(Tabla6[[#This Row],[OBJETIVOS PND]],Listas!$A$1:$C$3,3,0)</f>
        <v>1</v>
      </c>
      <c r="M11" s="70">
        <f>VLOOKUP(Tabla6[[#This Row],[PG]],Listas2!$G$14:$K$16,5,0)</f>
        <v>0</v>
      </c>
      <c r="N11" s="71">
        <v>1</v>
      </c>
      <c r="O11" s="72">
        <v>401</v>
      </c>
      <c r="P11" s="73" t="str">
        <f>VLOOKUP(Tabla6[[#This Row],[GEO]],Listas!$A$48:$B$77,2,0)</f>
        <v>TULCÁN</v>
      </c>
      <c r="Q11" s="70">
        <f>VLOOKUP(Tabla6[[#This Row],[PG]],Listas2!$G$14:$K$16,3,0)</f>
        <v>1</v>
      </c>
      <c r="R11" s="73">
        <f>VLOOKUP(Tabla6[[#This Row],[PG]],Listas2!H16:'Listas2'!$G$14:$K$16,4,0)</f>
        <v>0</v>
      </c>
      <c r="S11" s="73">
        <f>VLOOKUP(Tabla6[[#This Row],[PG]],Listas2!$G$14:$K$16,2,0)</f>
        <v>0</v>
      </c>
      <c r="T11" s="66" t="s">
        <v>84</v>
      </c>
      <c r="U11" s="74">
        <v>53</v>
      </c>
      <c r="V11" s="66">
        <v>530104</v>
      </c>
      <c r="W11" s="63" t="str">
        <f>VLOOKUP(Tabla6[[#This Row],[ÍTEM PRESUPUESTARIO]],Tabla2[#All],2,0)</f>
        <v>ENERGÍA ELÉCTRICA</v>
      </c>
      <c r="X11" s="57">
        <v>1900</v>
      </c>
      <c r="Y11" s="57">
        <f>1900-9.9</f>
        <v>1890.1</v>
      </c>
      <c r="Z11" s="58">
        <v>1890.1</v>
      </c>
      <c r="AA11" s="58">
        <v>0</v>
      </c>
      <c r="AB11" s="58">
        <v>0</v>
      </c>
      <c r="AC11" s="58">
        <v>0</v>
      </c>
      <c r="AD11" s="58">
        <v>0</v>
      </c>
      <c r="AE11" s="58">
        <v>0</v>
      </c>
      <c r="AF11" s="58">
        <v>0</v>
      </c>
      <c r="AG11" s="58">
        <v>0</v>
      </c>
      <c r="AH11" s="58">
        <v>0</v>
      </c>
      <c r="AI11" s="58">
        <v>0</v>
      </c>
      <c r="AJ11" s="58">
        <v>0</v>
      </c>
      <c r="AK11" s="58">
        <v>0</v>
      </c>
      <c r="AL11" s="75">
        <f>+SUBTOTAL(9,Tabla6[[#This Row],[ENE]:[DIC]])</f>
        <v>1890.1</v>
      </c>
      <c r="AM11" s="76" t="str">
        <f t="shared" si="0"/>
        <v>OK</v>
      </c>
      <c r="AN11" s="60">
        <v>1890.1</v>
      </c>
      <c r="AO11" s="61">
        <f>+Tabla6[[#This Row],[PRESUPUESTO VIGENTE]]-Tabla6[[#This Row],[CERTIFICACIÓN PAPP]]</f>
        <v>0</v>
      </c>
      <c r="AP11" s="59">
        <v>0</v>
      </c>
    </row>
    <row r="12" spans="1:42" ht="93" customHeight="1" x14ac:dyDescent="0.25">
      <c r="A12" s="62" t="s">
        <v>78</v>
      </c>
      <c r="B12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2" s="64" t="s">
        <v>79</v>
      </c>
      <c r="D12" s="64" t="s">
        <v>80</v>
      </c>
      <c r="E12" s="64" t="s">
        <v>81</v>
      </c>
      <c r="F12" s="64" t="s">
        <v>82</v>
      </c>
      <c r="G12" s="64" t="s">
        <v>83</v>
      </c>
      <c r="H12" s="65" t="str">
        <f>VLOOKUP(Tabla6[[#This Row],[DIRECCIÓN]],DIRECCIÓN[#All],2,0)</f>
        <v>ADMINISTRACIÓN CENTRAL</v>
      </c>
      <c r="I12" s="66" t="s">
        <v>782</v>
      </c>
      <c r="J12" s="67">
        <v>1</v>
      </c>
      <c r="K12" s="68" t="str">
        <f>VLOOKUP(Tabla6[[#This Row],[DIRECCIÓN GENERAL / COORDINACIÓN / SUBDIRECCIÓN]],Tabla37[[#All],[Columna1]:[EOD]],2,0)</f>
        <v>266_0001</v>
      </c>
      <c r="L12" s="69">
        <f>VLOOKUP(Tabla6[[#This Row],[OBJETIVOS PND]],Listas!$A$1:$C$3,3,0)</f>
        <v>1</v>
      </c>
      <c r="M12" s="70">
        <f>VLOOKUP(Tabla6[[#This Row],[PG]],Listas2!$G$14:$K$16,5,0)</f>
        <v>0</v>
      </c>
      <c r="N12" s="71">
        <v>1</v>
      </c>
      <c r="O12" s="72">
        <v>401</v>
      </c>
      <c r="P12" s="73" t="str">
        <f>VLOOKUP(Tabla6[[#This Row],[GEO]],Listas!$A$48:$B$77,2,0)</f>
        <v>TULCÁN</v>
      </c>
      <c r="Q12" s="70">
        <f>VLOOKUP(Tabla6[[#This Row],[PG]],Listas2!$G$14:$K$16,3,0)</f>
        <v>1</v>
      </c>
      <c r="R12" s="73">
        <f>VLOOKUP(Tabla6[[#This Row],[PG]],Listas2!H17:'Listas2'!$G$14:$K$16,4,0)</f>
        <v>0</v>
      </c>
      <c r="S12" s="73">
        <f>VLOOKUP(Tabla6[[#This Row],[PG]],Listas2!$G$14:$K$16,2,0)</f>
        <v>0</v>
      </c>
      <c r="T12" s="66" t="s">
        <v>84</v>
      </c>
      <c r="U12" s="74">
        <v>53</v>
      </c>
      <c r="V12" s="66">
        <v>530104</v>
      </c>
      <c r="W12" s="63" t="str">
        <f>VLOOKUP(Tabla6[[#This Row],[ÍTEM PRESUPUESTARIO]],Tabla2[#All],2,0)</f>
        <v>ENERGÍA ELÉCTRICA</v>
      </c>
      <c r="X12" s="57">
        <v>11100</v>
      </c>
      <c r="Y12" s="57">
        <f>11100+8587.03+2250</f>
        <v>21937.03</v>
      </c>
      <c r="Z12" s="58">
        <v>0</v>
      </c>
      <c r="AA12" s="58">
        <v>1789.73</v>
      </c>
      <c r="AB12" s="58">
        <v>1789.73</v>
      </c>
      <c r="AC12" s="58">
        <v>1789.73</v>
      </c>
      <c r="AD12" s="58">
        <v>1789.73</v>
      </c>
      <c r="AE12" s="58">
        <v>1789.73</v>
      </c>
      <c r="AF12" s="58">
        <v>1789.73</v>
      </c>
      <c r="AG12" s="58">
        <v>1789.73</v>
      </c>
      <c r="AH12" s="58">
        <v>1789.73</v>
      </c>
      <c r="AI12" s="58">
        <v>1789.73</v>
      </c>
      <c r="AJ12" s="58">
        <v>1789.73</v>
      </c>
      <c r="AK12" s="58">
        <v>4039.7299999999996</v>
      </c>
      <c r="AL12" s="75">
        <f>+SUBTOTAL(9,Tabla6[[#This Row],[ENE]:[DIC]])</f>
        <v>21937.03</v>
      </c>
      <c r="AM12" s="76" t="str">
        <f t="shared" si="0"/>
        <v>OK</v>
      </c>
      <c r="AN12" s="60">
        <v>21937.03</v>
      </c>
      <c r="AO12" s="61">
        <f>+Tabla6[[#This Row],[PRESUPUESTO VIGENTE]]-Tabla6[[#This Row],[CERTIFICACIÓN PAPP]]</f>
        <v>0</v>
      </c>
      <c r="AP12" s="59">
        <v>0</v>
      </c>
    </row>
    <row r="13" spans="1:42" ht="93" customHeight="1" x14ac:dyDescent="0.25">
      <c r="A13" s="62" t="s">
        <v>78</v>
      </c>
      <c r="B13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3" s="64" t="s">
        <v>79</v>
      </c>
      <c r="D13" s="64" t="s">
        <v>80</v>
      </c>
      <c r="E13" s="64" t="s">
        <v>81</v>
      </c>
      <c r="F13" s="64" t="s">
        <v>82</v>
      </c>
      <c r="G13" s="64" t="s">
        <v>83</v>
      </c>
      <c r="H13" s="65" t="str">
        <f>VLOOKUP(Tabla6[[#This Row],[DIRECCIÓN]],DIRECCIÓN[#All],2,0)</f>
        <v>ADMINISTRACIÓN CENTRAL</v>
      </c>
      <c r="I13" s="66" t="s">
        <v>783</v>
      </c>
      <c r="J13" s="67">
        <v>1</v>
      </c>
      <c r="K13" s="68" t="str">
        <f>VLOOKUP(Tabla6[[#This Row],[DIRECCIÓN GENERAL / COORDINACIÓN / SUBDIRECCIÓN]],Tabla37[[#All],[Columna1]:[EOD]],2,0)</f>
        <v>266_0001</v>
      </c>
      <c r="L13" s="69">
        <f>VLOOKUP(Tabla6[[#This Row],[OBJETIVOS PND]],Listas!$A$1:$C$3,3,0)</f>
        <v>1</v>
      </c>
      <c r="M13" s="70">
        <f>VLOOKUP(Tabla6[[#This Row],[PG]],Listas2!$G$14:$K$16,5,0)</f>
        <v>0</v>
      </c>
      <c r="N13" s="71">
        <v>1</v>
      </c>
      <c r="O13" s="72">
        <v>401</v>
      </c>
      <c r="P13" s="73" t="str">
        <f>VLOOKUP(Tabla6[[#This Row],[GEO]],Listas!$A$48:$B$77,2,0)</f>
        <v>TULCÁN</v>
      </c>
      <c r="Q13" s="70">
        <f>VLOOKUP(Tabla6[[#This Row],[PG]],Listas2!$G$14:$K$16,3,0)</f>
        <v>1</v>
      </c>
      <c r="R13" s="73">
        <f>VLOOKUP(Tabla6[[#This Row],[PG]],Listas2!H18:'Listas2'!$G$14:$K$16,4,0)</f>
        <v>0</v>
      </c>
      <c r="S13" s="73">
        <f>VLOOKUP(Tabla6[[#This Row],[PG]],Listas2!$G$14:$K$16,2,0)</f>
        <v>0</v>
      </c>
      <c r="T13" s="66" t="s">
        <v>84</v>
      </c>
      <c r="U13" s="74">
        <v>53</v>
      </c>
      <c r="V13" s="66">
        <v>530106</v>
      </c>
      <c r="W13" s="63" t="str">
        <f>VLOOKUP(Tabla6[[#This Row],[ÍTEM PRESUPUESTARIO]],Tabla2[#All],2,0)</f>
        <v>SERVICIO DE CORREO</v>
      </c>
      <c r="X13" s="57">
        <v>100</v>
      </c>
      <c r="Y13" s="57">
        <f>100-79</f>
        <v>21</v>
      </c>
      <c r="Z13" s="58">
        <v>21</v>
      </c>
      <c r="AA13" s="58">
        <v>0</v>
      </c>
      <c r="AB13" s="58">
        <v>0</v>
      </c>
      <c r="AC13" s="58">
        <v>0</v>
      </c>
      <c r="AD13" s="58">
        <v>0</v>
      </c>
      <c r="AE13" s="58">
        <v>0</v>
      </c>
      <c r="AF13" s="58">
        <v>0</v>
      </c>
      <c r="AG13" s="58">
        <v>0</v>
      </c>
      <c r="AH13" s="58">
        <v>0</v>
      </c>
      <c r="AI13" s="58">
        <v>0</v>
      </c>
      <c r="AJ13" s="58">
        <v>0</v>
      </c>
      <c r="AK13" s="58">
        <v>0</v>
      </c>
      <c r="AL13" s="75">
        <f>+SUBTOTAL(9,Tabla6[[#This Row],[ENE]:[DIC]])</f>
        <v>21</v>
      </c>
      <c r="AM13" s="76" t="str">
        <f t="shared" si="0"/>
        <v>OK</v>
      </c>
      <c r="AN13" s="60">
        <v>21</v>
      </c>
      <c r="AO13" s="61">
        <f>+Tabla6[[#This Row],[PRESUPUESTO VIGENTE]]-Tabla6[[#This Row],[CERTIFICACIÓN PAPP]]</f>
        <v>0</v>
      </c>
      <c r="AP13" s="59">
        <v>0</v>
      </c>
    </row>
    <row r="14" spans="1:42" ht="93" customHeight="1" x14ac:dyDescent="0.25">
      <c r="A14" s="62" t="s">
        <v>78</v>
      </c>
      <c r="B14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4" s="64" t="s">
        <v>79</v>
      </c>
      <c r="D14" s="64" t="s">
        <v>80</v>
      </c>
      <c r="E14" s="64" t="s">
        <v>81</v>
      </c>
      <c r="F14" s="64" t="s">
        <v>82</v>
      </c>
      <c r="G14" s="64" t="s">
        <v>83</v>
      </c>
      <c r="H14" s="65" t="str">
        <f>VLOOKUP(Tabla6[[#This Row],[DIRECCIÓN]],DIRECCIÓN[#All],2,0)</f>
        <v>ADMINISTRACIÓN CENTRAL</v>
      </c>
      <c r="I14" s="66" t="s">
        <v>784</v>
      </c>
      <c r="J14" s="67">
        <v>1</v>
      </c>
      <c r="K14" s="68" t="str">
        <f>VLOOKUP(Tabla6[[#This Row],[DIRECCIÓN GENERAL / COORDINACIÓN / SUBDIRECCIÓN]],Tabla37[[#All],[Columna1]:[EOD]],2,0)</f>
        <v>266_0001</v>
      </c>
      <c r="L14" s="69">
        <f>VLOOKUP(Tabla6[[#This Row],[OBJETIVOS PND]],Listas!$A$1:$C$3,3,0)</f>
        <v>1</v>
      </c>
      <c r="M14" s="70">
        <f>VLOOKUP(Tabla6[[#This Row],[PG]],Listas2!$G$14:$K$16,5,0)</f>
        <v>0</v>
      </c>
      <c r="N14" s="71">
        <v>1</v>
      </c>
      <c r="O14" s="72">
        <v>401</v>
      </c>
      <c r="P14" s="73" t="str">
        <f>VLOOKUP(Tabla6[[#This Row],[GEO]],Listas!$A$48:$B$77,2,0)</f>
        <v>TULCÁN</v>
      </c>
      <c r="Q14" s="70">
        <f>VLOOKUP(Tabla6[[#This Row],[PG]],Listas2!$G$14:$K$16,3,0)</f>
        <v>1</v>
      </c>
      <c r="R14" s="73">
        <f>VLOOKUP(Tabla6[[#This Row],[PG]],Listas2!H19:'Listas2'!$G$14:$K$16,4,0)</f>
        <v>0</v>
      </c>
      <c r="S14" s="73">
        <f>VLOOKUP(Tabla6[[#This Row],[PG]],Listas2!$G$14:$K$16,2,0)</f>
        <v>0</v>
      </c>
      <c r="T14" s="66" t="s">
        <v>84</v>
      </c>
      <c r="U14" s="74">
        <v>53</v>
      </c>
      <c r="V14" s="66">
        <v>530106</v>
      </c>
      <c r="W14" s="63" t="str">
        <f>VLOOKUP(Tabla6[[#This Row],[ÍTEM PRESUPUESTARIO]],Tabla2[#All],2,0)</f>
        <v>SERVICIO DE CORREO</v>
      </c>
      <c r="X14" s="57">
        <v>350</v>
      </c>
      <c r="Y14" s="57">
        <f>350-50-124.6</f>
        <v>175.4</v>
      </c>
      <c r="Z14" s="58">
        <v>0</v>
      </c>
      <c r="AA14" s="58">
        <v>0</v>
      </c>
      <c r="AB14" s="58">
        <v>30</v>
      </c>
      <c r="AC14" s="58">
        <v>30</v>
      </c>
      <c r="AD14" s="58">
        <v>30</v>
      </c>
      <c r="AE14" s="58">
        <v>30</v>
      </c>
      <c r="AF14" s="58">
        <v>30</v>
      </c>
      <c r="AG14" s="58">
        <v>25.4</v>
      </c>
      <c r="AH14" s="58">
        <v>0</v>
      </c>
      <c r="AI14" s="58">
        <v>0</v>
      </c>
      <c r="AJ14" s="58">
        <v>0</v>
      </c>
      <c r="AK14" s="58">
        <v>0</v>
      </c>
      <c r="AL14" s="75">
        <f>+SUBTOTAL(9,Tabla6[[#This Row],[ENE]:[DIC]])</f>
        <v>175.4</v>
      </c>
      <c r="AM14" s="76" t="str">
        <f t="shared" si="0"/>
        <v>OK</v>
      </c>
      <c r="AN14" s="60">
        <v>175.4</v>
      </c>
      <c r="AO14" s="61">
        <f>+Tabla6[[#This Row],[PRESUPUESTO VIGENTE]]-Tabla6[[#This Row],[CERTIFICACIÓN PAPP]]</f>
        <v>0</v>
      </c>
      <c r="AP14" s="59">
        <v>0</v>
      </c>
    </row>
    <row r="15" spans="1:42" ht="93" customHeight="1" x14ac:dyDescent="0.25">
      <c r="A15" s="62" t="s">
        <v>78</v>
      </c>
      <c r="B15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5" s="64" t="s">
        <v>79</v>
      </c>
      <c r="D15" s="64" t="s">
        <v>80</v>
      </c>
      <c r="E15" s="64" t="s">
        <v>81</v>
      </c>
      <c r="F15" s="64" t="s">
        <v>82</v>
      </c>
      <c r="G15" s="64" t="s">
        <v>83</v>
      </c>
      <c r="H15" s="65" t="str">
        <f>VLOOKUP(Tabla6[[#This Row],[DIRECCIÓN]],DIRECCIÓN[#All],2,0)</f>
        <v>ADMINISTRACIÓN CENTRAL</v>
      </c>
      <c r="I15" s="66" t="s">
        <v>785</v>
      </c>
      <c r="J15" s="67">
        <v>1</v>
      </c>
      <c r="K15" s="68" t="str">
        <f>VLOOKUP(Tabla6[[#This Row],[DIRECCIÓN GENERAL / COORDINACIÓN / SUBDIRECCIÓN]],Tabla37[[#All],[Columna1]:[EOD]],2,0)</f>
        <v>266_0001</v>
      </c>
      <c r="L15" s="69">
        <f>VLOOKUP(Tabla6[[#This Row],[OBJETIVOS PND]],Listas!$A$1:$C$3,3,0)</f>
        <v>1</v>
      </c>
      <c r="M15" s="70">
        <f>VLOOKUP(Tabla6[[#This Row],[PG]],Listas2!$G$14:$K$16,5,0)</f>
        <v>0</v>
      </c>
      <c r="N15" s="71">
        <v>1</v>
      </c>
      <c r="O15" s="72">
        <v>401</v>
      </c>
      <c r="P15" s="73" t="str">
        <f>VLOOKUP(Tabla6[[#This Row],[GEO]],Listas!$A$48:$B$77,2,0)</f>
        <v>TULCÁN</v>
      </c>
      <c r="Q15" s="70">
        <f>VLOOKUP(Tabla6[[#This Row],[PG]],Listas2!$G$14:$K$16,3,0)</f>
        <v>1</v>
      </c>
      <c r="R15" s="73">
        <f>VLOOKUP(Tabla6[[#This Row],[PG]],Listas2!H20:'Listas2'!$G$14:$K$16,4,0)</f>
        <v>0</v>
      </c>
      <c r="S15" s="73">
        <f>VLOOKUP(Tabla6[[#This Row],[PG]],Listas2!$G$14:$K$16,2,0)</f>
        <v>0</v>
      </c>
      <c r="T15" s="66" t="s">
        <v>84</v>
      </c>
      <c r="U15" s="74">
        <v>53</v>
      </c>
      <c r="V15" s="66">
        <v>530201</v>
      </c>
      <c r="W15" s="63" t="str">
        <f>VLOOKUP(Tabla6[[#This Row],[ÍTEM PRESUPUESTARIO]],Tabla2[#All],2,0)</f>
        <v>TRANSPORTE DE PERSONAL</v>
      </c>
      <c r="X15" s="57">
        <v>1500</v>
      </c>
      <c r="Y15" s="57">
        <v>1500</v>
      </c>
      <c r="Z15" s="58">
        <v>1500</v>
      </c>
      <c r="AA15" s="58">
        <v>0</v>
      </c>
      <c r="AB15" s="58">
        <v>0</v>
      </c>
      <c r="AC15" s="58">
        <v>0</v>
      </c>
      <c r="AD15" s="58">
        <v>0</v>
      </c>
      <c r="AE15" s="58">
        <v>0</v>
      </c>
      <c r="AF15" s="58">
        <v>0</v>
      </c>
      <c r="AG15" s="58">
        <v>0</v>
      </c>
      <c r="AH15" s="58">
        <v>0</v>
      </c>
      <c r="AI15" s="58">
        <v>0</v>
      </c>
      <c r="AJ15" s="58">
        <v>0</v>
      </c>
      <c r="AK15" s="58">
        <v>0</v>
      </c>
      <c r="AL15" s="75">
        <f>+SUBTOTAL(9,Tabla6[[#This Row],[ENE]:[DIC]])</f>
        <v>1500</v>
      </c>
      <c r="AM15" s="76" t="str">
        <f t="shared" si="0"/>
        <v>OK</v>
      </c>
      <c r="AN15" s="60">
        <v>1500</v>
      </c>
      <c r="AO15" s="61">
        <f>+Tabla6[[#This Row],[PRESUPUESTO VIGENTE]]-Tabla6[[#This Row],[CERTIFICACIÓN PAPP]]</f>
        <v>0</v>
      </c>
      <c r="AP15" s="59">
        <v>0</v>
      </c>
    </row>
    <row r="16" spans="1:42" ht="93" customHeight="1" x14ac:dyDescent="0.25">
      <c r="A16" s="62" t="s">
        <v>78</v>
      </c>
      <c r="B16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6" s="64" t="s">
        <v>79</v>
      </c>
      <c r="D16" s="64" t="s">
        <v>80</v>
      </c>
      <c r="E16" s="64" t="s">
        <v>81</v>
      </c>
      <c r="F16" s="64" t="s">
        <v>82</v>
      </c>
      <c r="G16" s="64" t="s">
        <v>83</v>
      </c>
      <c r="H16" s="65" t="str">
        <f>VLOOKUP(Tabla6[[#This Row],[DIRECCIÓN]],DIRECCIÓN[#All],2,0)</f>
        <v>ADMINISTRACIÓN CENTRAL</v>
      </c>
      <c r="I16" s="66" t="s">
        <v>786</v>
      </c>
      <c r="J16" s="67">
        <v>1</v>
      </c>
      <c r="K16" s="68" t="str">
        <f>VLOOKUP(Tabla6[[#This Row],[DIRECCIÓN GENERAL / COORDINACIÓN / SUBDIRECCIÓN]],Tabla37[[#All],[Columna1]:[EOD]],2,0)</f>
        <v>266_0001</v>
      </c>
      <c r="L16" s="69">
        <f>VLOOKUP(Tabla6[[#This Row],[OBJETIVOS PND]],Listas!$A$1:$C$3,3,0)</f>
        <v>1</v>
      </c>
      <c r="M16" s="70">
        <f>VLOOKUP(Tabla6[[#This Row],[PG]],Listas2!$G$14:$K$16,5,0)</f>
        <v>0</v>
      </c>
      <c r="N16" s="71">
        <v>1</v>
      </c>
      <c r="O16" s="72">
        <v>401</v>
      </c>
      <c r="P16" s="73" t="str">
        <f>VLOOKUP(Tabla6[[#This Row],[GEO]],Listas!$A$48:$B$77,2,0)</f>
        <v>TULCÁN</v>
      </c>
      <c r="Q16" s="70">
        <f>VLOOKUP(Tabla6[[#This Row],[PG]],Listas2!$G$14:$K$16,3,0)</f>
        <v>1</v>
      </c>
      <c r="R16" s="73">
        <f>VLOOKUP(Tabla6[[#This Row],[PG]],Listas2!H21:'Listas2'!$G$14:$K$16,4,0)</f>
        <v>0</v>
      </c>
      <c r="S16" s="73">
        <f>VLOOKUP(Tabla6[[#This Row],[PG]],Listas2!$G$14:$K$16,2,0)</f>
        <v>0</v>
      </c>
      <c r="T16" s="66" t="s">
        <v>84</v>
      </c>
      <c r="U16" s="74">
        <v>53</v>
      </c>
      <c r="V16" s="66">
        <v>530201</v>
      </c>
      <c r="W16" s="63" t="str">
        <f>VLOOKUP(Tabla6[[#This Row],[ÍTEM PRESUPUESTARIO]],Tabla2[#All],2,0)</f>
        <v>TRANSPORTE DE PERSONAL</v>
      </c>
      <c r="X16" s="57">
        <v>21000</v>
      </c>
      <c r="Y16" s="57">
        <f>21000+300-1774.99</f>
        <v>19525.009999999998</v>
      </c>
      <c r="Z16" s="58">
        <v>0</v>
      </c>
      <c r="AA16" s="58">
        <v>1030.6500000000001</v>
      </c>
      <c r="AB16" s="58">
        <v>1775</v>
      </c>
      <c r="AC16" s="58">
        <v>1775</v>
      </c>
      <c r="AD16" s="58">
        <v>1775</v>
      </c>
      <c r="AE16" s="58">
        <v>1775</v>
      </c>
      <c r="AF16" s="58">
        <v>1775</v>
      </c>
      <c r="AG16" s="58">
        <v>1775</v>
      </c>
      <c r="AH16" s="58">
        <v>1775</v>
      </c>
      <c r="AI16" s="58">
        <v>1775</v>
      </c>
      <c r="AJ16" s="58">
        <v>1775</v>
      </c>
      <c r="AK16" s="58">
        <v>2519.3599999999969</v>
      </c>
      <c r="AL16" s="75">
        <f>+SUBTOTAL(9,Tabla6[[#This Row],[ENE]:[DIC]])</f>
        <v>19525.009999999998</v>
      </c>
      <c r="AM16" s="76" t="str">
        <f t="shared" si="0"/>
        <v>OK</v>
      </c>
      <c r="AN16" s="60">
        <v>19525.009999999998</v>
      </c>
      <c r="AO16" s="61">
        <f>+Tabla6[[#This Row],[PRESUPUESTO VIGENTE]]-Tabla6[[#This Row],[CERTIFICACIÓN PAPP]]</f>
        <v>0</v>
      </c>
      <c r="AP16" s="59">
        <v>0</v>
      </c>
    </row>
    <row r="17" spans="1:42" ht="93" customHeight="1" x14ac:dyDescent="0.25">
      <c r="A17" s="62" t="s">
        <v>78</v>
      </c>
      <c r="B17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7" s="64" t="s">
        <v>79</v>
      </c>
      <c r="D17" s="64" t="s">
        <v>80</v>
      </c>
      <c r="E17" s="64" t="s">
        <v>81</v>
      </c>
      <c r="F17" s="64" t="s">
        <v>82</v>
      </c>
      <c r="G17" s="64" t="s">
        <v>83</v>
      </c>
      <c r="H17" s="65" t="str">
        <f>VLOOKUP(Tabla6[[#This Row],[DIRECCIÓN]],DIRECCIÓN[#All],2,0)</f>
        <v>ADMINISTRACIÓN CENTRAL</v>
      </c>
      <c r="I17" s="66" t="s">
        <v>787</v>
      </c>
      <c r="J17" s="67">
        <v>1</v>
      </c>
      <c r="K17" s="68" t="str">
        <f>VLOOKUP(Tabla6[[#This Row],[DIRECCIÓN GENERAL / COORDINACIÓN / SUBDIRECCIÓN]],Tabla37[[#All],[Columna1]:[EOD]],2,0)</f>
        <v>266_0001</v>
      </c>
      <c r="L17" s="69">
        <f>VLOOKUP(Tabla6[[#This Row],[OBJETIVOS PND]],Listas!$A$1:$C$3,3,0)</f>
        <v>1</v>
      </c>
      <c r="M17" s="70">
        <f>VLOOKUP(Tabla6[[#This Row],[PG]],Listas2!$G$14:$K$16,5,0)</f>
        <v>0</v>
      </c>
      <c r="N17" s="71">
        <v>1</v>
      </c>
      <c r="O17" s="72">
        <v>401</v>
      </c>
      <c r="P17" s="73" t="str">
        <f>VLOOKUP(Tabla6[[#This Row],[GEO]],Listas!$A$48:$B$77,2,0)</f>
        <v>TULCÁN</v>
      </c>
      <c r="Q17" s="70">
        <f>VLOOKUP(Tabla6[[#This Row],[PG]],Listas2!$G$14:$K$16,3,0)</f>
        <v>1</v>
      </c>
      <c r="R17" s="73">
        <f>VLOOKUP(Tabla6[[#This Row],[PG]],Listas2!H22:'Listas2'!$G$14:$K$16,4,0)</f>
        <v>0</v>
      </c>
      <c r="S17" s="73">
        <f>VLOOKUP(Tabla6[[#This Row],[PG]],Listas2!$G$14:$K$16,2,0)</f>
        <v>0</v>
      </c>
      <c r="T17" s="66" t="s">
        <v>84</v>
      </c>
      <c r="U17" s="74">
        <v>53</v>
      </c>
      <c r="V17" s="66">
        <v>530203</v>
      </c>
      <c r="W17" s="63" t="str">
        <f>VLOOKUP(Tabla6[[#This Row],[ÍTEM PRESUPUESTARIO]],Tabla2[#All],2,0)</f>
        <v>ALMACENAMIENTO, EMBALAJE, DESEMBALAJE, ENVASE, DESENVASE Y RECARGA DE EXTINTORES</v>
      </c>
      <c r="X17" s="57">
        <v>340</v>
      </c>
      <c r="Y17" s="57">
        <f>340-170-65</f>
        <v>105</v>
      </c>
      <c r="Z17" s="58">
        <v>0</v>
      </c>
      <c r="AA17" s="58">
        <v>0</v>
      </c>
      <c r="AB17" s="58">
        <v>0</v>
      </c>
      <c r="AC17" s="58">
        <v>0</v>
      </c>
      <c r="AD17" s="58">
        <v>0</v>
      </c>
      <c r="AE17" s="58">
        <v>0</v>
      </c>
      <c r="AF17" s="58">
        <v>0</v>
      </c>
      <c r="AG17" s="58">
        <v>0</v>
      </c>
      <c r="AH17" s="58">
        <v>0</v>
      </c>
      <c r="AI17" s="58">
        <v>0</v>
      </c>
      <c r="AJ17" s="58">
        <v>105</v>
      </c>
      <c r="AK17" s="58">
        <v>0</v>
      </c>
      <c r="AL17" s="75">
        <f>+SUBTOTAL(9,Tabla6[[#This Row],[ENE]:[DIC]])</f>
        <v>105</v>
      </c>
      <c r="AM17" s="76" t="str">
        <f t="shared" si="0"/>
        <v>OK</v>
      </c>
      <c r="AN17" s="60">
        <v>105</v>
      </c>
      <c r="AO17" s="61">
        <f>+Tabla6[[#This Row],[PRESUPUESTO VIGENTE]]-Tabla6[[#This Row],[CERTIFICACIÓN PAPP]]</f>
        <v>0</v>
      </c>
      <c r="AP17" s="59">
        <v>0</v>
      </c>
    </row>
    <row r="18" spans="1:42" ht="93" customHeight="1" x14ac:dyDescent="0.25">
      <c r="A18" s="62" t="s">
        <v>78</v>
      </c>
      <c r="B18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8" s="64" t="s">
        <v>85</v>
      </c>
      <c r="D18" s="64" t="s">
        <v>80</v>
      </c>
      <c r="E18" s="64" t="s">
        <v>81</v>
      </c>
      <c r="F18" s="64" t="s">
        <v>82</v>
      </c>
      <c r="G18" s="64" t="s">
        <v>86</v>
      </c>
      <c r="H18" s="65" t="str">
        <f>VLOOKUP(Tabla6[[#This Row],[DIRECCIÓN]],DIRECCIÓN[#All],2,0)</f>
        <v>COMUNICACIÓN SOCIAL</v>
      </c>
      <c r="I18" s="66" t="s">
        <v>788</v>
      </c>
      <c r="J18" s="67">
        <v>2</v>
      </c>
      <c r="K18" s="68" t="str">
        <f>VLOOKUP(Tabla6[[#This Row],[DIRECCIÓN GENERAL / COORDINACIÓN / SUBDIRECCIÓN]],Tabla37[[#All],[Columna1]:[EOD]],2,0)</f>
        <v>266_0001</v>
      </c>
      <c r="L18" s="69">
        <f>VLOOKUP(Tabla6[[#This Row],[OBJETIVOS PND]],Listas!$A$1:$C$3,3,0)</f>
        <v>1</v>
      </c>
      <c r="M18" s="70">
        <f>VLOOKUP(Tabla6[[#This Row],[PG]],Listas2!$G$14:$K$16,5,0)</f>
        <v>0</v>
      </c>
      <c r="N18" s="71">
        <v>1</v>
      </c>
      <c r="O18" s="72">
        <v>401</v>
      </c>
      <c r="P18" s="73" t="str">
        <f>VLOOKUP(Tabla6[[#This Row],[GEO]],Listas!$A$48:$B$77,2,0)</f>
        <v>TULCÁN</v>
      </c>
      <c r="Q18" s="70">
        <f>VLOOKUP(Tabla6[[#This Row],[PG]],Listas2!$G$14:$K$16,3,0)</f>
        <v>1</v>
      </c>
      <c r="R18" s="73">
        <f>VLOOKUP(Tabla6[[#This Row],[PG]],Listas2!H23:'Listas2'!$G$14:$K$16,4,0)</f>
        <v>0</v>
      </c>
      <c r="S18" s="73">
        <f>VLOOKUP(Tabla6[[#This Row],[PG]],Listas2!$G$14:$K$16,2,0)</f>
        <v>0</v>
      </c>
      <c r="T18" s="66" t="s">
        <v>84</v>
      </c>
      <c r="U18" s="74">
        <v>53</v>
      </c>
      <c r="V18" s="66">
        <v>530204</v>
      </c>
      <c r="W18" s="63" t="str">
        <f>VLOOKUP(Tabla6[[#This Row],[ÍTEM PRESUPUESTARIO]],Tabla2[#All],2,0)</f>
        <v>EDICIÓN, IMPRESIÓN, REPRODUCCIÓN, PUBLICACIONES, SUSCRIPCIONES, FOTOCOPIADO, TRADUCCIÓN, EMPASTADO, ENMARCACIÓN, SERIGRAFÍA, FOTOGRAFÍA, CARNETIZACIÓN, FILMACIÓN E IMÁGENES SATELITALES</v>
      </c>
      <c r="X18" s="57">
        <v>200</v>
      </c>
      <c r="Y18" s="57">
        <f>200-200</f>
        <v>0</v>
      </c>
      <c r="Z18" s="58">
        <v>0</v>
      </c>
      <c r="AA18" s="58">
        <v>0</v>
      </c>
      <c r="AB18" s="58">
        <v>0</v>
      </c>
      <c r="AC18" s="58">
        <v>0</v>
      </c>
      <c r="AD18" s="58">
        <v>0</v>
      </c>
      <c r="AE18" s="58">
        <v>0</v>
      </c>
      <c r="AF18" s="58">
        <v>0</v>
      </c>
      <c r="AG18" s="58">
        <v>0</v>
      </c>
      <c r="AH18" s="58">
        <v>0</v>
      </c>
      <c r="AI18" s="58">
        <v>0</v>
      </c>
      <c r="AJ18" s="58">
        <v>0</v>
      </c>
      <c r="AK18" s="58">
        <v>0</v>
      </c>
      <c r="AL18" s="75">
        <f>+SUBTOTAL(9,Tabla6[[#This Row],[ENE]:[DIC]])</f>
        <v>0</v>
      </c>
      <c r="AM18" s="76" t="str">
        <f t="shared" si="0"/>
        <v>OK</v>
      </c>
      <c r="AN18" s="60">
        <f>115.87-40.18-40-35.69</f>
        <v>0</v>
      </c>
      <c r="AO18" s="61">
        <f>+Tabla6[[#This Row],[PRESUPUESTO VIGENTE]]-Tabla6[[#This Row],[CERTIFICACIÓN PAPP]]</f>
        <v>0</v>
      </c>
      <c r="AP18" s="59">
        <v>0</v>
      </c>
    </row>
    <row r="19" spans="1:42" ht="93" customHeight="1" x14ac:dyDescent="0.25">
      <c r="A19" s="62" t="s">
        <v>78</v>
      </c>
      <c r="B19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9" s="64" t="s">
        <v>85</v>
      </c>
      <c r="D19" s="64" t="s">
        <v>80</v>
      </c>
      <c r="E19" s="64" t="s">
        <v>81</v>
      </c>
      <c r="F19" s="64" t="s">
        <v>82</v>
      </c>
      <c r="G19" s="64" t="s">
        <v>86</v>
      </c>
      <c r="H19" s="65" t="str">
        <f>VLOOKUP(Tabla6[[#This Row],[DIRECCIÓN]],DIRECCIÓN[#All],2,0)</f>
        <v>COMUNICACIÓN SOCIAL</v>
      </c>
      <c r="I19" s="66" t="s">
        <v>789</v>
      </c>
      <c r="J19" s="67">
        <v>2</v>
      </c>
      <c r="K19" s="68" t="str">
        <f>VLOOKUP(Tabla6[[#This Row],[DIRECCIÓN GENERAL / COORDINACIÓN / SUBDIRECCIÓN]],Tabla37[[#All],[Columna1]:[EOD]],2,0)</f>
        <v>266_0001</v>
      </c>
      <c r="L19" s="69">
        <f>VLOOKUP(Tabla6[[#This Row],[OBJETIVOS PND]],Listas!$A$1:$C$3,3,0)</f>
        <v>1</v>
      </c>
      <c r="M19" s="70">
        <f>VLOOKUP(Tabla6[[#This Row],[PG]],Listas2!$G$14:$K$16,5,0)</f>
        <v>0</v>
      </c>
      <c r="N19" s="71">
        <v>1</v>
      </c>
      <c r="O19" s="72">
        <v>401</v>
      </c>
      <c r="P19" s="73" t="str">
        <f>VLOOKUP(Tabla6[[#This Row],[GEO]],Listas!$A$48:$B$77,2,0)</f>
        <v>TULCÁN</v>
      </c>
      <c r="Q19" s="70">
        <f>VLOOKUP(Tabla6[[#This Row],[PG]],Listas2!$G$14:$K$16,3,0)</f>
        <v>1</v>
      </c>
      <c r="R19" s="73">
        <f>VLOOKUP(Tabla6[[#This Row],[PG]],Listas2!H24:'Listas2'!$G$14:$K$16,4,0)</f>
        <v>0</v>
      </c>
      <c r="S19" s="73">
        <f>VLOOKUP(Tabla6[[#This Row],[PG]],Listas2!$G$14:$K$16,2,0)</f>
        <v>0</v>
      </c>
      <c r="T19" s="66" t="s">
        <v>84</v>
      </c>
      <c r="U19" s="74">
        <v>53</v>
      </c>
      <c r="V19" s="66">
        <v>530204</v>
      </c>
      <c r="W19" s="63" t="str">
        <f>VLOOKUP(Tabla6[[#This Row],[ÍTEM PRESUPUESTARIO]],Tabla2[#All],2,0)</f>
        <v>EDICIÓN, IMPRESIÓN, REPRODUCCIÓN, PUBLICACIONES, SUSCRIPCIONES, FOTOCOPIADO, TRADUCCIÓN, EMPASTADO, ENMARCACIÓN, SERIGRAFÍA, FOTOGRAFÍA, CARNETIZACIÓN, FILMACIÓN E IMÁGENES SATELITALES</v>
      </c>
      <c r="X19" s="57">
        <v>100</v>
      </c>
      <c r="Y19" s="57">
        <f>100-100</f>
        <v>0</v>
      </c>
      <c r="Z19" s="58">
        <v>0</v>
      </c>
      <c r="AA19" s="58">
        <v>0</v>
      </c>
      <c r="AB19" s="58">
        <v>0</v>
      </c>
      <c r="AC19" s="58">
        <v>0</v>
      </c>
      <c r="AD19" s="58">
        <v>0</v>
      </c>
      <c r="AE19" s="58">
        <v>0</v>
      </c>
      <c r="AF19" s="58">
        <v>0</v>
      </c>
      <c r="AG19" s="58">
        <v>0</v>
      </c>
      <c r="AH19" s="58">
        <v>0</v>
      </c>
      <c r="AI19" s="58">
        <v>0</v>
      </c>
      <c r="AJ19" s="58">
        <v>0</v>
      </c>
      <c r="AK19" s="58">
        <v>0</v>
      </c>
      <c r="AL19" s="75">
        <f>+SUBTOTAL(9,Tabla6[[#This Row],[ENE]:[DIC]])</f>
        <v>0</v>
      </c>
      <c r="AM19" s="76" t="str">
        <f t="shared" si="0"/>
        <v>OK</v>
      </c>
      <c r="AN19" s="60">
        <v>0</v>
      </c>
      <c r="AO19" s="61">
        <f>+Tabla6[[#This Row],[PRESUPUESTO VIGENTE]]-Tabla6[[#This Row],[CERTIFICACIÓN PAPP]]</f>
        <v>0</v>
      </c>
      <c r="AP19" s="59">
        <v>0</v>
      </c>
    </row>
    <row r="20" spans="1:42" ht="93" customHeight="1" x14ac:dyDescent="0.25">
      <c r="A20" s="62" t="s">
        <v>78</v>
      </c>
      <c r="B20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20" s="64" t="s">
        <v>85</v>
      </c>
      <c r="D20" s="64" t="s">
        <v>80</v>
      </c>
      <c r="E20" s="64" t="s">
        <v>81</v>
      </c>
      <c r="F20" s="64" t="s">
        <v>82</v>
      </c>
      <c r="G20" s="64" t="s">
        <v>86</v>
      </c>
      <c r="H20" s="65" t="str">
        <f>VLOOKUP(Tabla6[[#This Row],[DIRECCIÓN]],DIRECCIÓN[#All],2,0)</f>
        <v>COMUNICACIÓN SOCIAL</v>
      </c>
      <c r="I20" s="66" t="s">
        <v>790</v>
      </c>
      <c r="J20" s="67">
        <v>2</v>
      </c>
      <c r="K20" s="68" t="str">
        <f>VLOOKUP(Tabla6[[#This Row],[DIRECCIÓN GENERAL / COORDINACIÓN / SUBDIRECCIÓN]],Tabla37[[#All],[Columna1]:[EOD]],2,0)</f>
        <v>266_0001</v>
      </c>
      <c r="L20" s="69">
        <f>VLOOKUP(Tabla6[[#This Row],[OBJETIVOS PND]],Listas!$A$1:$C$3,3,0)</f>
        <v>1</v>
      </c>
      <c r="M20" s="70">
        <f>VLOOKUP(Tabla6[[#This Row],[PG]],Listas2!$G$14:$K$16,5,0)</f>
        <v>0</v>
      </c>
      <c r="N20" s="71">
        <v>1</v>
      </c>
      <c r="O20" s="72">
        <v>401</v>
      </c>
      <c r="P20" s="73" t="str">
        <f>VLOOKUP(Tabla6[[#This Row],[GEO]],Listas!$A$48:$B$77,2,0)</f>
        <v>TULCÁN</v>
      </c>
      <c r="Q20" s="70">
        <f>VLOOKUP(Tabla6[[#This Row],[PG]],Listas2!$G$14:$K$16,3,0)</f>
        <v>1</v>
      </c>
      <c r="R20" s="73">
        <f>VLOOKUP(Tabla6[[#This Row],[PG]],Listas2!H25:'Listas2'!$G$14:$K$16,4,0)</f>
        <v>0</v>
      </c>
      <c r="S20" s="73">
        <f>VLOOKUP(Tabla6[[#This Row],[PG]],Listas2!$G$14:$K$16,2,0)</f>
        <v>0</v>
      </c>
      <c r="T20" s="66" t="s">
        <v>84</v>
      </c>
      <c r="U20" s="74">
        <v>53</v>
      </c>
      <c r="V20" s="66">
        <v>530204</v>
      </c>
      <c r="W20" s="63" t="str">
        <f>VLOOKUP(Tabla6[[#This Row],[ÍTEM PRESUPUESTARIO]],Tabla2[#All],2,0)</f>
        <v>EDICIÓN, IMPRESIÓN, REPRODUCCIÓN, PUBLICACIONES, SUSCRIPCIONES, FOTOCOPIADO, TRADUCCIÓN, EMPASTADO, ENMARCACIÓN, SERIGRAFÍA, FOTOGRAFÍA, CARNETIZACIÓN, FILMACIÓN E IMÁGENES SATELITALES</v>
      </c>
      <c r="X20" s="57">
        <v>1480</v>
      </c>
      <c r="Y20" s="57">
        <f>1480-1480</f>
        <v>0</v>
      </c>
      <c r="Z20" s="58">
        <v>0</v>
      </c>
      <c r="AA20" s="58">
        <v>0</v>
      </c>
      <c r="AB20" s="58">
        <v>0</v>
      </c>
      <c r="AC20" s="58">
        <v>0</v>
      </c>
      <c r="AD20" s="58">
        <v>0</v>
      </c>
      <c r="AE20" s="58">
        <v>0</v>
      </c>
      <c r="AF20" s="58">
        <v>0</v>
      </c>
      <c r="AG20" s="58">
        <v>0</v>
      </c>
      <c r="AH20" s="58">
        <v>0</v>
      </c>
      <c r="AI20" s="58">
        <v>0</v>
      </c>
      <c r="AJ20" s="58">
        <v>0</v>
      </c>
      <c r="AK20" s="58">
        <v>0</v>
      </c>
      <c r="AL20" s="75">
        <f>+SUBTOTAL(9,Tabla6[[#This Row],[ENE]:[DIC]])</f>
        <v>0</v>
      </c>
      <c r="AM20" s="76" t="str">
        <f t="shared" si="0"/>
        <v>OK</v>
      </c>
      <c r="AN20" s="60">
        <v>0</v>
      </c>
      <c r="AO20" s="61">
        <f>+Tabla6[[#This Row],[PRESUPUESTO VIGENTE]]-Tabla6[[#This Row],[CERTIFICACIÓN PAPP]]</f>
        <v>0</v>
      </c>
      <c r="AP20" s="59">
        <v>0</v>
      </c>
    </row>
    <row r="21" spans="1:42" ht="93" customHeight="1" x14ac:dyDescent="0.25">
      <c r="A21" s="62" t="s">
        <v>78</v>
      </c>
      <c r="B21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21" s="64" t="s">
        <v>85</v>
      </c>
      <c r="D21" s="64" t="s">
        <v>80</v>
      </c>
      <c r="E21" s="64" t="s">
        <v>81</v>
      </c>
      <c r="F21" s="64" t="s">
        <v>82</v>
      </c>
      <c r="G21" s="64" t="s">
        <v>86</v>
      </c>
      <c r="H21" s="65" t="str">
        <f>VLOOKUP(Tabla6[[#This Row],[DIRECCIÓN]],DIRECCIÓN[#All],2,0)</f>
        <v>COMUNICACIÓN SOCIAL</v>
      </c>
      <c r="I21" s="66" t="s">
        <v>791</v>
      </c>
      <c r="J21" s="67">
        <v>3</v>
      </c>
      <c r="K21" s="68" t="str">
        <f>VLOOKUP(Tabla6[[#This Row],[DIRECCIÓN GENERAL / COORDINACIÓN / SUBDIRECCIÓN]],Tabla37[[#All],[Columna1]:[EOD]],2,0)</f>
        <v>266_0001</v>
      </c>
      <c r="L21" s="69">
        <f>VLOOKUP(Tabla6[[#This Row],[OBJETIVOS PND]],Listas!$A$1:$C$3,3,0)</f>
        <v>1</v>
      </c>
      <c r="M21" s="70">
        <f>VLOOKUP(Tabla6[[#This Row],[PG]],Listas2!$G$14:$K$16,5,0)</f>
        <v>0</v>
      </c>
      <c r="N21" s="71">
        <v>1</v>
      </c>
      <c r="O21" s="72">
        <v>401</v>
      </c>
      <c r="P21" s="73" t="str">
        <f>VLOOKUP(Tabla6[[#This Row],[GEO]],Listas!$A$48:$B$77,2,0)</f>
        <v>TULCÁN</v>
      </c>
      <c r="Q21" s="70">
        <f>VLOOKUP(Tabla6[[#This Row],[PG]],Listas2!$G$14:$K$16,3,0)</f>
        <v>1</v>
      </c>
      <c r="R21" s="73">
        <f>VLOOKUP(Tabla6[[#This Row],[PG]],Listas2!H26:'Listas2'!$G$14:$K$16,4,0)</f>
        <v>0</v>
      </c>
      <c r="S21" s="73">
        <f>VLOOKUP(Tabla6[[#This Row],[PG]],Listas2!$G$14:$K$16,2,0)</f>
        <v>0</v>
      </c>
      <c r="T21" s="66" t="s">
        <v>84</v>
      </c>
      <c r="U21" s="74">
        <v>53</v>
      </c>
      <c r="V21" s="66">
        <v>530204</v>
      </c>
      <c r="W21" s="63" t="str">
        <f>VLOOKUP(Tabla6[[#This Row],[ÍTEM PRESUPUESTARIO]],Tabla2[#All],2,0)</f>
        <v>EDICIÓN, IMPRESIÓN, REPRODUCCIÓN, PUBLICACIONES, SUSCRIPCIONES, FOTOCOPIADO, TRADUCCIÓN, EMPASTADO, ENMARCACIÓN, SERIGRAFÍA, FOTOGRAFÍA, CARNETIZACIÓN, FILMACIÓN E IMÁGENES SATELITALES</v>
      </c>
      <c r="X21" s="57">
        <v>200</v>
      </c>
      <c r="Y21" s="57">
        <f>200-200</f>
        <v>0</v>
      </c>
      <c r="Z21" s="58">
        <v>0</v>
      </c>
      <c r="AA21" s="58">
        <v>0</v>
      </c>
      <c r="AB21" s="58">
        <v>0</v>
      </c>
      <c r="AC21" s="58">
        <v>0</v>
      </c>
      <c r="AD21" s="58">
        <v>0</v>
      </c>
      <c r="AE21" s="58">
        <v>0</v>
      </c>
      <c r="AF21" s="58">
        <v>0</v>
      </c>
      <c r="AG21" s="58">
        <v>0</v>
      </c>
      <c r="AH21" s="58">
        <v>0</v>
      </c>
      <c r="AI21" s="58">
        <v>0</v>
      </c>
      <c r="AJ21" s="58">
        <v>0</v>
      </c>
      <c r="AK21" s="58">
        <v>0</v>
      </c>
      <c r="AL21" s="75">
        <f>+SUBTOTAL(9,Tabla6[[#This Row],[ENE]:[DIC]])</f>
        <v>0</v>
      </c>
      <c r="AM21" s="76" t="str">
        <f t="shared" si="0"/>
        <v>OK</v>
      </c>
      <c r="AN21" s="60">
        <v>0</v>
      </c>
      <c r="AO21" s="61">
        <f>+Tabla6[[#This Row],[PRESUPUESTO VIGENTE]]-Tabla6[[#This Row],[CERTIFICACIÓN PAPP]]</f>
        <v>0</v>
      </c>
      <c r="AP21" s="59">
        <v>0</v>
      </c>
    </row>
    <row r="22" spans="1:42" ht="93" customHeight="1" x14ac:dyDescent="0.25">
      <c r="A22" s="62" t="s">
        <v>78</v>
      </c>
      <c r="B22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22" s="64" t="s">
        <v>79</v>
      </c>
      <c r="D22" s="64" t="s">
        <v>80</v>
      </c>
      <c r="E22" s="64" t="s">
        <v>81</v>
      </c>
      <c r="F22" s="64" t="s">
        <v>82</v>
      </c>
      <c r="G22" s="64" t="s">
        <v>83</v>
      </c>
      <c r="H22" s="65" t="str">
        <f>VLOOKUP(Tabla6[[#This Row],[DIRECCIÓN]],DIRECCIÓN[#All],2,0)</f>
        <v>ADMINISTRACIÓN CENTRAL</v>
      </c>
      <c r="I22" s="66" t="s">
        <v>792</v>
      </c>
      <c r="J22" s="67">
        <v>1</v>
      </c>
      <c r="K22" s="68" t="str">
        <f>VLOOKUP(Tabla6[[#This Row],[DIRECCIÓN GENERAL / COORDINACIÓN / SUBDIRECCIÓN]],Tabla37[[#All],[Columna1]:[EOD]],2,0)</f>
        <v>266_0001</v>
      </c>
      <c r="L22" s="69">
        <f>VLOOKUP(Tabla6[[#This Row],[OBJETIVOS PND]],Listas!$A$1:$C$3,3,0)</f>
        <v>1</v>
      </c>
      <c r="M22" s="70">
        <f>VLOOKUP(Tabla6[[#This Row],[PG]],Listas2!$G$14:$K$16,5,0)</f>
        <v>0</v>
      </c>
      <c r="N22" s="71">
        <v>1</v>
      </c>
      <c r="O22" s="72">
        <v>401</v>
      </c>
      <c r="P22" s="73" t="str">
        <f>VLOOKUP(Tabla6[[#This Row],[GEO]],Listas!$A$48:$B$77,2,0)</f>
        <v>TULCÁN</v>
      </c>
      <c r="Q22" s="70">
        <f>VLOOKUP(Tabla6[[#This Row],[PG]],Listas2!$G$14:$K$16,3,0)</f>
        <v>1</v>
      </c>
      <c r="R22" s="73">
        <f>VLOOKUP(Tabla6[[#This Row],[PG]],Listas2!H27:'Listas2'!$G$14:$K$16,4,0)</f>
        <v>0</v>
      </c>
      <c r="S22" s="73">
        <f>VLOOKUP(Tabla6[[#This Row],[PG]],Listas2!$G$14:$K$16,2,0)</f>
        <v>0</v>
      </c>
      <c r="T22" s="66" t="s">
        <v>84</v>
      </c>
      <c r="U22" s="74">
        <v>53</v>
      </c>
      <c r="V22" s="66">
        <v>530204</v>
      </c>
      <c r="W22" s="63" t="str">
        <f>VLOOKUP(Tabla6[[#This Row],[ÍTEM PRESUPUESTARIO]],Tabla2[#All],2,0)</f>
        <v>EDICIÓN, IMPRESIÓN, REPRODUCCIÓN, PUBLICACIONES, SUSCRIPCIONES, FOTOCOPIADO, TRADUCCIÓN, EMPASTADO, ENMARCACIÓN, SERIGRAFÍA, FOTOGRAFÍA, CARNETIZACIÓN, FILMACIÓN E IMÁGENES SATELITALES</v>
      </c>
      <c r="X22" s="57">
        <v>100</v>
      </c>
      <c r="Y22" s="57">
        <f>100-50-6.3+6.3-4.6</f>
        <v>45.4</v>
      </c>
      <c r="Z22" s="58">
        <v>0</v>
      </c>
      <c r="AA22" s="58">
        <v>0</v>
      </c>
      <c r="AB22" s="58">
        <v>0</v>
      </c>
      <c r="AC22" s="58">
        <v>0</v>
      </c>
      <c r="AD22" s="58">
        <v>0</v>
      </c>
      <c r="AE22" s="58">
        <v>0</v>
      </c>
      <c r="AF22" s="58">
        <v>0</v>
      </c>
      <c r="AG22" s="58">
        <v>0</v>
      </c>
      <c r="AH22" s="58">
        <v>0</v>
      </c>
      <c r="AI22" s="58">
        <v>0</v>
      </c>
      <c r="AJ22" s="58">
        <v>0</v>
      </c>
      <c r="AK22" s="58">
        <v>45.4</v>
      </c>
      <c r="AL22" s="75">
        <f>+SUBTOTAL(9,Tabla6[[#This Row],[ENE]:[DIC]])</f>
        <v>45.4</v>
      </c>
      <c r="AM22" s="76" t="str">
        <f t="shared" si="0"/>
        <v>OK</v>
      </c>
      <c r="AN22" s="60">
        <v>45.4</v>
      </c>
      <c r="AO22" s="61">
        <f>+Tabla6[[#This Row],[PRESUPUESTO VIGENTE]]-Tabla6[[#This Row],[CERTIFICACIÓN PAPP]]</f>
        <v>0</v>
      </c>
      <c r="AP22" s="59" t="s">
        <v>87</v>
      </c>
    </row>
    <row r="23" spans="1:42" ht="93" customHeight="1" x14ac:dyDescent="0.25">
      <c r="A23" s="62" t="s">
        <v>78</v>
      </c>
      <c r="B23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23" s="64" t="s">
        <v>79</v>
      </c>
      <c r="D23" s="64" t="s">
        <v>80</v>
      </c>
      <c r="E23" s="64" t="s">
        <v>81</v>
      </c>
      <c r="F23" s="64" t="s">
        <v>82</v>
      </c>
      <c r="G23" s="64" t="s">
        <v>83</v>
      </c>
      <c r="H23" s="65" t="str">
        <f>VLOOKUP(Tabla6[[#This Row],[DIRECCIÓN]],DIRECCIÓN[#All],2,0)</f>
        <v>ADMINISTRACIÓN CENTRAL</v>
      </c>
      <c r="I23" s="66" t="s">
        <v>793</v>
      </c>
      <c r="J23" s="67">
        <v>1</v>
      </c>
      <c r="K23" s="68" t="str">
        <f>VLOOKUP(Tabla6[[#This Row],[DIRECCIÓN GENERAL / COORDINACIÓN / SUBDIRECCIÓN]],Tabla37[[#All],[Columna1]:[EOD]],2,0)</f>
        <v>266_0001</v>
      </c>
      <c r="L23" s="69">
        <f>VLOOKUP(Tabla6[[#This Row],[OBJETIVOS PND]],Listas!$A$1:$C$3,3,0)</f>
        <v>1</v>
      </c>
      <c r="M23" s="70">
        <f>VLOOKUP(Tabla6[[#This Row],[PG]],Listas2!$G$14:$K$16,5,0)</f>
        <v>0</v>
      </c>
      <c r="N23" s="71">
        <v>1</v>
      </c>
      <c r="O23" s="72">
        <v>401</v>
      </c>
      <c r="P23" s="73" t="str">
        <f>VLOOKUP(Tabla6[[#This Row],[GEO]],Listas!$A$48:$B$77,2,0)</f>
        <v>TULCÁN</v>
      </c>
      <c r="Q23" s="70">
        <f>VLOOKUP(Tabla6[[#This Row],[PG]],Listas2!$G$14:$K$16,3,0)</f>
        <v>1</v>
      </c>
      <c r="R23" s="73">
        <f>VLOOKUP(Tabla6[[#This Row],[PG]],Listas2!H28:'Listas2'!$G$14:$K$16,4,0)</f>
        <v>0</v>
      </c>
      <c r="S23" s="73">
        <f>VLOOKUP(Tabla6[[#This Row],[PG]],Listas2!$G$14:$K$16,2,0)</f>
        <v>0</v>
      </c>
      <c r="T23" s="66" t="s">
        <v>84</v>
      </c>
      <c r="U23" s="74">
        <v>53</v>
      </c>
      <c r="V23" s="66">
        <v>530209</v>
      </c>
      <c r="W23" s="63" t="str">
        <f>VLOOKUP(Tabla6[[#This Row],[ÍTEM PRESUPUESTARIO]],Tabla2[#All],2,0)</f>
        <v>SERVICIOS DE ASEO, LAVADO DE VESTIMENTA DE TRABAJO, FUMIGACIÓN, DESINFECCIÓN, LIMPIEZA DE INSTALACIONES, MANEJO DE DESECHOS CONTAMINADOS, RECUPERACIÓN Y CLASIFICACIÓN DE MATERIALES RECICLABLES</v>
      </c>
      <c r="X23" s="57">
        <v>2956</v>
      </c>
      <c r="Y23" s="57">
        <f>2956-0.61</f>
        <v>2955.39</v>
      </c>
      <c r="Z23" s="58">
        <v>2955.39</v>
      </c>
      <c r="AA23" s="58">
        <v>0</v>
      </c>
      <c r="AB23" s="58">
        <v>0</v>
      </c>
      <c r="AC23" s="58">
        <v>0</v>
      </c>
      <c r="AD23" s="58">
        <v>0</v>
      </c>
      <c r="AE23" s="58">
        <v>0</v>
      </c>
      <c r="AF23" s="58">
        <v>0</v>
      </c>
      <c r="AG23" s="58">
        <v>0</v>
      </c>
      <c r="AH23" s="58">
        <v>0</v>
      </c>
      <c r="AI23" s="58">
        <v>0</v>
      </c>
      <c r="AJ23" s="58">
        <v>0</v>
      </c>
      <c r="AK23" s="58">
        <v>0</v>
      </c>
      <c r="AL23" s="75">
        <f>+SUBTOTAL(9,Tabla6[[#This Row],[ENE]:[DIC]])</f>
        <v>2955.39</v>
      </c>
      <c r="AM23" s="76" t="str">
        <f t="shared" si="0"/>
        <v>OK</v>
      </c>
      <c r="AN23" s="60">
        <v>2955.39</v>
      </c>
      <c r="AO23" s="61">
        <f>+Tabla6[[#This Row],[PRESUPUESTO VIGENTE]]-Tabla6[[#This Row],[CERTIFICACIÓN PAPP]]</f>
        <v>0</v>
      </c>
      <c r="AP23" s="59">
        <v>0</v>
      </c>
    </row>
    <row r="24" spans="1:42" ht="93" customHeight="1" x14ac:dyDescent="0.25">
      <c r="A24" s="62" t="s">
        <v>78</v>
      </c>
      <c r="B24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24" s="64" t="s">
        <v>79</v>
      </c>
      <c r="D24" s="64" t="s">
        <v>80</v>
      </c>
      <c r="E24" s="64" t="s">
        <v>81</v>
      </c>
      <c r="F24" s="64" t="s">
        <v>82</v>
      </c>
      <c r="G24" s="64" t="s">
        <v>83</v>
      </c>
      <c r="H24" s="65" t="str">
        <f>VLOOKUP(Tabla6[[#This Row],[DIRECCIÓN]],DIRECCIÓN[#All],2,0)</f>
        <v>ADMINISTRACIÓN CENTRAL</v>
      </c>
      <c r="I24" s="66" t="s">
        <v>794</v>
      </c>
      <c r="J24" s="67">
        <v>1</v>
      </c>
      <c r="K24" s="68" t="str">
        <f>VLOOKUP(Tabla6[[#This Row],[DIRECCIÓN GENERAL / COORDINACIÓN / SUBDIRECCIÓN]],Tabla37[[#All],[Columna1]:[EOD]],2,0)</f>
        <v>266_0001</v>
      </c>
      <c r="L24" s="69">
        <f>VLOOKUP(Tabla6[[#This Row],[OBJETIVOS PND]],Listas!$A$1:$C$3,3,0)</f>
        <v>1</v>
      </c>
      <c r="M24" s="70">
        <f>VLOOKUP(Tabla6[[#This Row],[PG]],Listas2!$G$14:$K$16,5,0)</f>
        <v>0</v>
      </c>
      <c r="N24" s="71">
        <v>1</v>
      </c>
      <c r="O24" s="72">
        <v>401</v>
      </c>
      <c r="P24" s="73" t="str">
        <f>VLOOKUP(Tabla6[[#This Row],[GEO]],Listas!$A$48:$B$77,2,0)</f>
        <v>TULCÁN</v>
      </c>
      <c r="Q24" s="70">
        <f>VLOOKUP(Tabla6[[#This Row],[PG]],Listas2!$G$14:$K$16,3,0)</f>
        <v>1</v>
      </c>
      <c r="R24" s="73">
        <f>VLOOKUP(Tabla6[[#This Row],[PG]],Listas2!H29:'Listas2'!$G$14:$K$16,4,0)</f>
        <v>0</v>
      </c>
      <c r="S24" s="73">
        <f>VLOOKUP(Tabla6[[#This Row],[PG]],Listas2!$G$14:$K$16,2,0)</f>
        <v>0</v>
      </c>
      <c r="T24" s="66" t="s">
        <v>84</v>
      </c>
      <c r="U24" s="74">
        <v>53</v>
      </c>
      <c r="V24" s="66">
        <v>530209</v>
      </c>
      <c r="W24" s="63" t="str">
        <f>VLOOKUP(Tabla6[[#This Row],[ÍTEM PRESUPUESTARIO]],Tabla2[#All],2,0)</f>
        <v>SERVICIOS DE ASEO, LAVADO DE VESTIMENTA DE TRABAJO, FUMIGACIÓN, DESINFECCIÓN, LIMPIEZA DE INSTALACIONES, MANEJO DE DESECHOS CONTAMINADOS, RECUPERACIÓN Y CLASIFICACIÓN DE MATERIALES RECICLABLES</v>
      </c>
      <c r="X24" s="57">
        <v>15000</v>
      </c>
      <c r="Y24" s="57">
        <f>15000+20472-7.32-1477.69-1477.7</f>
        <v>32509.289999999997</v>
      </c>
      <c r="Z24" s="58">
        <v>0</v>
      </c>
      <c r="AA24" s="58">
        <v>2955.39</v>
      </c>
      <c r="AB24" s="58">
        <v>2955.39</v>
      </c>
      <c r="AC24" s="58">
        <v>2955.39</v>
      </c>
      <c r="AD24" s="58">
        <v>2955.39</v>
      </c>
      <c r="AE24" s="58">
        <v>2955.39</v>
      </c>
      <c r="AF24" s="58">
        <v>2955.39</v>
      </c>
      <c r="AG24" s="58">
        <v>2955.39</v>
      </c>
      <c r="AH24" s="58">
        <v>2955.39</v>
      </c>
      <c r="AI24" s="58">
        <v>2955.39</v>
      </c>
      <c r="AJ24" s="58">
        <v>2955.39</v>
      </c>
      <c r="AK24" s="58">
        <v>2955.3899999999994</v>
      </c>
      <c r="AL24" s="75">
        <f>+SUBTOTAL(9,Tabla6[[#This Row],[ENE]:[DIC]])</f>
        <v>32509.289999999997</v>
      </c>
      <c r="AM24" s="76" t="str">
        <f t="shared" si="0"/>
        <v>OK</v>
      </c>
      <c r="AN24" s="60">
        <f>17732.34+17732.34-2955.39</f>
        <v>32509.29</v>
      </c>
      <c r="AO24" s="61">
        <f>+Tabla6[[#This Row],[PRESUPUESTO VIGENTE]]-Tabla6[[#This Row],[CERTIFICACIÓN PAPP]]</f>
        <v>0</v>
      </c>
      <c r="AP24" s="59">
        <v>0</v>
      </c>
    </row>
    <row r="25" spans="1:42" ht="93" customHeight="1" x14ac:dyDescent="0.25">
      <c r="A25" s="62" t="s">
        <v>78</v>
      </c>
      <c r="B25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25" s="64" t="s">
        <v>79</v>
      </c>
      <c r="D25" s="64" t="s">
        <v>80</v>
      </c>
      <c r="E25" s="64" t="s">
        <v>81</v>
      </c>
      <c r="F25" s="64" t="s">
        <v>82</v>
      </c>
      <c r="G25" s="64" t="s">
        <v>83</v>
      </c>
      <c r="H25" s="65" t="str">
        <f>VLOOKUP(Tabla6[[#This Row],[DIRECCIÓN]],DIRECCIÓN[#All],2,0)</f>
        <v>ADMINISTRACIÓN CENTRAL</v>
      </c>
      <c r="I25" s="66" t="s">
        <v>795</v>
      </c>
      <c r="J25" s="67">
        <v>2</v>
      </c>
      <c r="K25" s="68" t="str">
        <f>VLOOKUP(Tabla6[[#This Row],[DIRECCIÓN GENERAL / COORDINACIÓN / SUBDIRECCIÓN]],Tabla37[[#All],[Columna1]:[EOD]],2,0)</f>
        <v>266_0001</v>
      </c>
      <c r="L25" s="69">
        <f>VLOOKUP(Tabla6[[#This Row],[OBJETIVOS PND]],Listas!$A$1:$C$3,3,0)</f>
        <v>1</v>
      </c>
      <c r="M25" s="70">
        <f>VLOOKUP(Tabla6[[#This Row],[PG]],Listas2!$G$14:$K$16,5,0)</f>
        <v>0</v>
      </c>
      <c r="N25" s="71">
        <v>1</v>
      </c>
      <c r="O25" s="72">
        <v>401</v>
      </c>
      <c r="P25" s="73" t="str">
        <f>VLOOKUP(Tabla6[[#This Row],[GEO]],Listas!$A$48:$B$77,2,0)</f>
        <v>TULCÁN</v>
      </c>
      <c r="Q25" s="70">
        <f>VLOOKUP(Tabla6[[#This Row],[PG]],Listas2!$G$14:$K$16,3,0)</f>
        <v>1</v>
      </c>
      <c r="R25" s="73">
        <f>VLOOKUP(Tabla6[[#This Row],[PG]],Listas2!H30:'Listas2'!$G$14:$K$16,4,0)</f>
        <v>0</v>
      </c>
      <c r="S25" s="73">
        <f>VLOOKUP(Tabla6[[#This Row],[PG]],Listas2!$G$14:$K$16,2,0)</f>
        <v>0</v>
      </c>
      <c r="T25" s="66" t="s">
        <v>84</v>
      </c>
      <c r="U25" s="74">
        <v>53</v>
      </c>
      <c r="V25" s="66">
        <v>530210</v>
      </c>
      <c r="W25" s="63" t="str">
        <f>VLOOKUP(Tabla6[[#This Row],[ÍTEM PRESUPUESTARIO]],Tabla2[#All],2,0)</f>
        <v>SERVICIO DE GUARDERÍA</v>
      </c>
      <c r="X25" s="57">
        <v>0</v>
      </c>
      <c r="Y25" s="57">
        <f>2511-2511</f>
        <v>0</v>
      </c>
      <c r="Z25" s="58">
        <v>0</v>
      </c>
      <c r="AA25" s="58">
        <v>0</v>
      </c>
      <c r="AB25" s="58">
        <v>0</v>
      </c>
      <c r="AC25" s="58">
        <v>0</v>
      </c>
      <c r="AD25" s="58">
        <v>0</v>
      </c>
      <c r="AE25" s="58">
        <v>0</v>
      </c>
      <c r="AF25" s="58">
        <v>0</v>
      </c>
      <c r="AG25" s="58">
        <v>0</v>
      </c>
      <c r="AH25" s="58">
        <v>0</v>
      </c>
      <c r="AI25" s="58">
        <v>0</v>
      </c>
      <c r="AJ25" s="58">
        <v>0</v>
      </c>
      <c r="AK25" s="58">
        <v>0</v>
      </c>
      <c r="AL25" s="75">
        <f>+SUBTOTAL(9,Tabla6[[#This Row],[ENE]:[DIC]])</f>
        <v>0</v>
      </c>
      <c r="AM25" s="76" t="str">
        <f t="shared" si="0"/>
        <v>OK</v>
      </c>
      <c r="AN25" s="60">
        <v>0</v>
      </c>
      <c r="AO25" s="61">
        <f>+Tabla6[[#This Row],[PRESUPUESTO VIGENTE]]-Tabla6[[#This Row],[CERTIFICACIÓN PAPP]]</f>
        <v>0</v>
      </c>
      <c r="AP25" s="59">
        <v>0</v>
      </c>
    </row>
    <row r="26" spans="1:42" ht="93" customHeight="1" x14ac:dyDescent="0.25">
      <c r="A26" s="62" t="s">
        <v>78</v>
      </c>
      <c r="B26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26" s="64" t="s">
        <v>79</v>
      </c>
      <c r="D26" s="64" t="s">
        <v>80</v>
      </c>
      <c r="E26" s="64" t="s">
        <v>81</v>
      </c>
      <c r="F26" s="64" t="s">
        <v>82</v>
      </c>
      <c r="G26" s="64" t="s">
        <v>83</v>
      </c>
      <c r="H26" s="65" t="str">
        <f>VLOOKUP(Tabla6[[#This Row],[DIRECCIÓN]],DIRECCIÓN[#All],2,0)</f>
        <v>ADMINISTRACIÓN CENTRAL</v>
      </c>
      <c r="I26" s="66" t="s">
        <v>796</v>
      </c>
      <c r="J26" s="67">
        <v>2</v>
      </c>
      <c r="K26" s="68" t="str">
        <f>VLOOKUP(Tabla6[[#This Row],[DIRECCIÓN GENERAL / COORDINACIÓN / SUBDIRECCIÓN]],Tabla37[[#All],[Columna1]:[EOD]],2,0)</f>
        <v>266_0001</v>
      </c>
      <c r="L26" s="69">
        <f>VLOOKUP(Tabla6[[#This Row],[OBJETIVOS PND]],Listas!$A$1:$C$3,3,0)</f>
        <v>1</v>
      </c>
      <c r="M26" s="70">
        <f>VLOOKUP(Tabla6[[#This Row],[PG]],Listas2!$G$14:$K$16,5,0)</f>
        <v>0</v>
      </c>
      <c r="N26" s="71">
        <v>1</v>
      </c>
      <c r="O26" s="72">
        <v>401</v>
      </c>
      <c r="P26" s="73" t="str">
        <f>VLOOKUP(Tabla6[[#This Row],[GEO]],Listas!$A$48:$B$77,2,0)</f>
        <v>TULCÁN</v>
      </c>
      <c r="Q26" s="70">
        <f>VLOOKUP(Tabla6[[#This Row],[PG]],Listas2!$G$14:$K$16,3,0)</f>
        <v>1</v>
      </c>
      <c r="R26" s="73">
        <f>VLOOKUP(Tabla6[[#This Row],[PG]],Listas2!H31:'Listas2'!$G$14:$K$16,4,0)</f>
        <v>0</v>
      </c>
      <c r="S26" s="73">
        <f>VLOOKUP(Tabla6[[#This Row],[PG]],Listas2!$G$14:$K$16,2,0)</f>
        <v>0</v>
      </c>
      <c r="T26" s="66" t="s">
        <v>84</v>
      </c>
      <c r="U26" s="74">
        <v>53</v>
      </c>
      <c r="V26" s="66">
        <v>530246</v>
      </c>
      <c r="W26" s="63" t="str">
        <f>VLOOKUP(Tabla6[[#This Row],[ÍTEM PRESUPUESTARIO]],Tabla2[#All],2,0)</f>
        <v>SERVICIOS DE IDENTIFICACIÓN, MARCACIÓN, AUTENTIFICACIÓN, RASTREO, MONITOREO, SEGUIMIENTO Y/O TRAZABILIDAD</v>
      </c>
      <c r="X26" s="57">
        <v>0</v>
      </c>
      <c r="Y26" s="57">
        <f>1000-680-69.28</f>
        <v>250.72</v>
      </c>
      <c r="Z26" s="58">
        <v>0</v>
      </c>
      <c r="AA26" s="58">
        <v>0</v>
      </c>
      <c r="AB26" s="58">
        <v>0</v>
      </c>
      <c r="AC26" s="58">
        <v>0</v>
      </c>
      <c r="AD26" s="58">
        <v>250.72</v>
      </c>
      <c r="AE26" s="58">
        <v>0</v>
      </c>
      <c r="AF26" s="58">
        <v>0</v>
      </c>
      <c r="AG26" s="58">
        <v>0</v>
      </c>
      <c r="AH26" s="58">
        <v>0</v>
      </c>
      <c r="AI26" s="58">
        <v>0</v>
      </c>
      <c r="AJ26" s="58">
        <v>0</v>
      </c>
      <c r="AK26" s="58">
        <v>0</v>
      </c>
      <c r="AL26" s="75">
        <f>+SUBTOTAL(9,Tabla6[[#This Row],[ENE]:[DIC]])</f>
        <v>250.72</v>
      </c>
      <c r="AM26" s="76" t="str">
        <f t="shared" si="0"/>
        <v>OK</v>
      </c>
      <c r="AN26" s="60">
        <f>320-69.28</f>
        <v>250.72</v>
      </c>
      <c r="AO26" s="61">
        <f>+Tabla6[[#This Row],[PRESUPUESTO VIGENTE]]-Tabla6[[#This Row],[CERTIFICACIÓN PAPP]]</f>
        <v>0</v>
      </c>
      <c r="AP26" s="59" t="s">
        <v>87</v>
      </c>
    </row>
    <row r="27" spans="1:42" ht="93" customHeight="1" x14ac:dyDescent="0.25">
      <c r="A27" s="62" t="s">
        <v>78</v>
      </c>
      <c r="B27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27" s="64" t="s">
        <v>79</v>
      </c>
      <c r="D27" s="64" t="s">
        <v>80</v>
      </c>
      <c r="E27" s="64" t="s">
        <v>81</v>
      </c>
      <c r="F27" s="64" t="s">
        <v>82</v>
      </c>
      <c r="G27" s="64" t="s">
        <v>83</v>
      </c>
      <c r="H27" s="65" t="str">
        <f>VLOOKUP(Tabla6[[#This Row],[DIRECCIÓN]],DIRECCIÓN[#All],2,0)</f>
        <v>ADMINISTRACIÓN CENTRAL</v>
      </c>
      <c r="I27" s="66" t="s">
        <v>797</v>
      </c>
      <c r="J27" s="67">
        <v>1</v>
      </c>
      <c r="K27" s="68" t="str">
        <f>VLOOKUP(Tabla6[[#This Row],[DIRECCIÓN GENERAL / COORDINACIÓN / SUBDIRECCIÓN]],Tabla37[[#All],[Columna1]:[EOD]],2,0)</f>
        <v>266_0001</v>
      </c>
      <c r="L27" s="69">
        <f>VLOOKUP(Tabla6[[#This Row],[OBJETIVOS PND]],Listas!$A$1:$C$3,3,0)</f>
        <v>1</v>
      </c>
      <c r="M27" s="70">
        <f>VLOOKUP(Tabla6[[#This Row],[PG]],Listas2!$G$14:$K$16,5,0)</f>
        <v>0</v>
      </c>
      <c r="N27" s="71">
        <v>1</v>
      </c>
      <c r="O27" s="72">
        <v>401</v>
      </c>
      <c r="P27" s="73" t="str">
        <f>VLOOKUP(Tabla6[[#This Row],[GEO]],Listas!$A$48:$B$77,2,0)</f>
        <v>TULCÁN</v>
      </c>
      <c r="Q27" s="70">
        <f>VLOOKUP(Tabla6[[#This Row],[PG]],Listas2!$G$14:$K$16,3,0)</f>
        <v>1</v>
      </c>
      <c r="R27" s="73">
        <f>VLOOKUP(Tabla6[[#This Row],[PG]],Listas2!H32:'Listas2'!$G$14:$K$16,4,0)</f>
        <v>0</v>
      </c>
      <c r="S27" s="73">
        <f>VLOOKUP(Tabla6[[#This Row],[PG]],Listas2!$G$14:$K$16,2,0)</f>
        <v>0</v>
      </c>
      <c r="T27" s="66" t="s">
        <v>84</v>
      </c>
      <c r="U27" s="74">
        <v>53</v>
      </c>
      <c r="V27" s="66">
        <v>530255</v>
      </c>
      <c r="W27" s="63" t="str">
        <f>VLOOKUP(Tabla6[[#This Row],[ÍTEM PRESUPUESTARIO]],Tabla2[#All],2,0)</f>
        <v>COMBUSTIBLES</v>
      </c>
      <c r="X27" s="57">
        <v>0</v>
      </c>
      <c r="Y27" s="57">
        <f>1600-300-153.13</f>
        <v>1146.8699999999999</v>
      </c>
      <c r="Z27" s="58">
        <v>0</v>
      </c>
      <c r="AA27" s="58">
        <v>0</v>
      </c>
      <c r="AB27" s="58">
        <v>0</v>
      </c>
      <c r="AC27" s="58">
        <v>0</v>
      </c>
      <c r="AD27" s="58">
        <v>0</v>
      </c>
      <c r="AE27" s="58">
        <v>300</v>
      </c>
      <c r="AF27" s="58">
        <v>0</v>
      </c>
      <c r="AG27" s="58">
        <v>300</v>
      </c>
      <c r="AH27" s="58">
        <v>0</v>
      </c>
      <c r="AI27" s="58">
        <v>300</v>
      </c>
      <c r="AJ27" s="58">
        <v>0</v>
      </c>
      <c r="AK27" s="58">
        <v>246.86999999999989</v>
      </c>
      <c r="AL27" s="75">
        <f>+SUBTOTAL(9,Tabla6[[#This Row],[ENE]:[DIC]])</f>
        <v>1146.8699999999999</v>
      </c>
      <c r="AM27" s="76" t="str">
        <f t="shared" si="0"/>
        <v>OK</v>
      </c>
      <c r="AN27" s="60">
        <v>1146.8699999999999</v>
      </c>
      <c r="AO27" s="61">
        <f>+Tabla6[[#This Row],[PRESUPUESTO VIGENTE]]-Tabla6[[#This Row],[CERTIFICACIÓN PAPP]]</f>
        <v>0</v>
      </c>
      <c r="AP27" s="59" t="s">
        <v>87</v>
      </c>
    </row>
    <row r="28" spans="1:42" ht="93" customHeight="1" x14ac:dyDescent="0.25">
      <c r="A28" s="62" t="s">
        <v>78</v>
      </c>
      <c r="B28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28" s="64" t="s">
        <v>79</v>
      </c>
      <c r="D28" s="64" t="s">
        <v>80</v>
      </c>
      <c r="E28" s="64" t="s">
        <v>81</v>
      </c>
      <c r="F28" s="64" t="s">
        <v>82</v>
      </c>
      <c r="G28" s="64" t="s">
        <v>83</v>
      </c>
      <c r="H28" s="65" t="str">
        <f>VLOOKUP(Tabla6[[#This Row],[DIRECCIÓN]],DIRECCIÓN[#All],2,0)</f>
        <v>ADMINISTRACIÓN CENTRAL</v>
      </c>
      <c r="I28" s="66" t="s">
        <v>798</v>
      </c>
      <c r="J28" s="67">
        <v>1</v>
      </c>
      <c r="K28" s="68" t="str">
        <f>VLOOKUP(Tabla6[[#This Row],[DIRECCIÓN GENERAL / COORDINACIÓN / SUBDIRECCIÓN]],Tabla37[[#All],[Columna1]:[EOD]],2,0)</f>
        <v>266_0001</v>
      </c>
      <c r="L28" s="69">
        <f>VLOOKUP(Tabla6[[#This Row],[OBJETIVOS PND]],Listas!$A$1:$C$3,3,0)</f>
        <v>1</v>
      </c>
      <c r="M28" s="70">
        <f>VLOOKUP(Tabla6[[#This Row],[PG]],Listas2!$G$14:$K$16,5,0)</f>
        <v>0</v>
      </c>
      <c r="N28" s="71">
        <v>1</v>
      </c>
      <c r="O28" s="72">
        <v>401</v>
      </c>
      <c r="P28" s="73" t="str">
        <f>VLOOKUP(Tabla6[[#This Row],[GEO]],Listas!$A$48:$B$77,2,0)</f>
        <v>TULCÁN</v>
      </c>
      <c r="Q28" s="70">
        <f>VLOOKUP(Tabla6[[#This Row],[PG]],Listas2!$G$14:$K$16,3,0)</f>
        <v>1</v>
      </c>
      <c r="R28" s="73">
        <f>VLOOKUP(Tabla6[[#This Row],[PG]],Listas2!H33:'Listas2'!$G$14:$K$16,4,0)</f>
        <v>0</v>
      </c>
      <c r="S28" s="73">
        <f>VLOOKUP(Tabla6[[#This Row],[PG]],Listas2!$G$14:$K$16,2,0)</f>
        <v>0</v>
      </c>
      <c r="T28" s="66" t="s">
        <v>84</v>
      </c>
      <c r="U28" s="74">
        <v>53</v>
      </c>
      <c r="V28" s="66">
        <v>530255</v>
      </c>
      <c r="W28" s="63" t="str">
        <f>VLOOKUP(Tabla6[[#This Row],[ÍTEM PRESUPUESTARIO]],Tabla2[#All],2,0)</f>
        <v>COMBUSTIBLES</v>
      </c>
      <c r="X28" s="57">
        <v>0</v>
      </c>
      <c r="Y28" s="57">
        <f>475-75-9.37+563-563</f>
        <v>390.63</v>
      </c>
      <c r="Z28" s="58">
        <v>0</v>
      </c>
      <c r="AA28" s="58">
        <v>0</v>
      </c>
      <c r="AB28" s="58">
        <v>0</v>
      </c>
      <c r="AC28" s="58">
        <v>0</v>
      </c>
      <c r="AD28" s="58">
        <v>0</v>
      </c>
      <c r="AE28" s="58">
        <v>0</v>
      </c>
      <c r="AF28" s="58">
        <v>0</v>
      </c>
      <c r="AG28" s="58">
        <v>0</v>
      </c>
      <c r="AH28" s="58">
        <v>390.63</v>
      </c>
      <c r="AI28" s="58">
        <v>0</v>
      </c>
      <c r="AJ28" s="58">
        <v>0</v>
      </c>
      <c r="AK28" s="58">
        <v>0</v>
      </c>
      <c r="AL28" s="75">
        <f>+SUBTOTAL(9,Tabla6[[#This Row],[ENE]:[DIC]])</f>
        <v>390.63</v>
      </c>
      <c r="AM28" s="76" t="str">
        <f t="shared" si="0"/>
        <v>OK</v>
      </c>
      <c r="AN28" s="60">
        <v>390.63</v>
      </c>
      <c r="AO28" s="61">
        <f>+Tabla6[[#This Row],[PRESUPUESTO VIGENTE]]-Tabla6[[#This Row],[CERTIFICACIÓN PAPP]]</f>
        <v>0</v>
      </c>
      <c r="AP28" s="59">
        <v>0</v>
      </c>
    </row>
    <row r="29" spans="1:42" ht="93" customHeight="1" x14ac:dyDescent="0.25">
      <c r="A29" s="62" t="s">
        <v>78</v>
      </c>
      <c r="B29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29" s="64" t="s">
        <v>79</v>
      </c>
      <c r="D29" s="64" t="s">
        <v>80</v>
      </c>
      <c r="E29" s="64" t="s">
        <v>81</v>
      </c>
      <c r="F29" s="64" t="s">
        <v>82</v>
      </c>
      <c r="G29" s="64" t="s">
        <v>83</v>
      </c>
      <c r="H29" s="65" t="str">
        <f>VLOOKUP(Tabla6[[#This Row],[DIRECCIÓN]],DIRECCIÓN[#All],2,0)</f>
        <v>ADMINISTRACIÓN CENTRAL</v>
      </c>
      <c r="I29" s="66" t="s">
        <v>799</v>
      </c>
      <c r="J29" s="67">
        <v>1</v>
      </c>
      <c r="K29" s="68" t="str">
        <f>VLOOKUP(Tabla6[[#This Row],[DIRECCIÓN GENERAL / COORDINACIÓN / SUBDIRECCIÓN]],Tabla37[[#All],[Columna1]:[EOD]],2,0)</f>
        <v>266_0001</v>
      </c>
      <c r="L29" s="69">
        <f>VLOOKUP(Tabla6[[#This Row],[OBJETIVOS PND]],Listas!$A$1:$C$3,3,0)</f>
        <v>1</v>
      </c>
      <c r="M29" s="70">
        <f>VLOOKUP(Tabla6[[#This Row],[PG]],Listas2!$G$14:$K$16,5,0)</f>
        <v>0</v>
      </c>
      <c r="N29" s="71">
        <v>1</v>
      </c>
      <c r="O29" s="72">
        <v>401</v>
      </c>
      <c r="P29" s="73" t="str">
        <f>VLOOKUP(Tabla6[[#This Row],[GEO]],Listas!$A$48:$B$77,2,0)</f>
        <v>TULCÁN</v>
      </c>
      <c r="Q29" s="70">
        <f>VLOOKUP(Tabla6[[#This Row],[PG]],Listas2!$G$14:$K$16,3,0)</f>
        <v>1</v>
      </c>
      <c r="R29" s="73">
        <f>VLOOKUP(Tabla6[[#This Row],[PG]],Listas2!H34:'Listas2'!$G$14:$K$16,4,0)</f>
        <v>0</v>
      </c>
      <c r="S29" s="73">
        <f>VLOOKUP(Tabla6[[#This Row],[PG]],Listas2!$G$14:$K$16,2,0)</f>
        <v>0</v>
      </c>
      <c r="T29" s="66" t="s">
        <v>84</v>
      </c>
      <c r="U29" s="74">
        <v>53</v>
      </c>
      <c r="V29" s="66">
        <v>530301</v>
      </c>
      <c r="W29" s="63" t="str">
        <f>VLOOKUP(Tabla6[[#This Row],[ÍTEM PRESUPUESTARIO]],Tabla2[#All],2,0)</f>
        <v>PASAJES AL INTERIOR</v>
      </c>
      <c r="X29" s="57">
        <v>100</v>
      </c>
      <c r="Y29" s="57">
        <f>100-100</f>
        <v>0</v>
      </c>
      <c r="Z29" s="58">
        <v>0</v>
      </c>
      <c r="AA29" s="58">
        <v>0</v>
      </c>
      <c r="AB29" s="58">
        <v>0</v>
      </c>
      <c r="AC29" s="58">
        <v>0</v>
      </c>
      <c r="AD29" s="58">
        <v>0</v>
      </c>
      <c r="AE29" s="58">
        <v>0</v>
      </c>
      <c r="AF29" s="58">
        <v>0</v>
      </c>
      <c r="AG29" s="58">
        <v>0</v>
      </c>
      <c r="AH29" s="58">
        <v>0</v>
      </c>
      <c r="AI29" s="58">
        <v>0</v>
      </c>
      <c r="AJ29" s="58">
        <v>0</v>
      </c>
      <c r="AK29" s="58">
        <v>0</v>
      </c>
      <c r="AL29" s="75">
        <f>+SUBTOTAL(9,Tabla6[[#This Row],[ENE]:[DIC]])</f>
        <v>0</v>
      </c>
      <c r="AM29" s="76" t="str">
        <f t="shared" si="0"/>
        <v>OK</v>
      </c>
      <c r="AN29" s="60">
        <v>0</v>
      </c>
      <c r="AO29" s="61">
        <f>+Tabla6[[#This Row],[PRESUPUESTO VIGENTE]]-Tabla6[[#This Row],[CERTIFICACIÓN PAPP]]</f>
        <v>0</v>
      </c>
      <c r="AP29" s="59">
        <v>0</v>
      </c>
    </row>
    <row r="30" spans="1:42" ht="93" customHeight="1" x14ac:dyDescent="0.25">
      <c r="A30" s="62" t="s">
        <v>78</v>
      </c>
      <c r="B30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30" s="64" t="s">
        <v>79</v>
      </c>
      <c r="D30" s="64" t="s">
        <v>80</v>
      </c>
      <c r="E30" s="64" t="s">
        <v>81</v>
      </c>
      <c r="F30" s="64" t="s">
        <v>82</v>
      </c>
      <c r="G30" s="64" t="s">
        <v>83</v>
      </c>
      <c r="H30" s="65" t="str">
        <f>VLOOKUP(Tabla6[[#This Row],[DIRECCIÓN]],DIRECCIÓN[#All],2,0)</f>
        <v>ADMINISTRACIÓN CENTRAL</v>
      </c>
      <c r="I30" s="66" t="s">
        <v>800</v>
      </c>
      <c r="J30" s="67">
        <v>1</v>
      </c>
      <c r="K30" s="68" t="str">
        <f>VLOOKUP(Tabla6[[#This Row],[DIRECCIÓN GENERAL / COORDINACIÓN / SUBDIRECCIÓN]],Tabla37[[#All],[Columna1]:[EOD]],2,0)</f>
        <v>266_0001</v>
      </c>
      <c r="L30" s="69">
        <f>VLOOKUP(Tabla6[[#This Row],[OBJETIVOS PND]],Listas!$A$1:$C$3,3,0)</f>
        <v>1</v>
      </c>
      <c r="M30" s="70">
        <f>VLOOKUP(Tabla6[[#This Row],[PG]],Listas2!$G$14:$K$16,5,0)</f>
        <v>0</v>
      </c>
      <c r="N30" s="71">
        <v>1</v>
      </c>
      <c r="O30" s="72">
        <v>401</v>
      </c>
      <c r="P30" s="73" t="str">
        <f>VLOOKUP(Tabla6[[#This Row],[GEO]],Listas!$A$48:$B$77,2,0)</f>
        <v>TULCÁN</v>
      </c>
      <c r="Q30" s="70">
        <f>VLOOKUP(Tabla6[[#This Row],[PG]],Listas2!$G$14:$K$16,3,0)</f>
        <v>1</v>
      </c>
      <c r="R30" s="73">
        <f>VLOOKUP(Tabla6[[#This Row],[PG]],Listas2!H35:'Listas2'!$G$14:$K$16,4,0)</f>
        <v>0</v>
      </c>
      <c r="S30" s="73">
        <f>VLOOKUP(Tabla6[[#This Row],[PG]],Listas2!$G$14:$K$16,2,0)</f>
        <v>0</v>
      </c>
      <c r="T30" s="66" t="s">
        <v>84</v>
      </c>
      <c r="U30" s="74">
        <v>53</v>
      </c>
      <c r="V30" s="66">
        <v>530303</v>
      </c>
      <c r="W30" s="63" t="str">
        <f>VLOOKUP(Tabla6[[#This Row],[ÍTEM PRESUPUESTARIO]],Tabla2[#All],2,0)</f>
        <v>VIÁTICOS Y SUBSISTENCIAS EN EL INTERIOR</v>
      </c>
      <c r="X30" s="57">
        <v>1500</v>
      </c>
      <c r="Y30" s="57">
        <f>1500+646.06+3075+3067.9+1500-750+2000-2750</f>
        <v>8288.9599999999991</v>
      </c>
      <c r="Z30" s="58">
        <v>0</v>
      </c>
      <c r="AA30" s="58">
        <v>0</v>
      </c>
      <c r="AB30" s="58">
        <v>0</v>
      </c>
      <c r="AC30" s="58">
        <v>0</v>
      </c>
      <c r="AD30" s="58">
        <v>0</v>
      </c>
      <c r="AE30" s="58">
        <v>0</v>
      </c>
      <c r="AF30" s="58">
        <v>0</v>
      </c>
      <c r="AG30" s="58">
        <v>0</v>
      </c>
      <c r="AH30" s="58">
        <v>0</v>
      </c>
      <c r="AI30" s="58">
        <v>0</v>
      </c>
      <c r="AJ30" s="58">
        <v>0</v>
      </c>
      <c r="AK30" s="58">
        <v>8288.9599999999991</v>
      </c>
      <c r="AL30" s="75">
        <f>+SUBTOTAL(9,Tabla6[[#This Row],[ENE]:[DIC]])</f>
        <v>8288.9599999999991</v>
      </c>
      <c r="AM30" s="76" t="str">
        <f t="shared" si="0"/>
        <v>OK</v>
      </c>
      <c r="AN30" s="60">
        <f>1500-148.51+794.57-358.57+1833.57-172.21+4840.11</f>
        <v>8288.9599999999991</v>
      </c>
      <c r="AO30" s="61">
        <f>+Tabla6[[#This Row],[PRESUPUESTO VIGENTE]]-Tabla6[[#This Row],[CERTIFICACIÓN PAPP]]</f>
        <v>0</v>
      </c>
      <c r="AP30" s="59" t="s">
        <v>87</v>
      </c>
    </row>
    <row r="31" spans="1:42" ht="93" customHeight="1" x14ac:dyDescent="0.25">
      <c r="A31" s="62" t="s">
        <v>78</v>
      </c>
      <c r="B31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31" s="64" t="s">
        <v>79</v>
      </c>
      <c r="D31" s="64" t="s">
        <v>80</v>
      </c>
      <c r="E31" s="64" t="s">
        <v>81</v>
      </c>
      <c r="F31" s="64" t="s">
        <v>82</v>
      </c>
      <c r="G31" s="64" t="s">
        <v>83</v>
      </c>
      <c r="H31" s="65" t="str">
        <f>VLOOKUP(Tabla6[[#This Row],[DIRECCIÓN]],DIRECCIÓN[#All],2,0)</f>
        <v>ADMINISTRACIÓN CENTRAL</v>
      </c>
      <c r="I31" s="66" t="s">
        <v>801</v>
      </c>
      <c r="J31" s="67">
        <v>1</v>
      </c>
      <c r="K31" s="68" t="str">
        <f>VLOOKUP(Tabla6[[#This Row],[DIRECCIÓN GENERAL / COORDINACIÓN / SUBDIRECCIÓN]],Tabla37[[#All],[Columna1]:[EOD]],2,0)</f>
        <v>266_0001</v>
      </c>
      <c r="L31" s="69">
        <f>VLOOKUP(Tabla6[[#This Row],[OBJETIVOS PND]],Listas!$A$1:$C$3,3,0)</f>
        <v>1</v>
      </c>
      <c r="M31" s="70">
        <f>VLOOKUP(Tabla6[[#This Row],[PG]],Listas2!$G$14:$K$16,5,0)</f>
        <v>0</v>
      </c>
      <c r="N31" s="71">
        <v>1</v>
      </c>
      <c r="O31" s="72">
        <v>401</v>
      </c>
      <c r="P31" s="73" t="str">
        <f>VLOOKUP(Tabla6[[#This Row],[GEO]],Listas!$A$48:$B$77,2,0)</f>
        <v>TULCÁN</v>
      </c>
      <c r="Q31" s="70">
        <f>VLOOKUP(Tabla6[[#This Row],[PG]],Listas2!$G$14:$K$16,3,0)</f>
        <v>1</v>
      </c>
      <c r="R31" s="73">
        <f>VLOOKUP(Tabla6[[#This Row],[PG]],Listas2!H36:'Listas2'!$G$14:$K$16,4,0)</f>
        <v>0</v>
      </c>
      <c r="S31" s="73">
        <f>VLOOKUP(Tabla6[[#This Row],[PG]],Listas2!$G$14:$K$16,2,0)</f>
        <v>0</v>
      </c>
      <c r="T31" s="66" t="s">
        <v>84</v>
      </c>
      <c r="U31" s="74">
        <v>53</v>
      </c>
      <c r="V31" s="66">
        <v>530402</v>
      </c>
      <c r="W31" s="63" t="str">
        <f>VLOOKUP(Tabla6[[#This Row],[ÍTEM PRESUPUESTARIO]],Tabla2[#All],2,0)</f>
        <v>EDIFICIOS, LOCALES, RESIDENCIAS Y CABLEADO ESTRUCTURADO (INSTALACIÓN, MANTENIMIENTO Y REPARACIÓN)</v>
      </c>
      <c r="X31" s="57">
        <v>5500</v>
      </c>
      <c r="Y31" s="57">
        <f>5500-1500-534.4-781.68</f>
        <v>2683.92</v>
      </c>
      <c r="Z31" s="58">
        <v>0</v>
      </c>
      <c r="AA31" s="58">
        <v>0</v>
      </c>
      <c r="AB31" s="58">
        <v>0</v>
      </c>
      <c r="AC31" s="58">
        <v>0</v>
      </c>
      <c r="AD31" s="58">
        <v>0</v>
      </c>
      <c r="AE31" s="58">
        <v>2683.92</v>
      </c>
      <c r="AF31" s="58">
        <v>0</v>
      </c>
      <c r="AG31" s="58">
        <v>0</v>
      </c>
      <c r="AH31" s="58">
        <v>0</v>
      </c>
      <c r="AI31" s="58">
        <v>0</v>
      </c>
      <c r="AJ31" s="58">
        <v>0</v>
      </c>
      <c r="AK31" s="58">
        <v>0</v>
      </c>
      <c r="AL31" s="75">
        <f>+SUBTOTAL(9,Tabla6[[#This Row],[ENE]:[DIC]])</f>
        <v>2683.92</v>
      </c>
      <c r="AM31" s="76" t="str">
        <f t="shared" si="0"/>
        <v>OK</v>
      </c>
      <c r="AN31" s="60">
        <v>2683.92</v>
      </c>
      <c r="AO31" s="61">
        <f>+Tabla6[[#This Row],[PRESUPUESTO VIGENTE]]-Tabla6[[#This Row],[CERTIFICACIÓN PAPP]]</f>
        <v>0</v>
      </c>
      <c r="AP31" s="59" t="s">
        <v>87</v>
      </c>
    </row>
    <row r="32" spans="1:42" ht="93" customHeight="1" x14ac:dyDescent="0.25">
      <c r="A32" s="62" t="s">
        <v>78</v>
      </c>
      <c r="B32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32" s="64" t="s">
        <v>79</v>
      </c>
      <c r="D32" s="64" t="s">
        <v>80</v>
      </c>
      <c r="E32" s="64" t="s">
        <v>81</v>
      </c>
      <c r="F32" s="64" t="s">
        <v>82</v>
      </c>
      <c r="G32" s="64" t="s">
        <v>83</v>
      </c>
      <c r="H32" s="65" t="str">
        <f>VLOOKUP(Tabla6[[#This Row],[DIRECCIÓN]],DIRECCIÓN[#All],2,0)</f>
        <v>ADMINISTRACIÓN CENTRAL</v>
      </c>
      <c r="I32" s="66" t="s">
        <v>802</v>
      </c>
      <c r="J32" s="67">
        <v>1</v>
      </c>
      <c r="K32" s="68" t="str">
        <f>VLOOKUP(Tabla6[[#This Row],[DIRECCIÓN GENERAL / COORDINACIÓN / SUBDIRECCIÓN]],Tabla37[[#All],[Columna1]:[EOD]],2,0)</f>
        <v>266_0001</v>
      </c>
      <c r="L32" s="69">
        <f>VLOOKUP(Tabla6[[#This Row],[OBJETIVOS PND]],Listas!$A$1:$C$3,3,0)</f>
        <v>1</v>
      </c>
      <c r="M32" s="70">
        <f>VLOOKUP(Tabla6[[#This Row],[PG]],Listas2!$G$14:$K$16,5,0)</f>
        <v>0</v>
      </c>
      <c r="N32" s="71">
        <v>1</v>
      </c>
      <c r="O32" s="72">
        <v>401</v>
      </c>
      <c r="P32" s="73" t="str">
        <f>VLOOKUP(Tabla6[[#This Row],[GEO]],Listas!$A$48:$B$77,2,0)</f>
        <v>TULCÁN</v>
      </c>
      <c r="Q32" s="70">
        <f>VLOOKUP(Tabla6[[#This Row],[PG]],Listas2!$G$14:$K$16,3,0)</f>
        <v>1</v>
      </c>
      <c r="R32" s="73">
        <f>VLOOKUP(Tabla6[[#This Row],[PG]],Listas2!H37:'Listas2'!$G$14:$K$16,4,0)</f>
        <v>0</v>
      </c>
      <c r="S32" s="73">
        <f>VLOOKUP(Tabla6[[#This Row],[PG]],Listas2!$G$14:$K$16,2,0)</f>
        <v>0</v>
      </c>
      <c r="T32" s="66" t="s">
        <v>84</v>
      </c>
      <c r="U32" s="74">
        <v>53</v>
      </c>
      <c r="V32" s="66">
        <v>530402</v>
      </c>
      <c r="W32" s="63" t="str">
        <f>VLOOKUP(Tabla6[[#This Row],[ÍTEM PRESUPUESTARIO]],Tabla2[#All],2,0)</f>
        <v>EDIFICIOS, LOCALES, RESIDENCIAS Y CABLEADO ESTRUCTURADO (INSTALACIÓN, MANTENIMIENTO Y REPARACIÓN)</v>
      </c>
      <c r="X32" s="57">
        <v>3000</v>
      </c>
      <c r="Y32" s="57">
        <f>3000-1000+534.4-854.4</f>
        <v>1680</v>
      </c>
      <c r="Z32" s="58">
        <v>0</v>
      </c>
      <c r="AA32" s="58">
        <v>0</v>
      </c>
      <c r="AB32" s="58">
        <v>0</v>
      </c>
      <c r="AC32" s="58">
        <v>0</v>
      </c>
      <c r="AD32" s="58">
        <v>0</v>
      </c>
      <c r="AE32" s="58">
        <v>1680</v>
      </c>
      <c r="AF32" s="58">
        <v>0</v>
      </c>
      <c r="AG32" s="58">
        <v>0</v>
      </c>
      <c r="AH32" s="58">
        <v>0</v>
      </c>
      <c r="AI32" s="58">
        <v>0</v>
      </c>
      <c r="AJ32" s="58">
        <v>0</v>
      </c>
      <c r="AK32" s="58">
        <v>0</v>
      </c>
      <c r="AL32" s="75">
        <f>+SUBTOTAL(9,Tabla6[[#This Row],[ENE]:[DIC]])</f>
        <v>1680</v>
      </c>
      <c r="AM32" s="76" t="str">
        <f t="shared" si="0"/>
        <v>OK</v>
      </c>
      <c r="AN32" s="60">
        <v>1680</v>
      </c>
      <c r="AO32" s="61">
        <f>+Tabla6[[#This Row],[PRESUPUESTO VIGENTE]]-Tabla6[[#This Row],[CERTIFICACIÓN PAPP]]</f>
        <v>0</v>
      </c>
      <c r="AP32" s="59">
        <v>0</v>
      </c>
    </row>
    <row r="33" spans="1:42" ht="93" customHeight="1" x14ac:dyDescent="0.25">
      <c r="A33" s="62" t="s">
        <v>78</v>
      </c>
      <c r="B33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33" s="64" t="s">
        <v>79</v>
      </c>
      <c r="D33" s="64" t="s">
        <v>80</v>
      </c>
      <c r="E33" s="64" t="s">
        <v>81</v>
      </c>
      <c r="F33" s="64" t="s">
        <v>82</v>
      </c>
      <c r="G33" s="64" t="s">
        <v>83</v>
      </c>
      <c r="H33" s="65" t="str">
        <f>VLOOKUP(Tabla6[[#This Row],[DIRECCIÓN]],DIRECCIÓN[#All],2,0)</f>
        <v>ADMINISTRACIÓN CENTRAL</v>
      </c>
      <c r="I33" s="66" t="s">
        <v>803</v>
      </c>
      <c r="J33" s="67">
        <v>1</v>
      </c>
      <c r="K33" s="68" t="str">
        <f>VLOOKUP(Tabla6[[#This Row],[DIRECCIÓN GENERAL / COORDINACIÓN / SUBDIRECCIÓN]],Tabla37[[#All],[Columna1]:[EOD]],2,0)</f>
        <v>266_0001</v>
      </c>
      <c r="L33" s="69">
        <f>VLOOKUP(Tabla6[[#This Row],[OBJETIVOS PND]],Listas!$A$1:$C$3,3,0)</f>
        <v>1</v>
      </c>
      <c r="M33" s="70">
        <f>VLOOKUP(Tabla6[[#This Row],[PG]],Listas2!$G$14:$K$16,5,0)</f>
        <v>0</v>
      </c>
      <c r="N33" s="71">
        <v>1</v>
      </c>
      <c r="O33" s="72">
        <v>401</v>
      </c>
      <c r="P33" s="73" t="str">
        <f>VLOOKUP(Tabla6[[#This Row],[GEO]],Listas!$A$48:$B$77,2,0)</f>
        <v>TULCÁN</v>
      </c>
      <c r="Q33" s="70">
        <f>VLOOKUP(Tabla6[[#This Row],[PG]],Listas2!$G$14:$K$16,3,0)</f>
        <v>1</v>
      </c>
      <c r="R33" s="73">
        <f>VLOOKUP(Tabla6[[#This Row],[PG]],Listas2!H38:'Listas2'!$G$14:$K$16,4,0)</f>
        <v>0</v>
      </c>
      <c r="S33" s="73">
        <f>VLOOKUP(Tabla6[[#This Row],[PG]],Listas2!$G$14:$K$16,2,0)</f>
        <v>0</v>
      </c>
      <c r="T33" s="66" t="s">
        <v>84</v>
      </c>
      <c r="U33" s="74">
        <v>53</v>
      </c>
      <c r="V33" s="66">
        <v>530404</v>
      </c>
      <c r="W33" s="63" t="str">
        <f>VLOOKUP(Tabla6[[#This Row],[ÍTEM PRESUPUESTARIO]],Tabla2[#All],2,0)</f>
        <v>MAQUINARIAS Y EQUIPOS (INSTALACIÓN, MANTENIMIENTO Y REPARACIÓN)</v>
      </c>
      <c r="X33" s="57">
        <v>350</v>
      </c>
      <c r="Y33" s="57">
        <f>350-52.5</f>
        <v>297.5</v>
      </c>
      <c r="Z33" s="58">
        <v>0</v>
      </c>
      <c r="AA33" s="58">
        <v>0</v>
      </c>
      <c r="AB33" s="58">
        <v>0</v>
      </c>
      <c r="AC33" s="58">
        <v>0</v>
      </c>
      <c r="AD33" s="58">
        <v>0</v>
      </c>
      <c r="AE33" s="58">
        <v>0</v>
      </c>
      <c r="AF33" s="58">
        <v>0</v>
      </c>
      <c r="AG33" s="58">
        <v>297.5</v>
      </c>
      <c r="AH33" s="58">
        <v>0</v>
      </c>
      <c r="AI33" s="58">
        <v>0</v>
      </c>
      <c r="AJ33" s="58">
        <v>0</v>
      </c>
      <c r="AK33" s="58">
        <v>0</v>
      </c>
      <c r="AL33" s="75">
        <f>+SUBTOTAL(9,Tabla6[[#This Row],[ENE]:[DIC]])</f>
        <v>297.5</v>
      </c>
      <c r="AM33" s="76" t="str">
        <f t="shared" si="0"/>
        <v>OK</v>
      </c>
      <c r="AN33" s="60">
        <v>297.5</v>
      </c>
      <c r="AO33" s="61">
        <f>+Tabla6[[#This Row],[PRESUPUESTO VIGENTE]]-Tabla6[[#This Row],[CERTIFICACIÓN PAPP]]</f>
        <v>0</v>
      </c>
      <c r="AP33" s="59">
        <v>0</v>
      </c>
    </row>
    <row r="34" spans="1:42" ht="93" customHeight="1" x14ac:dyDescent="0.25">
      <c r="A34" s="62" t="s">
        <v>78</v>
      </c>
      <c r="B34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34" s="64" t="s">
        <v>79</v>
      </c>
      <c r="D34" s="64" t="s">
        <v>80</v>
      </c>
      <c r="E34" s="64" t="s">
        <v>81</v>
      </c>
      <c r="F34" s="64" t="s">
        <v>82</v>
      </c>
      <c r="G34" s="64" t="s">
        <v>83</v>
      </c>
      <c r="H34" s="65" t="str">
        <f>VLOOKUP(Tabla6[[#This Row],[DIRECCIÓN]],DIRECCIÓN[#All],2,0)</f>
        <v>ADMINISTRACIÓN CENTRAL</v>
      </c>
      <c r="I34" s="66" t="s">
        <v>804</v>
      </c>
      <c r="J34" s="67">
        <v>1</v>
      </c>
      <c r="K34" s="68" t="str">
        <f>VLOOKUP(Tabla6[[#This Row],[DIRECCIÓN GENERAL / COORDINACIÓN / SUBDIRECCIÓN]],Tabla37[[#All],[Columna1]:[EOD]],2,0)</f>
        <v>266_0001</v>
      </c>
      <c r="L34" s="69">
        <f>VLOOKUP(Tabla6[[#This Row],[OBJETIVOS PND]],Listas!$A$1:$C$3,3,0)</f>
        <v>1</v>
      </c>
      <c r="M34" s="70">
        <f>VLOOKUP(Tabla6[[#This Row],[PG]],Listas2!$G$14:$K$16,5,0)</f>
        <v>0</v>
      </c>
      <c r="N34" s="71">
        <v>1</v>
      </c>
      <c r="O34" s="72">
        <v>401</v>
      </c>
      <c r="P34" s="73" t="str">
        <f>VLOOKUP(Tabla6[[#This Row],[GEO]],Listas!$A$48:$B$77,2,0)</f>
        <v>TULCÁN</v>
      </c>
      <c r="Q34" s="70">
        <f>VLOOKUP(Tabla6[[#This Row],[PG]],Listas2!$G$14:$K$16,3,0)</f>
        <v>1</v>
      </c>
      <c r="R34" s="73">
        <f>VLOOKUP(Tabla6[[#This Row],[PG]],Listas2!H39:'Listas2'!$G$14:$K$16,4,0)</f>
        <v>0</v>
      </c>
      <c r="S34" s="73">
        <f>VLOOKUP(Tabla6[[#This Row],[PG]],Listas2!$G$14:$K$16,2,0)</f>
        <v>0</v>
      </c>
      <c r="T34" s="66" t="s">
        <v>84</v>
      </c>
      <c r="U34" s="74">
        <v>53</v>
      </c>
      <c r="V34" s="66">
        <v>530404</v>
      </c>
      <c r="W34" s="63" t="str">
        <f>VLOOKUP(Tabla6[[#This Row],[ÍTEM PRESUPUESTARIO]],Tabla2[#All],2,0)</f>
        <v>MAQUINARIAS Y EQUIPOS (INSTALACIÓN, MANTENIMIENTO Y REPARACIÓN)</v>
      </c>
      <c r="X34" s="57">
        <v>2000</v>
      </c>
      <c r="Y34" s="57">
        <f>2000+1000-1072.25-52.5</f>
        <v>1875.25</v>
      </c>
      <c r="Z34" s="58">
        <v>0</v>
      </c>
      <c r="AA34" s="58">
        <v>0</v>
      </c>
      <c r="AB34" s="58">
        <v>192.78</v>
      </c>
      <c r="AC34" s="58">
        <v>192.78</v>
      </c>
      <c r="AD34" s="58">
        <v>192.78</v>
      </c>
      <c r="AE34" s="58">
        <v>192.78</v>
      </c>
      <c r="AF34" s="58">
        <v>192.78</v>
      </c>
      <c r="AG34" s="58">
        <v>192.78</v>
      </c>
      <c r="AH34" s="58">
        <v>192.78</v>
      </c>
      <c r="AI34" s="58">
        <v>192.78</v>
      </c>
      <c r="AJ34" s="58">
        <v>192.78</v>
      </c>
      <c r="AK34" s="58">
        <v>140.23000000000002</v>
      </c>
      <c r="AL34" s="75">
        <f>+SUBTOTAL(9,Tabla6[[#This Row],[ENE]:[DIC]])</f>
        <v>1875.25</v>
      </c>
      <c r="AM34" s="76" t="str">
        <f t="shared" si="0"/>
        <v>OK</v>
      </c>
      <c r="AN34" s="60">
        <v>1875.25</v>
      </c>
      <c r="AO34" s="61">
        <f>+Tabla6[[#This Row],[PRESUPUESTO VIGENTE]]-Tabla6[[#This Row],[CERTIFICACIÓN PAPP]]</f>
        <v>0</v>
      </c>
      <c r="AP34" s="59">
        <v>0</v>
      </c>
    </row>
    <row r="35" spans="1:42" ht="93" customHeight="1" x14ac:dyDescent="0.25">
      <c r="A35" s="62" t="s">
        <v>78</v>
      </c>
      <c r="B35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35" s="64" t="s">
        <v>79</v>
      </c>
      <c r="D35" s="64" t="s">
        <v>80</v>
      </c>
      <c r="E35" s="64" t="s">
        <v>81</v>
      </c>
      <c r="F35" s="64" t="s">
        <v>82</v>
      </c>
      <c r="G35" s="64" t="s">
        <v>83</v>
      </c>
      <c r="H35" s="65" t="str">
        <f>VLOOKUP(Tabla6[[#This Row],[DIRECCIÓN]],DIRECCIÓN[#All],2,0)</f>
        <v>ADMINISTRACIÓN CENTRAL</v>
      </c>
      <c r="I35" s="66" t="s">
        <v>805</v>
      </c>
      <c r="J35" s="67">
        <v>1</v>
      </c>
      <c r="K35" s="68" t="str">
        <f>VLOOKUP(Tabla6[[#This Row],[DIRECCIÓN GENERAL / COORDINACIÓN / SUBDIRECCIÓN]],Tabla37[[#All],[Columna1]:[EOD]],2,0)</f>
        <v>266_0001</v>
      </c>
      <c r="L35" s="69">
        <f>VLOOKUP(Tabla6[[#This Row],[OBJETIVOS PND]],Listas!$A$1:$C$3,3,0)</f>
        <v>1</v>
      </c>
      <c r="M35" s="70">
        <f>VLOOKUP(Tabla6[[#This Row],[PG]],Listas2!$G$14:$K$16,5,0)</f>
        <v>0</v>
      </c>
      <c r="N35" s="71">
        <v>1</v>
      </c>
      <c r="O35" s="72">
        <v>401</v>
      </c>
      <c r="P35" s="73" t="str">
        <f>VLOOKUP(Tabla6[[#This Row],[GEO]],Listas!$A$48:$B$77,2,0)</f>
        <v>TULCÁN</v>
      </c>
      <c r="Q35" s="70">
        <f>VLOOKUP(Tabla6[[#This Row],[PG]],Listas2!$G$14:$K$16,3,0)</f>
        <v>1</v>
      </c>
      <c r="R35" s="73">
        <f>VLOOKUP(Tabla6[[#This Row],[PG]],Listas2!H40:'Listas2'!$G$14:$K$16,4,0)</f>
        <v>0</v>
      </c>
      <c r="S35" s="73">
        <f>VLOOKUP(Tabla6[[#This Row],[PG]],Listas2!$G$14:$K$16,2,0)</f>
        <v>0</v>
      </c>
      <c r="T35" s="66" t="s">
        <v>84</v>
      </c>
      <c r="U35" s="74">
        <v>53</v>
      </c>
      <c r="V35" s="66">
        <v>530404</v>
      </c>
      <c r="W35" s="63" t="str">
        <f>VLOOKUP(Tabla6[[#This Row],[ÍTEM PRESUPUESTARIO]],Tabla2[#All],2,0)</f>
        <v>MAQUINARIAS Y EQUIPOS (INSTALACIÓN, MANTENIMIENTO Y REPARACIÓN)</v>
      </c>
      <c r="X35" s="57">
        <v>1500</v>
      </c>
      <c r="Y35" s="57">
        <f>1500-1500</f>
        <v>0</v>
      </c>
      <c r="Z35" s="58">
        <v>0</v>
      </c>
      <c r="AA35" s="58">
        <v>0</v>
      </c>
      <c r="AB35" s="58">
        <v>0</v>
      </c>
      <c r="AC35" s="58">
        <v>0</v>
      </c>
      <c r="AD35" s="58">
        <v>0</v>
      </c>
      <c r="AE35" s="58">
        <v>0</v>
      </c>
      <c r="AF35" s="58">
        <v>0</v>
      </c>
      <c r="AG35" s="58">
        <v>0</v>
      </c>
      <c r="AH35" s="58">
        <v>0</v>
      </c>
      <c r="AI35" s="58">
        <v>0</v>
      </c>
      <c r="AJ35" s="58">
        <v>0</v>
      </c>
      <c r="AK35" s="58">
        <v>0</v>
      </c>
      <c r="AL35" s="75">
        <f>+SUBTOTAL(9,Tabla6[[#This Row],[ENE]:[DIC]])</f>
        <v>0</v>
      </c>
      <c r="AM35" s="76" t="str">
        <f t="shared" si="0"/>
        <v>OK</v>
      </c>
      <c r="AN35" s="60">
        <v>0</v>
      </c>
      <c r="AO35" s="61">
        <f>+Tabla6[[#This Row],[PRESUPUESTO VIGENTE]]-Tabla6[[#This Row],[CERTIFICACIÓN PAPP]]</f>
        <v>0</v>
      </c>
      <c r="AP35" s="59">
        <v>0</v>
      </c>
    </row>
    <row r="36" spans="1:42" ht="93" customHeight="1" x14ac:dyDescent="0.25">
      <c r="A36" s="62" t="s">
        <v>78</v>
      </c>
      <c r="B36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36" s="64" t="s">
        <v>79</v>
      </c>
      <c r="D36" s="64" t="s">
        <v>80</v>
      </c>
      <c r="E36" s="64" t="s">
        <v>81</v>
      </c>
      <c r="F36" s="64" t="s">
        <v>82</v>
      </c>
      <c r="G36" s="64" t="s">
        <v>83</v>
      </c>
      <c r="H36" s="65" t="str">
        <f>VLOOKUP(Tabla6[[#This Row],[DIRECCIÓN]],DIRECCIÓN[#All],2,0)</f>
        <v>ADMINISTRACIÓN CENTRAL</v>
      </c>
      <c r="I36" s="66" t="s">
        <v>806</v>
      </c>
      <c r="J36" s="67">
        <v>1</v>
      </c>
      <c r="K36" s="68" t="str">
        <f>VLOOKUP(Tabla6[[#This Row],[DIRECCIÓN GENERAL / COORDINACIÓN / SUBDIRECCIÓN]],Tabla37[[#All],[Columna1]:[EOD]],2,0)</f>
        <v>266_0001</v>
      </c>
      <c r="L36" s="69">
        <f>VLOOKUP(Tabla6[[#This Row],[OBJETIVOS PND]],Listas!$A$1:$C$3,3,0)</f>
        <v>1</v>
      </c>
      <c r="M36" s="70">
        <f>VLOOKUP(Tabla6[[#This Row],[PG]],Listas2!$G$14:$K$16,5,0)</f>
        <v>0</v>
      </c>
      <c r="N36" s="71">
        <v>1</v>
      </c>
      <c r="O36" s="72">
        <v>401</v>
      </c>
      <c r="P36" s="73" t="str">
        <f>VLOOKUP(Tabla6[[#This Row],[GEO]],Listas!$A$48:$B$77,2,0)</f>
        <v>TULCÁN</v>
      </c>
      <c r="Q36" s="70">
        <f>VLOOKUP(Tabla6[[#This Row],[PG]],Listas2!$G$14:$K$16,3,0)</f>
        <v>1</v>
      </c>
      <c r="R36" s="73">
        <f>VLOOKUP(Tabla6[[#This Row],[PG]],Listas2!H41:'Listas2'!$G$14:$K$16,4,0)</f>
        <v>0</v>
      </c>
      <c r="S36" s="73">
        <f>VLOOKUP(Tabla6[[#This Row],[PG]],Listas2!$G$14:$K$16,2,0)</f>
        <v>0</v>
      </c>
      <c r="T36" s="66" t="s">
        <v>84</v>
      </c>
      <c r="U36" s="74">
        <v>53</v>
      </c>
      <c r="V36" s="66">
        <v>530405</v>
      </c>
      <c r="W36" s="63" t="str">
        <f>VLOOKUP(Tabla6[[#This Row],[ÍTEM PRESUPUESTARIO]],Tabla2[#All],2,0)</f>
        <v>VEHÍCULOS (SERVICIO PARA MANTENIMIENTO Y REPARACIÓN)</v>
      </c>
      <c r="X36" s="57">
        <v>650</v>
      </c>
      <c r="Y36" s="57">
        <f>650-48.08-66</f>
        <v>535.91999999999996</v>
      </c>
      <c r="Z36" s="58">
        <v>0</v>
      </c>
      <c r="AA36" s="58">
        <v>0</v>
      </c>
      <c r="AB36" s="58">
        <v>163</v>
      </c>
      <c r="AC36" s="58">
        <v>0</v>
      </c>
      <c r="AD36" s="58">
        <v>0</v>
      </c>
      <c r="AE36" s="58">
        <v>163</v>
      </c>
      <c r="AF36" s="58">
        <v>0</v>
      </c>
      <c r="AG36" s="58">
        <v>0</v>
      </c>
      <c r="AH36" s="58">
        <v>163</v>
      </c>
      <c r="AI36" s="58">
        <v>0</v>
      </c>
      <c r="AJ36" s="58">
        <v>0</v>
      </c>
      <c r="AK36" s="58">
        <v>46.919999999999959</v>
      </c>
      <c r="AL36" s="75">
        <f>+SUBTOTAL(9,Tabla6[[#This Row],[ENE]:[DIC]])</f>
        <v>535.91999999999996</v>
      </c>
      <c r="AM36" s="76" t="str">
        <f t="shared" si="0"/>
        <v>OK</v>
      </c>
      <c r="AN36" s="60">
        <v>535.91999999999996</v>
      </c>
      <c r="AO36" s="61">
        <f>+Tabla6[[#This Row],[PRESUPUESTO VIGENTE]]-Tabla6[[#This Row],[CERTIFICACIÓN PAPP]]</f>
        <v>0</v>
      </c>
      <c r="AP36" s="59">
        <v>0</v>
      </c>
    </row>
    <row r="37" spans="1:42" ht="93" customHeight="1" x14ac:dyDescent="0.25">
      <c r="A37" s="62" t="s">
        <v>78</v>
      </c>
      <c r="B37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37" s="64" t="s">
        <v>79</v>
      </c>
      <c r="D37" s="64" t="s">
        <v>80</v>
      </c>
      <c r="E37" s="64" t="s">
        <v>81</v>
      </c>
      <c r="F37" s="64" t="s">
        <v>82</v>
      </c>
      <c r="G37" s="64" t="s">
        <v>83</v>
      </c>
      <c r="H37" s="65" t="str">
        <f>VLOOKUP(Tabla6[[#This Row],[DIRECCIÓN]],DIRECCIÓN[#All],2,0)</f>
        <v>ADMINISTRACIÓN CENTRAL</v>
      </c>
      <c r="I37" s="66" t="s">
        <v>807</v>
      </c>
      <c r="J37" s="67">
        <v>1</v>
      </c>
      <c r="K37" s="68" t="str">
        <f>VLOOKUP(Tabla6[[#This Row],[DIRECCIÓN GENERAL / COORDINACIÓN / SUBDIRECCIÓN]],Tabla37[[#All],[Columna1]:[EOD]],2,0)</f>
        <v>266_0001</v>
      </c>
      <c r="L37" s="69">
        <f>VLOOKUP(Tabla6[[#This Row],[OBJETIVOS PND]],Listas!$A$1:$C$3,3,0)</f>
        <v>1</v>
      </c>
      <c r="M37" s="70">
        <f>VLOOKUP(Tabla6[[#This Row],[PG]],Listas2!$G$14:$K$16,5,0)</f>
        <v>0</v>
      </c>
      <c r="N37" s="71">
        <v>1</v>
      </c>
      <c r="O37" s="72">
        <v>401</v>
      </c>
      <c r="P37" s="73" t="str">
        <f>VLOOKUP(Tabla6[[#This Row],[GEO]],Listas!$A$48:$B$77,2,0)</f>
        <v>TULCÁN</v>
      </c>
      <c r="Q37" s="70">
        <f>VLOOKUP(Tabla6[[#This Row],[PG]],Listas2!$G$14:$K$16,3,0)</f>
        <v>1</v>
      </c>
      <c r="R37" s="73">
        <f>VLOOKUP(Tabla6[[#This Row],[PG]],Listas2!H42:'Listas2'!$G$14:$K$16,4,0)</f>
        <v>0</v>
      </c>
      <c r="S37" s="73">
        <f>VLOOKUP(Tabla6[[#This Row],[PG]],Listas2!$G$14:$K$16,2,0)</f>
        <v>0</v>
      </c>
      <c r="T37" s="66" t="s">
        <v>84</v>
      </c>
      <c r="U37" s="74">
        <v>53</v>
      </c>
      <c r="V37" s="66">
        <v>530704</v>
      </c>
      <c r="W37" s="63" t="str">
        <f>VLOOKUP(Tabla6[[#This Row],[ÍTEM PRESUPUESTARIO]],Tabla2[#All],2,0)</f>
        <v xml:space="preserve">MANTENIMIENTO Y REPARACIÓN DE EQUIPOS Y SISTEMAS INFORMÁTICOS </v>
      </c>
      <c r="X37" s="57">
        <v>500</v>
      </c>
      <c r="Y37" s="57">
        <f>500-450</f>
        <v>50</v>
      </c>
      <c r="Z37" s="58">
        <v>0</v>
      </c>
      <c r="AA37" s="58">
        <v>0</v>
      </c>
      <c r="AB37" s="58">
        <v>0</v>
      </c>
      <c r="AC37" s="58">
        <v>0</v>
      </c>
      <c r="AD37" s="58">
        <v>0</v>
      </c>
      <c r="AE37" s="58">
        <v>0</v>
      </c>
      <c r="AF37" s="58">
        <v>0</v>
      </c>
      <c r="AG37" s="58">
        <v>0</v>
      </c>
      <c r="AH37" s="58">
        <v>50</v>
      </c>
      <c r="AI37" s="58">
        <v>0</v>
      </c>
      <c r="AJ37" s="58">
        <v>0</v>
      </c>
      <c r="AK37" s="58">
        <v>0</v>
      </c>
      <c r="AL37" s="75">
        <f>+SUBTOTAL(9,Tabla6[[#This Row],[ENE]:[DIC]])</f>
        <v>50</v>
      </c>
      <c r="AM37" s="76" t="str">
        <f t="shared" si="0"/>
        <v>OK</v>
      </c>
      <c r="AN37" s="60">
        <v>50</v>
      </c>
      <c r="AO37" s="61">
        <f>+Tabla6[[#This Row],[PRESUPUESTO VIGENTE]]-Tabla6[[#This Row],[CERTIFICACIÓN PAPP]]</f>
        <v>0</v>
      </c>
      <c r="AP37" s="59">
        <v>0</v>
      </c>
    </row>
    <row r="38" spans="1:42" ht="93" customHeight="1" x14ac:dyDescent="0.25">
      <c r="A38" s="62" t="s">
        <v>78</v>
      </c>
      <c r="B38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38" s="64" t="s">
        <v>79</v>
      </c>
      <c r="D38" s="64" t="s">
        <v>80</v>
      </c>
      <c r="E38" s="64" t="s">
        <v>81</v>
      </c>
      <c r="F38" s="64" t="s">
        <v>82</v>
      </c>
      <c r="G38" s="64" t="s">
        <v>83</v>
      </c>
      <c r="H38" s="65" t="str">
        <f>VLOOKUP(Tabla6[[#This Row],[DIRECCIÓN]],DIRECCIÓN[#All],2,0)</f>
        <v>ADMINISTRACIÓN CENTRAL</v>
      </c>
      <c r="I38" s="66" t="s">
        <v>808</v>
      </c>
      <c r="J38" s="67">
        <v>1</v>
      </c>
      <c r="K38" s="68" t="str">
        <f>VLOOKUP(Tabla6[[#This Row],[DIRECCIÓN GENERAL / COORDINACIÓN / SUBDIRECCIÓN]],Tabla37[[#All],[Columna1]:[EOD]],2,0)</f>
        <v>266_0001</v>
      </c>
      <c r="L38" s="69">
        <f>VLOOKUP(Tabla6[[#This Row],[OBJETIVOS PND]],Listas!$A$1:$C$3,3,0)</f>
        <v>1</v>
      </c>
      <c r="M38" s="70">
        <f>VLOOKUP(Tabla6[[#This Row],[PG]],Listas2!$G$14:$K$16,5,0)</f>
        <v>0</v>
      </c>
      <c r="N38" s="71">
        <v>1</v>
      </c>
      <c r="O38" s="72">
        <v>401</v>
      </c>
      <c r="P38" s="73" t="str">
        <f>VLOOKUP(Tabla6[[#This Row],[GEO]],Listas!$A$48:$B$77,2,0)</f>
        <v>TULCÁN</v>
      </c>
      <c r="Q38" s="70">
        <f>VLOOKUP(Tabla6[[#This Row],[PG]],Listas2!$G$14:$K$16,3,0)</f>
        <v>1</v>
      </c>
      <c r="R38" s="73">
        <f>VLOOKUP(Tabla6[[#This Row],[PG]],Listas2!H43:'Listas2'!$G$14:$K$16,4,0)</f>
        <v>0</v>
      </c>
      <c r="S38" s="73">
        <f>VLOOKUP(Tabla6[[#This Row],[PG]],Listas2!$G$14:$K$16,2,0)</f>
        <v>0</v>
      </c>
      <c r="T38" s="66" t="s">
        <v>84</v>
      </c>
      <c r="U38" s="74">
        <v>53</v>
      </c>
      <c r="V38" s="66">
        <v>530802</v>
      </c>
      <c r="W38" s="63" t="str">
        <f>VLOOKUP(Tabla6[[#This Row],[ÍTEM PRESUPUESTARIO]],Tabla2[#All],2,0)</f>
        <v>VESTUARIO, LENCERÍA, PRENDAS DE PROTECCIÓN Y ACCESORIOS PARA UNIFORMES DEL PERSONAL DE PROTECCIÓN, VIGILANCIA Y SEGURIDAD</v>
      </c>
      <c r="X38" s="57">
        <v>1744</v>
      </c>
      <c r="Y38" s="57">
        <f>1744-430.27-441.58</f>
        <v>872.15000000000009</v>
      </c>
      <c r="Z38" s="58">
        <v>0</v>
      </c>
      <c r="AA38" s="58">
        <v>0</v>
      </c>
      <c r="AB38" s="58">
        <v>0</v>
      </c>
      <c r="AC38" s="58">
        <v>0</v>
      </c>
      <c r="AD38" s="58">
        <v>0</v>
      </c>
      <c r="AE38" s="58">
        <v>0</v>
      </c>
      <c r="AF38" s="58">
        <v>0</v>
      </c>
      <c r="AG38" s="58">
        <v>872.15</v>
      </c>
      <c r="AH38" s="58">
        <v>0</v>
      </c>
      <c r="AI38" s="58">
        <v>0</v>
      </c>
      <c r="AJ38" s="58">
        <v>0</v>
      </c>
      <c r="AK38" s="58">
        <v>0</v>
      </c>
      <c r="AL38" s="75">
        <f>+SUBTOTAL(9,Tabla6[[#This Row],[ENE]:[DIC]])</f>
        <v>872.15</v>
      </c>
      <c r="AM38" s="76" t="str">
        <f t="shared" si="0"/>
        <v>OK</v>
      </c>
      <c r="AN38" s="60">
        <v>872.15</v>
      </c>
      <c r="AO38" s="61">
        <f>+Tabla6[[#This Row],[PRESUPUESTO VIGENTE]]-Tabla6[[#This Row],[CERTIFICACIÓN PAPP]]</f>
        <v>0</v>
      </c>
      <c r="AP38" s="59">
        <v>0</v>
      </c>
    </row>
    <row r="39" spans="1:42" ht="93" customHeight="1" x14ac:dyDescent="0.25">
      <c r="A39" s="62" t="s">
        <v>78</v>
      </c>
      <c r="B39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39" s="64" t="s">
        <v>79</v>
      </c>
      <c r="D39" s="64" t="s">
        <v>80</v>
      </c>
      <c r="E39" s="64" t="s">
        <v>81</v>
      </c>
      <c r="F39" s="64" t="s">
        <v>82</v>
      </c>
      <c r="G39" s="64" t="s">
        <v>83</v>
      </c>
      <c r="H39" s="65" t="str">
        <f>VLOOKUP(Tabla6[[#This Row],[DIRECCIÓN]],DIRECCIÓN[#All],2,0)</f>
        <v>ADMINISTRACIÓN CENTRAL</v>
      </c>
      <c r="I39" s="66" t="s">
        <v>809</v>
      </c>
      <c r="J39" s="67">
        <v>1</v>
      </c>
      <c r="K39" s="68" t="str">
        <f>VLOOKUP(Tabla6[[#This Row],[DIRECCIÓN GENERAL / COORDINACIÓN / SUBDIRECCIÓN]],Tabla37[[#All],[Columna1]:[EOD]],2,0)</f>
        <v>266_0001</v>
      </c>
      <c r="L39" s="69">
        <f>VLOOKUP(Tabla6[[#This Row],[OBJETIVOS PND]],Listas!$A$1:$C$3,3,0)</f>
        <v>1</v>
      </c>
      <c r="M39" s="70">
        <f>VLOOKUP(Tabla6[[#This Row],[PG]],Listas2!$G$14:$K$16,5,0)</f>
        <v>0</v>
      </c>
      <c r="N39" s="71">
        <v>1</v>
      </c>
      <c r="O39" s="72">
        <v>401</v>
      </c>
      <c r="P39" s="73" t="str">
        <f>VLOOKUP(Tabla6[[#This Row],[GEO]],Listas!$A$48:$B$77,2,0)</f>
        <v>TULCÁN</v>
      </c>
      <c r="Q39" s="70">
        <f>VLOOKUP(Tabla6[[#This Row],[PG]],Listas2!$G$14:$K$16,3,0)</f>
        <v>1</v>
      </c>
      <c r="R39" s="73">
        <f>VLOOKUP(Tabla6[[#This Row],[PG]],Listas2!H44:'Listas2'!$G$14:$K$16,4,0)</f>
        <v>0</v>
      </c>
      <c r="S39" s="73">
        <f>VLOOKUP(Tabla6[[#This Row],[PG]],Listas2!$G$14:$K$16,2,0)</f>
        <v>0</v>
      </c>
      <c r="T39" s="66" t="s">
        <v>84</v>
      </c>
      <c r="U39" s="74">
        <v>53</v>
      </c>
      <c r="V39" s="66">
        <v>530803</v>
      </c>
      <c r="W39" s="63" t="str">
        <f>VLOOKUP(Tabla6[[#This Row],[ÍTEM PRESUPUESTARIO]],Tabla2[#All],2,0)</f>
        <v>LUBRICANTES</v>
      </c>
      <c r="X39" s="57">
        <v>350</v>
      </c>
      <c r="Y39" s="57">
        <f>350-61.76</f>
        <v>288.24</v>
      </c>
      <c r="Z39" s="58">
        <v>0</v>
      </c>
      <c r="AA39" s="58">
        <v>0</v>
      </c>
      <c r="AB39" s="58">
        <v>88</v>
      </c>
      <c r="AC39" s="58">
        <v>0</v>
      </c>
      <c r="AD39" s="58">
        <v>0</v>
      </c>
      <c r="AE39" s="58">
        <v>88</v>
      </c>
      <c r="AF39" s="58">
        <v>0</v>
      </c>
      <c r="AG39" s="58">
        <v>0</v>
      </c>
      <c r="AH39" s="58">
        <v>88</v>
      </c>
      <c r="AI39" s="58">
        <v>0</v>
      </c>
      <c r="AJ39" s="58">
        <v>0</v>
      </c>
      <c r="AK39" s="58">
        <v>24.240000000000009</v>
      </c>
      <c r="AL39" s="75">
        <f>+SUBTOTAL(9,Tabla6[[#This Row],[ENE]:[DIC]])</f>
        <v>288.24</v>
      </c>
      <c r="AM39" s="76" t="str">
        <f t="shared" si="0"/>
        <v>OK</v>
      </c>
      <c r="AN39" s="60">
        <v>288.24</v>
      </c>
      <c r="AO39" s="61">
        <f>+Tabla6[[#This Row],[PRESUPUESTO VIGENTE]]-Tabla6[[#This Row],[CERTIFICACIÓN PAPP]]</f>
        <v>0</v>
      </c>
      <c r="AP39" s="59">
        <v>0</v>
      </c>
    </row>
    <row r="40" spans="1:42" ht="93" customHeight="1" x14ac:dyDescent="0.25">
      <c r="A40" s="62" t="s">
        <v>78</v>
      </c>
      <c r="B40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40" s="64" t="s">
        <v>79</v>
      </c>
      <c r="D40" s="64" t="s">
        <v>80</v>
      </c>
      <c r="E40" s="64" t="s">
        <v>81</v>
      </c>
      <c r="F40" s="64" t="s">
        <v>82</v>
      </c>
      <c r="G40" s="64" t="s">
        <v>83</v>
      </c>
      <c r="H40" s="65" t="str">
        <f>VLOOKUP(Tabla6[[#This Row],[DIRECCIÓN]],DIRECCIÓN[#All],2,0)</f>
        <v>ADMINISTRACIÓN CENTRAL</v>
      </c>
      <c r="I40" s="66" t="s">
        <v>797</v>
      </c>
      <c r="J40" s="67">
        <v>1</v>
      </c>
      <c r="K40" s="68" t="str">
        <f>VLOOKUP(Tabla6[[#This Row],[DIRECCIÓN GENERAL / COORDINACIÓN / SUBDIRECCIÓN]],Tabla37[[#All],[Columna1]:[EOD]],2,0)</f>
        <v>266_0001</v>
      </c>
      <c r="L40" s="69">
        <f>VLOOKUP(Tabla6[[#This Row],[OBJETIVOS PND]],Listas!$A$1:$C$3,3,0)</f>
        <v>1</v>
      </c>
      <c r="M40" s="70">
        <f>VLOOKUP(Tabla6[[#This Row],[PG]],Listas2!$G$14:$K$16,5,0)</f>
        <v>0</v>
      </c>
      <c r="N40" s="71">
        <v>1</v>
      </c>
      <c r="O40" s="72">
        <v>401</v>
      </c>
      <c r="P40" s="73" t="str">
        <f>VLOOKUP(Tabla6[[#This Row],[GEO]],Listas!$A$48:$B$77,2,0)</f>
        <v>TULCÁN</v>
      </c>
      <c r="Q40" s="70">
        <f>VLOOKUP(Tabla6[[#This Row],[PG]],Listas2!$G$14:$K$16,3,0)</f>
        <v>1</v>
      </c>
      <c r="R40" s="73">
        <f>VLOOKUP(Tabla6[[#This Row],[PG]],Listas2!H45:'Listas2'!$G$14:$K$16,4,0)</f>
        <v>0</v>
      </c>
      <c r="S40" s="73">
        <f>VLOOKUP(Tabla6[[#This Row],[PG]],Listas2!$G$14:$K$16,2,0)</f>
        <v>0</v>
      </c>
      <c r="T40" s="66" t="s">
        <v>84</v>
      </c>
      <c r="U40" s="74">
        <v>53</v>
      </c>
      <c r="V40" s="66">
        <v>530803</v>
      </c>
      <c r="W40" s="63" t="str">
        <f>VLOOKUP(Tabla6[[#This Row],[ÍTEM PRESUPUESTARIO]],Tabla2[#All],2,0)</f>
        <v>LUBRICANTES</v>
      </c>
      <c r="X40" s="57">
        <v>1000</v>
      </c>
      <c r="Y40" s="57">
        <f>1000-1000</f>
        <v>0</v>
      </c>
      <c r="Z40" s="58">
        <v>0</v>
      </c>
      <c r="AA40" s="58">
        <v>0</v>
      </c>
      <c r="AB40" s="58">
        <v>0</v>
      </c>
      <c r="AC40" s="58">
        <v>0</v>
      </c>
      <c r="AD40" s="58">
        <v>0</v>
      </c>
      <c r="AE40" s="58">
        <v>0</v>
      </c>
      <c r="AF40" s="58">
        <v>0</v>
      </c>
      <c r="AG40" s="58">
        <v>0</v>
      </c>
      <c r="AH40" s="58">
        <v>0</v>
      </c>
      <c r="AI40" s="58">
        <v>0</v>
      </c>
      <c r="AJ40" s="58">
        <v>0</v>
      </c>
      <c r="AK40" s="58">
        <v>0</v>
      </c>
      <c r="AL40" s="75">
        <f>+SUBTOTAL(9,Tabla6[[#This Row],[ENE]:[DIC]])</f>
        <v>0</v>
      </c>
      <c r="AM40" s="76" t="str">
        <f t="shared" si="0"/>
        <v>OK</v>
      </c>
      <c r="AN40" s="60">
        <v>0</v>
      </c>
      <c r="AO40" s="61">
        <f>+Tabla6[[#This Row],[PRESUPUESTO VIGENTE]]-Tabla6[[#This Row],[CERTIFICACIÓN PAPP]]</f>
        <v>0</v>
      </c>
      <c r="AP40" s="59">
        <v>0</v>
      </c>
    </row>
    <row r="41" spans="1:42" ht="93" customHeight="1" x14ac:dyDescent="0.25">
      <c r="A41" s="62" t="s">
        <v>78</v>
      </c>
      <c r="B41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41" s="64" t="s">
        <v>79</v>
      </c>
      <c r="D41" s="64" t="s">
        <v>80</v>
      </c>
      <c r="E41" s="64" t="s">
        <v>81</v>
      </c>
      <c r="F41" s="64" t="s">
        <v>82</v>
      </c>
      <c r="G41" s="64" t="s">
        <v>83</v>
      </c>
      <c r="H41" s="65" t="str">
        <f>VLOOKUP(Tabla6[[#This Row],[DIRECCIÓN]],DIRECCIÓN[#All],2,0)</f>
        <v>ADMINISTRACIÓN CENTRAL</v>
      </c>
      <c r="I41" s="66" t="s">
        <v>798</v>
      </c>
      <c r="J41" s="67">
        <v>1</v>
      </c>
      <c r="K41" s="68" t="str">
        <f>VLOOKUP(Tabla6[[#This Row],[DIRECCIÓN GENERAL / COORDINACIÓN / SUBDIRECCIÓN]],Tabla37[[#All],[Columna1]:[EOD]],2,0)</f>
        <v>266_0001</v>
      </c>
      <c r="L41" s="69">
        <f>VLOOKUP(Tabla6[[#This Row],[OBJETIVOS PND]],Listas!$A$1:$C$3,3,0)</f>
        <v>1</v>
      </c>
      <c r="M41" s="70">
        <f>VLOOKUP(Tabla6[[#This Row],[PG]],Listas2!$G$14:$K$16,5,0)</f>
        <v>0</v>
      </c>
      <c r="N41" s="71">
        <v>1</v>
      </c>
      <c r="O41" s="72">
        <v>401</v>
      </c>
      <c r="P41" s="73" t="str">
        <f>VLOOKUP(Tabla6[[#This Row],[GEO]],Listas!$A$48:$B$77,2,0)</f>
        <v>TULCÁN</v>
      </c>
      <c r="Q41" s="70">
        <f>VLOOKUP(Tabla6[[#This Row],[PG]],Listas2!$G$14:$K$16,3,0)</f>
        <v>1</v>
      </c>
      <c r="R41" s="73">
        <f>VLOOKUP(Tabla6[[#This Row],[PG]],Listas2!H46:'Listas2'!$G$14:$K$16,4,0)</f>
        <v>0</v>
      </c>
      <c r="S41" s="73">
        <f>VLOOKUP(Tabla6[[#This Row],[PG]],Listas2!$G$14:$K$16,2,0)</f>
        <v>0</v>
      </c>
      <c r="T41" s="66" t="s">
        <v>84</v>
      </c>
      <c r="U41" s="74">
        <v>53</v>
      </c>
      <c r="V41" s="66">
        <v>530803</v>
      </c>
      <c r="W41" s="63" t="str">
        <f>VLOOKUP(Tabla6[[#This Row],[ÍTEM PRESUPUESTARIO]],Tabla2[#All],2,0)</f>
        <v>LUBRICANTES</v>
      </c>
      <c r="X41" s="57">
        <v>475</v>
      </c>
      <c r="Y41" s="57">
        <f>475-475</f>
        <v>0</v>
      </c>
      <c r="Z41" s="58">
        <v>0</v>
      </c>
      <c r="AA41" s="58">
        <v>0</v>
      </c>
      <c r="AB41" s="58">
        <v>0</v>
      </c>
      <c r="AC41" s="58">
        <v>0</v>
      </c>
      <c r="AD41" s="58">
        <v>0</v>
      </c>
      <c r="AE41" s="58">
        <v>0</v>
      </c>
      <c r="AF41" s="58">
        <v>0</v>
      </c>
      <c r="AG41" s="58">
        <v>0</v>
      </c>
      <c r="AH41" s="58">
        <v>0</v>
      </c>
      <c r="AI41" s="58">
        <v>0</v>
      </c>
      <c r="AJ41" s="58">
        <v>0</v>
      </c>
      <c r="AK41" s="58">
        <v>0</v>
      </c>
      <c r="AL41" s="75">
        <f>+SUBTOTAL(9,Tabla6[[#This Row],[ENE]:[DIC]])</f>
        <v>0</v>
      </c>
      <c r="AM41" s="76" t="str">
        <f t="shared" si="0"/>
        <v>OK</v>
      </c>
      <c r="AN41" s="60">
        <v>0</v>
      </c>
      <c r="AO41" s="61">
        <f>+Tabla6[[#This Row],[PRESUPUESTO VIGENTE]]-Tabla6[[#This Row],[CERTIFICACIÓN PAPP]]</f>
        <v>0</v>
      </c>
      <c r="AP41" s="59">
        <v>0</v>
      </c>
    </row>
    <row r="42" spans="1:42" ht="93" customHeight="1" x14ac:dyDescent="0.25">
      <c r="A42" s="62" t="s">
        <v>78</v>
      </c>
      <c r="B42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42" s="64" t="s">
        <v>79</v>
      </c>
      <c r="D42" s="64" t="s">
        <v>80</v>
      </c>
      <c r="E42" s="64" t="s">
        <v>81</v>
      </c>
      <c r="F42" s="64" t="s">
        <v>82</v>
      </c>
      <c r="G42" s="64" t="s">
        <v>83</v>
      </c>
      <c r="H42" s="65" t="str">
        <f>VLOOKUP(Tabla6[[#This Row],[DIRECCIÓN]],DIRECCIÓN[#All],2,0)</f>
        <v>ADMINISTRACIÓN CENTRAL</v>
      </c>
      <c r="I42" s="66" t="s">
        <v>810</v>
      </c>
      <c r="J42" s="67">
        <v>2</v>
      </c>
      <c r="K42" s="68" t="str">
        <f>VLOOKUP(Tabla6[[#This Row],[DIRECCIÓN GENERAL / COORDINACIÓN / SUBDIRECCIÓN]],Tabla37[[#All],[Columna1]:[EOD]],2,0)</f>
        <v>266_0001</v>
      </c>
      <c r="L42" s="69">
        <f>VLOOKUP(Tabla6[[#This Row],[OBJETIVOS PND]],Listas!$A$1:$C$3,3,0)</f>
        <v>1</v>
      </c>
      <c r="M42" s="70">
        <f>VLOOKUP(Tabla6[[#This Row],[PG]],Listas2!$G$14:$K$16,5,0)</f>
        <v>0</v>
      </c>
      <c r="N42" s="71">
        <v>1</v>
      </c>
      <c r="O42" s="72">
        <v>401</v>
      </c>
      <c r="P42" s="73" t="str">
        <f>VLOOKUP(Tabla6[[#This Row],[GEO]],Listas!$A$48:$B$77,2,0)</f>
        <v>TULCÁN</v>
      </c>
      <c r="Q42" s="70">
        <f>VLOOKUP(Tabla6[[#This Row],[PG]],Listas2!$G$14:$K$16,3,0)</f>
        <v>1</v>
      </c>
      <c r="R42" s="73">
        <f>VLOOKUP(Tabla6[[#This Row],[PG]],Listas2!H47:'Listas2'!$G$14:$K$16,4,0)</f>
        <v>0</v>
      </c>
      <c r="S42" s="73">
        <f>VLOOKUP(Tabla6[[#This Row],[PG]],Listas2!$G$14:$K$16,2,0)</f>
        <v>0</v>
      </c>
      <c r="T42" s="66" t="s">
        <v>84</v>
      </c>
      <c r="U42" s="74">
        <v>53</v>
      </c>
      <c r="V42" s="66">
        <v>530803</v>
      </c>
      <c r="W42" s="63" t="str">
        <f>VLOOKUP(Tabla6[[#This Row],[ÍTEM PRESUPUESTARIO]],Tabla2[#All],2,0)</f>
        <v>LUBRICANTES</v>
      </c>
      <c r="X42" s="57">
        <v>0</v>
      </c>
      <c r="Y42" s="57">
        <f>1000-800-120-9.75-36.4</f>
        <v>33.85</v>
      </c>
      <c r="Z42" s="58">
        <v>0</v>
      </c>
      <c r="AA42" s="58">
        <v>0</v>
      </c>
      <c r="AB42" s="58">
        <v>0</v>
      </c>
      <c r="AC42" s="58">
        <v>0</v>
      </c>
      <c r="AD42" s="58">
        <v>0</v>
      </c>
      <c r="AE42" s="58">
        <v>0</v>
      </c>
      <c r="AF42" s="58">
        <v>33.85</v>
      </c>
      <c r="AG42" s="58">
        <v>0</v>
      </c>
      <c r="AH42" s="58">
        <v>0</v>
      </c>
      <c r="AI42" s="58">
        <v>0</v>
      </c>
      <c r="AJ42" s="58">
        <v>0</v>
      </c>
      <c r="AK42" s="58">
        <v>0</v>
      </c>
      <c r="AL42" s="75">
        <f>+SUBTOTAL(9,Tabla6[[#This Row],[ENE]:[DIC]])</f>
        <v>33.85</v>
      </c>
      <c r="AM42" s="76" t="str">
        <f t="shared" si="0"/>
        <v>OK</v>
      </c>
      <c r="AN42" s="60">
        <v>33.85</v>
      </c>
      <c r="AO42" s="61">
        <f>+Tabla6[[#This Row],[PRESUPUESTO VIGENTE]]-Tabla6[[#This Row],[CERTIFICACIÓN PAPP]]</f>
        <v>0</v>
      </c>
      <c r="AP42" s="59">
        <v>0</v>
      </c>
    </row>
    <row r="43" spans="1:42" ht="93" customHeight="1" x14ac:dyDescent="0.25">
      <c r="A43" s="62" t="s">
        <v>78</v>
      </c>
      <c r="B43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43" s="64" t="s">
        <v>79</v>
      </c>
      <c r="D43" s="64" t="s">
        <v>80</v>
      </c>
      <c r="E43" s="64" t="s">
        <v>81</v>
      </c>
      <c r="F43" s="64" t="s">
        <v>82</v>
      </c>
      <c r="G43" s="64" t="s">
        <v>83</v>
      </c>
      <c r="H43" s="65" t="str">
        <f>VLOOKUP(Tabla6[[#This Row],[DIRECCIÓN]],DIRECCIÓN[#All],2,0)</f>
        <v>ADMINISTRACIÓN CENTRAL</v>
      </c>
      <c r="I43" s="66" t="s">
        <v>811</v>
      </c>
      <c r="J43" s="67">
        <v>1</v>
      </c>
      <c r="K43" s="68" t="str">
        <f>VLOOKUP(Tabla6[[#This Row],[DIRECCIÓN GENERAL / COORDINACIÓN / SUBDIRECCIÓN]],Tabla37[[#All],[Columna1]:[EOD]],2,0)</f>
        <v>266_0001</v>
      </c>
      <c r="L43" s="69">
        <f>VLOOKUP(Tabla6[[#This Row],[OBJETIVOS PND]],Listas!$A$1:$C$3,3,0)</f>
        <v>1</v>
      </c>
      <c r="M43" s="70">
        <f>VLOOKUP(Tabla6[[#This Row],[PG]],Listas2!$G$14:$K$16,5,0)</f>
        <v>0</v>
      </c>
      <c r="N43" s="71">
        <v>1</v>
      </c>
      <c r="O43" s="72">
        <v>401</v>
      </c>
      <c r="P43" s="73" t="str">
        <f>VLOOKUP(Tabla6[[#This Row],[GEO]],Listas!$A$48:$B$77,2,0)</f>
        <v>TULCÁN</v>
      </c>
      <c r="Q43" s="70">
        <f>VLOOKUP(Tabla6[[#This Row],[PG]],Listas2!$G$14:$K$16,3,0)</f>
        <v>1</v>
      </c>
      <c r="R43" s="73">
        <f>VLOOKUP(Tabla6[[#This Row],[PG]],Listas2!H48:'Listas2'!$G$14:$K$16,4,0)</f>
        <v>0</v>
      </c>
      <c r="S43" s="73">
        <f>VLOOKUP(Tabla6[[#This Row],[PG]],Listas2!$G$14:$K$16,2,0)</f>
        <v>0</v>
      </c>
      <c r="T43" s="66" t="s">
        <v>84</v>
      </c>
      <c r="U43" s="74">
        <v>53</v>
      </c>
      <c r="V43" s="66">
        <v>530804</v>
      </c>
      <c r="W43" s="63" t="str">
        <f>VLOOKUP(Tabla6[[#This Row],[ÍTEM PRESUPUESTARIO]],Tabla2[#All],2,0)</f>
        <v>MATERIALES DE OFICINA</v>
      </c>
      <c r="X43" s="57">
        <v>200</v>
      </c>
      <c r="Y43" s="57">
        <f>200+300-427.89</f>
        <v>72.110000000000014</v>
      </c>
      <c r="Z43" s="58">
        <v>0</v>
      </c>
      <c r="AA43" s="58">
        <v>0</v>
      </c>
      <c r="AB43" s="58">
        <v>0</v>
      </c>
      <c r="AC43" s="58">
        <v>0</v>
      </c>
      <c r="AD43" s="58">
        <v>72.11</v>
      </c>
      <c r="AE43" s="58">
        <v>0</v>
      </c>
      <c r="AF43" s="58">
        <v>0</v>
      </c>
      <c r="AG43" s="58">
        <v>0</v>
      </c>
      <c r="AH43" s="58">
        <v>0</v>
      </c>
      <c r="AI43" s="58">
        <v>0</v>
      </c>
      <c r="AJ43" s="58">
        <v>0</v>
      </c>
      <c r="AK43" s="58">
        <v>0</v>
      </c>
      <c r="AL43" s="75">
        <f>+SUBTOTAL(9,Tabla6[[#This Row],[ENE]:[DIC]])</f>
        <v>72.11</v>
      </c>
      <c r="AM43" s="76" t="str">
        <f t="shared" si="0"/>
        <v>OK</v>
      </c>
      <c r="AN43" s="60">
        <v>72.11</v>
      </c>
      <c r="AO43" s="61">
        <f>+Tabla6[[#This Row],[PRESUPUESTO VIGENTE]]-Tabla6[[#This Row],[CERTIFICACIÓN PAPP]]</f>
        <v>0</v>
      </c>
      <c r="AP43" s="59" t="s">
        <v>87</v>
      </c>
    </row>
    <row r="44" spans="1:42" ht="93" customHeight="1" x14ac:dyDescent="0.25">
      <c r="A44" s="62" t="s">
        <v>78</v>
      </c>
      <c r="B44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44" s="64" t="s">
        <v>79</v>
      </c>
      <c r="D44" s="64" t="s">
        <v>80</v>
      </c>
      <c r="E44" s="64" t="s">
        <v>81</v>
      </c>
      <c r="F44" s="64" t="s">
        <v>82</v>
      </c>
      <c r="G44" s="64" t="s">
        <v>83</v>
      </c>
      <c r="H44" s="65" t="str">
        <f>VLOOKUP(Tabla6[[#This Row],[DIRECCIÓN]],DIRECCIÓN[#All],2,0)</f>
        <v>ADMINISTRACIÓN CENTRAL</v>
      </c>
      <c r="I44" s="66" t="s">
        <v>812</v>
      </c>
      <c r="J44" s="67">
        <v>1</v>
      </c>
      <c r="K44" s="68" t="str">
        <f>VLOOKUP(Tabla6[[#This Row],[DIRECCIÓN GENERAL / COORDINACIÓN / SUBDIRECCIÓN]],Tabla37[[#All],[Columna1]:[EOD]],2,0)</f>
        <v>266_0001</v>
      </c>
      <c r="L44" s="69">
        <f>VLOOKUP(Tabla6[[#This Row],[OBJETIVOS PND]],Listas!$A$1:$C$3,3,0)</f>
        <v>1</v>
      </c>
      <c r="M44" s="70">
        <f>VLOOKUP(Tabla6[[#This Row],[PG]],Listas2!$G$14:$K$16,5,0)</f>
        <v>0</v>
      </c>
      <c r="N44" s="71">
        <v>1</v>
      </c>
      <c r="O44" s="72">
        <v>401</v>
      </c>
      <c r="P44" s="73" t="str">
        <f>VLOOKUP(Tabla6[[#This Row],[GEO]],Listas!$A$48:$B$77,2,0)</f>
        <v>TULCÁN</v>
      </c>
      <c r="Q44" s="70">
        <f>VLOOKUP(Tabla6[[#This Row],[PG]],Listas2!$G$14:$K$16,3,0)</f>
        <v>1</v>
      </c>
      <c r="R44" s="73">
        <f>VLOOKUP(Tabla6[[#This Row],[PG]],Listas2!H49:'Listas2'!$G$14:$K$16,4,0)</f>
        <v>0</v>
      </c>
      <c r="S44" s="73">
        <f>VLOOKUP(Tabla6[[#This Row],[PG]],Listas2!$G$14:$K$16,2,0)</f>
        <v>0</v>
      </c>
      <c r="T44" s="66" t="s">
        <v>84</v>
      </c>
      <c r="U44" s="74">
        <v>53</v>
      </c>
      <c r="V44" s="66">
        <v>530804</v>
      </c>
      <c r="W44" s="63" t="str">
        <f>VLOOKUP(Tabla6[[#This Row],[ÍTEM PRESUPUESTARIO]],Tabla2[#All],2,0)</f>
        <v>MATERIALES DE OFICINA</v>
      </c>
      <c r="X44" s="57">
        <v>500</v>
      </c>
      <c r="Y44" s="57">
        <f>500-100-95.58</f>
        <v>304.42</v>
      </c>
      <c r="Z44" s="58">
        <v>0</v>
      </c>
      <c r="AA44" s="58">
        <v>0</v>
      </c>
      <c r="AB44" s="58">
        <v>0</v>
      </c>
      <c r="AC44" s="58">
        <v>304.42</v>
      </c>
      <c r="AD44" s="58">
        <v>0</v>
      </c>
      <c r="AE44" s="58">
        <v>0</v>
      </c>
      <c r="AF44" s="58">
        <v>0</v>
      </c>
      <c r="AG44" s="58">
        <v>0</v>
      </c>
      <c r="AH44" s="58">
        <v>0</v>
      </c>
      <c r="AI44" s="58">
        <v>0</v>
      </c>
      <c r="AJ44" s="58">
        <v>0</v>
      </c>
      <c r="AK44" s="58">
        <v>0</v>
      </c>
      <c r="AL44" s="75">
        <f>+SUBTOTAL(9,Tabla6[[#This Row],[ENE]:[DIC]])</f>
        <v>304.42</v>
      </c>
      <c r="AM44" s="76" t="str">
        <f t="shared" si="0"/>
        <v>OK</v>
      </c>
      <c r="AN44" s="60">
        <f>118.92+185.5</f>
        <v>304.42</v>
      </c>
      <c r="AO44" s="61">
        <f>+Tabla6[[#This Row],[PRESUPUESTO VIGENTE]]-Tabla6[[#This Row],[CERTIFICACIÓN PAPP]]</f>
        <v>0</v>
      </c>
      <c r="AP44" s="59">
        <v>0</v>
      </c>
    </row>
    <row r="45" spans="1:42" ht="93" customHeight="1" x14ac:dyDescent="0.25">
      <c r="A45" s="62" t="s">
        <v>78</v>
      </c>
      <c r="B45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45" s="64" t="s">
        <v>85</v>
      </c>
      <c r="D45" s="64" t="s">
        <v>80</v>
      </c>
      <c r="E45" s="64" t="s">
        <v>81</v>
      </c>
      <c r="F45" s="64" t="s">
        <v>82</v>
      </c>
      <c r="G45" s="64" t="s">
        <v>86</v>
      </c>
      <c r="H45" s="65" t="str">
        <f>VLOOKUP(Tabla6[[#This Row],[DIRECCIÓN]],DIRECCIÓN[#All],2,0)</f>
        <v>COMUNICACIÓN SOCIAL</v>
      </c>
      <c r="I45" s="66" t="s">
        <v>790</v>
      </c>
      <c r="J45" s="67">
        <v>2</v>
      </c>
      <c r="K45" s="68" t="str">
        <f>VLOOKUP(Tabla6[[#This Row],[DIRECCIÓN GENERAL / COORDINACIÓN / SUBDIRECCIÓN]],Tabla37[[#All],[Columna1]:[EOD]],2,0)</f>
        <v>266_0001</v>
      </c>
      <c r="L45" s="69">
        <f>VLOOKUP(Tabla6[[#This Row],[OBJETIVOS PND]],Listas!$A$1:$C$3,3,0)</f>
        <v>1</v>
      </c>
      <c r="M45" s="70">
        <f>VLOOKUP(Tabla6[[#This Row],[PG]],Listas2!$G$14:$K$16,5,0)</f>
        <v>0</v>
      </c>
      <c r="N45" s="71">
        <v>1</v>
      </c>
      <c r="O45" s="72">
        <v>401</v>
      </c>
      <c r="P45" s="73" t="str">
        <f>VLOOKUP(Tabla6[[#This Row],[GEO]],Listas!$A$48:$B$77,2,0)</f>
        <v>TULCÁN</v>
      </c>
      <c r="Q45" s="70">
        <f>VLOOKUP(Tabla6[[#This Row],[PG]],Listas2!$G$14:$K$16,3,0)</f>
        <v>1</v>
      </c>
      <c r="R45" s="73">
        <f>VLOOKUP(Tabla6[[#This Row],[PG]],Listas2!H50:'Listas2'!$G$14:$K$16,4,0)</f>
        <v>0</v>
      </c>
      <c r="S45" s="73">
        <f>VLOOKUP(Tabla6[[#This Row],[PG]],Listas2!$G$14:$K$16,2,0)</f>
        <v>0</v>
      </c>
      <c r="T45" s="66" t="s">
        <v>84</v>
      </c>
      <c r="U45" s="74">
        <v>53</v>
      </c>
      <c r="V45" s="66">
        <v>530804</v>
      </c>
      <c r="W45" s="63" t="str">
        <f>VLOOKUP(Tabla6[[#This Row],[ÍTEM PRESUPUESTARIO]],Tabla2[#All],2,0)</f>
        <v>MATERIALES DE OFICINA</v>
      </c>
      <c r="X45" s="57">
        <v>0</v>
      </c>
      <c r="Y45" s="57">
        <f>675-165</f>
        <v>510</v>
      </c>
      <c r="Z45" s="58">
        <v>0</v>
      </c>
      <c r="AA45" s="58">
        <v>0</v>
      </c>
      <c r="AB45" s="58">
        <v>0</v>
      </c>
      <c r="AC45" s="58">
        <v>0</v>
      </c>
      <c r="AD45" s="58">
        <v>510</v>
      </c>
      <c r="AE45" s="58">
        <v>0</v>
      </c>
      <c r="AF45" s="58">
        <v>0</v>
      </c>
      <c r="AG45" s="58">
        <v>0</v>
      </c>
      <c r="AH45" s="58">
        <v>0</v>
      </c>
      <c r="AI45" s="58">
        <v>0</v>
      </c>
      <c r="AJ45" s="58">
        <v>0</v>
      </c>
      <c r="AK45" s="58">
        <v>0</v>
      </c>
      <c r="AL45" s="75">
        <f>+SUBTOTAL(9,Tabla6[[#This Row],[ENE]:[DIC]])</f>
        <v>510</v>
      </c>
      <c r="AM45" s="76" t="str">
        <f t="shared" si="0"/>
        <v>OK</v>
      </c>
      <c r="AN45" s="60">
        <v>510</v>
      </c>
      <c r="AO45" s="61">
        <f>+Tabla6[[#This Row],[PRESUPUESTO VIGENTE]]-Tabla6[[#This Row],[CERTIFICACIÓN PAPP]]</f>
        <v>0</v>
      </c>
      <c r="AP45" s="59">
        <v>0</v>
      </c>
    </row>
    <row r="46" spans="1:42" ht="93" customHeight="1" x14ac:dyDescent="0.25">
      <c r="A46" s="62" t="s">
        <v>78</v>
      </c>
      <c r="B46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46" s="64" t="s">
        <v>79</v>
      </c>
      <c r="D46" s="64" t="s">
        <v>80</v>
      </c>
      <c r="E46" s="64" t="s">
        <v>81</v>
      </c>
      <c r="F46" s="64" t="s">
        <v>82</v>
      </c>
      <c r="G46" s="64" t="s">
        <v>83</v>
      </c>
      <c r="H46" s="65" t="str">
        <f>VLOOKUP(Tabla6[[#This Row],[DIRECCIÓN]],DIRECCIÓN[#All],2,0)</f>
        <v>ADMINISTRACIÓN CENTRAL</v>
      </c>
      <c r="I46" s="66" t="s">
        <v>813</v>
      </c>
      <c r="J46" s="67">
        <v>1</v>
      </c>
      <c r="K46" s="68" t="str">
        <f>VLOOKUP(Tabla6[[#This Row],[DIRECCIÓN GENERAL / COORDINACIÓN / SUBDIRECCIÓN]],Tabla37[[#All],[Columna1]:[EOD]],2,0)</f>
        <v>266_0001</v>
      </c>
      <c r="L46" s="69">
        <f>VLOOKUP(Tabla6[[#This Row],[OBJETIVOS PND]],Listas!$A$1:$C$3,3,0)</f>
        <v>1</v>
      </c>
      <c r="M46" s="70">
        <f>VLOOKUP(Tabla6[[#This Row],[PG]],Listas2!$G$14:$K$16,5,0)</f>
        <v>0</v>
      </c>
      <c r="N46" s="71">
        <v>1</v>
      </c>
      <c r="O46" s="72">
        <v>401</v>
      </c>
      <c r="P46" s="73" t="str">
        <f>VLOOKUP(Tabla6[[#This Row],[GEO]],Listas!$A$48:$B$77,2,0)</f>
        <v>TULCÁN</v>
      </c>
      <c r="Q46" s="70">
        <f>VLOOKUP(Tabla6[[#This Row],[PG]],Listas2!$G$14:$K$16,3,0)</f>
        <v>1</v>
      </c>
      <c r="R46" s="73">
        <f>VLOOKUP(Tabla6[[#This Row],[PG]],Listas2!H51:'Listas2'!$G$14:$K$16,4,0)</f>
        <v>0</v>
      </c>
      <c r="S46" s="73">
        <f>VLOOKUP(Tabla6[[#This Row],[PG]],Listas2!$G$14:$K$16,2,0)</f>
        <v>0</v>
      </c>
      <c r="T46" s="66" t="s">
        <v>84</v>
      </c>
      <c r="U46" s="74">
        <v>53</v>
      </c>
      <c r="V46" s="66">
        <v>530804</v>
      </c>
      <c r="W46" s="63" t="str">
        <f>VLOOKUP(Tabla6[[#This Row],[ÍTEM PRESUPUESTARIO]],Tabla2[#All],2,0)</f>
        <v>MATERIALES DE OFICINA</v>
      </c>
      <c r="X46" s="57">
        <v>0</v>
      </c>
      <c r="Y46" s="57">
        <f>598-299+129.15-428.15</f>
        <v>0</v>
      </c>
      <c r="Z46" s="58">
        <v>0</v>
      </c>
      <c r="AA46" s="58">
        <v>0</v>
      </c>
      <c r="AB46" s="58">
        <v>0</v>
      </c>
      <c r="AC46" s="58">
        <v>0</v>
      </c>
      <c r="AD46" s="58">
        <v>0</v>
      </c>
      <c r="AE46" s="58">
        <v>0</v>
      </c>
      <c r="AF46" s="58">
        <v>0</v>
      </c>
      <c r="AG46" s="58">
        <v>0</v>
      </c>
      <c r="AH46" s="58">
        <v>0</v>
      </c>
      <c r="AI46" s="58">
        <v>0</v>
      </c>
      <c r="AJ46" s="58">
        <v>0</v>
      </c>
      <c r="AK46" s="58">
        <v>0</v>
      </c>
      <c r="AL46" s="75">
        <f>+SUBTOTAL(9,Tabla6[[#This Row],[ENE]:[DIC]])</f>
        <v>0</v>
      </c>
      <c r="AM46" s="76" t="str">
        <f t="shared" si="0"/>
        <v>OK</v>
      </c>
      <c r="AN46" s="60">
        <v>0</v>
      </c>
      <c r="AO46" s="61">
        <f>+Tabla6[[#This Row],[PRESUPUESTO VIGENTE]]-Tabla6[[#This Row],[CERTIFICACIÓN PAPP]]</f>
        <v>0</v>
      </c>
      <c r="AP46" s="59">
        <v>0</v>
      </c>
    </row>
    <row r="47" spans="1:42" ht="93" customHeight="1" x14ac:dyDescent="0.25">
      <c r="A47" s="62" t="s">
        <v>78</v>
      </c>
      <c r="B47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47" s="64" t="s">
        <v>79</v>
      </c>
      <c r="D47" s="64" t="s">
        <v>80</v>
      </c>
      <c r="E47" s="64" t="s">
        <v>81</v>
      </c>
      <c r="F47" s="64" t="s">
        <v>82</v>
      </c>
      <c r="G47" s="64" t="s">
        <v>83</v>
      </c>
      <c r="H47" s="65" t="str">
        <f>VLOOKUP(Tabla6[[#This Row],[DIRECCIÓN]],DIRECCIÓN[#All],2,0)</f>
        <v>ADMINISTRACIÓN CENTRAL</v>
      </c>
      <c r="I47" s="66" t="s">
        <v>814</v>
      </c>
      <c r="J47" s="67">
        <v>1</v>
      </c>
      <c r="K47" s="68" t="str">
        <f>VLOOKUP(Tabla6[[#This Row],[DIRECCIÓN GENERAL / COORDINACIÓN / SUBDIRECCIÓN]],Tabla37[[#All],[Columna1]:[EOD]],2,0)</f>
        <v>266_0001</v>
      </c>
      <c r="L47" s="69">
        <f>VLOOKUP(Tabla6[[#This Row],[OBJETIVOS PND]],Listas!$A$1:$C$3,3,0)</f>
        <v>1</v>
      </c>
      <c r="M47" s="70">
        <f>VLOOKUP(Tabla6[[#This Row],[PG]],Listas2!$G$14:$K$16,5,0)</f>
        <v>0</v>
      </c>
      <c r="N47" s="71">
        <v>1</v>
      </c>
      <c r="O47" s="72">
        <v>401</v>
      </c>
      <c r="P47" s="73" t="str">
        <f>VLOOKUP(Tabla6[[#This Row],[GEO]],Listas!$A$48:$B$77,2,0)</f>
        <v>TULCÁN</v>
      </c>
      <c r="Q47" s="70">
        <f>VLOOKUP(Tabla6[[#This Row],[PG]],Listas2!$G$14:$K$16,3,0)</f>
        <v>1</v>
      </c>
      <c r="R47" s="73">
        <f>VLOOKUP(Tabla6[[#This Row],[PG]],Listas2!H52:'Listas2'!$G$14:$K$16,4,0)</f>
        <v>0</v>
      </c>
      <c r="S47" s="73">
        <f>VLOOKUP(Tabla6[[#This Row],[PG]],Listas2!$G$14:$K$16,2,0)</f>
        <v>0</v>
      </c>
      <c r="T47" s="66" t="s">
        <v>84</v>
      </c>
      <c r="U47" s="74">
        <v>53</v>
      </c>
      <c r="V47" s="66">
        <v>530805</v>
      </c>
      <c r="W47" s="63" t="str">
        <f>VLOOKUP(Tabla6[[#This Row],[ÍTEM PRESUPUESTARIO]],Tabla2[#All],2,0)</f>
        <v>MATERIALES DE ASEO</v>
      </c>
      <c r="X47" s="57">
        <v>400</v>
      </c>
      <c r="Y47" s="57">
        <f>400-400</f>
        <v>0</v>
      </c>
      <c r="Z47" s="58">
        <v>0</v>
      </c>
      <c r="AA47" s="58">
        <v>0</v>
      </c>
      <c r="AB47" s="58">
        <v>0</v>
      </c>
      <c r="AC47" s="58">
        <v>0</v>
      </c>
      <c r="AD47" s="58">
        <v>0</v>
      </c>
      <c r="AE47" s="58">
        <v>0</v>
      </c>
      <c r="AF47" s="58">
        <v>0</v>
      </c>
      <c r="AG47" s="58">
        <v>0</v>
      </c>
      <c r="AH47" s="58">
        <v>0</v>
      </c>
      <c r="AI47" s="58">
        <v>0</v>
      </c>
      <c r="AJ47" s="58">
        <v>0</v>
      </c>
      <c r="AK47" s="58">
        <v>0</v>
      </c>
      <c r="AL47" s="75">
        <f>+SUBTOTAL(9,Tabla6[[#This Row],[ENE]:[DIC]])</f>
        <v>0</v>
      </c>
      <c r="AM47" s="76" t="str">
        <f t="shared" si="0"/>
        <v>OK</v>
      </c>
      <c r="AN47" s="60">
        <v>0</v>
      </c>
      <c r="AO47" s="61">
        <f>+Tabla6[[#This Row],[PRESUPUESTO VIGENTE]]-Tabla6[[#This Row],[CERTIFICACIÓN PAPP]]</f>
        <v>0</v>
      </c>
      <c r="AP47" s="59">
        <v>0</v>
      </c>
    </row>
    <row r="48" spans="1:42" ht="93" customHeight="1" x14ac:dyDescent="0.25">
      <c r="A48" s="62" t="s">
        <v>78</v>
      </c>
      <c r="B48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48" s="64" t="s">
        <v>79</v>
      </c>
      <c r="D48" s="64" t="s">
        <v>80</v>
      </c>
      <c r="E48" s="64" t="s">
        <v>81</v>
      </c>
      <c r="F48" s="64" t="s">
        <v>82</v>
      </c>
      <c r="G48" s="64" t="s">
        <v>83</v>
      </c>
      <c r="H48" s="65" t="str">
        <f>VLOOKUP(Tabla6[[#This Row],[DIRECCIÓN]],DIRECCIÓN[#All],2,0)</f>
        <v>ADMINISTRACIÓN CENTRAL</v>
      </c>
      <c r="I48" s="66" t="s">
        <v>815</v>
      </c>
      <c r="J48" s="67">
        <v>1</v>
      </c>
      <c r="K48" s="68" t="str">
        <f>VLOOKUP(Tabla6[[#This Row],[DIRECCIÓN GENERAL / COORDINACIÓN / SUBDIRECCIÓN]],Tabla37[[#All],[Columna1]:[EOD]],2,0)</f>
        <v>266_0001</v>
      </c>
      <c r="L48" s="69">
        <f>VLOOKUP(Tabla6[[#This Row],[OBJETIVOS PND]],Listas!$A$1:$C$3,3,0)</f>
        <v>1</v>
      </c>
      <c r="M48" s="70">
        <f>VLOOKUP(Tabla6[[#This Row],[PG]],Listas2!$G$14:$K$16,5,0)</f>
        <v>0</v>
      </c>
      <c r="N48" s="71">
        <v>1</v>
      </c>
      <c r="O48" s="72">
        <v>401</v>
      </c>
      <c r="P48" s="73" t="str">
        <f>VLOOKUP(Tabla6[[#This Row],[GEO]],Listas!$A$48:$B$77,2,0)</f>
        <v>TULCÁN</v>
      </c>
      <c r="Q48" s="70">
        <f>VLOOKUP(Tabla6[[#This Row],[PG]],Listas2!$G$14:$K$16,3,0)</f>
        <v>1</v>
      </c>
      <c r="R48" s="73">
        <f>VLOOKUP(Tabla6[[#This Row],[PG]],Listas2!H53:'Listas2'!$G$14:$K$16,4,0)</f>
        <v>0</v>
      </c>
      <c r="S48" s="73">
        <f>VLOOKUP(Tabla6[[#This Row],[PG]],Listas2!$G$14:$K$16,2,0)</f>
        <v>0</v>
      </c>
      <c r="T48" s="66" t="s">
        <v>84</v>
      </c>
      <c r="U48" s="74">
        <v>53</v>
      </c>
      <c r="V48" s="66">
        <v>530807</v>
      </c>
      <c r="W48" s="63" t="str">
        <f>VLOOKUP(Tabla6[[#This Row],[ÍTEM PRESUPUESTARIO]],Tabla2[#All],2,0)</f>
        <v>MATERIALES DE IMPRESIÓN, FOTOGRAFÍA, REPRODUCCIÓN Y PUBLICACIONES</v>
      </c>
      <c r="X48" s="57">
        <v>2000</v>
      </c>
      <c r="Y48" s="57">
        <f>2000-350.9-420.5</f>
        <v>1228.5999999999999</v>
      </c>
      <c r="Z48" s="58">
        <v>0</v>
      </c>
      <c r="AA48" s="58">
        <v>0</v>
      </c>
      <c r="AB48" s="58">
        <v>0</v>
      </c>
      <c r="AC48" s="58">
        <v>0</v>
      </c>
      <c r="AD48" s="58">
        <v>0</v>
      </c>
      <c r="AE48" s="58">
        <v>0</v>
      </c>
      <c r="AF48" s="58">
        <v>1228.5999999999999</v>
      </c>
      <c r="AG48" s="58">
        <v>0</v>
      </c>
      <c r="AH48" s="58">
        <v>0</v>
      </c>
      <c r="AI48" s="58">
        <v>0</v>
      </c>
      <c r="AJ48" s="58">
        <v>0</v>
      </c>
      <c r="AK48" s="58">
        <v>0</v>
      </c>
      <c r="AL48" s="75">
        <f>+SUBTOTAL(9,Tabla6[[#This Row],[ENE]:[DIC]])</f>
        <v>1228.5999999999999</v>
      </c>
      <c r="AM48" s="76" t="str">
        <f t="shared" si="0"/>
        <v>OK</v>
      </c>
      <c r="AN48" s="60">
        <v>1228.5999999999999</v>
      </c>
      <c r="AO48" s="61">
        <f>+Tabla6[[#This Row],[PRESUPUESTO VIGENTE]]-Tabla6[[#This Row],[CERTIFICACIÓN PAPP]]</f>
        <v>0</v>
      </c>
      <c r="AP48" s="59" t="s">
        <v>87</v>
      </c>
    </row>
    <row r="49" spans="1:42" ht="93" customHeight="1" x14ac:dyDescent="0.25">
      <c r="A49" s="62" t="s">
        <v>78</v>
      </c>
      <c r="B49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49" s="64" t="s">
        <v>79</v>
      </c>
      <c r="D49" s="64" t="s">
        <v>80</v>
      </c>
      <c r="E49" s="64" t="s">
        <v>81</v>
      </c>
      <c r="F49" s="64" t="s">
        <v>82</v>
      </c>
      <c r="G49" s="64" t="s">
        <v>83</v>
      </c>
      <c r="H49" s="65" t="str">
        <f>VLOOKUP(Tabla6[[#This Row],[DIRECCIÓN]],DIRECCIÓN[#All],2,0)</f>
        <v>ADMINISTRACIÓN CENTRAL</v>
      </c>
      <c r="I49" s="66" t="s">
        <v>813</v>
      </c>
      <c r="J49" s="67">
        <v>1</v>
      </c>
      <c r="K49" s="68" t="str">
        <f>VLOOKUP(Tabla6[[#This Row],[DIRECCIÓN GENERAL / COORDINACIÓN / SUBDIRECCIÓN]],Tabla37[[#All],[Columna1]:[EOD]],2,0)</f>
        <v>266_0001</v>
      </c>
      <c r="L49" s="69">
        <f>VLOOKUP(Tabla6[[#This Row],[OBJETIVOS PND]],Listas!$A$1:$C$3,3,0)</f>
        <v>1</v>
      </c>
      <c r="M49" s="70">
        <f>VLOOKUP(Tabla6[[#This Row],[PG]],Listas2!$G$14:$K$16,5,0)</f>
        <v>0</v>
      </c>
      <c r="N49" s="71">
        <v>1</v>
      </c>
      <c r="O49" s="72">
        <v>401</v>
      </c>
      <c r="P49" s="73" t="str">
        <f>VLOOKUP(Tabla6[[#This Row],[GEO]],Listas!$A$48:$B$77,2,0)</f>
        <v>TULCÁN</v>
      </c>
      <c r="Q49" s="70">
        <f>VLOOKUP(Tabla6[[#This Row],[PG]],Listas2!$G$14:$K$16,3,0)</f>
        <v>1</v>
      </c>
      <c r="R49" s="73">
        <f>VLOOKUP(Tabla6[[#This Row],[PG]],Listas2!H54:'Listas2'!$G$14:$K$16,4,0)</f>
        <v>0</v>
      </c>
      <c r="S49" s="73">
        <f>VLOOKUP(Tabla6[[#This Row],[PG]],Listas2!$G$14:$K$16,2,0)</f>
        <v>0</v>
      </c>
      <c r="T49" s="66" t="s">
        <v>84</v>
      </c>
      <c r="U49" s="74">
        <v>53</v>
      </c>
      <c r="V49" s="66">
        <v>530807</v>
      </c>
      <c r="W49" s="63" t="str">
        <f>VLOOKUP(Tabla6[[#This Row],[ÍTEM PRESUPUESTARIO]],Tabla2[#All],2,0)</f>
        <v>MATERIALES DE IMPRESIÓN, FOTOGRAFÍA, REPRODUCCIÓN Y PUBLICACIONES</v>
      </c>
      <c r="X49" s="57">
        <v>0</v>
      </c>
      <c r="Y49" s="57">
        <f>584-292+95.5</f>
        <v>387.5</v>
      </c>
      <c r="Z49" s="58">
        <v>0</v>
      </c>
      <c r="AA49" s="58">
        <v>0</v>
      </c>
      <c r="AB49" s="58">
        <v>0</v>
      </c>
      <c r="AC49" s="58">
        <v>0</v>
      </c>
      <c r="AD49" s="58">
        <v>0</v>
      </c>
      <c r="AE49" s="58">
        <v>0</v>
      </c>
      <c r="AF49" s="58">
        <v>0</v>
      </c>
      <c r="AG49" s="58">
        <v>0</v>
      </c>
      <c r="AH49" s="58">
        <v>0</v>
      </c>
      <c r="AI49" s="58">
        <v>0</v>
      </c>
      <c r="AJ49" s="58">
        <v>387.5</v>
      </c>
      <c r="AK49" s="58">
        <v>0</v>
      </c>
      <c r="AL49" s="75">
        <f>+SUBTOTAL(9,Tabla6[[#This Row],[ENE]:[DIC]])</f>
        <v>387.5</v>
      </c>
      <c r="AM49" s="76" t="str">
        <f t="shared" si="0"/>
        <v>OK</v>
      </c>
      <c r="AN49" s="60">
        <v>387.5</v>
      </c>
      <c r="AO49" s="61">
        <f>+Tabla6[[#This Row],[PRESUPUESTO VIGENTE]]-Tabla6[[#This Row],[CERTIFICACIÓN PAPP]]</f>
        <v>0</v>
      </c>
      <c r="AP49" s="59">
        <v>0</v>
      </c>
    </row>
    <row r="50" spans="1:42" ht="93" customHeight="1" x14ac:dyDescent="0.25">
      <c r="A50" s="62" t="s">
        <v>78</v>
      </c>
      <c r="B50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50" s="64" t="s">
        <v>79</v>
      </c>
      <c r="D50" s="64" t="s">
        <v>80</v>
      </c>
      <c r="E50" s="64" t="s">
        <v>81</v>
      </c>
      <c r="F50" s="64" t="s">
        <v>82</v>
      </c>
      <c r="G50" s="64" t="s">
        <v>83</v>
      </c>
      <c r="H50" s="65" t="str">
        <f>VLOOKUP(Tabla6[[#This Row],[DIRECCIÓN]],DIRECCIÓN[#All],2,0)</f>
        <v>ADMINISTRACIÓN CENTRAL</v>
      </c>
      <c r="I50" s="66" t="s">
        <v>792</v>
      </c>
      <c r="J50" s="67">
        <v>1</v>
      </c>
      <c r="K50" s="68" t="str">
        <f>VLOOKUP(Tabla6[[#This Row],[DIRECCIÓN GENERAL / COORDINACIÓN / SUBDIRECCIÓN]],Tabla37[[#All],[Columna1]:[EOD]],2,0)</f>
        <v>266_0001</v>
      </c>
      <c r="L50" s="69">
        <f>VLOOKUP(Tabla6[[#This Row],[OBJETIVOS PND]],Listas!$A$1:$C$3,3,0)</f>
        <v>1</v>
      </c>
      <c r="M50" s="70">
        <f>VLOOKUP(Tabla6[[#This Row],[PG]],Listas2!$G$14:$K$16,5,0)</f>
        <v>0</v>
      </c>
      <c r="N50" s="71">
        <v>1</v>
      </c>
      <c r="O50" s="72">
        <v>401</v>
      </c>
      <c r="P50" s="73" t="str">
        <f>VLOOKUP(Tabla6[[#This Row],[GEO]],Listas!$A$48:$B$77,2,0)</f>
        <v>TULCÁN</v>
      </c>
      <c r="Q50" s="70">
        <f>VLOOKUP(Tabla6[[#This Row],[PG]],Listas2!$G$14:$K$16,3,0)</f>
        <v>1</v>
      </c>
      <c r="R50" s="73">
        <f>VLOOKUP(Tabla6[[#This Row],[PG]],Listas2!H55:'Listas2'!$G$14:$K$16,4,0)</f>
        <v>0</v>
      </c>
      <c r="S50" s="73">
        <f>VLOOKUP(Tabla6[[#This Row],[PG]],Listas2!$G$14:$K$16,2,0)</f>
        <v>0</v>
      </c>
      <c r="T50" s="66" t="s">
        <v>84</v>
      </c>
      <c r="U50" s="74">
        <v>53</v>
      </c>
      <c r="V50" s="66">
        <v>530811</v>
      </c>
      <c r="W50" s="63" t="str">
        <f>VLOOKUP(Tabla6[[#This Row],[ÍTEM PRESUPUESTARIO]],Tabla2[#All],2,0)</f>
        <v>INSUMOS, MATERIALES Y SUMINISTROS PARA CONSTRUCCIÓN, ELECTRICIDAD, PLOMERÍA, CARPINTERÍA, SEÑALIZACIÓN VIAL, NAVEGACIÓN, CONTRA INCENDIOS Y PLACAS</v>
      </c>
      <c r="X50" s="57">
        <v>300</v>
      </c>
      <c r="Y50" s="57">
        <f>300+50-164.4+164.4</f>
        <v>350</v>
      </c>
      <c r="Z50" s="58">
        <v>0</v>
      </c>
      <c r="AA50" s="58">
        <v>0</v>
      </c>
      <c r="AB50" s="58">
        <v>0</v>
      </c>
      <c r="AC50" s="58">
        <v>0</v>
      </c>
      <c r="AD50" s="58">
        <v>0</v>
      </c>
      <c r="AE50" s="58">
        <v>0</v>
      </c>
      <c r="AF50" s="58">
        <v>0</v>
      </c>
      <c r="AG50" s="58">
        <v>0</v>
      </c>
      <c r="AH50" s="58">
        <v>0</v>
      </c>
      <c r="AI50" s="58">
        <v>0</v>
      </c>
      <c r="AJ50" s="58">
        <v>0</v>
      </c>
      <c r="AK50" s="58">
        <v>350</v>
      </c>
      <c r="AL50" s="75">
        <f>+SUBTOTAL(9,Tabla6[[#This Row],[ENE]:[DIC]])</f>
        <v>350</v>
      </c>
      <c r="AM50" s="76" t="str">
        <f t="shared" si="0"/>
        <v>OK</v>
      </c>
      <c r="AN50" s="60">
        <v>350</v>
      </c>
      <c r="AO50" s="61">
        <f>+Tabla6[[#This Row],[PRESUPUESTO VIGENTE]]-Tabla6[[#This Row],[CERTIFICACIÓN PAPP]]</f>
        <v>0</v>
      </c>
      <c r="AP50" s="59" t="s">
        <v>87</v>
      </c>
    </row>
    <row r="51" spans="1:42" ht="93" customHeight="1" x14ac:dyDescent="0.25">
      <c r="A51" s="62" t="s">
        <v>78</v>
      </c>
      <c r="B51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51" s="64" t="s">
        <v>79</v>
      </c>
      <c r="D51" s="64" t="s">
        <v>80</v>
      </c>
      <c r="E51" s="64" t="s">
        <v>81</v>
      </c>
      <c r="F51" s="64" t="s">
        <v>82</v>
      </c>
      <c r="G51" s="64" t="s">
        <v>83</v>
      </c>
      <c r="H51" s="65" t="str">
        <f>VLOOKUP(Tabla6[[#This Row],[DIRECCIÓN]],DIRECCIÓN[#All],2,0)</f>
        <v>ADMINISTRACIÓN CENTRAL</v>
      </c>
      <c r="I51" s="66" t="s">
        <v>816</v>
      </c>
      <c r="J51" s="67">
        <v>1</v>
      </c>
      <c r="K51" s="68" t="str">
        <f>VLOOKUP(Tabla6[[#This Row],[DIRECCIÓN GENERAL / COORDINACIÓN / SUBDIRECCIÓN]],Tabla37[[#All],[Columna1]:[EOD]],2,0)</f>
        <v>266_0001</v>
      </c>
      <c r="L51" s="69">
        <f>VLOOKUP(Tabla6[[#This Row],[OBJETIVOS PND]],Listas!$A$1:$C$3,3,0)</f>
        <v>1</v>
      </c>
      <c r="M51" s="70">
        <f>VLOOKUP(Tabla6[[#This Row],[PG]],Listas2!$G$14:$K$16,5,0)</f>
        <v>0</v>
      </c>
      <c r="N51" s="71">
        <v>1</v>
      </c>
      <c r="O51" s="72">
        <v>401</v>
      </c>
      <c r="P51" s="73" t="str">
        <f>VLOOKUP(Tabla6[[#This Row],[GEO]],Listas!$A$48:$B$77,2,0)</f>
        <v>TULCÁN</v>
      </c>
      <c r="Q51" s="70">
        <f>VLOOKUP(Tabla6[[#This Row],[PG]],Listas2!$G$14:$K$16,3,0)</f>
        <v>1</v>
      </c>
      <c r="R51" s="73">
        <f>VLOOKUP(Tabla6[[#This Row],[PG]],Listas2!H56:'Listas2'!$G$14:$K$16,4,0)</f>
        <v>0</v>
      </c>
      <c r="S51" s="73">
        <f>VLOOKUP(Tabla6[[#This Row],[PG]],Listas2!$G$14:$K$16,2,0)</f>
        <v>0</v>
      </c>
      <c r="T51" s="66" t="s">
        <v>84</v>
      </c>
      <c r="U51" s="74">
        <v>53</v>
      </c>
      <c r="V51" s="66">
        <v>530811</v>
      </c>
      <c r="W51" s="63" t="str">
        <f>VLOOKUP(Tabla6[[#This Row],[ÍTEM PRESUPUESTARIO]],Tabla2[#All],2,0)</f>
        <v>INSUMOS, MATERIALES Y SUMINISTROS PARA CONSTRUCCIÓN, ELECTRICIDAD, PLOMERÍA, CARPINTERÍA, SEÑALIZACIÓN VIAL, NAVEGACIÓN, CONTRA INCENDIOS Y PLACAS</v>
      </c>
      <c r="X51" s="57">
        <v>3500</v>
      </c>
      <c r="Y51" s="57">
        <f>3500-2045-14</f>
        <v>1441</v>
      </c>
      <c r="Z51" s="58">
        <v>0</v>
      </c>
      <c r="AA51" s="58">
        <v>0</v>
      </c>
      <c r="AB51" s="58">
        <v>0</v>
      </c>
      <c r="AC51" s="58">
        <v>0</v>
      </c>
      <c r="AD51" s="58">
        <v>0</v>
      </c>
      <c r="AE51" s="58">
        <v>0</v>
      </c>
      <c r="AF51" s="58">
        <v>1441</v>
      </c>
      <c r="AG51" s="58">
        <v>0</v>
      </c>
      <c r="AH51" s="58">
        <v>0</v>
      </c>
      <c r="AI51" s="58">
        <v>0</v>
      </c>
      <c r="AJ51" s="58">
        <v>0</v>
      </c>
      <c r="AK51" s="58">
        <v>0</v>
      </c>
      <c r="AL51" s="75">
        <f>+SUBTOTAL(9,Tabla6[[#This Row],[ENE]:[DIC]])</f>
        <v>1441</v>
      </c>
      <c r="AM51" s="76" t="str">
        <f t="shared" si="0"/>
        <v>OK</v>
      </c>
      <c r="AN51" s="60">
        <v>1441</v>
      </c>
      <c r="AO51" s="61">
        <f>+Tabla6[[#This Row],[PRESUPUESTO VIGENTE]]-Tabla6[[#This Row],[CERTIFICACIÓN PAPP]]</f>
        <v>0</v>
      </c>
      <c r="AP51" s="59" t="s">
        <v>87</v>
      </c>
    </row>
    <row r="52" spans="1:42" ht="93" customHeight="1" x14ac:dyDescent="0.25">
      <c r="A52" s="62" t="s">
        <v>78</v>
      </c>
      <c r="B52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52" s="64" t="s">
        <v>79</v>
      </c>
      <c r="D52" s="64" t="s">
        <v>80</v>
      </c>
      <c r="E52" s="64" t="s">
        <v>81</v>
      </c>
      <c r="F52" s="64" t="s">
        <v>82</v>
      </c>
      <c r="G52" s="64" t="s">
        <v>83</v>
      </c>
      <c r="H52" s="65" t="str">
        <f>VLOOKUP(Tabla6[[#This Row],[DIRECCIÓN]],DIRECCIÓN[#All],2,0)</f>
        <v>ADMINISTRACIÓN CENTRAL</v>
      </c>
      <c r="I52" s="66" t="s">
        <v>817</v>
      </c>
      <c r="J52" s="67">
        <v>1</v>
      </c>
      <c r="K52" s="68" t="str">
        <f>VLOOKUP(Tabla6[[#This Row],[DIRECCIÓN GENERAL / COORDINACIÓN / SUBDIRECCIÓN]],Tabla37[[#All],[Columna1]:[EOD]],2,0)</f>
        <v>266_0001</v>
      </c>
      <c r="L52" s="69">
        <f>VLOOKUP(Tabla6[[#This Row],[OBJETIVOS PND]],Listas!$A$1:$C$3,3,0)</f>
        <v>1</v>
      </c>
      <c r="M52" s="70">
        <f>VLOOKUP(Tabla6[[#This Row],[PG]],Listas2!$G$14:$K$16,5,0)</f>
        <v>0</v>
      </c>
      <c r="N52" s="71">
        <v>1</v>
      </c>
      <c r="O52" s="72">
        <v>401</v>
      </c>
      <c r="P52" s="73" t="str">
        <f>VLOOKUP(Tabla6[[#This Row],[GEO]],Listas!$A$48:$B$77,2,0)</f>
        <v>TULCÁN</v>
      </c>
      <c r="Q52" s="70">
        <f>VLOOKUP(Tabla6[[#This Row],[PG]],Listas2!$G$14:$K$16,3,0)</f>
        <v>1</v>
      </c>
      <c r="R52" s="73">
        <f>VLOOKUP(Tabla6[[#This Row],[PG]],Listas2!H57:'Listas2'!$G$14:$K$16,4,0)</f>
        <v>0</v>
      </c>
      <c r="S52" s="73">
        <f>VLOOKUP(Tabla6[[#This Row],[PG]],Listas2!$G$14:$K$16,2,0)</f>
        <v>0</v>
      </c>
      <c r="T52" s="66" t="s">
        <v>84</v>
      </c>
      <c r="U52" s="74">
        <v>53</v>
      </c>
      <c r="V52" s="66">
        <v>530811</v>
      </c>
      <c r="W52" s="63" t="str">
        <f>VLOOKUP(Tabla6[[#This Row],[ÍTEM PRESUPUESTARIO]],Tabla2[#All],2,0)</f>
        <v>INSUMOS, MATERIALES Y SUMINISTROS PARA CONSTRUCCIÓN, ELECTRICIDAD, PLOMERÍA, CARPINTERÍA, SEÑALIZACIÓN VIAL, NAVEGACIÓN, CONTRA INCENDIOS Y PLACAS</v>
      </c>
      <c r="X52" s="57">
        <v>390</v>
      </c>
      <c r="Y52" s="57">
        <f>390-390</f>
        <v>0</v>
      </c>
      <c r="Z52" s="58">
        <v>0</v>
      </c>
      <c r="AA52" s="58">
        <v>0</v>
      </c>
      <c r="AB52" s="58">
        <v>0</v>
      </c>
      <c r="AC52" s="58">
        <v>0</v>
      </c>
      <c r="AD52" s="58">
        <v>0</v>
      </c>
      <c r="AE52" s="58">
        <v>0</v>
      </c>
      <c r="AF52" s="58">
        <v>0</v>
      </c>
      <c r="AG52" s="58">
        <v>0</v>
      </c>
      <c r="AH52" s="58">
        <v>0</v>
      </c>
      <c r="AI52" s="58">
        <v>0</v>
      </c>
      <c r="AJ52" s="58">
        <v>0</v>
      </c>
      <c r="AK52" s="58">
        <v>0</v>
      </c>
      <c r="AL52" s="75">
        <f>+SUBTOTAL(9,Tabla6[[#This Row],[ENE]:[DIC]])</f>
        <v>0</v>
      </c>
      <c r="AM52" s="76" t="str">
        <f t="shared" si="0"/>
        <v>OK</v>
      </c>
      <c r="AN52" s="60">
        <v>0</v>
      </c>
      <c r="AO52" s="61">
        <f>+Tabla6[[#This Row],[PRESUPUESTO VIGENTE]]-Tabla6[[#This Row],[CERTIFICACIÓN PAPP]]</f>
        <v>0</v>
      </c>
      <c r="AP52" s="59" t="s">
        <v>87</v>
      </c>
    </row>
    <row r="53" spans="1:42" ht="93" customHeight="1" x14ac:dyDescent="0.25">
      <c r="A53" s="62" t="s">
        <v>78</v>
      </c>
      <c r="B53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53" s="64" t="s">
        <v>85</v>
      </c>
      <c r="D53" s="64" t="s">
        <v>80</v>
      </c>
      <c r="E53" s="64" t="s">
        <v>81</v>
      </c>
      <c r="F53" s="64" t="s">
        <v>82</v>
      </c>
      <c r="G53" s="64" t="s">
        <v>86</v>
      </c>
      <c r="H53" s="65" t="str">
        <f>VLOOKUP(Tabla6[[#This Row],[DIRECCIÓN]],DIRECCIÓN[#All],2,0)</f>
        <v>COMUNICACIÓN SOCIAL</v>
      </c>
      <c r="I53" s="66" t="s">
        <v>790</v>
      </c>
      <c r="J53" s="67">
        <v>2</v>
      </c>
      <c r="K53" s="68" t="str">
        <f>VLOOKUP(Tabla6[[#This Row],[DIRECCIÓN GENERAL / COORDINACIÓN / SUBDIRECCIÓN]],Tabla37[[#All],[Columna1]:[EOD]],2,0)</f>
        <v>266_0001</v>
      </c>
      <c r="L53" s="69">
        <f>VLOOKUP(Tabla6[[#This Row],[OBJETIVOS PND]],Listas!$A$1:$C$3,3,0)</f>
        <v>1</v>
      </c>
      <c r="M53" s="70">
        <f>VLOOKUP(Tabla6[[#This Row],[PG]],Listas2!$G$14:$K$16,5,0)</f>
        <v>0</v>
      </c>
      <c r="N53" s="71">
        <v>1</v>
      </c>
      <c r="O53" s="72">
        <v>401</v>
      </c>
      <c r="P53" s="73" t="str">
        <f>VLOOKUP(Tabla6[[#This Row],[GEO]],Listas!$A$48:$B$77,2,0)</f>
        <v>TULCÁN</v>
      </c>
      <c r="Q53" s="70">
        <f>VLOOKUP(Tabla6[[#This Row],[PG]],Listas2!$G$14:$K$16,3,0)</f>
        <v>1</v>
      </c>
      <c r="R53" s="73">
        <f>VLOOKUP(Tabla6[[#This Row],[PG]],Listas2!H58:'Listas2'!$G$14:$K$16,4,0)</f>
        <v>0</v>
      </c>
      <c r="S53" s="73">
        <f>VLOOKUP(Tabla6[[#This Row],[PG]],Listas2!$G$14:$K$16,2,0)</f>
        <v>0</v>
      </c>
      <c r="T53" s="66" t="s">
        <v>84</v>
      </c>
      <c r="U53" s="74">
        <v>53</v>
      </c>
      <c r="V53" s="66">
        <v>530811</v>
      </c>
      <c r="W53" s="63" t="str">
        <f>VLOOKUP(Tabla6[[#This Row],[ÍTEM PRESUPUESTARIO]],Tabla2[#All],2,0)</f>
        <v>INSUMOS, MATERIALES Y SUMINISTROS PARA CONSTRUCCIÓN, ELECTRICIDAD, PLOMERÍA, CARPINTERÍA, SEÑALIZACIÓN VIAL, NAVEGACIÓN, CONTRA INCENDIOS Y PLACAS</v>
      </c>
      <c r="X53" s="57">
        <v>0</v>
      </c>
      <c r="Y53" s="57">
        <f>470-267.51</f>
        <v>202.49</v>
      </c>
      <c r="Z53" s="58">
        <v>0</v>
      </c>
      <c r="AA53" s="58">
        <v>0</v>
      </c>
      <c r="AB53" s="58">
        <v>0</v>
      </c>
      <c r="AC53" s="58">
        <v>0</v>
      </c>
      <c r="AD53" s="58">
        <v>202.49</v>
      </c>
      <c r="AE53" s="58">
        <v>0</v>
      </c>
      <c r="AF53" s="58">
        <v>0</v>
      </c>
      <c r="AG53" s="58">
        <v>0</v>
      </c>
      <c r="AH53" s="58">
        <v>0</v>
      </c>
      <c r="AI53" s="58">
        <v>0</v>
      </c>
      <c r="AJ53" s="58">
        <v>0</v>
      </c>
      <c r="AK53" s="58">
        <v>0</v>
      </c>
      <c r="AL53" s="75">
        <f>+SUBTOTAL(9,Tabla6[[#This Row],[ENE]:[DIC]])</f>
        <v>202.49</v>
      </c>
      <c r="AM53" s="76" t="str">
        <f t="shared" si="0"/>
        <v>OK</v>
      </c>
      <c r="AN53" s="60">
        <v>202.49</v>
      </c>
      <c r="AO53" s="61">
        <f>+Tabla6[[#This Row],[PRESUPUESTO VIGENTE]]-Tabla6[[#This Row],[CERTIFICACIÓN PAPP]]</f>
        <v>0</v>
      </c>
      <c r="AP53" s="59">
        <v>0</v>
      </c>
    </row>
    <row r="54" spans="1:42" ht="93" customHeight="1" x14ac:dyDescent="0.25">
      <c r="A54" s="62" t="s">
        <v>78</v>
      </c>
      <c r="B54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54" s="64" t="s">
        <v>85</v>
      </c>
      <c r="D54" s="64" t="s">
        <v>80</v>
      </c>
      <c r="E54" s="64" t="s">
        <v>81</v>
      </c>
      <c r="F54" s="64" t="s">
        <v>82</v>
      </c>
      <c r="G54" s="64" t="s">
        <v>86</v>
      </c>
      <c r="H54" s="65" t="str">
        <f>VLOOKUP(Tabla6[[#This Row],[DIRECCIÓN]],DIRECCIÓN[#All],2,0)</f>
        <v>COMUNICACIÓN SOCIAL</v>
      </c>
      <c r="I54" s="66" t="s">
        <v>818</v>
      </c>
      <c r="J54" s="67">
        <v>3</v>
      </c>
      <c r="K54" s="68" t="str">
        <f>VLOOKUP(Tabla6[[#This Row],[DIRECCIÓN GENERAL / COORDINACIÓN / SUBDIRECCIÓN]],Tabla37[[#All],[Columna1]:[EOD]],2,0)</f>
        <v>266_0001</v>
      </c>
      <c r="L54" s="69">
        <f>VLOOKUP(Tabla6[[#This Row],[OBJETIVOS PND]],Listas!$A$1:$C$3,3,0)</f>
        <v>1</v>
      </c>
      <c r="M54" s="70">
        <f>VLOOKUP(Tabla6[[#This Row],[PG]],Listas2!$G$14:$K$16,5,0)</f>
        <v>0</v>
      </c>
      <c r="N54" s="71">
        <v>1</v>
      </c>
      <c r="O54" s="72">
        <v>401</v>
      </c>
      <c r="P54" s="73" t="str">
        <f>VLOOKUP(Tabla6[[#This Row],[GEO]],Listas!$A$48:$B$77,2,0)</f>
        <v>TULCÁN</v>
      </c>
      <c r="Q54" s="70">
        <f>VLOOKUP(Tabla6[[#This Row],[PG]],Listas2!$G$14:$K$16,3,0)</f>
        <v>1</v>
      </c>
      <c r="R54" s="73">
        <f>VLOOKUP(Tabla6[[#This Row],[PG]],Listas2!H59:'Listas2'!$G$14:$K$16,4,0)</f>
        <v>0</v>
      </c>
      <c r="S54" s="73">
        <f>VLOOKUP(Tabla6[[#This Row],[PG]],Listas2!$G$14:$K$16,2,0)</f>
        <v>0</v>
      </c>
      <c r="T54" s="66" t="s">
        <v>84</v>
      </c>
      <c r="U54" s="74">
        <v>53</v>
      </c>
      <c r="V54" s="66">
        <v>530812</v>
      </c>
      <c r="W54" s="63" t="str">
        <f>VLOOKUP(Tabla6[[#This Row],[ÍTEM PRESUPUESTARIO]],Tabla2[#All],2,0)</f>
        <v>MATERIALES DIDÁCTICOS</v>
      </c>
      <c r="X54" s="57">
        <v>0</v>
      </c>
      <c r="Y54" s="57">
        <f>200-0.5</f>
        <v>199.5</v>
      </c>
      <c r="Z54" s="58">
        <v>0</v>
      </c>
      <c r="AA54" s="58">
        <v>0</v>
      </c>
      <c r="AB54" s="58">
        <v>0</v>
      </c>
      <c r="AC54" s="58">
        <v>0</v>
      </c>
      <c r="AD54" s="58">
        <v>0</v>
      </c>
      <c r="AE54" s="58">
        <v>0</v>
      </c>
      <c r="AF54" s="58">
        <v>0</v>
      </c>
      <c r="AG54" s="58">
        <v>199.5</v>
      </c>
      <c r="AH54" s="58">
        <v>0</v>
      </c>
      <c r="AI54" s="58">
        <v>0</v>
      </c>
      <c r="AJ54" s="58">
        <v>0</v>
      </c>
      <c r="AK54" s="58">
        <v>0</v>
      </c>
      <c r="AL54" s="75">
        <f>+SUBTOTAL(9,Tabla6[[#This Row],[ENE]:[DIC]])</f>
        <v>199.5</v>
      </c>
      <c r="AM54" s="76" t="str">
        <f t="shared" si="0"/>
        <v>OK</v>
      </c>
      <c r="AN54" s="60">
        <v>199.5</v>
      </c>
      <c r="AO54" s="61">
        <f>+Tabla6[[#This Row],[PRESUPUESTO VIGENTE]]-Tabla6[[#This Row],[CERTIFICACIÓN PAPP]]</f>
        <v>0</v>
      </c>
      <c r="AP54" s="59">
        <v>0</v>
      </c>
    </row>
    <row r="55" spans="1:42" ht="93" customHeight="1" x14ac:dyDescent="0.25">
      <c r="A55" s="62" t="s">
        <v>78</v>
      </c>
      <c r="B55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55" s="64" t="s">
        <v>79</v>
      </c>
      <c r="D55" s="64" t="s">
        <v>80</v>
      </c>
      <c r="E55" s="64" t="s">
        <v>81</v>
      </c>
      <c r="F55" s="64" t="s">
        <v>82</v>
      </c>
      <c r="G55" s="64" t="s">
        <v>83</v>
      </c>
      <c r="H55" s="65" t="str">
        <f>VLOOKUP(Tabla6[[#This Row],[DIRECCIÓN]],DIRECCIÓN[#All],2,0)</f>
        <v>ADMINISTRACIÓN CENTRAL</v>
      </c>
      <c r="I55" s="66" t="s">
        <v>819</v>
      </c>
      <c r="J55" s="67">
        <v>1</v>
      </c>
      <c r="K55" s="68" t="str">
        <f>VLOOKUP(Tabla6[[#This Row],[DIRECCIÓN GENERAL / COORDINACIÓN / SUBDIRECCIÓN]],Tabla37[[#All],[Columna1]:[EOD]],2,0)</f>
        <v>266_0001</v>
      </c>
      <c r="L55" s="69">
        <f>VLOOKUP(Tabla6[[#This Row],[OBJETIVOS PND]],Listas!$A$1:$C$3,3,0)</f>
        <v>1</v>
      </c>
      <c r="M55" s="70">
        <f>VLOOKUP(Tabla6[[#This Row],[PG]],Listas2!$G$14:$K$16,5,0)</f>
        <v>0</v>
      </c>
      <c r="N55" s="71">
        <v>1</v>
      </c>
      <c r="O55" s="72">
        <v>401</v>
      </c>
      <c r="P55" s="73" t="str">
        <f>VLOOKUP(Tabla6[[#This Row],[GEO]],Listas!$A$48:$B$77,2,0)</f>
        <v>TULCÁN</v>
      </c>
      <c r="Q55" s="70">
        <f>VLOOKUP(Tabla6[[#This Row],[PG]],Listas2!$G$14:$K$16,3,0)</f>
        <v>1</v>
      </c>
      <c r="R55" s="73">
        <f>VLOOKUP(Tabla6[[#This Row],[PG]],Listas2!H60:'Listas2'!$G$14:$K$16,4,0)</f>
        <v>0</v>
      </c>
      <c r="S55" s="73">
        <f>VLOOKUP(Tabla6[[#This Row],[PG]],Listas2!$G$14:$K$16,2,0)</f>
        <v>0</v>
      </c>
      <c r="T55" s="66" t="s">
        <v>84</v>
      </c>
      <c r="U55" s="74">
        <v>53</v>
      </c>
      <c r="V55" s="66">
        <v>530813</v>
      </c>
      <c r="W55" s="63" t="str">
        <f>VLOOKUP(Tabla6[[#This Row],[ÍTEM PRESUPUESTARIO]],Tabla2[#All],2,0)</f>
        <v>REPUESTOS Y ACCESORIOS</v>
      </c>
      <c r="X55" s="57">
        <v>470</v>
      </c>
      <c r="Y55" s="57">
        <f>470-241.55</f>
        <v>228.45</v>
      </c>
      <c r="Z55" s="58">
        <v>0</v>
      </c>
      <c r="AA55" s="58">
        <v>0</v>
      </c>
      <c r="AB55" s="58">
        <v>110.44999999999999</v>
      </c>
      <c r="AC55" s="58">
        <v>0</v>
      </c>
      <c r="AD55" s="58">
        <v>0</v>
      </c>
      <c r="AE55" s="58">
        <v>0</v>
      </c>
      <c r="AF55" s="58">
        <v>0</v>
      </c>
      <c r="AG55" s="58">
        <v>0</v>
      </c>
      <c r="AH55" s="58">
        <v>118</v>
      </c>
      <c r="AI55" s="58">
        <v>0</v>
      </c>
      <c r="AJ55" s="58">
        <v>0</v>
      </c>
      <c r="AK55" s="58">
        <v>0</v>
      </c>
      <c r="AL55" s="75">
        <f>+SUBTOTAL(9,Tabla6[[#This Row],[ENE]:[DIC]])</f>
        <v>228.45</v>
      </c>
      <c r="AM55" s="76" t="str">
        <f t="shared" si="0"/>
        <v>OK</v>
      </c>
      <c r="AN55" s="60">
        <v>228.45</v>
      </c>
      <c r="AO55" s="61">
        <f>+Tabla6[[#This Row],[PRESUPUESTO VIGENTE]]-Tabla6[[#This Row],[CERTIFICACIÓN PAPP]]</f>
        <v>0</v>
      </c>
      <c r="AP55" s="59">
        <v>0</v>
      </c>
    </row>
    <row r="56" spans="1:42" ht="93" customHeight="1" x14ac:dyDescent="0.25">
      <c r="A56" s="62" t="s">
        <v>78</v>
      </c>
      <c r="B56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56" s="64" t="s">
        <v>79</v>
      </c>
      <c r="D56" s="64" t="s">
        <v>80</v>
      </c>
      <c r="E56" s="64" t="s">
        <v>81</v>
      </c>
      <c r="F56" s="64" t="s">
        <v>82</v>
      </c>
      <c r="G56" s="64" t="s">
        <v>83</v>
      </c>
      <c r="H56" s="65" t="str">
        <f>VLOOKUP(Tabla6[[#This Row],[DIRECCIÓN]],DIRECCIÓN[#All],2,0)</f>
        <v>ADMINISTRACIÓN CENTRAL</v>
      </c>
      <c r="I56" s="66" t="s">
        <v>820</v>
      </c>
      <c r="J56" s="67">
        <v>1</v>
      </c>
      <c r="K56" s="68" t="str">
        <f>VLOOKUP(Tabla6[[#This Row],[DIRECCIÓN GENERAL / COORDINACIÓN / SUBDIRECCIÓN]],Tabla37[[#All],[Columna1]:[EOD]],2,0)</f>
        <v>266_0001</v>
      </c>
      <c r="L56" s="69">
        <f>VLOOKUP(Tabla6[[#This Row],[OBJETIVOS PND]],Listas!$A$1:$C$3,3,0)</f>
        <v>1</v>
      </c>
      <c r="M56" s="70">
        <f>VLOOKUP(Tabla6[[#This Row],[PG]],Listas2!$G$14:$K$16,5,0)</f>
        <v>0</v>
      </c>
      <c r="N56" s="71">
        <v>1</v>
      </c>
      <c r="O56" s="72">
        <v>401</v>
      </c>
      <c r="P56" s="73" t="str">
        <f>VLOOKUP(Tabla6[[#This Row],[GEO]],Listas!$A$48:$B$77,2,0)</f>
        <v>TULCÁN</v>
      </c>
      <c r="Q56" s="70">
        <f>VLOOKUP(Tabla6[[#This Row],[PG]],Listas2!$G$14:$K$16,3,0)</f>
        <v>1</v>
      </c>
      <c r="R56" s="73">
        <f>VLOOKUP(Tabla6[[#This Row],[PG]],Listas2!H61:'Listas2'!$G$14:$K$16,4,0)</f>
        <v>0</v>
      </c>
      <c r="S56" s="73">
        <f>VLOOKUP(Tabla6[[#This Row],[PG]],Listas2!$G$14:$K$16,2,0)</f>
        <v>0</v>
      </c>
      <c r="T56" s="66" t="s">
        <v>84</v>
      </c>
      <c r="U56" s="74">
        <v>53</v>
      </c>
      <c r="V56" s="66">
        <v>530813</v>
      </c>
      <c r="W56" s="63" t="str">
        <f>VLOOKUP(Tabla6[[#This Row],[ÍTEM PRESUPUESTARIO]],Tabla2[#All],2,0)</f>
        <v>REPUESTOS Y ACCESORIOS</v>
      </c>
      <c r="X56" s="57">
        <v>2000</v>
      </c>
      <c r="Y56" s="57">
        <f>2000-1285</f>
        <v>715</v>
      </c>
      <c r="Z56" s="58">
        <v>0</v>
      </c>
      <c r="AA56" s="58">
        <v>0</v>
      </c>
      <c r="AB56" s="58">
        <v>0</v>
      </c>
      <c r="AC56" s="58">
        <v>0</v>
      </c>
      <c r="AD56" s="58">
        <v>0</v>
      </c>
      <c r="AE56" s="58">
        <v>0</v>
      </c>
      <c r="AF56" s="58">
        <v>0</v>
      </c>
      <c r="AG56" s="58">
        <v>0</v>
      </c>
      <c r="AH56" s="58">
        <v>715</v>
      </c>
      <c r="AI56" s="58">
        <v>0</v>
      </c>
      <c r="AJ56" s="58">
        <v>0</v>
      </c>
      <c r="AK56" s="58">
        <v>0</v>
      </c>
      <c r="AL56" s="75">
        <f>+SUBTOTAL(9,Tabla6[[#This Row],[ENE]:[DIC]])</f>
        <v>715</v>
      </c>
      <c r="AM56" s="76" t="str">
        <f t="shared" si="0"/>
        <v>OK</v>
      </c>
      <c r="AN56" s="60">
        <v>715</v>
      </c>
      <c r="AO56" s="61">
        <f>+Tabla6[[#This Row],[PRESUPUESTO VIGENTE]]-Tabla6[[#This Row],[CERTIFICACIÓN PAPP]]</f>
        <v>0</v>
      </c>
      <c r="AP56" s="59">
        <v>0</v>
      </c>
    </row>
    <row r="57" spans="1:42" ht="93" customHeight="1" x14ac:dyDescent="0.25">
      <c r="A57" s="62" t="s">
        <v>78</v>
      </c>
      <c r="B57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57" s="64" t="s">
        <v>79</v>
      </c>
      <c r="D57" s="64" t="s">
        <v>80</v>
      </c>
      <c r="E57" s="64" t="s">
        <v>81</v>
      </c>
      <c r="F57" s="64" t="s">
        <v>82</v>
      </c>
      <c r="G57" s="64" t="s">
        <v>83</v>
      </c>
      <c r="H57" s="65" t="str">
        <f>VLOOKUP(Tabla6[[#This Row],[DIRECCIÓN]],DIRECCIÓN[#All],2,0)</f>
        <v>ADMINISTRACIÓN CENTRAL</v>
      </c>
      <c r="I57" s="66" t="s">
        <v>821</v>
      </c>
      <c r="J57" s="67">
        <v>1</v>
      </c>
      <c r="K57" s="68" t="str">
        <f>VLOOKUP(Tabla6[[#This Row],[DIRECCIÓN GENERAL / COORDINACIÓN / SUBDIRECCIÓN]],Tabla37[[#All],[Columna1]:[EOD]],2,0)</f>
        <v>266_0001</v>
      </c>
      <c r="L57" s="69">
        <f>VLOOKUP(Tabla6[[#This Row],[OBJETIVOS PND]],Listas!$A$1:$C$3,3,0)</f>
        <v>1</v>
      </c>
      <c r="M57" s="70">
        <f>VLOOKUP(Tabla6[[#This Row],[PG]],Listas2!$G$14:$K$16,5,0)</f>
        <v>0</v>
      </c>
      <c r="N57" s="71">
        <v>1</v>
      </c>
      <c r="O57" s="72">
        <v>401</v>
      </c>
      <c r="P57" s="73" t="str">
        <f>VLOOKUP(Tabla6[[#This Row],[GEO]],Listas!$A$48:$B$77,2,0)</f>
        <v>TULCÁN</v>
      </c>
      <c r="Q57" s="70">
        <f>VLOOKUP(Tabla6[[#This Row],[PG]],Listas2!$G$14:$K$16,3,0)</f>
        <v>1</v>
      </c>
      <c r="R57" s="73">
        <f>VLOOKUP(Tabla6[[#This Row],[PG]],Listas2!H62:'Listas2'!$G$14:$K$16,4,0)</f>
        <v>0</v>
      </c>
      <c r="S57" s="73">
        <f>VLOOKUP(Tabla6[[#This Row],[PG]],Listas2!$G$14:$K$16,2,0)</f>
        <v>0</v>
      </c>
      <c r="T57" s="66" t="s">
        <v>84</v>
      </c>
      <c r="U57" s="74">
        <v>53</v>
      </c>
      <c r="V57" s="66">
        <v>530813</v>
      </c>
      <c r="W57" s="63" t="str">
        <f>VLOOKUP(Tabla6[[#This Row],[ÍTEM PRESUPUESTARIO]],Tabla2[#All],2,0)</f>
        <v>REPUESTOS Y ACCESORIOS</v>
      </c>
      <c r="X57" s="57">
        <v>2000</v>
      </c>
      <c r="Y57" s="57">
        <f>2000-2000</f>
        <v>0</v>
      </c>
      <c r="Z57" s="58">
        <v>0</v>
      </c>
      <c r="AA57" s="58">
        <v>0</v>
      </c>
      <c r="AB57" s="58">
        <v>0</v>
      </c>
      <c r="AC57" s="58">
        <v>0</v>
      </c>
      <c r="AD57" s="58">
        <v>0</v>
      </c>
      <c r="AE57" s="58">
        <v>0</v>
      </c>
      <c r="AF57" s="58">
        <v>0</v>
      </c>
      <c r="AG57" s="58">
        <v>0</v>
      </c>
      <c r="AH57" s="58">
        <v>0</v>
      </c>
      <c r="AI57" s="58">
        <v>0</v>
      </c>
      <c r="AJ57" s="58">
        <v>0</v>
      </c>
      <c r="AK57" s="58">
        <v>0</v>
      </c>
      <c r="AL57" s="75">
        <f>+SUBTOTAL(9,Tabla6[[#This Row],[ENE]:[DIC]])</f>
        <v>0</v>
      </c>
      <c r="AM57" s="76" t="str">
        <f t="shared" si="0"/>
        <v>OK</v>
      </c>
      <c r="AN57" s="60">
        <v>0</v>
      </c>
      <c r="AO57" s="61">
        <f>+Tabla6[[#This Row],[PRESUPUESTO VIGENTE]]-Tabla6[[#This Row],[CERTIFICACIÓN PAPP]]</f>
        <v>0</v>
      </c>
      <c r="AP57" s="59">
        <v>0</v>
      </c>
    </row>
    <row r="58" spans="1:42" ht="93" customHeight="1" x14ac:dyDescent="0.25">
      <c r="A58" s="62" t="s">
        <v>78</v>
      </c>
      <c r="B58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58" s="64" t="s">
        <v>79</v>
      </c>
      <c r="D58" s="64" t="s">
        <v>80</v>
      </c>
      <c r="E58" s="64" t="s">
        <v>81</v>
      </c>
      <c r="F58" s="64" t="s">
        <v>82</v>
      </c>
      <c r="G58" s="64" t="s">
        <v>83</v>
      </c>
      <c r="H58" s="65" t="str">
        <f>VLOOKUP(Tabla6[[#This Row],[DIRECCIÓN]],DIRECCIÓN[#All],2,0)</f>
        <v>ADMINISTRACIÓN CENTRAL</v>
      </c>
      <c r="I58" s="66" t="s">
        <v>822</v>
      </c>
      <c r="J58" s="67">
        <v>2</v>
      </c>
      <c r="K58" s="68" t="str">
        <f>VLOOKUP(Tabla6[[#This Row],[DIRECCIÓN GENERAL / COORDINACIÓN / SUBDIRECCIÓN]],Tabla37[[#All],[Columna1]:[EOD]],2,0)</f>
        <v>266_0001</v>
      </c>
      <c r="L58" s="69">
        <f>VLOOKUP(Tabla6[[#This Row],[OBJETIVOS PND]],Listas!$A$1:$C$3,3,0)</f>
        <v>1</v>
      </c>
      <c r="M58" s="70">
        <f>VLOOKUP(Tabla6[[#This Row],[PG]],Listas2!$G$14:$K$16,5,0)</f>
        <v>0</v>
      </c>
      <c r="N58" s="71">
        <v>1</v>
      </c>
      <c r="O58" s="72">
        <v>401</v>
      </c>
      <c r="P58" s="73" t="str">
        <f>VLOOKUP(Tabla6[[#This Row],[GEO]],Listas!$A$48:$B$77,2,0)</f>
        <v>TULCÁN</v>
      </c>
      <c r="Q58" s="70">
        <f>VLOOKUP(Tabla6[[#This Row],[PG]],Listas2!$G$14:$K$16,3,0)</f>
        <v>1</v>
      </c>
      <c r="R58" s="73">
        <f>VLOOKUP(Tabla6[[#This Row],[PG]],Listas2!H63:'Listas2'!$G$14:$K$16,4,0)</f>
        <v>0</v>
      </c>
      <c r="S58" s="73">
        <f>VLOOKUP(Tabla6[[#This Row],[PG]],Listas2!$G$14:$K$16,2,0)</f>
        <v>0</v>
      </c>
      <c r="T58" s="66" t="s">
        <v>84</v>
      </c>
      <c r="U58" s="74">
        <v>53</v>
      </c>
      <c r="V58" s="66">
        <v>530813</v>
      </c>
      <c r="W58" s="63" t="str">
        <f>VLOOKUP(Tabla6[[#This Row],[ÍTEM PRESUPUESTARIO]],Tabla2[#All],2,0)</f>
        <v>REPUESTOS Y ACCESORIOS</v>
      </c>
      <c r="X58" s="57">
        <v>0</v>
      </c>
      <c r="Y58" s="57">
        <f>2000-500-700-134.6-26.88</f>
        <v>638.52</v>
      </c>
      <c r="Z58" s="58">
        <v>0</v>
      </c>
      <c r="AA58" s="58">
        <v>0</v>
      </c>
      <c r="AB58" s="58">
        <v>0</v>
      </c>
      <c r="AC58" s="58">
        <v>0</v>
      </c>
      <c r="AD58" s="58">
        <v>0</v>
      </c>
      <c r="AE58" s="58">
        <v>0</v>
      </c>
      <c r="AF58" s="58">
        <v>638.52</v>
      </c>
      <c r="AG58" s="58">
        <v>0</v>
      </c>
      <c r="AH58" s="58">
        <v>0</v>
      </c>
      <c r="AI58" s="58">
        <v>0</v>
      </c>
      <c r="AJ58" s="58">
        <v>0</v>
      </c>
      <c r="AK58" s="58">
        <v>0</v>
      </c>
      <c r="AL58" s="75">
        <f>+SUBTOTAL(9,Tabla6[[#This Row],[ENE]:[DIC]])</f>
        <v>638.52</v>
      </c>
      <c r="AM58" s="76" t="str">
        <f t="shared" si="0"/>
        <v>OK</v>
      </c>
      <c r="AN58" s="60">
        <v>638.52</v>
      </c>
      <c r="AO58" s="61">
        <f>+Tabla6[[#This Row],[PRESUPUESTO VIGENTE]]-Tabla6[[#This Row],[CERTIFICACIÓN PAPP]]</f>
        <v>0</v>
      </c>
      <c r="AP58" s="59">
        <v>0</v>
      </c>
    </row>
    <row r="59" spans="1:42" ht="93" customHeight="1" x14ac:dyDescent="0.25">
      <c r="A59" s="62" t="s">
        <v>78</v>
      </c>
      <c r="B59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59" s="64" t="s">
        <v>85</v>
      </c>
      <c r="D59" s="64" t="s">
        <v>80</v>
      </c>
      <c r="E59" s="64" t="s">
        <v>81</v>
      </c>
      <c r="F59" s="64" t="s">
        <v>82</v>
      </c>
      <c r="G59" s="64" t="s">
        <v>86</v>
      </c>
      <c r="H59" s="65" t="str">
        <f>VLOOKUP(Tabla6[[#This Row],[DIRECCIÓN]],DIRECCIÓN[#All],2,0)</f>
        <v>COMUNICACIÓN SOCIAL</v>
      </c>
      <c r="I59" s="66" t="s">
        <v>790</v>
      </c>
      <c r="J59" s="67">
        <v>2</v>
      </c>
      <c r="K59" s="68" t="str">
        <f>VLOOKUP(Tabla6[[#This Row],[DIRECCIÓN GENERAL / COORDINACIÓN / SUBDIRECCIÓN]],Tabla37[[#All],[Columna1]:[EOD]],2,0)</f>
        <v>266_0001</v>
      </c>
      <c r="L59" s="69">
        <f>VLOOKUP(Tabla6[[#This Row],[OBJETIVOS PND]],Listas!$A$1:$C$3,3,0)</f>
        <v>1</v>
      </c>
      <c r="M59" s="70">
        <f>VLOOKUP(Tabla6[[#This Row],[PG]],Listas2!$G$14:$K$16,5,0)</f>
        <v>0</v>
      </c>
      <c r="N59" s="71">
        <v>1</v>
      </c>
      <c r="O59" s="72">
        <v>401</v>
      </c>
      <c r="P59" s="73" t="str">
        <f>VLOOKUP(Tabla6[[#This Row],[GEO]],Listas!$A$48:$B$77,2,0)</f>
        <v>TULCÁN</v>
      </c>
      <c r="Q59" s="70">
        <f>VLOOKUP(Tabla6[[#This Row],[PG]],Listas2!$G$14:$K$16,3,0)</f>
        <v>1</v>
      </c>
      <c r="R59" s="73">
        <f>VLOOKUP(Tabla6[[#This Row],[PG]],Listas2!H64:'Listas2'!$G$14:$K$16,4,0)</f>
        <v>0</v>
      </c>
      <c r="S59" s="73">
        <f>VLOOKUP(Tabla6[[#This Row],[PG]],Listas2!$G$14:$K$16,2,0)</f>
        <v>0</v>
      </c>
      <c r="T59" s="66" t="s">
        <v>84</v>
      </c>
      <c r="U59" s="74">
        <v>53</v>
      </c>
      <c r="V59" s="66">
        <v>530824</v>
      </c>
      <c r="W59" s="63" t="str">
        <f>VLOOKUP(Tabla6[[#This Row],[ÍTEM PRESUPUESTARIO]],Tabla2[#All],2,0)</f>
        <v>INSUMOS, BIENES Y MATERIALES PARA PRODUCCIÓN DE PROGRAMAS DE RADIO, TELEVISIÓN, EVENTOS CULTURALES, ARTÍSTICOS Y ENTRETENIMIENTO EN GENERAL</v>
      </c>
      <c r="X59" s="57">
        <v>0</v>
      </c>
      <c r="Y59" s="57">
        <f>275-95</f>
        <v>180</v>
      </c>
      <c r="Z59" s="58">
        <v>0</v>
      </c>
      <c r="AA59" s="58">
        <v>0</v>
      </c>
      <c r="AB59" s="58">
        <v>0</v>
      </c>
      <c r="AC59" s="58">
        <v>0</v>
      </c>
      <c r="AD59" s="58">
        <v>180</v>
      </c>
      <c r="AE59" s="58">
        <v>0</v>
      </c>
      <c r="AF59" s="58">
        <v>0</v>
      </c>
      <c r="AG59" s="58">
        <v>0</v>
      </c>
      <c r="AH59" s="58">
        <v>0</v>
      </c>
      <c r="AI59" s="58">
        <v>0</v>
      </c>
      <c r="AJ59" s="58">
        <v>0</v>
      </c>
      <c r="AK59" s="58">
        <v>0</v>
      </c>
      <c r="AL59" s="75">
        <f>+SUBTOTAL(9,Tabla6[[#This Row],[ENE]:[DIC]])</f>
        <v>180</v>
      </c>
      <c r="AM59" s="76" t="str">
        <f t="shared" si="0"/>
        <v>OK</v>
      </c>
      <c r="AN59" s="60">
        <v>180</v>
      </c>
      <c r="AO59" s="61">
        <f>+Tabla6[[#This Row],[PRESUPUESTO VIGENTE]]-Tabla6[[#This Row],[CERTIFICACIÓN PAPP]]</f>
        <v>0</v>
      </c>
      <c r="AP59" s="59">
        <v>0</v>
      </c>
    </row>
    <row r="60" spans="1:42" ht="93" customHeight="1" x14ac:dyDescent="0.25">
      <c r="A60" s="62" t="s">
        <v>78</v>
      </c>
      <c r="B60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60" s="64" t="s">
        <v>85</v>
      </c>
      <c r="D60" s="64" t="s">
        <v>80</v>
      </c>
      <c r="E60" s="64" t="s">
        <v>81</v>
      </c>
      <c r="F60" s="64" t="s">
        <v>82</v>
      </c>
      <c r="G60" s="64" t="s">
        <v>86</v>
      </c>
      <c r="H60" s="65" t="str">
        <f>VLOOKUP(Tabla6[[#This Row],[DIRECCIÓN]],DIRECCIÓN[#All],2,0)</f>
        <v>COMUNICACIÓN SOCIAL</v>
      </c>
      <c r="I60" s="66" t="s">
        <v>790</v>
      </c>
      <c r="J60" s="67">
        <v>2</v>
      </c>
      <c r="K60" s="68" t="str">
        <f>VLOOKUP(Tabla6[[#This Row],[DIRECCIÓN GENERAL / COORDINACIÓN / SUBDIRECCIÓN]],Tabla37[[#All],[Columna1]:[EOD]],2,0)</f>
        <v>266_0001</v>
      </c>
      <c r="L60" s="69">
        <f>VLOOKUP(Tabla6[[#This Row],[OBJETIVOS PND]],Listas!$A$1:$C$3,3,0)</f>
        <v>1</v>
      </c>
      <c r="M60" s="70">
        <f>VLOOKUP(Tabla6[[#This Row],[PG]],Listas2!$G$14:$K$16,5,0)</f>
        <v>0</v>
      </c>
      <c r="N60" s="71">
        <v>1</v>
      </c>
      <c r="O60" s="72">
        <v>401</v>
      </c>
      <c r="P60" s="73" t="str">
        <f>VLOOKUP(Tabla6[[#This Row],[GEO]],Listas!$A$48:$B$77,2,0)</f>
        <v>TULCÁN</v>
      </c>
      <c r="Q60" s="70">
        <f>VLOOKUP(Tabla6[[#This Row],[PG]],Listas2!$G$14:$K$16,3,0)</f>
        <v>1</v>
      </c>
      <c r="R60" s="73">
        <f>VLOOKUP(Tabla6[[#This Row],[PG]],Listas2!H65:'Listas2'!$G$14:$K$16,4,0)</f>
        <v>0</v>
      </c>
      <c r="S60" s="73">
        <f>VLOOKUP(Tabla6[[#This Row],[PG]],Listas2!$G$14:$K$16,2,0)</f>
        <v>0</v>
      </c>
      <c r="T60" s="66" t="s">
        <v>84</v>
      </c>
      <c r="U60" s="74">
        <v>53</v>
      </c>
      <c r="V60" s="66">
        <v>531403</v>
      </c>
      <c r="W60" s="63" t="str">
        <f>VLOOKUP(Tabla6[[#This Row],[ÍTEM PRESUPUESTARIO]],Tabla2[#All],2,0)</f>
        <v xml:space="preserve">MOBILIARIO </v>
      </c>
      <c r="X60" s="57">
        <v>0</v>
      </c>
      <c r="Y60" s="57">
        <f>150-10</f>
        <v>140</v>
      </c>
      <c r="Z60" s="58">
        <v>0</v>
      </c>
      <c r="AA60" s="58">
        <v>0</v>
      </c>
      <c r="AB60" s="58">
        <v>0</v>
      </c>
      <c r="AC60" s="58">
        <v>0</v>
      </c>
      <c r="AD60" s="58">
        <v>140</v>
      </c>
      <c r="AE60" s="58">
        <v>0</v>
      </c>
      <c r="AF60" s="58">
        <v>0</v>
      </c>
      <c r="AG60" s="58">
        <v>0</v>
      </c>
      <c r="AH60" s="58">
        <v>0</v>
      </c>
      <c r="AI60" s="58">
        <v>0</v>
      </c>
      <c r="AJ60" s="58">
        <v>0</v>
      </c>
      <c r="AK60" s="58">
        <v>0</v>
      </c>
      <c r="AL60" s="75">
        <f>+SUBTOTAL(9,Tabla6[[#This Row],[ENE]:[DIC]])</f>
        <v>140</v>
      </c>
      <c r="AM60" s="76" t="str">
        <f t="shared" si="0"/>
        <v>OK</v>
      </c>
      <c r="AN60" s="60">
        <v>140</v>
      </c>
      <c r="AO60" s="61">
        <f>+Tabla6[[#This Row],[PRESUPUESTO VIGENTE]]-Tabla6[[#This Row],[CERTIFICACIÓN PAPP]]</f>
        <v>0</v>
      </c>
      <c r="AP60" s="59">
        <v>0</v>
      </c>
    </row>
    <row r="61" spans="1:42" ht="93" customHeight="1" x14ac:dyDescent="0.25">
      <c r="A61" s="62" t="s">
        <v>78</v>
      </c>
      <c r="B61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61" s="64" t="s">
        <v>79</v>
      </c>
      <c r="D61" s="64" t="s">
        <v>80</v>
      </c>
      <c r="E61" s="64" t="s">
        <v>81</v>
      </c>
      <c r="F61" s="64" t="s">
        <v>82</v>
      </c>
      <c r="G61" s="64" t="s">
        <v>83</v>
      </c>
      <c r="H61" s="65" t="str">
        <f>VLOOKUP(Tabla6[[#This Row],[DIRECCIÓN]],DIRECCIÓN[#All],2,0)</f>
        <v>ADMINISTRACIÓN CENTRAL</v>
      </c>
      <c r="I61" s="66" t="s">
        <v>823</v>
      </c>
      <c r="J61" s="67">
        <v>2</v>
      </c>
      <c r="K61" s="68" t="str">
        <f>VLOOKUP(Tabla6[[#This Row],[DIRECCIÓN GENERAL / COORDINACIÓN / SUBDIRECCIÓN]],Tabla37[[#All],[Columna1]:[EOD]],2,0)</f>
        <v>266_0001</v>
      </c>
      <c r="L61" s="69">
        <f>VLOOKUP(Tabla6[[#This Row],[OBJETIVOS PND]],Listas!$A$1:$C$3,3,0)</f>
        <v>1</v>
      </c>
      <c r="M61" s="70">
        <f>VLOOKUP(Tabla6[[#This Row],[PG]],Listas2!$G$14:$K$16,5,0)</f>
        <v>0</v>
      </c>
      <c r="N61" s="71">
        <v>1</v>
      </c>
      <c r="O61" s="72">
        <v>401</v>
      </c>
      <c r="P61" s="73" t="str">
        <f>VLOOKUP(Tabla6[[#This Row],[GEO]],Listas!$A$48:$B$77,2,0)</f>
        <v>TULCÁN</v>
      </c>
      <c r="Q61" s="70">
        <f>VLOOKUP(Tabla6[[#This Row],[PG]],Listas2!$G$14:$K$16,3,0)</f>
        <v>1</v>
      </c>
      <c r="R61" s="73">
        <f>VLOOKUP(Tabla6[[#This Row],[PG]],Listas2!H66:'Listas2'!$G$14:$K$16,4,0)</f>
        <v>0</v>
      </c>
      <c r="S61" s="73">
        <f>VLOOKUP(Tabla6[[#This Row],[PG]],Listas2!$G$14:$K$16,2,0)</f>
        <v>0</v>
      </c>
      <c r="T61" s="66" t="s">
        <v>84</v>
      </c>
      <c r="U61" s="74">
        <v>53</v>
      </c>
      <c r="V61" s="66">
        <v>531404</v>
      </c>
      <c r="W61" s="63" t="str">
        <f>VLOOKUP(Tabla6[[#This Row],[ÍTEM PRESUPUESTARIO]],Tabla2[#All],2,0)</f>
        <v>MAQUINARIAS Y EQUIPOS</v>
      </c>
      <c r="X61" s="57">
        <v>0</v>
      </c>
      <c r="Y61" s="57">
        <f>1500-750-550-200</f>
        <v>0</v>
      </c>
      <c r="Z61" s="58">
        <v>0</v>
      </c>
      <c r="AA61" s="58">
        <v>0</v>
      </c>
      <c r="AB61" s="58">
        <v>0</v>
      </c>
      <c r="AC61" s="58">
        <v>0</v>
      </c>
      <c r="AD61" s="58">
        <v>0</v>
      </c>
      <c r="AE61" s="58">
        <v>0</v>
      </c>
      <c r="AF61" s="58">
        <v>0</v>
      </c>
      <c r="AG61" s="58">
        <v>0</v>
      </c>
      <c r="AH61" s="58">
        <v>0</v>
      </c>
      <c r="AI61" s="58">
        <v>0</v>
      </c>
      <c r="AJ61" s="58">
        <v>0</v>
      </c>
      <c r="AK61" s="58">
        <v>0</v>
      </c>
      <c r="AL61" s="75">
        <f>+SUBTOTAL(9,Tabla6[[#This Row],[ENE]:[DIC]])</f>
        <v>0</v>
      </c>
      <c r="AM61" s="76" t="str">
        <f t="shared" si="0"/>
        <v>OK</v>
      </c>
      <c r="AN61" s="60">
        <v>0</v>
      </c>
      <c r="AO61" s="61">
        <f>+Tabla6[[#This Row],[PRESUPUESTO VIGENTE]]-Tabla6[[#This Row],[CERTIFICACIÓN PAPP]]</f>
        <v>0</v>
      </c>
      <c r="AP61" s="59">
        <v>0</v>
      </c>
    </row>
    <row r="62" spans="1:42" ht="93" customHeight="1" x14ac:dyDescent="0.25">
      <c r="A62" s="62" t="s">
        <v>78</v>
      </c>
      <c r="B62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62" s="64" t="s">
        <v>79</v>
      </c>
      <c r="D62" s="64" t="s">
        <v>80</v>
      </c>
      <c r="E62" s="64" t="s">
        <v>81</v>
      </c>
      <c r="F62" s="64" t="s">
        <v>82</v>
      </c>
      <c r="G62" s="64" t="s">
        <v>83</v>
      </c>
      <c r="H62" s="65" t="str">
        <f>VLOOKUP(Tabla6[[#This Row],[DIRECCIÓN]],DIRECCIÓN[#All],2,0)</f>
        <v>ADMINISTRACIÓN CENTRAL</v>
      </c>
      <c r="I62" s="66" t="s">
        <v>824</v>
      </c>
      <c r="J62" s="67">
        <v>1</v>
      </c>
      <c r="K62" s="68" t="str">
        <f>VLOOKUP(Tabla6[[#This Row],[DIRECCIÓN GENERAL / COORDINACIÓN / SUBDIRECCIÓN]],Tabla37[[#All],[Columna1]:[EOD]],2,0)</f>
        <v>266_0001</v>
      </c>
      <c r="L62" s="69">
        <f>VLOOKUP(Tabla6[[#This Row],[OBJETIVOS PND]],Listas!$A$1:$C$3,3,0)</f>
        <v>1</v>
      </c>
      <c r="M62" s="70">
        <f>VLOOKUP(Tabla6[[#This Row],[PG]],Listas2!$G$14:$K$16,5,0)</f>
        <v>0</v>
      </c>
      <c r="N62" s="71">
        <v>1</v>
      </c>
      <c r="O62" s="72">
        <v>401</v>
      </c>
      <c r="P62" s="73" t="str">
        <f>VLOOKUP(Tabla6[[#This Row],[GEO]],Listas!$A$48:$B$77,2,0)</f>
        <v>TULCÁN</v>
      </c>
      <c r="Q62" s="70">
        <f>VLOOKUP(Tabla6[[#This Row],[PG]],Listas2!$G$14:$K$16,3,0)</f>
        <v>1</v>
      </c>
      <c r="R62" s="73">
        <f>VLOOKUP(Tabla6[[#This Row],[PG]],Listas2!H67:'Listas2'!$G$14:$K$16,4,0)</f>
        <v>0</v>
      </c>
      <c r="S62" s="73">
        <f>VLOOKUP(Tabla6[[#This Row],[PG]],Listas2!$G$14:$K$16,2,0)</f>
        <v>0</v>
      </c>
      <c r="T62" s="66" t="s">
        <v>84</v>
      </c>
      <c r="U62" s="74">
        <v>53</v>
      </c>
      <c r="V62" s="66">
        <v>531406</v>
      </c>
      <c r="W62" s="63" t="str">
        <f>VLOOKUP(Tabla6[[#This Row],[ÍTEM PRESUPUESTARIO]],Tabla2[#All],2,0)</f>
        <v>HERRAMIENTAS Y EQUIPOS MENORES</v>
      </c>
      <c r="X62" s="57">
        <v>200</v>
      </c>
      <c r="Y62" s="57">
        <f>200+1900-1050+650-1700</f>
        <v>0</v>
      </c>
      <c r="Z62" s="58">
        <v>0</v>
      </c>
      <c r="AA62" s="58">
        <v>0</v>
      </c>
      <c r="AB62" s="58">
        <v>0</v>
      </c>
      <c r="AC62" s="58">
        <v>0</v>
      </c>
      <c r="AD62" s="58">
        <v>0</v>
      </c>
      <c r="AE62" s="58">
        <v>0</v>
      </c>
      <c r="AF62" s="58">
        <v>0</v>
      </c>
      <c r="AG62" s="58">
        <v>0</v>
      </c>
      <c r="AH62" s="58">
        <v>0</v>
      </c>
      <c r="AI62" s="58">
        <v>0</v>
      </c>
      <c r="AJ62" s="58">
        <v>0</v>
      </c>
      <c r="AK62" s="58">
        <v>0</v>
      </c>
      <c r="AL62" s="75">
        <f>+SUBTOTAL(9,Tabla6[[#This Row],[ENE]:[DIC]])</f>
        <v>0</v>
      </c>
      <c r="AM62" s="76" t="str">
        <f t="shared" si="0"/>
        <v>OK</v>
      </c>
      <c r="AN62" s="60">
        <v>0</v>
      </c>
      <c r="AO62" s="61">
        <f>+Tabla6[[#This Row],[PRESUPUESTO VIGENTE]]-Tabla6[[#This Row],[CERTIFICACIÓN PAPP]]</f>
        <v>0</v>
      </c>
      <c r="AP62" s="59" t="s">
        <v>87</v>
      </c>
    </row>
    <row r="63" spans="1:42" ht="93" customHeight="1" x14ac:dyDescent="0.25">
      <c r="A63" s="62" t="s">
        <v>78</v>
      </c>
      <c r="B63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63" s="64" t="s">
        <v>79</v>
      </c>
      <c r="D63" s="64" t="s">
        <v>80</v>
      </c>
      <c r="E63" s="64" t="s">
        <v>81</v>
      </c>
      <c r="F63" s="64" t="s">
        <v>82</v>
      </c>
      <c r="G63" s="64" t="s">
        <v>83</v>
      </c>
      <c r="H63" s="65" t="str">
        <f>VLOOKUP(Tabla6[[#This Row],[DIRECCIÓN]],DIRECCIÓN[#All],2,0)</f>
        <v>ADMINISTRACIÓN CENTRAL</v>
      </c>
      <c r="I63" s="66" t="s">
        <v>825</v>
      </c>
      <c r="J63" s="67">
        <v>1</v>
      </c>
      <c r="K63" s="68" t="str">
        <f>VLOOKUP(Tabla6[[#This Row],[DIRECCIÓN GENERAL / COORDINACIÓN / SUBDIRECCIÓN]],Tabla37[[#All],[Columna1]:[EOD]],2,0)</f>
        <v>266_0001</v>
      </c>
      <c r="L63" s="69">
        <f>VLOOKUP(Tabla6[[#This Row],[OBJETIVOS PND]],Listas!$A$1:$C$3,3,0)</f>
        <v>1</v>
      </c>
      <c r="M63" s="70">
        <f>VLOOKUP(Tabla6[[#This Row],[PG]],Listas2!$G$14:$K$16,5,0)</f>
        <v>0</v>
      </c>
      <c r="N63" s="71">
        <v>1</v>
      </c>
      <c r="O63" s="72">
        <v>401</v>
      </c>
      <c r="P63" s="73" t="str">
        <f>VLOOKUP(Tabla6[[#This Row],[GEO]],Listas!$A$48:$B$77,2,0)</f>
        <v>TULCÁN</v>
      </c>
      <c r="Q63" s="70">
        <f>VLOOKUP(Tabla6[[#This Row],[PG]],Listas2!$G$14:$K$16,3,0)</f>
        <v>1</v>
      </c>
      <c r="R63" s="73">
        <f>VLOOKUP(Tabla6[[#This Row],[PG]],Listas2!H68:'Listas2'!$G$14:$K$16,4,0)</f>
        <v>0</v>
      </c>
      <c r="S63" s="73">
        <f>VLOOKUP(Tabla6[[#This Row],[PG]],Listas2!$G$14:$K$16,2,0)</f>
        <v>0</v>
      </c>
      <c r="T63" s="66" t="s">
        <v>84</v>
      </c>
      <c r="U63" s="74">
        <v>57</v>
      </c>
      <c r="V63" s="66">
        <v>570102</v>
      </c>
      <c r="W63" s="63" t="str">
        <f>VLOOKUP(Tabla6[[#This Row],[ÍTEM PRESUPUESTARIO]],Tabla2[#All],2,0)</f>
        <v>TASAS GENERALES, IMPUESTOS, CONTRIBUCIONES, PERMISOS, LICENCIAS Y PATENTES</v>
      </c>
      <c r="X63" s="57">
        <v>300</v>
      </c>
      <c r="Y63" s="57">
        <f>300-300</f>
        <v>0</v>
      </c>
      <c r="Z63" s="58">
        <v>0</v>
      </c>
      <c r="AA63" s="58">
        <v>0</v>
      </c>
      <c r="AB63" s="58">
        <v>0</v>
      </c>
      <c r="AC63" s="58">
        <v>0</v>
      </c>
      <c r="AD63" s="58">
        <v>0</v>
      </c>
      <c r="AE63" s="58">
        <v>0</v>
      </c>
      <c r="AF63" s="58">
        <v>0</v>
      </c>
      <c r="AG63" s="58">
        <v>0</v>
      </c>
      <c r="AH63" s="58">
        <v>0</v>
      </c>
      <c r="AI63" s="58">
        <v>0</v>
      </c>
      <c r="AJ63" s="58">
        <v>0</v>
      </c>
      <c r="AK63" s="58">
        <v>0</v>
      </c>
      <c r="AL63" s="75">
        <f>+SUBTOTAL(9,Tabla6[[#This Row],[ENE]:[DIC]])</f>
        <v>0</v>
      </c>
      <c r="AM63" s="76" t="str">
        <f t="shared" si="0"/>
        <v>OK</v>
      </c>
      <c r="AN63" s="60">
        <v>0</v>
      </c>
      <c r="AO63" s="61">
        <f>+Tabla6[[#This Row],[PRESUPUESTO VIGENTE]]-Tabla6[[#This Row],[CERTIFICACIÓN PAPP]]</f>
        <v>0</v>
      </c>
      <c r="AP63" s="59">
        <v>0</v>
      </c>
    </row>
    <row r="64" spans="1:42" ht="93" customHeight="1" x14ac:dyDescent="0.25">
      <c r="A64" s="62" t="s">
        <v>78</v>
      </c>
      <c r="B64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64" s="64" t="s">
        <v>79</v>
      </c>
      <c r="D64" s="64" t="s">
        <v>80</v>
      </c>
      <c r="E64" s="64" t="s">
        <v>81</v>
      </c>
      <c r="F64" s="64" t="s">
        <v>82</v>
      </c>
      <c r="G64" s="64" t="s">
        <v>83</v>
      </c>
      <c r="H64" s="65" t="str">
        <f>VLOOKUP(Tabla6[[#This Row],[DIRECCIÓN]],DIRECCIÓN[#All],2,0)</f>
        <v>ADMINISTRACIÓN CENTRAL</v>
      </c>
      <c r="I64" s="66" t="s">
        <v>826</v>
      </c>
      <c r="J64" s="67">
        <v>1</v>
      </c>
      <c r="K64" s="68" t="str">
        <f>VLOOKUP(Tabla6[[#This Row],[DIRECCIÓN GENERAL / COORDINACIÓN / SUBDIRECCIÓN]],Tabla37[[#All],[Columna1]:[EOD]],2,0)</f>
        <v>266_0001</v>
      </c>
      <c r="L64" s="69">
        <f>VLOOKUP(Tabla6[[#This Row],[OBJETIVOS PND]],Listas!$A$1:$C$3,3,0)</f>
        <v>1</v>
      </c>
      <c r="M64" s="70">
        <f>VLOOKUP(Tabla6[[#This Row],[PG]],Listas2!$G$14:$K$16,5,0)</f>
        <v>0</v>
      </c>
      <c r="N64" s="71">
        <v>1</v>
      </c>
      <c r="O64" s="72">
        <v>401</v>
      </c>
      <c r="P64" s="73" t="str">
        <f>VLOOKUP(Tabla6[[#This Row],[GEO]],Listas!$A$48:$B$77,2,0)</f>
        <v>TULCÁN</v>
      </c>
      <c r="Q64" s="70">
        <f>VLOOKUP(Tabla6[[#This Row],[PG]],Listas2!$G$14:$K$16,3,0)</f>
        <v>1</v>
      </c>
      <c r="R64" s="73">
        <f>VLOOKUP(Tabla6[[#This Row],[PG]],Listas2!H69:'Listas2'!$G$14:$K$16,4,0)</f>
        <v>0</v>
      </c>
      <c r="S64" s="73">
        <f>VLOOKUP(Tabla6[[#This Row],[PG]],Listas2!$G$14:$K$16,2,0)</f>
        <v>0</v>
      </c>
      <c r="T64" s="66" t="s">
        <v>84</v>
      </c>
      <c r="U64" s="74">
        <v>57</v>
      </c>
      <c r="V64" s="66">
        <v>570102</v>
      </c>
      <c r="W64" s="63" t="str">
        <f>VLOOKUP(Tabla6[[#This Row],[ÍTEM PRESUPUESTARIO]],Tabla2[#All],2,0)</f>
        <v>TASAS GENERALES, IMPUESTOS, CONTRIBUCIONES, PERMISOS, LICENCIAS Y PATENTES</v>
      </c>
      <c r="X64" s="57">
        <v>150</v>
      </c>
      <c r="Y64" s="57">
        <f>150+20-1</f>
        <v>169</v>
      </c>
      <c r="Z64" s="58">
        <v>0</v>
      </c>
      <c r="AA64" s="58">
        <v>0</v>
      </c>
      <c r="AB64" s="58">
        <v>169</v>
      </c>
      <c r="AC64" s="58">
        <v>0</v>
      </c>
      <c r="AD64" s="58">
        <v>0</v>
      </c>
      <c r="AE64" s="58">
        <v>0</v>
      </c>
      <c r="AF64" s="58">
        <v>0</v>
      </c>
      <c r="AG64" s="58">
        <v>0</v>
      </c>
      <c r="AH64" s="58">
        <v>0</v>
      </c>
      <c r="AI64" s="58">
        <v>0</v>
      </c>
      <c r="AJ64" s="58">
        <v>0</v>
      </c>
      <c r="AK64" s="58">
        <v>0</v>
      </c>
      <c r="AL64" s="75">
        <f>+SUBTOTAL(9,Tabla6[[#This Row],[ENE]:[DIC]])</f>
        <v>169</v>
      </c>
      <c r="AM64" s="76" t="str">
        <f t="shared" si="0"/>
        <v>OK</v>
      </c>
      <c r="AN64" s="60">
        <v>169</v>
      </c>
      <c r="AO64" s="61">
        <f>+Tabla6[[#This Row],[PRESUPUESTO VIGENTE]]-Tabla6[[#This Row],[CERTIFICACIÓN PAPP]]</f>
        <v>0</v>
      </c>
      <c r="AP64" s="59">
        <v>0</v>
      </c>
    </row>
    <row r="65" spans="1:42" ht="93" customHeight="1" x14ac:dyDescent="0.25">
      <c r="A65" s="62" t="s">
        <v>78</v>
      </c>
      <c r="B65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65" s="64" t="s">
        <v>79</v>
      </c>
      <c r="D65" s="64" t="s">
        <v>80</v>
      </c>
      <c r="E65" s="64" t="s">
        <v>81</v>
      </c>
      <c r="F65" s="64" t="s">
        <v>82</v>
      </c>
      <c r="G65" s="64" t="s">
        <v>83</v>
      </c>
      <c r="H65" s="65" t="str">
        <f>VLOOKUP(Tabla6[[#This Row],[DIRECCIÓN]],DIRECCIÓN[#All],2,0)</f>
        <v>ADMINISTRACIÓN CENTRAL</v>
      </c>
      <c r="I65" s="66" t="s">
        <v>827</v>
      </c>
      <c r="J65" s="67">
        <v>1</v>
      </c>
      <c r="K65" s="68" t="str">
        <f>VLOOKUP(Tabla6[[#This Row],[DIRECCIÓN GENERAL / COORDINACIÓN / SUBDIRECCIÓN]],Tabla37[[#All],[Columna1]:[EOD]],2,0)</f>
        <v>266_0001</v>
      </c>
      <c r="L65" s="69">
        <f>VLOOKUP(Tabla6[[#This Row],[OBJETIVOS PND]],Listas!$A$1:$C$3,3,0)</f>
        <v>1</v>
      </c>
      <c r="M65" s="70">
        <f>VLOOKUP(Tabla6[[#This Row],[PG]],Listas2!$G$14:$K$16,5,0)</f>
        <v>0</v>
      </c>
      <c r="N65" s="71">
        <v>1</v>
      </c>
      <c r="O65" s="72">
        <v>401</v>
      </c>
      <c r="P65" s="73" t="str">
        <f>VLOOKUP(Tabla6[[#This Row],[GEO]],Listas!$A$48:$B$77,2,0)</f>
        <v>TULCÁN</v>
      </c>
      <c r="Q65" s="70">
        <f>VLOOKUP(Tabla6[[#This Row],[PG]],Listas2!$G$14:$K$16,3,0)</f>
        <v>1</v>
      </c>
      <c r="R65" s="73">
        <f>VLOOKUP(Tabla6[[#This Row],[PG]],Listas2!H70:'Listas2'!$G$14:$K$16,4,0)</f>
        <v>0</v>
      </c>
      <c r="S65" s="73">
        <f>VLOOKUP(Tabla6[[#This Row],[PG]],Listas2!$G$14:$K$16,2,0)</f>
        <v>0</v>
      </c>
      <c r="T65" s="66" t="s">
        <v>84</v>
      </c>
      <c r="U65" s="74">
        <v>57</v>
      </c>
      <c r="V65" s="66">
        <v>570102</v>
      </c>
      <c r="W65" s="63" t="str">
        <f>VLOOKUP(Tabla6[[#This Row],[ÍTEM PRESUPUESTARIO]],Tabla2[#All],2,0)</f>
        <v>TASAS GENERALES, IMPUESTOS, CONTRIBUCIONES, PERMISOS, LICENCIAS Y PATENTES</v>
      </c>
      <c r="X65" s="57">
        <v>1193</v>
      </c>
      <c r="Y65" s="57">
        <f>1193-234.55</f>
        <v>958.45</v>
      </c>
      <c r="Z65" s="58">
        <v>0</v>
      </c>
      <c r="AA65" s="58">
        <v>0</v>
      </c>
      <c r="AB65" s="58">
        <v>958.45</v>
      </c>
      <c r="AC65" s="58">
        <v>0</v>
      </c>
      <c r="AD65" s="58">
        <v>0</v>
      </c>
      <c r="AE65" s="58">
        <v>0</v>
      </c>
      <c r="AF65" s="58">
        <v>0</v>
      </c>
      <c r="AG65" s="58">
        <v>0</v>
      </c>
      <c r="AH65" s="58">
        <v>0</v>
      </c>
      <c r="AI65" s="58">
        <v>0</v>
      </c>
      <c r="AJ65" s="58">
        <v>0</v>
      </c>
      <c r="AK65" s="58">
        <v>0</v>
      </c>
      <c r="AL65" s="75">
        <f>+SUBTOTAL(9,Tabla6[[#This Row],[ENE]:[DIC]])</f>
        <v>958.45</v>
      </c>
      <c r="AM65" s="76" t="str">
        <f t="shared" si="0"/>
        <v>OK</v>
      </c>
      <c r="AN65" s="60">
        <v>958.45</v>
      </c>
      <c r="AO65" s="61">
        <f>+Tabla6[[#This Row],[PRESUPUESTO VIGENTE]]-Tabla6[[#This Row],[CERTIFICACIÓN PAPP]]</f>
        <v>0</v>
      </c>
      <c r="AP65" s="59">
        <v>0</v>
      </c>
    </row>
    <row r="66" spans="1:42" ht="93" customHeight="1" x14ac:dyDescent="0.25">
      <c r="A66" s="62" t="s">
        <v>78</v>
      </c>
      <c r="B66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66" s="64" t="s">
        <v>79</v>
      </c>
      <c r="D66" s="64" t="s">
        <v>80</v>
      </c>
      <c r="E66" s="64" t="s">
        <v>81</v>
      </c>
      <c r="F66" s="64" t="s">
        <v>82</v>
      </c>
      <c r="G66" s="64" t="s">
        <v>83</v>
      </c>
      <c r="H66" s="65" t="str">
        <f>VLOOKUP(Tabla6[[#This Row],[DIRECCIÓN]],DIRECCIÓN[#All],2,0)</f>
        <v>ADMINISTRACIÓN CENTRAL</v>
      </c>
      <c r="I66" s="66" t="s">
        <v>792</v>
      </c>
      <c r="J66" s="67">
        <v>1</v>
      </c>
      <c r="K66" s="68" t="str">
        <f>VLOOKUP(Tabla6[[#This Row],[DIRECCIÓN GENERAL / COORDINACIÓN / SUBDIRECCIÓN]],Tabla37[[#All],[Columna1]:[EOD]],2,0)</f>
        <v>266_0001</v>
      </c>
      <c r="L66" s="69">
        <f>VLOOKUP(Tabla6[[#This Row],[OBJETIVOS PND]],Listas!$A$1:$C$3,3,0)</f>
        <v>1</v>
      </c>
      <c r="M66" s="70">
        <f>VLOOKUP(Tabla6[[#This Row],[PG]],Listas2!$G$14:$K$16,5,0)</f>
        <v>0</v>
      </c>
      <c r="N66" s="71">
        <v>1</v>
      </c>
      <c r="O66" s="72">
        <v>401</v>
      </c>
      <c r="P66" s="73" t="str">
        <f>VLOOKUP(Tabla6[[#This Row],[GEO]],Listas!$A$48:$B$77,2,0)</f>
        <v>TULCÁN</v>
      </c>
      <c r="Q66" s="70">
        <f>VLOOKUP(Tabla6[[#This Row],[PG]],Listas2!$G$14:$K$16,3,0)</f>
        <v>1</v>
      </c>
      <c r="R66" s="73">
        <f>VLOOKUP(Tabla6[[#This Row],[PG]],Listas2!H71:'Listas2'!$G$14:$K$16,4,0)</f>
        <v>0</v>
      </c>
      <c r="S66" s="73">
        <f>VLOOKUP(Tabla6[[#This Row],[PG]],Listas2!$G$14:$K$16,2,0)</f>
        <v>0</v>
      </c>
      <c r="T66" s="66" t="s">
        <v>84</v>
      </c>
      <c r="U66" s="74">
        <v>57</v>
      </c>
      <c r="V66" s="66">
        <v>570102</v>
      </c>
      <c r="W66" s="63" t="str">
        <f>VLOOKUP(Tabla6[[#This Row],[ÍTEM PRESUPUESTARIO]],Tabla2[#All],2,0)</f>
        <v>TASAS GENERALES, IMPUESTOS, CONTRIBUCIONES, PERMISOS, LICENCIAS Y PATENTES</v>
      </c>
      <c r="X66" s="57">
        <v>100</v>
      </c>
      <c r="Y66" s="57">
        <f>100+50-26.26</f>
        <v>123.74</v>
      </c>
      <c r="Z66" s="58">
        <v>0</v>
      </c>
      <c r="AA66" s="58">
        <v>0</v>
      </c>
      <c r="AB66" s="58">
        <v>0</v>
      </c>
      <c r="AC66" s="58">
        <v>0</v>
      </c>
      <c r="AD66" s="58">
        <v>0</v>
      </c>
      <c r="AE66" s="58">
        <v>0</v>
      </c>
      <c r="AF66" s="58">
        <v>0</v>
      </c>
      <c r="AG66" s="58">
        <v>0</v>
      </c>
      <c r="AH66" s="58">
        <v>0</v>
      </c>
      <c r="AI66" s="58">
        <v>0</v>
      </c>
      <c r="AJ66" s="58">
        <v>0</v>
      </c>
      <c r="AK66" s="58">
        <v>123.74</v>
      </c>
      <c r="AL66" s="75">
        <f>+SUBTOTAL(9,Tabla6[[#This Row],[ENE]:[DIC]])</f>
        <v>123.74</v>
      </c>
      <c r="AM66" s="76" t="str">
        <f t="shared" si="0"/>
        <v>OK</v>
      </c>
      <c r="AN66" s="60">
        <v>123.74</v>
      </c>
      <c r="AO66" s="61">
        <f>+Tabla6[[#This Row],[PRESUPUESTO VIGENTE]]-Tabla6[[#This Row],[CERTIFICACIÓN PAPP]]</f>
        <v>0</v>
      </c>
      <c r="AP66" s="59" t="s">
        <v>87</v>
      </c>
    </row>
    <row r="67" spans="1:42" ht="93" customHeight="1" x14ac:dyDescent="0.25">
      <c r="A67" s="62" t="s">
        <v>88</v>
      </c>
      <c r="B67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67" s="64" t="s">
        <v>89</v>
      </c>
      <c r="D67" s="64" t="s">
        <v>80</v>
      </c>
      <c r="E67" s="64" t="s">
        <v>81</v>
      </c>
      <c r="F67" s="64" t="s">
        <v>82</v>
      </c>
      <c r="G67" s="64" t="s">
        <v>90</v>
      </c>
      <c r="H67" s="65" t="str">
        <f>VLOOKUP(Tabla6[[#This Row],[DIRECCIÓN]],DIRECCIÓN[#All],2,0)</f>
        <v>TECNOLOGÍA</v>
      </c>
      <c r="I67" s="66" t="s">
        <v>828</v>
      </c>
      <c r="J67" s="67">
        <v>1</v>
      </c>
      <c r="K67" s="68" t="str">
        <f>VLOOKUP(Tabla6[[#This Row],[DIRECCIÓN GENERAL / COORDINACIÓN / SUBDIRECCIÓN]],Tabla37[[#All],[Columna1]:[EOD]],2,0)</f>
        <v>266_0001</v>
      </c>
      <c r="L67" s="69">
        <f>VLOOKUP(Tabla6[[#This Row],[OBJETIVOS PND]],Listas!$A$1:$C$3,3,0)</f>
        <v>55</v>
      </c>
      <c r="M67" s="70">
        <f>VLOOKUP(Tabla6[[#This Row],[PG]],Listas2!$G$14:$K$16,5,0)</f>
        <v>0</v>
      </c>
      <c r="N67" s="71">
        <v>3</v>
      </c>
      <c r="O67" s="72">
        <v>401</v>
      </c>
      <c r="P67" s="73" t="str">
        <f>VLOOKUP(Tabla6[[#This Row],[GEO]],Listas!$A$48:$B$77,2,0)</f>
        <v>TULCÁN</v>
      </c>
      <c r="Q67" s="70">
        <f>VLOOKUP(Tabla6[[#This Row],[PG]],Listas2!$G$14:$K$16,3,0)</f>
        <v>1</v>
      </c>
      <c r="R67" s="73">
        <f>VLOOKUP(Tabla6[[#This Row],[PG]],Listas2!H72:'Listas2'!$G$14:$K$16,4,0)</f>
        <v>0</v>
      </c>
      <c r="S67" s="73">
        <f>VLOOKUP(Tabla6[[#This Row],[PG]],Listas2!$G$14:$K$16,2,0)</f>
        <v>0</v>
      </c>
      <c r="T67" s="66" t="s">
        <v>84</v>
      </c>
      <c r="U67" s="74">
        <v>53</v>
      </c>
      <c r="V67" s="66">
        <v>530105</v>
      </c>
      <c r="W67" s="63" t="str">
        <f>VLOOKUP(Tabla6[[#This Row],[ÍTEM PRESUPUESTARIO]],Tabla2[#All],2,0)</f>
        <v>TELECOMUNICACIONES</v>
      </c>
      <c r="X67" s="57">
        <v>10300</v>
      </c>
      <c r="Y67" s="57">
        <f>10300-4300-592.07</f>
        <v>5407.93</v>
      </c>
      <c r="Z67" s="58">
        <v>5407.93</v>
      </c>
      <c r="AA67" s="58">
        <v>0</v>
      </c>
      <c r="AB67" s="58">
        <v>0</v>
      </c>
      <c r="AC67" s="58">
        <v>0</v>
      </c>
      <c r="AD67" s="58">
        <v>0</v>
      </c>
      <c r="AE67" s="58">
        <v>0</v>
      </c>
      <c r="AF67" s="58">
        <v>0</v>
      </c>
      <c r="AG67" s="58">
        <v>0</v>
      </c>
      <c r="AH67" s="58">
        <v>0</v>
      </c>
      <c r="AI67" s="58">
        <v>0</v>
      </c>
      <c r="AJ67" s="58">
        <v>0</v>
      </c>
      <c r="AK67" s="58">
        <v>0</v>
      </c>
      <c r="AL67" s="75">
        <f>+SUBTOTAL(9,Tabla6[[#This Row],[ENE]:[DIC]])</f>
        <v>5407.93</v>
      </c>
      <c r="AM67" s="76" t="str">
        <f t="shared" si="0"/>
        <v>OK</v>
      </c>
      <c r="AN67" s="60">
        <v>5407.93</v>
      </c>
      <c r="AO67" s="61">
        <f>+Tabla6[[#This Row],[PRESUPUESTO VIGENTE]]-Tabla6[[#This Row],[CERTIFICACIÓN PAPP]]</f>
        <v>0</v>
      </c>
      <c r="AP67" s="59">
        <v>0</v>
      </c>
    </row>
    <row r="68" spans="1:42" ht="93" customHeight="1" x14ac:dyDescent="0.25">
      <c r="A68" s="62" t="s">
        <v>88</v>
      </c>
      <c r="B68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68" s="64" t="s">
        <v>89</v>
      </c>
      <c r="D68" s="64" t="s">
        <v>80</v>
      </c>
      <c r="E68" s="64" t="s">
        <v>81</v>
      </c>
      <c r="F68" s="64" t="s">
        <v>82</v>
      </c>
      <c r="G68" s="64" t="s">
        <v>90</v>
      </c>
      <c r="H68" s="65" t="str">
        <f>VLOOKUP(Tabla6[[#This Row],[DIRECCIÓN]],DIRECCIÓN[#All],2,0)</f>
        <v>TECNOLOGÍA</v>
      </c>
      <c r="I68" s="66" t="s">
        <v>829</v>
      </c>
      <c r="J68" s="67">
        <v>1</v>
      </c>
      <c r="K68" s="68" t="str">
        <f>VLOOKUP(Tabla6[[#This Row],[DIRECCIÓN GENERAL / COORDINACIÓN / SUBDIRECCIÓN]],Tabla37[[#All],[Columna1]:[EOD]],2,0)</f>
        <v>266_0001</v>
      </c>
      <c r="L68" s="69">
        <f>VLOOKUP(Tabla6[[#This Row],[OBJETIVOS PND]],Listas!$A$1:$C$3,3,0)</f>
        <v>55</v>
      </c>
      <c r="M68" s="70">
        <f>VLOOKUP(Tabla6[[#This Row],[PG]],Listas2!$G$14:$K$16,5,0)</f>
        <v>0</v>
      </c>
      <c r="N68" s="71">
        <v>3</v>
      </c>
      <c r="O68" s="72">
        <v>401</v>
      </c>
      <c r="P68" s="73" t="str">
        <f>VLOOKUP(Tabla6[[#This Row],[GEO]],Listas!$A$48:$B$77,2,0)</f>
        <v>TULCÁN</v>
      </c>
      <c r="Q68" s="70">
        <f>VLOOKUP(Tabla6[[#This Row],[PG]],Listas2!$G$14:$K$16,3,0)</f>
        <v>1</v>
      </c>
      <c r="R68" s="73">
        <f>VLOOKUP(Tabla6[[#This Row],[PG]],Listas2!H73:'Listas2'!$G$14:$K$16,4,0)</f>
        <v>0</v>
      </c>
      <c r="S68" s="73">
        <f>VLOOKUP(Tabla6[[#This Row],[PG]],Listas2!$G$14:$K$16,2,0)</f>
        <v>0</v>
      </c>
      <c r="T68" s="66" t="s">
        <v>84</v>
      </c>
      <c r="U68" s="74">
        <v>53</v>
      </c>
      <c r="V68" s="66">
        <v>530105</v>
      </c>
      <c r="W68" s="63" t="str">
        <f>VLOOKUP(Tabla6[[#This Row],[ÍTEM PRESUPUESTARIO]],Tabla2[#All],2,0)</f>
        <v>TELECOMUNICACIONES</v>
      </c>
      <c r="X68" s="57">
        <v>85500</v>
      </c>
      <c r="Y68" s="57">
        <f>85500-25874-21337.45</f>
        <v>38288.550000000003</v>
      </c>
      <c r="Z68" s="58">
        <v>0</v>
      </c>
      <c r="AA68" s="58">
        <v>5420.55</v>
      </c>
      <c r="AB68" s="58">
        <v>5420.55</v>
      </c>
      <c r="AC68" s="58">
        <v>5420.55</v>
      </c>
      <c r="AD68" s="58">
        <v>5420.55</v>
      </c>
      <c r="AE68" s="58">
        <v>5420.55</v>
      </c>
      <c r="AF68" s="58">
        <v>5420.55</v>
      </c>
      <c r="AG68" s="58">
        <v>5420.55</v>
      </c>
      <c r="AH68" s="58">
        <v>344.7</v>
      </c>
      <c r="AI68" s="58">
        <v>0</v>
      </c>
      <c r="AJ68" s="58">
        <v>0</v>
      </c>
      <c r="AK68" s="58">
        <v>0</v>
      </c>
      <c r="AL68" s="75">
        <f>+SUBTOTAL(9,Tabla6[[#This Row],[ENE]:[DIC]])</f>
        <v>38288.549999999996</v>
      </c>
      <c r="AM68" s="76" t="str">
        <f t="shared" si="0"/>
        <v>OK</v>
      </c>
      <c r="AN68" s="60">
        <v>27258.62</v>
      </c>
      <c r="AO68" s="61">
        <f>+Tabla6[[#This Row],[PRESUPUESTO VIGENTE]]-Tabla6[[#This Row],[CERTIFICACIÓN PAPP]]</f>
        <v>11029.930000000004</v>
      </c>
      <c r="AP68" s="59">
        <v>0</v>
      </c>
    </row>
    <row r="69" spans="1:42" ht="93" customHeight="1" x14ac:dyDescent="0.25">
      <c r="A69" s="62" t="s">
        <v>88</v>
      </c>
      <c r="B69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69" s="64" t="s">
        <v>89</v>
      </c>
      <c r="D69" s="64" t="s">
        <v>80</v>
      </c>
      <c r="E69" s="64" t="s">
        <v>81</v>
      </c>
      <c r="F69" s="64" t="s">
        <v>82</v>
      </c>
      <c r="G69" s="64" t="s">
        <v>90</v>
      </c>
      <c r="H69" s="65" t="str">
        <f>VLOOKUP(Tabla6[[#This Row],[DIRECCIÓN]],DIRECCIÓN[#All],2,0)</f>
        <v>TECNOLOGÍA</v>
      </c>
      <c r="I69" s="66" t="s">
        <v>830</v>
      </c>
      <c r="J69" s="67">
        <v>2</v>
      </c>
      <c r="K69" s="68" t="str">
        <f>VLOOKUP(Tabla6[[#This Row],[DIRECCIÓN GENERAL / COORDINACIÓN / SUBDIRECCIÓN]],Tabla37[[#All],[Columna1]:[EOD]],2,0)</f>
        <v>266_0001</v>
      </c>
      <c r="L69" s="69">
        <f>VLOOKUP(Tabla6[[#This Row],[OBJETIVOS PND]],Listas!$A$1:$C$3,3,0)</f>
        <v>55</v>
      </c>
      <c r="M69" s="70">
        <f>VLOOKUP(Tabla6[[#This Row],[PG]],Listas2!$G$14:$K$16,5,0)</f>
        <v>0</v>
      </c>
      <c r="N69" s="71">
        <v>3</v>
      </c>
      <c r="O69" s="72">
        <v>401</v>
      </c>
      <c r="P69" s="73" t="str">
        <f>VLOOKUP(Tabla6[[#This Row],[GEO]],Listas!$A$48:$B$77,2,0)</f>
        <v>TULCÁN</v>
      </c>
      <c r="Q69" s="70">
        <f>VLOOKUP(Tabla6[[#This Row],[PG]],Listas2!$G$14:$K$16,3,0)</f>
        <v>1</v>
      </c>
      <c r="R69" s="73">
        <f>VLOOKUP(Tabla6[[#This Row],[PG]],Listas2!H74:'Listas2'!$G$14:$K$16,4,0)</f>
        <v>0</v>
      </c>
      <c r="S69" s="73">
        <f>VLOOKUP(Tabla6[[#This Row],[PG]],Listas2!$G$14:$K$16,2,0)</f>
        <v>0</v>
      </c>
      <c r="T69" s="66" t="s">
        <v>84</v>
      </c>
      <c r="U69" s="74">
        <v>53</v>
      </c>
      <c r="V69" s="66">
        <v>530702</v>
      </c>
      <c r="W69" s="63" t="str">
        <f>VLOOKUP(Tabla6[[#This Row],[ÍTEM PRESUPUESTARIO]],Tabla2[#All],2,0)</f>
        <v>ARRENDAMIENTO Y LICENCIAS DE USO DE PAQUETES INFORMÁTICOS</v>
      </c>
      <c r="X69" s="57">
        <v>2929</v>
      </c>
      <c r="Y69" s="57">
        <f>2929-46.46</f>
        <v>2882.54</v>
      </c>
      <c r="Z69" s="58">
        <v>0</v>
      </c>
      <c r="AA69" s="58">
        <v>0</v>
      </c>
      <c r="AB69" s="58">
        <v>2882.54</v>
      </c>
      <c r="AC69" s="58">
        <v>0</v>
      </c>
      <c r="AD69" s="58">
        <v>0</v>
      </c>
      <c r="AE69" s="58">
        <v>0</v>
      </c>
      <c r="AF69" s="58">
        <v>0</v>
      </c>
      <c r="AG69" s="58">
        <v>0</v>
      </c>
      <c r="AH69" s="58">
        <v>0</v>
      </c>
      <c r="AI69" s="58">
        <v>0</v>
      </c>
      <c r="AJ69" s="58">
        <v>0</v>
      </c>
      <c r="AK69" s="58">
        <v>0</v>
      </c>
      <c r="AL69" s="75">
        <f>+SUBTOTAL(9,Tabla6[[#This Row],[ENE]:[DIC]])</f>
        <v>2882.54</v>
      </c>
      <c r="AM69" s="76" t="str">
        <f t="shared" si="0"/>
        <v>OK</v>
      </c>
      <c r="AN69" s="60">
        <v>2573.6999999999998</v>
      </c>
      <c r="AO69" s="61">
        <f>+Tabla6[[#This Row],[PRESUPUESTO VIGENTE]]-Tabla6[[#This Row],[CERTIFICACIÓN PAPP]]</f>
        <v>308.84000000000015</v>
      </c>
      <c r="AP69" s="59">
        <v>0</v>
      </c>
    </row>
    <row r="70" spans="1:42" ht="93" customHeight="1" x14ac:dyDescent="0.25">
      <c r="A70" s="62" t="s">
        <v>88</v>
      </c>
      <c r="B70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70" s="64" t="s">
        <v>89</v>
      </c>
      <c r="D70" s="64" t="s">
        <v>80</v>
      </c>
      <c r="E70" s="64" t="s">
        <v>81</v>
      </c>
      <c r="F70" s="64" t="s">
        <v>82</v>
      </c>
      <c r="G70" s="64" t="s">
        <v>90</v>
      </c>
      <c r="H70" s="65" t="str">
        <f>VLOOKUP(Tabla6[[#This Row],[DIRECCIÓN]],DIRECCIÓN[#All],2,0)</f>
        <v>TECNOLOGÍA</v>
      </c>
      <c r="I70" s="66" t="s">
        <v>831</v>
      </c>
      <c r="J70" s="67">
        <v>2</v>
      </c>
      <c r="K70" s="68" t="str">
        <f>VLOOKUP(Tabla6[[#This Row],[DIRECCIÓN GENERAL / COORDINACIÓN / SUBDIRECCIÓN]],Tabla37[[#All],[Columna1]:[EOD]],2,0)</f>
        <v>266_0001</v>
      </c>
      <c r="L70" s="69">
        <f>VLOOKUP(Tabla6[[#This Row],[OBJETIVOS PND]],Listas!$A$1:$C$3,3,0)</f>
        <v>55</v>
      </c>
      <c r="M70" s="70">
        <f>VLOOKUP(Tabla6[[#This Row],[PG]],Listas2!$G$14:$K$16,5,0)</f>
        <v>0</v>
      </c>
      <c r="N70" s="71">
        <v>3</v>
      </c>
      <c r="O70" s="72">
        <v>401</v>
      </c>
      <c r="P70" s="73" t="str">
        <f>VLOOKUP(Tabla6[[#This Row],[GEO]],Listas!$A$48:$B$77,2,0)</f>
        <v>TULCÁN</v>
      </c>
      <c r="Q70" s="70">
        <f>VLOOKUP(Tabla6[[#This Row],[PG]],Listas2!$G$14:$K$16,3,0)</f>
        <v>1</v>
      </c>
      <c r="R70" s="73">
        <f>VLOOKUP(Tabla6[[#This Row],[PG]],Listas2!H75:'Listas2'!$G$14:$K$16,4,0)</f>
        <v>0</v>
      </c>
      <c r="S70" s="73">
        <f>VLOOKUP(Tabla6[[#This Row],[PG]],Listas2!$G$14:$K$16,2,0)</f>
        <v>0</v>
      </c>
      <c r="T70" s="66" t="s">
        <v>84</v>
      </c>
      <c r="U70" s="74">
        <v>53</v>
      </c>
      <c r="V70" s="66">
        <v>530704</v>
      </c>
      <c r="W70" s="63" t="str">
        <f>VLOOKUP(Tabla6[[#This Row],[ÍTEM PRESUPUESTARIO]],Tabla2[#All],2,0)</f>
        <v xml:space="preserve">MANTENIMIENTO Y REPARACIÓN DE EQUIPOS Y SISTEMAS INFORMÁTICOS </v>
      </c>
      <c r="X70" s="57">
        <v>0</v>
      </c>
      <c r="Y70" s="57">
        <f>600-575+75</f>
        <v>100</v>
      </c>
      <c r="Z70" s="58">
        <v>0</v>
      </c>
      <c r="AA70" s="58">
        <v>0</v>
      </c>
      <c r="AB70" s="58">
        <v>0</v>
      </c>
      <c r="AC70" s="58">
        <v>0</v>
      </c>
      <c r="AD70" s="58">
        <v>0</v>
      </c>
      <c r="AE70" s="58">
        <v>100</v>
      </c>
      <c r="AF70" s="58">
        <v>0</v>
      </c>
      <c r="AG70" s="58">
        <v>0</v>
      </c>
      <c r="AH70" s="58">
        <v>0</v>
      </c>
      <c r="AI70" s="58">
        <v>0</v>
      </c>
      <c r="AJ70" s="58">
        <v>0</v>
      </c>
      <c r="AK70" s="58">
        <v>0</v>
      </c>
      <c r="AL70" s="75">
        <f>+SUBTOTAL(9,Tabla6[[#This Row],[ENE]:[DIC]])</f>
        <v>100</v>
      </c>
      <c r="AM70" s="76" t="str">
        <f t="shared" si="0"/>
        <v>OK</v>
      </c>
      <c r="AN70" s="60">
        <v>100</v>
      </c>
      <c r="AO70" s="61">
        <f>+Tabla6[[#This Row],[PRESUPUESTO VIGENTE]]-Tabla6[[#This Row],[CERTIFICACIÓN PAPP]]</f>
        <v>0</v>
      </c>
      <c r="AP70" s="59">
        <v>0</v>
      </c>
    </row>
    <row r="71" spans="1:42" ht="93" customHeight="1" x14ac:dyDescent="0.25">
      <c r="A71" s="62" t="s">
        <v>88</v>
      </c>
      <c r="B71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71" s="64" t="s">
        <v>89</v>
      </c>
      <c r="D71" s="64" t="s">
        <v>80</v>
      </c>
      <c r="E71" s="64" t="s">
        <v>81</v>
      </c>
      <c r="F71" s="64" t="s">
        <v>82</v>
      </c>
      <c r="G71" s="64" t="s">
        <v>90</v>
      </c>
      <c r="H71" s="65" t="str">
        <f>VLOOKUP(Tabla6[[#This Row],[DIRECCIÓN]],DIRECCIÓN[#All],2,0)</f>
        <v>TECNOLOGÍA</v>
      </c>
      <c r="I71" s="66" t="s">
        <v>832</v>
      </c>
      <c r="J71" s="67">
        <v>2</v>
      </c>
      <c r="K71" s="68" t="str">
        <f>VLOOKUP(Tabla6[[#This Row],[DIRECCIÓN GENERAL / COORDINACIÓN / SUBDIRECCIÓN]],Tabla37[[#All],[Columna1]:[EOD]],2,0)</f>
        <v>266_0001</v>
      </c>
      <c r="L71" s="69">
        <f>VLOOKUP(Tabla6[[#This Row],[OBJETIVOS PND]],Listas!$A$1:$C$3,3,0)</f>
        <v>55</v>
      </c>
      <c r="M71" s="70">
        <f>VLOOKUP(Tabla6[[#This Row],[PG]],Listas2!$G$14:$K$16,5,0)</f>
        <v>0</v>
      </c>
      <c r="N71" s="71">
        <v>3</v>
      </c>
      <c r="O71" s="72">
        <v>401</v>
      </c>
      <c r="P71" s="73" t="str">
        <f>VLOOKUP(Tabla6[[#This Row],[GEO]],Listas!$A$48:$B$77,2,0)</f>
        <v>TULCÁN</v>
      </c>
      <c r="Q71" s="70">
        <f>VLOOKUP(Tabla6[[#This Row],[PG]],Listas2!$G$14:$K$16,3,0)</f>
        <v>1</v>
      </c>
      <c r="R71" s="73">
        <f>VLOOKUP(Tabla6[[#This Row],[PG]],Listas2!H76:'Listas2'!$G$14:$K$16,4,0)</f>
        <v>0</v>
      </c>
      <c r="S71" s="73">
        <f>VLOOKUP(Tabla6[[#This Row],[PG]],Listas2!$G$14:$K$16,2,0)</f>
        <v>0</v>
      </c>
      <c r="T71" s="66" t="s">
        <v>84</v>
      </c>
      <c r="U71" s="74">
        <v>53</v>
      </c>
      <c r="V71" s="66">
        <v>530811</v>
      </c>
      <c r="W71" s="63" t="str">
        <f>VLOOKUP(Tabla6[[#This Row],[ÍTEM PRESUPUESTARIO]],Tabla2[#All],2,0)</f>
        <v>INSUMOS, MATERIALES Y SUMINISTROS PARA CONSTRUCCIÓN, ELECTRICIDAD, PLOMERÍA, CARPINTERÍA, SEÑALIZACIÓN VIAL, NAVEGACIÓN, CONTRA INCENDIOS Y PLACAS</v>
      </c>
      <c r="X71" s="57">
        <v>1200</v>
      </c>
      <c r="Y71" s="57">
        <f>1200-3.75</f>
        <v>1196.25</v>
      </c>
      <c r="Z71" s="58">
        <v>0</v>
      </c>
      <c r="AA71" s="58">
        <v>0</v>
      </c>
      <c r="AB71" s="58">
        <v>0</v>
      </c>
      <c r="AC71" s="58">
        <v>0</v>
      </c>
      <c r="AD71" s="58">
        <v>1196.25</v>
      </c>
      <c r="AE71" s="58">
        <v>0</v>
      </c>
      <c r="AF71" s="58">
        <v>0</v>
      </c>
      <c r="AG71" s="58">
        <v>0</v>
      </c>
      <c r="AH71" s="58">
        <v>0</v>
      </c>
      <c r="AI71" s="58">
        <v>0</v>
      </c>
      <c r="AJ71" s="58">
        <v>0</v>
      </c>
      <c r="AK71" s="58">
        <v>0</v>
      </c>
      <c r="AL71" s="75">
        <f>+SUBTOTAL(9,Tabla6[[#This Row],[ENE]:[DIC]])</f>
        <v>1196.25</v>
      </c>
      <c r="AM71" s="76" t="str">
        <f t="shared" si="0"/>
        <v>OK</v>
      </c>
      <c r="AN71" s="60">
        <v>1196.25</v>
      </c>
      <c r="AO71" s="61">
        <f>+Tabla6[[#This Row],[PRESUPUESTO VIGENTE]]-Tabla6[[#This Row],[CERTIFICACIÓN PAPP]]</f>
        <v>0</v>
      </c>
      <c r="AP71" s="59">
        <v>0</v>
      </c>
    </row>
    <row r="72" spans="1:42" ht="93" customHeight="1" x14ac:dyDescent="0.25">
      <c r="A72" s="62" t="s">
        <v>88</v>
      </c>
      <c r="B72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72" s="64" t="s">
        <v>89</v>
      </c>
      <c r="D72" s="64" t="s">
        <v>80</v>
      </c>
      <c r="E72" s="64" t="s">
        <v>81</v>
      </c>
      <c r="F72" s="64" t="s">
        <v>82</v>
      </c>
      <c r="G72" s="64" t="s">
        <v>90</v>
      </c>
      <c r="H72" s="65" t="str">
        <f>VLOOKUP(Tabla6[[#This Row],[DIRECCIÓN]],DIRECCIÓN[#All],2,0)</f>
        <v>TECNOLOGÍA</v>
      </c>
      <c r="I72" s="66" t="s">
        <v>792</v>
      </c>
      <c r="J72" s="67">
        <v>2</v>
      </c>
      <c r="K72" s="68" t="str">
        <f>VLOOKUP(Tabla6[[#This Row],[DIRECCIÓN GENERAL / COORDINACIÓN / SUBDIRECCIÓN]],Tabla37[[#All],[Columna1]:[EOD]],2,0)</f>
        <v>266_0001</v>
      </c>
      <c r="L72" s="69">
        <f>VLOOKUP(Tabla6[[#This Row],[OBJETIVOS PND]],Listas!$A$1:$C$3,3,0)</f>
        <v>55</v>
      </c>
      <c r="M72" s="70">
        <f>VLOOKUP(Tabla6[[#This Row],[PG]],Listas2!$G$14:$K$16,5,0)</f>
        <v>0</v>
      </c>
      <c r="N72" s="71">
        <v>3</v>
      </c>
      <c r="O72" s="72">
        <v>401</v>
      </c>
      <c r="P72" s="73" t="str">
        <f>VLOOKUP(Tabla6[[#This Row],[GEO]],Listas!$A$48:$B$77,2,0)</f>
        <v>TULCÁN</v>
      </c>
      <c r="Q72" s="70">
        <f>VLOOKUP(Tabla6[[#This Row],[PG]],Listas2!$G$14:$K$16,3,0)</f>
        <v>1</v>
      </c>
      <c r="R72" s="73">
        <f>VLOOKUP(Tabla6[[#This Row],[PG]],Listas2!H77:'Listas2'!$G$14:$K$16,4,0)</f>
        <v>0</v>
      </c>
      <c r="S72" s="73">
        <f>VLOOKUP(Tabla6[[#This Row],[PG]],Listas2!$G$14:$K$16,2,0)</f>
        <v>0</v>
      </c>
      <c r="T72" s="66" t="s">
        <v>84</v>
      </c>
      <c r="U72" s="74">
        <v>53</v>
      </c>
      <c r="V72" s="66">
        <v>530811</v>
      </c>
      <c r="W72" s="63" t="str">
        <f>VLOOKUP(Tabla6[[#This Row],[ÍTEM PRESUPUESTARIO]],Tabla2[#All],2,0)</f>
        <v>INSUMOS, MATERIALES Y SUMINISTROS PARA CONSTRUCCIÓN, ELECTRICIDAD, PLOMERÍA, CARPINTERÍA, SEÑALIZACIÓN VIAL, NAVEGACIÓN, CONTRA INCENDIOS Y PLACAS</v>
      </c>
      <c r="X72" s="57">
        <v>150</v>
      </c>
      <c r="Y72" s="57">
        <f>150+100-125+125-250</f>
        <v>0</v>
      </c>
      <c r="Z72" s="58">
        <v>0</v>
      </c>
      <c r="AA72" s="58">
        <v>0</v>
      </c>
      <c r="AB72" s="58">
        <v>0</v>
      </c>
      <c r="AC72" s="58">
        <v>0</v>
      </c>
      <c r="AD72" s="58">
        <v>0</v>
      </c>
      <c r="AE72" s="58">
        <v>0</v>
      </c>
      <c r="AF72" s="58">
        <v>0</v>
      </c>
      <c r="AG72" s="58">
        <v>0</v>
      </c>
      <c r="AH72" s="58">
        <v>0</v>
      </c>
      <c r="AI72" s="58">
        <v>0</v>
      </c>
      <c r="AJ72" s="58">
        <v>0</v>
      </c>
      <c r="AK72" s="58">
        <v>0</v>
      </c>
      <c r="AL72" s="75">
        <f>+SUBTOTAL(9,Tabla6[[#This Row],[ENE]:[DIC]])</f>
        <v>0</v>
      </c>
      <c r="AM72" s="76" t="str">
        <f t="shared" si="0"/>
        <v>OK</v>
      </c>
      <c r="AN72" s="60">
        <v>0</v>
      </c>
      <c r="AO72" s="61">
        <f>+Tabla6[[#This Row],[PRESUPUESTO VIGENTE]]-Tabla6[[#This Row],[CERTIFICACIÓN PAPP]]</f>
        <v>0</v>
      </c>
      <c r="AP72" s="59" t="s">
        <v>87</v>
      </c>
    </row>
    <row r="73" spans="1:42" ht="93" customHeight="1" x14ac:dyDescent="0.25">
      <c r="A73" s="62" t="s">
        <v>88</v>
      </c>
      <c r="B73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73" s="64" t="s">
        <v>89</v>
      </c>
      <c r="D73" s="64" t="s">
        <v>80</v>
      </c>
      <c r="E73" s="64" t="s">
        <v>81</v>
      </c>
      <c r="F73" s="64" t="s">
        <v>82</v>
      </c>
      <c r="G73" s="64" t="s">
        <v>90</v>
      </c>
      <c r="H73" s="65" t="str">
        <f>VLOOKUP(Tabla6[[#This Row],[DIRECCIÓN]],DIRECCIÓN[#All],2,0)</f>
        <v>TECNOLOGÍA</v>
      </c>
      <c r="I73" s="66" t="s">
        <v>792</v>
      </c>
      <c r="J73" s="67">
        <v>2</v>
      </c>
      <c r="K73" s="68" t="str">
        <f>VLOOKUP(Tabla6[[#This Row],[DIRECCIÓN GENERAL / COORDINACIÓN / SUBDIRECCIÓN]],Tabla37[[#All],[Columna1]:[EOD]],2,0)</f>
        <v>266_0001</v>
      </c>
      <c r="L73" s="69">
        <f>VLOOKUP(Tabla6[[#This Row],[OBJETIVOS PND]],Listas!$A$1:$C$3,3,0)</f>
        <v>55</v>
      </c>
      <c r="M73" s="70">
        <f>VLOOKUP(Tabla6[[#This Row],[PG]],Listas2!$G$14:$K$16,5,0)</f>
        <v>0</v>
      </c>
      <c r="N73" s="71">
        <v>3</v>
      </c>
      <c r="O73" s="72">
        <v>401</v>
      </c>
      <c r="P73" s="73" t="str">
        <f>VLOOKUP(Tabla6[[#This Row],[GEO]],Listas!$A$48:$B$77,2,0)</f>
        <v>TULCÁN</v>
      </c>
      <c r="Q73" s="70">
        <f>VLOOKUP(Tabla6[[#This Row],[PG]],Listas2!$G$14:$K$16,3,0)</f>
        <v>1</v>
      </c>
      <c r="R73" s="73">
        <f>VLOOKUP(Tabla6[[#This Row],[PG]],Listas2!H78:'Listas2'!$G$14:$K$16,4,0)</f>
        <v>0</v>
      </c>
      <c r="S73" s="73">
        <f>VLOOKUP(Tabla6[[#This Row],[PG]],Listas2!$G$14:$K$16,2,0)</f>
        <v>0</v>
      </c>
      <c r="T73" s="66" t="s">
        <v>84</v>
      </c>
      <c r="U73" s="74">
        <v>53</v>
      </c>
      <c r="V73" s="66">
        <v>530813</v>
      </c>
      <c r="W73" s="63" t="str">
        <f>VLOOKUP(Tabla6[[#This Row],[ÍTEM PRESUPUESTARIO]],Tabla2[#All],2,0)</f>
        <v>REPUESTOS Y ACCESORIOS</v>
      </c>
      <c r="X73" s="57">
        <v>152</v>
      </c>
      <c r="Y73" s="57">
        <f>152+48-126.08+126.08</f>
        <v>200</v>
      </c>
      <c r="Z73" s="58">
        <v>0</v>
      </c>
      <c r="AA73" s="58">
        <v>0</v>
      </c>
      <c r="AB73" s="58">
        <v>0</v>
      </c>
      <c r="AC73" s="58">
        <v>0</v>
      </c>
      <c r="AD73" s="58">
        <v>0</v>
      </c>
      <c r="AE73" s="58">
        <v>0</v>
      </c>
      <c r="AF73" s="58">
        <v>0</v>
      </c>
      <c r="AG73" s="58">
        <v>0</v>
      </c>
      <c r="AH73" s="58">
        <v>0</v>
      </c>
      <c r="AI73" s="58">
        <v>0</v>
      </c>
      <c r="AJ73" s="58">
        <v>0</v>
      </c>
      <c r="AK73" s="58">
        <v>200</v>
      </c>
      <c r="AL73" s="75">
        <f>+SUBTOTAL(9,Tabla6[[#This Row],[ENE]:[DIC]])</f>
        <v>200</v>
      </c>
      <c r="AM73" s="76" t="str">
        <f t="shared" ref="AM73:AM136" si="1">IF(AL73=Y73,"OK",Y73-AL73)</f>
        <v>OK</v>
      </c>
      <c r="AN73" s="60">
        <v>200</v>
      </c>
      <c r="AO73" s="61">
        <f>+Tabla6[[#This Row],[PRESUPUESTO VIGENTE]]-Tabla6[[#This Row],[CERTIFICACIÓN PAPP]]</f>
        <v>0</v>
      </c>
      <c r="AP73" s="59" t="s">
        <v>87</v>
      </c>
    </row>
    <row r="74" spans="1:42" ht="93" customHeight="1" x14ac:dyDescent="0.25">
      <c r="A74" s="62" t="s">
        <v>88</v>
      </c>
      <c r="B74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74" s="64" t="s">
        <v>89</v>
      </c>
      <c r="D74" s="64" t="s">
        <v>80</v>
      </c>
      <c r="E74" s="64" t="s">
        <v>81</v>
      </c>
      <c r="F74" s="64" t="s">
        <v>82</v>
      </c>
      <c r="G74" s="64" t="s">
        <v>90</v>
      </c>
      <c r="H74" s="65" t="str">
        <f>VLOOKUP(Tabla6[[#This Row],[DIRECCIÓN]],DIRECCIÓN[#All],2,0)</f>
        <v>TECNOLOGÍA</v>
      </c>
      <c r="I74" s="66" t="s">
        <v>833</v>
      </c>
      <c r="J74" s="67">
        <v>2</v>
      </c>
      <c r="K74" s="68" t="str">
        <f>VLOOKUP(Tabla6[[#This Row],[DIRECCIÓN GENERAL / COORDINACIÓN / SUBDIRECCIÓN]],Tabla37[[#All],[Columna1]:[EOD]],2,0)</f>
        <v>266_0001</v>
      </c>
      <c r="L74" s="69">
        <f>VLOOKUP(Tabla6[[#This Row],[OBJETIVOS PND]],Listas!$A$1:$C$3,3,0)</f>
        <v>55</v>
      </c>
      <c r="M74" s="70">
        <f>VLOOKUP(Tabla6[[#This Row],[PG]],Listas2!$G$14:$K$16,5,0)</f>
        <v>0</v>
      </c>
      <c r="N74" s="71">
        <v>3</v>
      </c>
      <c r="O74" s="72">
        <v>401</v>
      </c>
      <c r="P74" s="73" t="str">
        <f>VLOOKUP(Tabla6[[#This Row],[GEO]],Listas!$A$48:$B$77,2,0)</f>
        <v>TULCÁN</v>
      </c>
      <c r="Q74" s="70">
        <f>VLOOKUP(Tabla6[[#This Row],[PG]],Listas2!$G$14:$K$16,3,0)</f>
        <v>1</v>
      </c>
      <c r="R74" s="73">
        <f>VLOOKUP(Tabla6[[#This Row],[PG]],Listas2!H79:'Listas2'!$G$14:$K$16,4,0)</f>
        <v>0</v>
      </c>
      <c r="S74" s="73">
        <f>VLOOKUP(Tabla6[[#This Row],[PG]],Listas2!$G$14:$K$16,2,0)</f>
        <v>0</v>
      </c>
      <c r="T74" s="66" t="s">
        <v>84</v>
      </c>
      <c r="U74" s="74">
        <v>53</v>
      </c>
      <c r="V74" s="66">
        <v>530813</v>
      </c>
      <c r="W74" s="63" t="str">
        <f>VLOOKUP(Tabla6[[#This Row],[ÍTEM PRESUPUESTARIO]],Tabla2[#All],2,0)</f>
        <v>REPUESTOS Y ACCESORIOS</v>
      </c>
      <c r="X74" s="57">
        <v>5200</v>
      </c>
      <c r="Y74" s="57">
        <f>5200-5200</f>
        <v>0</v>
      </c>
      <c r="Z74" s="58">
        <v>0</v>
      </c>
      <c r="AA74" s="58">
        <v>0</v>
      </c>
      <c r="AB74" s="58">
        <v>0</v>
      </c>
      <c r="AC74" s="58">
        <v>0</v>
      </c>
      <c r="AD74" s="58">
        <v>0</v>
      </c>
      <c r="AE74" s="58">
        <v>0</v>
      </c>
      <c r="AF74" s="58">
        <v>0</v>
      </c>
      <c r="AG74" s="58">
        <v>0</v>
      </c>
      <c r="AH74" s="58">
        <v>0</v>
      </c>
      <c r="AI74" s="58">
        <v>0</v>
      </c>
      <c r="AJ74" s="58">
        <v>0</v>
      </c>
      <c r="AK74" s="58">
        <v>0</v>
      </c>
      <c r="AL74" s="75">
        <f>+SUBTOTAL(9,Tabla6[[#This Row],[ENE]:[DIC]])</f>
        <v>0</v>
      </c>
      <c r="AM74" s="76" t="str">
        <f t="shared" si="1"/>
        <v>OK</v>
      </c>
      <c r="AN74" s="60">
        <v>0</v>
      </c>
      <c r="AO74" s="61">
        <f>+Tabla6[[#This Row],[PRESUPUESTO VIGENTE]]-Tabla6[[#This Row],[CERTIFICACIÓN PAPP]]</f>
        <v>0</v>
      </c>
      <c r="AP74" s="59">
        <v>0</v>
      </c>
    </row>
    <row r="75" spans="1:42" ht="93" customHeight="1" x14ac:dyDescent="0.25">
      <c r="A75" s="62" t="s">
        <v>88</v>
      </c>
      <c r="B75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75" s="64" t="s">
        <v>89</v>
      </c>
      <c r="D75" s="64" t="s">
        <v>80</v>
      </c>
      <c r="E75" s="64" t="s">
        <v>81</v>
      </c>
      <c r="F75" s="64" t="s">
        <v>82</v>
      </c>
      <c r="G75" s="64" t="s">
        <v>90</v>
      </c>
      <c r="H75" s="65" t="str">
        <f>VLOOKUP(Tabla6[[#This Row],[DIRECCIÓN]],DIRECCIÓN[#All],2,0)</f>
        <v>TECNOLOGÍA</v>
      </c>
      <c r="I75" s="66" t="s">
        <v>834</v>
      </c>
      <c r="J75" s="67">
        <v>2</v>
      </c>
      <c r="K75" s="68" t="str">
        <f>VLOOKUP(Tabla6[[#This Row],[DIRECCIÓN GENERAL / COORDINACIÓN / SUBDIRECCIÓN]],Tabla37[[#All],[Columna1]:[EOD]],2,0)</f>
        <v>266_0001</v>
      </c>
      <c r="L75" s="69">
        <f>VLOOKUP(Tabla6[[#This Row],[OBJETIVOS PND]],Listas!$A$1:$C$3,3,0)</f>
        <v>55</v>
      </c>
      <c r="M75" s="70">
        <f>VLOOKUP(Tabla6[[#This Row],[PG]],Listas2!$G$14:$K$16,5,0)</f>
        <v>0</v>
      </c>
      <c r="N75" s="71">
        <v>3</v>
      </c>
      <c r="O75" s="72">
        <v>401</v>
      </c>
      <c r="P75" s="73" t="str">
        <f>VLOOKUP(Tabla6[[#This Row],[GEO]],Listas!$A$48:$B$77,2,0)</f>
        <v>TULCÁN</v>
      </c>
      <c r="Q75" s="70">
        <f>VLOOKUP(Tabla6[[#This Row],[PG]],Listas2!$G$14:$K$16,3,0)</f>
        <v>1</v>
      </c>
      <c r="R75" s="73">
        <f>VLOOKUP(Tabla6[[#This Row],[PG]],Listas2!H80:'Listas2'!$G$14:$K$16,4,0)</f>
        <v>0</v>
      </c>
      <c r="S75" s="73">
        <f>VLOOKUP(Tabla6[[#This Row],[PG]],Listas2!$G$14:$K$16,2,0)</f>
        <v>0</v>
      </c>
      <c r="T75" s="66" t="s">
        <v>84</v>
      </c>
      <c r="U75" s="74">
        <v>53</v>
      </c>
      <c r="V75" s="66">
        <v>530813</v>
      </c>
      <c r="W75" s="63" t="str">
        <f>VLOOKUP(Tabla6[[#This Row],[ÍTEM PRESUPUESTARIO]],Tabla2[#All],2,0)</f>
        <v>REPUESTOS Y ACCESORIOS</v>
      </c>
      <c r="X75" s="57">
        <v>560</v>
      </c>
      <c r="Y75" s="57">
        <f>560-560</f>
        <v>0</v>
      </c>
      <c r="Z75" s="58">
        <v>0</v>
      </c>
      <c r="AA75" s="58">
        <v>0</v>
      </c>
      <c r="AB75" s="58">
        <v>0</v>
      </c>
      <c r="AC75" s="58">
        <v>0</v>
      </c>
      <c r="AD75" s="58">
        <v>0</v>
      </c>
      <c r="AE75" s="58">
        <v>0</v>
      </c>
      <c r="AF75" s="58">
        <v>0</v>
      </c>
      <c r="AG75" s="58">
        <v>0</v>
      </c>
      <c r="AH75" s="58">
        <v>0</v>
      </c>
      <c r="AI75" s="58">
        <v>0</v>
      </c>
      <c r="AJ75" s="58">
        <v>0</v>
      </c>
      <c r="AK75" s="58">
        <v>0</v>
      </c>
      <c r="AL75" s="75">
        <f>+SUBTOTAL(9,Tabla6[[#This Row],[ENE]:[DIC]])</f>
        <v>0</v>
      </c>
      <c r="AM75" s="76" t="str">
        <f t="shared" si="1"/>
        <v>OK</v>
      </c>
      <c r="AN75" s="60">
        <v>0</v>
      </c>
      <c r="AO75" s="61">
        <f>+Tabla6[[#This Row],[PRESUPUESTO VIGENTE]]-Tabla6[[#This Row],[CERTIFICACIÓN PAPP]]</f>
        <v>0</v>
      </c>
      <c r="AP75" s="59" t="s">
        <v>87</v>
      </c>
    </row>
    <row r="76" spans="1:42" ht="93" customHeight="1" x14ac:dyDescent="0.25">
      <c r="A76" s="62" t="s">
        <v>88</v>
      </c>
      <c r="B76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76" s="64" t="s">
        <v>89</v>
      </c>
      <c r="D76" s="64" t="s">
        <v>80</v>
      </c>
      <c r="E76" s="64" t="s">
        <v>81</v>
      </c>
      <c r="F76" s="64" t="s">
        <v>82</v>
      </c>
      <c r="G76" s="64" t="s">
        <v>90</v>
      </c>
      <c r="H76" s="65" t="str">
        <f>VLOOKUP(Tabla6[[#This Row],[DIRECCIÓN]],DIRECCIÓN[#All],2,0)</f>
        <v>TECNOLOGÍA</v>
      </c>
      <c r="I76" s="66" t="s">
        <v>835</v>
      </c>
      <c r="J76" s="67">
        <v>2</v>
      </c>
      <c r="K76" s="68" t="str">
        <f>VLOOKUP(Tabla6[[#This Row],[DIRECCIÓN GENERAL / COORDINACIÓN / SUBDIRECCIÓN]],Tabla37[[#All],[Columna1]:[EOD]],2,0)</f>
        <v>266_0001</v>
      </c>
      <c r="L76" s="69">
        <f>VLOOKUP(Tabla6[[#This Row],[OBJETIVOS PND]],Listas!$A$1:$C$3,3,0)</f>
        <v>55</v>
      </c>
      <c r="M76" s="70">
        <f>VLOOKUP(Tabla6[[#This Row],[PG]],Listas2!$G$14:$K$16,5,0)</f>
        <v>0</v>
      </c>
      <c r="N76" s="71">
        <v>3</v>
      </c>
      <c r="O76" s="72">
        <v>401</v>
      </c>
      <c r="P76" s="73" t="str">
        <f>VLOOKUP(Tabla6[[#This Row],[GEO]],Listas!$A$48:$B$77,2,0)</f>
        <v>TULCÁN</v>
      </c>
      <c r="Q76" s="70">
        <f>VLOOKUP(Tabla6[[#This Row],[PG]],Listas2!$G$14:$K$16,3,0)</f>
        <v>1</v>
      </c>
      <c r="R76" s="73">
        <f>VLOOKUP(Tabla6[[#This Row],[PG]],Listas2!H81:'Listas2'!$G$14:$K$16,4,0)</f>
        <v>0</v>
      </c>
      <c r="S76" s="73">
        <f>VLOOKUP(Tabla6[[#This Row],[PG]],Listas2!$G$14:$K$16,2,0)</f>
        <v>0</v>
      </c>
      <c r="T76" s="66" t="s">
        <v>84</v>
      </c>
      <c r="U76" s="74">
        <v>53</v>
      </c>
      <c r="V76" s="66">
        <v>530813</v>
      </c>
      <c r="W76" s="63" t="str">
        <f>VLOOKUP(Tabla6[[#This Row],[ÍTEM PRESUPUESTARIO]],Tabla2[#All],2,0)</f>
        <v>REPUESTOS Y ACCESORIOS</v>
      </c>
      <c r="X76" s="57">
        <v>0</v>
      </c>
      <c r="Y76" s="57">
        <f>4042.56-1428.97</f>
        <v>2613.59</v>
      </c>
      <c r="Z76" s="58">
        <v>0</v>
      </c>
      <c r="AA76" s="58">
        <v>0</v>
      </c>
      <c r="AB76" s="58">
        <v>0</v>
      </c>
      <c r="AC76" s="58">
        <v>0</v>
      </c>
      <c r="AD76" s="58">
        <v>0</v>
      </c>
      <c r="AE76" s="58">
        <v>0</v>
      </c>
      <c r="AF76" s="58">
        <v>0</v>
      </c>
      <c r="AG76" s="58">
        <v>0</v>
      </c>
      <c r="AH76" s="58">
        <v>0</v>
      </c>
      <c r="AI76" s="58">
        <v>0</v>
      </c>
      <c r="AJ76" s="58">
        <v>0</v>
      </c>
      <c r="AK76" s="58">
        <v>2613.59</v>
      </c>
      <c r="AL76" s="75">
        <f>+SUBTOTAL(9,Tabla6[[#This Row],[ENE]:[DIC]])</f>
        <v>2613.59</v>
      </c>
      <c r="AM76" s="76" t="str">
        <f t="shared" si="1"/>
        <v>OK</v>
      </c>
      <c r="AN76" s="60">
        <v>2613.59</v>
      </c>
      <c r="AO76" s="61">
        <f>+Tabla6[[#This Row],[PRESUPUESTO VIGENTE]]-Tabla6[[#This Row],[CERTIFICACIÓN PAPP]]</f>
        <v>0</v>
      </c>
      <c r="AP76" s="59">
        <v>0</v>
      </c>
    </row>
    <row r="77" spans="1:42" ht="93" customHeight="1" x14ac:dyDescent="0.25">
      <c r="A77" s="62" t="s">
        <v>88</v>
      </c>
      <c r="B77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77" s="64" t="s">
        <v>89</v>
      </c>
      <c r="D77" s="64" t="s">
        <v>80</v>
      </c>
      <c r="E77" s="64" t="s">
        <v>81</v>
      </c>
      <c r="F77" s="64" t="s">
        <v>82</v>
      </c>
      <c r="G77" s="64" t="s">
        <v>90</v>
      </c>
      <c r="H77" s="65" t="str">
        <f>VLOOKUP(Tabla6[[#This Row],[DIRECCIÓN]],DIRECCIÓN[#All],2,0)</f>
        <v>TECNOLOGÍA</v>
      </c>
      <c r="I77" s="66" t="s">
        <v>831</v>
      </c>
      <c r="J77" s="67">
        <v>2</v>
      </c>
      <c r="K77" s="68" t="str">
        <f>VLOOKUP(Tabla6[[#This Row],[DIRECCIÓN GENERAL / COORDINACIÓN / SUBDIRECCIÓN]],Tabla37[[#All],[Columna1]:[EOD]],2,0)</f>
        <v>266_0001</v>
      </c>
      <c r="L77" s="69">
        <f>VLOOKUP(Tabla6[[#This Row],[OBJETIVOS PND]],Listas!$A$1:$C$3,3,0)</f>
        <v>55</v>
      </c>
      <c r="M77" s="70">
        <f>VLOOKUP(Tabla6[[#This Row],[PG]],Listas2!$G$14:$K$16,5,0)</f>
        <v>0</v>
      </c>
      <c r="N77" s="71">
        <v>3</v>
      </c>
      <c r="O77" s="72">
        <v>401</v>
      </c>
      <c r="P77" s="73" t="str">
        <f>VLOOKUP(Tabla6[[#This Row],[GEO]],Listas!$A$48:$B$77,2,0)</f>
        <v>TULCÁN</v>
      </c>
      <c r="Q77" s="70">
        <f>VLOOKUP(Tabla6[[#This Row],[PG]],Listas2!$G$14:$K$16,3,0)</f>
        <v>1</v>
      </c>
      <c r="R77" s="73">
        <f>VLOOKUP(Tabla6[[#This Row],[PG]],Listas2!H82:'Listas2'!$G$14:$K$16,4,0)</f>
        <v>0</v>
      </c>
      <c r="S77" s="73">
        <f>VLOOKUP(Tabla6[[#This Row],[PG]],Listas2!$G$14:$K$16,2,0)</f>
        <v>0</v>
      </c>
      <c r="T77" s="66" t="s">
        <v>84</v>
      </c>
      <c r="U77" s="74">
        <v>53</v>
      </c>
      <c r="V77" s="66">
        <v>530813</v>
      </c>
      <c r="W77" s="63" t="str">
        <f>VLOOKUP(Tabla6[[#This Row],[ÍTEM PRESUPUESTARIO]],Tabla2[#All],2,0)</f>
        <v>REPUESTOS Y ACCESORIOS</v>
      </c>
      <c r="X77" s="57">
        <v>0</v>
      </c>
      <c r="Y77" s="57">
        <f>600-220</f>
        <v>380</v>
      </c>
      <c r="Z77" s="58">
        <v>0</v>
      </c>
      <c r="AA77" s="58">
        <v>0</v>
      </c>
      <c r="AB77" s="58">
        <v>0</v>
      </c>
      <c r="AC77" s="58">
        <v>0</v>
      </c>
      <c r="AD77" s="58">
        <v>0</v>
      </c>
      <c r="AE77" s="58">
        <v>380</v>
      </c>
      <c r="AF77" s="58">
        <v>0</v>
      </c>
      <c r="AG77" s="58">
        <v>0</v>
      </c>
      <c r="AH77" s="58">
        <v>0</v>
      </c>
      <c r="AI77" s="58">
        <v>0</v>
      </c>
      <c r="AJ77" s="58">
        <v>0</v>
      </c>
      <c r="AK77" s="58">
        <v>0</v>
      </c>
      <c r="AL77" s="75">
        <f>+SUBTOTAL(9,Tabla6[[#This Row],[ENE]:[DIC]])</f>
        <v>380</v>
      </c>
      <c r="AM77" s="76" t="str">
        <f t="shared" si="1"/>
        <v>OK</v>
      </c>
      <c r="AN77" s="60">
        <v>380</v>
      </c>
      <c r="AO77" s="61">
        <f>+Tabla6[[#This Row],[PRESUPUESTO VIGENTE]]-Tabla6[[#This Row],[CERTIFICACIÓN PAPP]]</f>
        <v>0</v>
      </c>
      <c r="AP77" s="59">
        <v>0</v>
      </c>
    </row>
    <row r="78" spans="1:42" ht="93" customHeight="1" x14ac:dyDescent="0.25">
      <c r="A78" s="62" t="s">
        <v>88</v>
      </c>
      <c r="B78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78" s="64" t="s">
        <v>89</v>
      </c>
      <c r="D78" s="64" t="s">
        <v>80</v>
      </c>
      <c r="E78" s="64" t="s">
        <v>81</v>
      </c>
      <c r="F78" s="64" t="s">
        <v>82</v>
      </c>
      <c r="G78" s="64" t="s">
        <v>90</v>
      </c>
      <c r="H78" s="65" t="str">
        <f>VLOOKUP(Tabla6[[#This Row],[DIRECCIÓN]],DIRECCIÓN[#All],2,0)</f>
        <v>TECNOLOGÍA</v>
      </c>
      <c r="I78" s="66" t="s">
        <v>835</v>
      </c>
      <c r="J78" s="67">
        <v>2</v>
      </c>
      <c r="K78" s="68" t="str">
        <f>VLOOKUP(Tabla6[[#This Row],[DIRECCIÓN GENERAL / COORDINACIÓN / SUBDIRECCIÓN]],Tabla37[[#All],[Columna1]:[EOD]],2,0)</f>
        <v>266_0001</v>
      </c>
      <c r="L78" s="69">
        <f>VLOOKUP(Tabla6[[#This Row],[OBJETIVOS PND]],Listas!$A$1:$C$3,3,0)</f>
        <v>55</v>
      </c>
      <c r="M78" s="70">
        <f>VLOOKUP(Tabla6[[#This Row],[PG]],Listas2!$G$14:$K$16,5,0)</f>
        <v>0</v>
      </c>
      <c r="N78" s="71">
        <v>3</v>
      </c>
      <c r="O78" s="72">
        <v>401</v>
      </c>
      <c r="P78" s="73" t="str">
        <f>VLOOKUP(Tabla6[[#This Row],[GEO]],Listas!$A$48:$B$77,2,0)</f>
        <v>TULCÁN</v>
      </c>
      <c r="Q78" s="70">
        <f>VLOOKUP(Tabla6[[#This Row],[PG]],Listas2!$G$14:$K$16,3,0)</f>
        <v>1</v>
      </c>
      <c r="R78" s="73">
        <f>VLOOKUP(Tabla6[[#This Row],[PG]],Listas2!H83:'Listas2'!$G$14:$K$16,4,0)</f>
        <v>0</v>
      </c>
      <c r="S78" s="73">
        <f>VLOOKUP(Tabla6[[#This Row],[PG]],Listas2!$G$14:$K$16,2,0)</f>
        <v>0</v>
      </c>
      <c r="T78" s="66" t="s">
        <v>84</v>
      </c>
      <c r="U78" s="74">
        <v>53</v>
      </c>
      <c r="V78" s="66">
        <v>531404</v>
      </c>
      <c r="W78" s="63" t="str">
        <f>VLOOKUP(Tabla6[[#This Row],[ÍTEM PRESUPUESTARIO]],Tabla2[#All],2,0)</f>
        <v>MAQUINARIAS Y EQUIPOS</v>
      </c>
      <c r="X78" s="57">
        <v>0</v>
      </c>
      <c r="Y78" s="57">
        <f>77.92-37.92</f>
        <v>40</v>
      </c>
      <c r="Z78" s="58">
        <v>0</v>
      </c>
      <c r="AA78" s="58">
        <v>0</v>
      </c>
      <c r="AB78" s="58">
        <v>0</v>
      </c>
      <c r="AC78" s="58">
        <v>0</v>
      </c>
      <c r="AD78" s="58">
        <v>0</v>
      </c>
      <c r="AE78" s="58">
        <v>40</v>
      </c>
      <c r="AF78" s="58">
        <v>0</v>
      </c>
      <c r="AG78" s="58">
        <v>0</v>
      </c>
      <c r="AH78" s="58">
        <v>0</v>
      </c>
      <c r="AI78" s="58">
        <v>0</v>
      </c>
      <c r="AJ78" s="58">
        <v>0</v>
      </c>
      <c r="AK78" s="58">
        <v>0</v>
      </c>
      <c r="AL78" s="75">
        <f>+SUBTOTAL(9,Tabla6[[#This Row],[ENE]:[DIC]])</f>
        <v>40</v>
      </c>
      <c r="AM78" s="76" t="str">
        <f t="shared" si="1"/>
        <v>OK</v>
      </c>
      <c r="AN78" s="60">
        <v>40</v>
      </c>
      <c r="AO78" s="61">
        <f>+Tabla6[[#This Row],[PRESUPUESTO VIGENTE]]-Tabla6[[#This Row],[CERTIFICACIÓN PAPP]]</f>
        <v>0</v>
      </c>
      <c r="AP78" s="59">
        <v>0</v>
      </c>
    </row>
    <row r="79" spans="1:42" ht="93" customHeight="1" x14ac:dyDescent="0.25">
      <c r="A79" s="62" t="s">
        <v>88</v>
      </c>
      <c r="B79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79" s="64" t="s">
        <v>89</v>
      </c>
      <c r="D79" s="64" t="s">
        <v>80</v>
      </c>
      <c r="E79" s="64" t="s">
        <v>81</v>
      </c>
      <c r="F79" s="64" t="s">
        <v>82</v>
      </c>
      <c r="G79" s="64" t="s">
        <v>90</v>
      </c>
      <c r="H79" s="65" t="str">
        <f>VLOOKUP(Tabla6[[#This Row],[DIRECCIÓN]],DIRECCIÓN[#All],2,0)</f>
        <v>TECNOLOGÍA</v>
      </c>
      <c r="I79" s="66" t="s">
        <v>835</v>
      </c>
      <c r="J79" s="67">
        <v>2</v>
      </c>
      <c r="K79" s="68" t="str">
        <f>VLOOKUP(Tabla6[[#This Row],[DIRECCIÓN GENERAL / COORDINACIÓN / SUBDIRECCIÓN]],Tabla37[[#All],[Columna1]:[EOD]],2,0)</f>
        <v>266_0001</v>
      </c>
      <c r="L79" s="69">
        <f>VLOOKUP(Tabla6[[#This Row],[OBJETIVOS PND]],Listas!$A$1:$C$3,3,0)</f>
        <v>55</v>
      </c>
      <c r="M79" s="70">
        <f>VLOOKUP(Tabla6[[#This Row],[PG]],Listas2!$G$14:$K$16,5,0)</f>
        <v>0</v>
      </c>
      <c r="N79" s="71">
        <v>3</v>
      </c>
      <c r="O79" s="72">
        <v>401</v>
      </c>
      <c r="P79" s="73" t="str">
        <f>VLOOKUP(Tabla6[[#This Row],[GEO]],Listas!$A$48:$B$77,2,0)</f>
        <v>TULCÁN</v>
      </c>
      <c r="Q79" s="70">
        <f>VLOOKUP(Tabla6[[#This Row],[PG]],Listas2!$G$14:$K$16,3,0)</f>
        <v>1</v>
      </c>
      <c r="R79" s="73">
        <f>VLOOKUP(Tabla6[[#This Row],[PG]],Listas2!H84:'Listas2'!$G$14:$K$16,4,0)</f>
        <v>0</v>
      </c>
      <c r="S79" s="73">
        <f>VLOOKUP(Tabla6[[#This Row],[PG]],Listas2!$G$14:$K$16,2,0)</f>
        <v>0</v>
      </c>
      <c r="T79" s="66" t="s">
        <v>84</v>
      </c>
      <c r="U79" s="74">
        <v>53</v>
      </c>
      <c r="V79" s="66">
        <v>531406</v>
      </c>
      <c r="W79" s="63" t="str">
        <f>VLOOKUP(Tabla6[[#This Row],[ÍTEM PRESUPUESTARIO]],Tabla2[#All],2,0)</f>
        <v>HERRAMIENTAS Y EQUIPOS MENORES</v>
      </c>
      <c r="X79" s="57">
        <v>0</v>
      </c>
      <c r="Y79" s="57">
        <f>140.59-65.59</f>
        <v>75</v>
      </c>
      <c r="Z79" s="58">
        <v>0</v>
      </c>
      <c r="AA79" s="58">
        <v>0</v>
      </c>
      <c r="AB79" s="58">
        <v>0</v>
      </c>
      <c r="AC79" s="58">
        <v>0</v>
      </c>
      <c r="AD79" s="58">
        <v>0</v>
      </c>
      <c r="AE79" s="58">
        <v>75</v>
      </c>
      <c r="AF79" s="58">
        <v>0</v>
      </c>
      <c r="AG79" s="58">
        <v>0</v>
      </c>
      <c r="AH79" s="58">
        <v>0</v>
      </c>
      <c r="AI79" s="58">
        <v>0</v>
      </c>
      <c r="AJ79" s="58">
        <v>0</v>
      </c>
      <c r="AK79" s="58">
        <v>0</v>
      </c>
      <c r="AL79" s="75">
        <f>+SUBTOTAL(9,Tabla6[[#This Row],[ENE]:[DIC]])</f>
        <v>75</v>
      </c>
      <c r="AM79" s="76" t="str">
        <f t="shared" si="1"/>
        <v>OK</v>
      </c>
      <c r="AN79" s="60">
        <v>75</v>
      </c>
      <c r="AO79" s="61">
        <f>+Tabla6[[#This Row],[PRESUPUESTO VIGENTE]]-Tabla6[[#This Row],[CERTIFICACIÓN PAPP]]</f>
        <v>0</v>
      </c>
      <c r="AP79" s="59">
        <v>0</v>
      </c>
    </row>
    <row r="80" spans="1:42" ht="93" customHeight="1" x14ac:dyDescent="0.25">
      <c r="A80" s="62" t="s">
        <v>88</v>
      </c>
      <c r="B80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80" s="64" t="s">
        <v>89</v>
      </c>
      <c r="D80" s="64" t="s">
        <v>80</v>
      </c>
      <c r="E80" s="64" t="s">
        <v>81</v>
      </c>
      <c r="F80" s="64" t="s">
        <v>82</v>
      </c>
      <c r="G80" s="64" t="s">
        <v>90</v>
      </c>
      <c r="H80" s="65" t="str">
        <f>VLOOKUP(Tabla6[[#This Row],[DIRECCIÓN]],DIRECCIÓN[#All],2,0)</f>
        <v>TECNOLOGÍA</v>
      </c>
      <c r="I80" s="66" t="s">
        <v>835</v>
      </c>
      <c r="J80" s="67">
        <v>2</v>
      </c>
      <c r="K80" s="68" t="str">
        <f>VLOOKUP(Tabla6[[#This Row],[DIRECCIÓN GENERAL / COORDINACIÓN / SUBDIRECCIÓN]],Tabla37[[#All],[Columna1]:[EOD]],2,0)</f>
        <v>266_0001</v>
      </c>
      <c r="L80" s="69">
        <f>VLOOKUP(Tabla6[[#This Row],[OBJETIVOS PND]],Listas!$A$1:$C$3,3,0)</f>
        <v>55</v>
      </c>
      <c r="M80" s="70">
        <f>VLOOKUP(Tabla6[[#This Row],[PG]],Listas2!$G$14:$K$16,5,0)</f>
        <v>0</v>
      </c>
      <c r="N80" s="71">
        <v>3</v>
      </c>
      <c r="O80" s="72">
        <v>401</v>
      </c>
      <c r="P80" s="73" t="str">
        <f>VLOOKUP(Tabla6[[#This Row],[GEO]],Listas!$A$48:$B$77,2,0)</f>
        <v>TULCÁN</v>
      </c>
      <c r="Q80" s="70">
        <f>VLOOKUP(Tabla6[[#This Row],[PG]],Listas2!$G$14:$K$16,3,0)</f>
        <v>1</v>
      </c>
      <c r="R80" s="73">
        <f>VLOOKUP(Tabla6[[#This Row],[PG]],Listas2!H85:'Listas2'!$G$14:$K$16,4,0)</f>
        <v>0</v>
      </c>
      <c r="S80" s="73">
        <f>VLOOKUP(Tabla6[[#This Row],[PG]],Listas2!$G$14:$K$16,2,0)</f>
        <v>0</v>
      </c>
      <c r="T80" s="66" t="s">
        <v>84</v>
      </c>
      <c r="U80" s="74">
        <v>53</v>
      </c>
      <c r="V80" s="66">
        <v>531407</v>
      </c>
      <c r="W80" s="63" t="str">
        <f>VLOOKUP(Tabla6[[#This Row],[ÍTEM PRESUPUESTARIO]],Tabla2[#All],2,0)</f>
        <v>EQUIPOS, SISTEMAS Y PAQUETES INFORMÁTICOS</v>
      </c>
      <c r="X80" s="57">
        <v>0</v>
      </c>
      <c r="Y80" s="57">
        <f>29.88-4.88</f>
        <v>25</v>
      </c>
      <c r="Z80" s="58">
        <v>0</v>
      </c>
      <c r="AA80" s="58">
        <v>0</v>
      </c>
      <c r="AB80" s="58">
        <v>0</v>
      </c>
      <c r="AC80" s="58">
        <v>0</v>
      </c>
      <c r="AD80" s="58">
        <v>0</v>
      </c>
      <c r="AE80" s="58">
        <v>25</v>
      </c>
      <c r="AF80" s="58">
        <v>0</v>
      </c>
      <c r="AG80" s="58">
        <v>0</v>
      </c>
      <c r="AH80" s="58">
        <v>0</v>
      </c>
      <c r="AI80" s="58">
        <v>0</v>
      </c>
      <c r="AJ80" s="58">
        <v>0</v>
      </c>
      <c r="AK80" s="58">
        <v>0</v>
      </c>
      <c r="AL80" s="75">
        <f>+SUBTOTAL(9,Tabla6[[#This Row],[ENE]:[DIC]])</f>
        <v>25</v>
      </c>
      <c r="AM80" s="76" t="str">
        <f t="shared" si="1"/>
        <v>OK</v>
      </c>
      <c r="AN80" s="60">
        <v>25</v>
      </c>
      <c r="AO80" s="61">
        <f>+Tabla6[[#This Row],[PRESUPUESTO VIGENTE]]-Tabla6[[#This Row],[CERTIFICACIÓN PAPP]]</f>
        <v>0</v>
      </c>
      <c r="AP80" s="59">
        <v>0</v>
      </c>
    </row>
    <row r="81" spans="1:42" ht="93" customHeight="1" x14ac:dyDescent="0.25">
      <c r="A81" s="62" t="s">
        <v>78</v>
      </c>
      <c r="B81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81" s="64" t="s">
        <v>79</v>
      </c>
      <c r="D81" s="64" t="s">
        <v>80</v>
      </c>
      <c r="E81" s="64" t="s">
        <v>81</v>
      </c>
      <c r="F81" s="64" t="s">
        <v>82</v>
      </c>
      <c r="G81" s="64" t="s">
        <v>83</v>
      </c>
      <c r="H81" s="65" t="str">
        <f>VLOOKUP(Tabla6[[#This Row],[DIRECCIÓN]],DIRECCIÓN[#All],2,0)</f>
        <v>ADMINISTRACIÓN CENTRAL</v>
      </c>
      <c r="I81" s="66" t="s">
        <v>779</v>
      </c>
      <c r="J81" s="67">
        <v>1</v>
      </c>
      <c r="K81" s="68" t="str">
        <f>VLOOKUP(Tabla6[[#This Row],[DIRECCIÓN GENERAL / COORDINACIÓN / SUBDIRECCIÓN]],Tabla37[[#All],[Columna1]:[EOD]],2,0)</f>
        <v>266_0001</v>
      </c>
      <c r="L81" s="69">
        <f>VLOOKUP(Tabla6[[#This Row],[OBJETIVOS PND]],Listas!$A$1:$C$3,3,0)</f>
        <v>1</v>
      </c>
      <c r="M81" s="70">
        <f>VLOOKUP(Tabla6[[#This Row],[PG]],Listas2!$G$14:$K$16,5,0)</f>
        <v>0</v>
      </c>
      <c r="N81" s="71">
        <v>1</v>
      </c>
      <c r="O81" s="72">
        <v>801</v>
      </c>
      <c r="P81" s="73" t="str">
        <f>VLOOKUP(Tabla6[[#This Row],[GEO]],Listas!$A$48:$B$77,2,0)</f>
        <v>ESMERALDAS</v>
      </c>
      <c r="Q81" s="70">
        <f>VLOOKUP(Tabla6[[#This Row],[PG]],Listas2!$G$14:$K$16,3,0)</f>
        <v>1</v>
      </c>
      <c r="R81" s="73">
        <f>VLOOKUP(Tabla6[[#This Row],[PG]],Listas2!H86:'Listas2'!$G$14:$K$16,4,0)</f>
        <v>0</v>
      </c>
      <c r="S81" s="73">
        <f>VLOOKUP(Tabla6[[#This Row],[PG]],Listas2!$G$14:$K$16,2,0)</f>
        <v>0</v>
      </c>
      <c r="T81" s="66" t="s">
        <v>84</v>
      </c>
      <c r="U81" s="74">
        <v>53</v>
      </c>
      <c r="V81" s="66">
        <v>530101</v>
      </c>
      <c r="W81" s="63" t="str">
        <f>VLOOKUP(Tabla6[[#This Row],[ÍTEM PRESUPUESTARIO]],Tabla2[#All],2,0)</f>
        <v>AGUA POTABLE</v>
      </c>
      <c r="X81" s="57">
        <v>100</v>
      </c>
      <c r="Y81" s="57">
        <f>100-22.37</f>
        <v>77.63</v>
      </c>
      <c r="Z81" s="58">
        <v>77.63</v>
      </c>
      <c r="AA81" s="58">
        <v>0</v>
      </c>
      <c r="AB81" s="58">
        <v>0</v>
      </c>
      <c r="AC81" s="58">
        <v>0</v>
      </c>
      <c r="AD81" s="58">
        <v>0</v>
      </c>
      <c r="AE81" s="58">
        <v>0</v>
      </c>
      <c r="AF81" s="58">
        <v>0</v>
      </c>
      <c r="AG81" s="58">
        <v>0</v>
      </c>
      <c r="AH81" s="58">
        <v>0</v>
      </c>
      <c r="AI81" s="58">
        <v>0</v>
      </c>
      <c r="AJ81" s="58">
        <v>0</v>
      </c>
      <c r="AK81" s="58">
        <v>0</v>
      </c>
      <c r="AL81" s="75">
        <f>+SUBTOTAL(9,Tabla6[[#This Row],[ENE]:[DIC]])</f>
        <v>77.63</v>
      </c>
      <c r="AM81" s="76" t="str">
        <f t="shared" si="1"/>
        <v>OK</v>
      </c>
      <c r="AN81" s="60">
        <v>77.63</v>
      </c>
      <c r="AO81" s="61">
        <f>+Tabla6[[#This Row],[PRESUPUESTO VIGENTE]]-Tabla6[[#This Row],[CERTIFICACIÓN PAPP]]</f>
        <v>0</v>
      </c>
      <c r="AP81" s="59">
        <v>0</v>
      </c>
    </row>
    <row r="82" spans="1:42" ht="93" customHeight="1" x14ac:dyDescent="0.25">
      <c r="A82" s="62" t="s">
        <v>78</v>
      </c>
      <c r="B82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82" s="64" t="s">
        <v>79</v>
      </c>
      <c r="D82" s="64" t="s">
        <v>80</v>
      </c>
      <c r="E82" s="64" t="s">
        <v>81</v>
      </c>
      <c r="F82" s="64" t="s">
        <v>82</v>
      </c>
      <c r="G82" s="64" t="s">
        <v>83</v>
      </c>
      <c r="H82" s="65" t="str">
        <f>VLOOKUP(Tabla6[[#This Row],[DIRECCIÓN]],DIRECCIÓN[#All],2,0)</f>
        <v>ADMINISTRACIÓN CENTRAL</v>
      </c>
      <c r="I82" s="66" t="s">
        <v>780</v>
      </c>
      <c r="J82" s="67">
        <v>1</v>
      </c>
      <c r="K82" s="68" t="str">
        <f>VLOOKUP(Tabla6[[#This Row],[DIRECCIÓN GENERAL / COORDINACIÓN / SUBDIRECCIÓN]],Tabla37[[#All],[Columna1]:[EOD]],2,0)</f>
        <v>266_0001</v>
      </c>
      <c r="L82" s="69">
        <f>VLOOKUP(Tabla6[[#This Row],[OBJETIVOS PND]],Listas!$A$1:$C$3,3,0)</f>
        <v>1</v>
      </c>
      <c r="M82" s="70">
        <f>VLOOKUP(Tabla6[[#This Row],[PG]],Listas2!$G$14:$K$16,5,0)</f>
        <v>0</v>
      </c>
      <c r="N82" s="71">
        <v>1</v>
      </c>
      <c r="O82" s="72">
        <v>801</v>
      </c>
      <c r="P82" s="73" t="str">
        <f>VLOOKUP(Tabla6[[#This Row],[GEO]],Listas!$A$48:$B$77,2,0)</f>
        <v>ESMERALDAS</v>
      </c>
      <c r="Q82" s="70">
        <f>VLOOKUP(Tabla6[[#This Row],[PG]],Listas2!$G$14:$K$16,3,0)</f>
        <v>1</v>
      </c>
      <c r="R82" s="73">
        <f>VLOOKUP(Tabla6[[#This Row],[PG]],Listas2!H87:'Listas2'!$G$14:$K$16,4,0)</f>
        <v>0</v>
      </c>
      <c r="S82" s="73">
        <f>VLOOKUP(Tabla6[[#This Row],[PG]],Listas2!$G$14:$K$16,2,0)</f>
        <v>0</v>
      </c>
      <c r="T82" s="66" t="s">
        <v>84</v>
      </c>
      <c r="U82" s="74">
        <v>53</v>
      </c>
      <c r="V82" s="66">
        <v>530101</v>
      </c>
      <c r="W82" s="63" t="str">
        <f>VLOOKUP(Tabla6[[#This Row],[ÍTEM PRESUPUESTARIO]],Tabla2[#All],2,0)</f>
        <v>AGUA POTABLE</v>
      </c>
      <c r="X82" s="57">
        <v>660</v>
      </c>
      <c r="Y82" s="57">
        <f>660+265+324</f>
        <v>1249</v>
      </c>
      <c r="Z82" s="58">
        <v>0</v>
      </c>
      <c r="AA82" s="58">
        <v>60</v>
      </c>
      <c r="AB82" s="58">
        <v>60</v>
      </c>
      <c r="AC82" s="58">
        <v>60</v>
      </c>
      <c r="AD82" s="58">
        <v>60</v>
      </c>
      <c r="AE82" s="58">
        <v>60</v>
      </c>
      <c r="AF82" s="58">
        <v>60</v>
      </c>
      <c r="AG82" s="58">
        <v>60</v>
      </c>
      <c r="AH82" s="58">
        <v>60</v>
      </c>
      <c r="AI82" s="58">
        <v>60</v>
      </c>
      <c r="AJ82" s="58">
        <v>60</v>
      </c>
      <c r="AK82" s="58">
        <v>649</v>
      </c>
      <c r="AL82" s="75">
        <f>+SUBTOTAL(9,Tabla6[[#This Row],[ENE]:[DIC]])</f>
        <v>1249</v>
      </c>
      <c r="AM82" s="76" t="str">
        <f t="shared" si="1"/>
        <v>OK</v>
      </c>
      <c r="AN82" s="60">
        <f>660-55.07+320.07-320.07+644.07</f>
        <v>1249</v>
      </c>
      <c r="AO82" s="61">
        <f>+Tabla6[[#This Row],[PRESUPUESTO VIGENTE]]-Tabla6[[#This Row],[CERTIFICACIÓN PAPP]]</f>
        <v>0</v>
      </c>
      <c r="AP82" s="59">
        <v>0</v>
      </c>
    </row>
    <row r="83" spans="1:42" ht="93" customHeight="1" x14ac:dyDescent="0.25">
      <c r="A83" s="62" t="s">
        <v>78</v>
      </c>
      <c r="B83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83" s="64" t="s">
        <v>79</v>
      </c>
      <c r="D83" s="64" t="s">
        <v>80</v>
      </c>
      <c r="E83" s="64" t="s">
        <v>81</v>
      </c>
      <c r="F83" s="64" t="s">
        <v>82</v>
      </c>
      <c r="G83" s="64" t="s">
        <v>83</v>
      </c>
      <c r="H83" s="65" t="str">
        <f>VLOOKUP(Tabla6[[#This Row],[DIRECCIÓN]],DIRECCIÓN[#All],2,0)</f>
        <v>ADMINISTRACIÓN CENTRAL</v>
      </c>
      <c r="I83" s="66" t="s">
        <v>781</v>
      </c>
      <c r="J83" s="67">
        <v>1</v>
      </c>
      <c r="K83" s="68" t="str">
        <f>VLOOKUP(Tabla6[[#This Row],[DIRECCIÓN GENERAL / COORDINACIÓN / SUBDIRECCIÓN]],Tabla37[[#All],[Columna1]:[EOD]],2,0)</f>
        <v>266_0001</v>
      </c>
      <c r="L83" s="69">
        <f>VLOOKUP(Tabla6[[#This Row],[OBJETIVOS PND]],Listas!$A$1:$C$3,3,0)</f>
        <v>1</v>
      </c>
      <c r="M83" s="70">
        <f>VLOOKUP(Tabla6[[#This Row],[PG]],Listas2!$G$14:$K$16,5,0)</f>
        <v>0</v>
      </c>
      <c r="N83" s="71">
        <v>1</v>
      </c>
      <c r="O83" s="72">
        <v>801</v>
      </c>
      <c r="P83" s="73" t="str">
        <f>VLOOKUP(Tabla6[[#This Row],[GEO]],Listas!$A$48:$B$77,2,0)</f>
        <v>ESMERALDAS</v>
      </c>
      <c r="Q83" s="70">
        <f>VLOOKUP(Tabla6[[#This Row],[PG]],Listas2!$G$14:$K$16,3,0)</f>
        <v>1</v>
      </c>
      <c r="R83" s="73">
        <f>VLOOKUP(Tabla6[[#This Row],[PG]],Listas2!H88:'Listas2'!$G$14:$K$16,4,0)</f>
        <v>0</v>
      </c>
      <c r="S83" s="73">
        <f>VLOOKUP(Tabla6[[#This Row],[PG]],Listas2!$G$14:$K$16,2,0)</f>
        <v>0</v>
      </c>
      <c r="T83" s="66" t="s">
        <v>84</v>
      </c>
      <c r="U83" s="74">
        <v>53</v>
      </c>
      <c r="V83" s="66">
        <v>530104</v>
      </c>
      <c r="W83" s="63" t="str">
        <f>VLOOKUP(Tabla6[[#This Row],[ÍTEM PRESUPUESTARIO]],Tabla2[#All],2,0)</f>
        <v>ENERGÍA ELÉCTRICA</v>
      </c>
      <c r="X83" s="57">
        <v>6500</v>
      </c>
      <c r="Y83" s="57">
        <f>6500-1031.89</f>
        <v>5468.11</v>
      </c>
      <c r="Z83" s="58">
        <v>5468.11</v>
      </c>
      <c r="AA83" s="58">
        <v>0</v>
      </c>
      <c r="AB83" s="58">
        <v>0</v>
      </c>
      <c r="AC83" s="58">
        <v>0</v>
      </c>
      <c r="AD83" s="58">
        <v>0</v>
      </c>
      <c r="AE83" s="58">
        <v>0</v>
      </c>
      <c r="AF83" s="58">
        <v>0</v>
      </c>
      <c r="AG83" s="58">
        <v>0</v>
      </c>
      <c r="AH83" s="58">
        <v>0</v>
      </c>
      <c r="AI83" s="58">
        <v>0</v>
      </c>
      <c r="AJ83" s="58">
        <v>0</v>
      </c>
      <c r="AK83" s="58">
        <v>0</v>
      </c>
      <c r="AL83" s="75">
        <f>+SUBTOTAL(9,Tabla6[[#This Row],[ENE]:[DIC]])</f>
        <v>5468.11</v>
      </c>
      <c r="AM83" s="76" t="str">
        <f t="shared" si="1"/>
        <v>OK</v>
      </c>
      <c r="AN83" s="60">
        <v>5468.11</v>
      </c>
      <c r="AO83" s="61">
        <f>+Tabla6[[#This Row],[PRESUPUESTO VIGENTE]]-Tabla6[[#This Row],[CERTIFICACIÓN PAPP]]</f>
        <v>0</v>
      </c>
      <c r="AP83" s="59">
        <v>0</v>
      </c>
    </row>
    <row r="84" spans="1:42" ht="93" customHeight="1" x14ac:dyDescent="0.25">
      <c r="A84" s="62" t="s">
        <v>78</v>
      </c>
      <c r="B84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84" s="64" t="s">
        <v>79</v>
      </c>
      <c r="D84" s="64" t="s">
        <v>80</v>
      </c>
      <c r="E84" s="64" t="s">
        <v>81</v>
      </c>
      <c r="F84" s="64" t="s">
        <v>82</v>
      </c>
      <c r="G84" s="64" t="s">
        <v>83</v>
      </c>
      <c r="H84" s="65" t="str">
        <f>VLOOKUP(Tabla6[[#This Row],[DIRECCIÓN]],DIRECCIÓN[#All],2,0)</f>
        <v>ADMINISTRACIÓN CENTRAL</v>
      </c>
      <c r="I84" s="66" t="s">
        <v>782</v>
      </c>
      <c r="J84" s="67">
        <v>1</v>
      </c>
      <c r="K84" s="68" t="str">
        <f>VLOOKUP(Tabla6[[#This Row],[DIRECCIÓN GENERAL / COORDINACIÓN / SUBDIRECCIÓN]],Tabla37[[#All],[Columna1]:[EOD]],2,0)</f>
        <v>266_0001</v>
      </c>
      <c r="L84" s="69">
        <f>VLOOKUP(Tabla6[[#This Row],[OBJETIVOS PND]],Listas!$A$1:$C$3,3,0)</f>
        <v>1</v>
      </c>
      <c r="M84" s="70">
        <f>VLOOKUP(Tabla6[[#This Row],[PG]],Listas2!$G$14:$K$16,5,0)</f>
        <v>0</v>
      </c>
      <c r="N84" s="71">
        <v>1</v>
      </c>
      <c r="O84" s="72">
        <v>801</v>
      </c>
      <c r="P84" s="73" t="str">
        <f>VLOOKUP(Tabla6[[#This Row],[GEO]],Listas!$A$48:$B$77,2,0)</f>
        <v>ESMERALDAS</v>
      </c>
      <c r="Q84" s="70">
        <f>VLOOKUP(Tabla6[[#This Row],[PG]],Listas2!$G$14:$K$16,3,0)</f>
        <v>1</v>
      </c>
      <c r="R84" s="73">
        <f>VLOOKUP(Tabla6[[#This Row],[PG]],Listas2!H89:'Listas2'!$G$14:$K$16,4,0)</f>
        <v>0</v>
      </c>
      <c r="S84" s="73">
        <f>VLOOKUP(Tabla6[[#This Row],[PG]],Listas2!$G$14:$K$16,2,0)</f>
        <v>0</v>
      </c>
      <c r="T84" s="66" t="s">
        <v>84</v>
      </c>
      <c r="U84" s="74">
        <v>53</v>
      </c>
      <c r="V84" s="66">
        <v>530104</v>
      </c>
      <c r="W84" s="63" t="str">
        <f>VLOOKUP(Tabla6[[#This Row],[ÍTEM PRESUPUESTARIO]],Tabla2[#All],2,0)</f>
        <v>ENERGÍA ELÉCTRICA</v>
      </c>
      <c r="X84" s="57">
        <v>36000</v>
      </c>
      <c r="Y84" s="57">
        <f>36000+24500+13400-7193.54</f>
        <v>66706.460000000006</v>
      </c>
      <c r="Z84" s="58">
        <v>0</v>
      </c>
      <c r="AA84" s="58">
        <v>5500</v>
      </c>
      <c r="AB84" s="58">
        <v>5500</v>
      </c>
      <c r="AC84" s="58">
        <v>5500</v>
      </c>
      <c r="AD84" s="58">
        <v>5500</v>
      </c>
      <c r="AE84" s="58">
        <v>5500</v>
      </c>
      <c r="AF84" s="58">
        <v>5500</v>
      </c>
      <c r="AG84" s="58">
        <v>5500</v>
      </c>
      <c r="AH84" s="58">
        <v>5500</v>
      </c>
      <c r="AI84" s="58">
        <v>5500</v>
      </c>
      <c r="AJ84" s="58">
        <v>5500</v>
      </c>
      <c r="AK84" s="58">
        <v>11706.460000000006</v>
      </c>
      <c r="AL84" s="75">
        <f>+SUBTOTAL(9,Tabla6[[#This Row],[ENE]:[DIC]])</f>
        <v>66706.460000000006</v>
      </c>
      <c r="AM84" s="76" t="str">
        <f t="shared" si="1"/>
        <v>OK</v>
      </c>
      <c r="AN84" s="60">
        <v>66706.460000000006</v>
      </c>
      <c r="AO84" s="61">
        <f>+Tabla6[[#This Row],[PRESUPUESTO VIGENTE]]-Tabla6[[#This Row],[CERTIFICACIÓN PAPP]]</f>
        <v>0</v>
      </c>
      <c r="AP84" s="59">
        <v>0</v>
      </c>
    </row>
    <row r="85" spans="1:42" ht="93" customHeight="1" x14ac:dyDescent="0.25">
      <c r="A85" s="62" t="s">
        <v>78</v>
      </c>
      <c r="B85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85" s="64" t="s">
        <v>79</v>
      </c>
      <c r="D85" s="64" t="s">
        <v>80</v>
      </c>
      <c r="E85" s="64" t="s">
        <v>81</v>
      </c>
      <c r="F85" s="64" t="s">
        <v>82</v>
      </c>
      <c r="G85" s="64" t="s">
        <v>83</v>
      </c>
      <c r="H85" s="65" t="str">
        <f>VLOOKUP(Tabla6[[#This Row],[DIRECCIÓN]],DIRECCIÓN[#All],2,0)</f>
        <v>ADMINISTRACIÓN CENTRAL</v>
      </c>
      <c r="I85" s="66" t="s">
        <v>783</v>
      </c>
      <c r="J85" s="67">
        <v>1</v>
      </c>
      <c r="K85" s="68" t="str">
        <f>VLOOKUP(Tabla6[[#This Row],[DIRECCIÓN GENERAL / COORDINACIÓN / SUBDIRECCIÓN]],Tabla37[[#All],[Columna1]:[EOD]],2,0)</f>
        <v>266_0001</v>
      </c>
      <c r="L85" s="69">
        <f>VLOOKUP(Tabla6[[#This Row],[OBJETIVOS PND]],Listas!$A$1:$C$3,3,0)</f>
        <v>1</v>
      </c>
      <c r="M85" s="70">
        <f>VLOOKUP(Tabla6[[#This Row],[PG]],Listas2!$G$14:$K$16,5,0)</f>
        <v>0</v>
      </c>
      <c r="N85" s="71">
        <v>1</v>
      </c>
      <c r="O85" s="72">
        <v>801</v>
      </c>
      <c r="P85" s="73" t="str">
        <f>VLOOKUP(Tabla6[[#This Row],[GEO]],Listas!$A$48:$B$77,2,0)</f>
        <v>ESMERALDAS</v>
      </c>
      <c r="Q85" s="70">
        <f>VLOOKUP(Tabla6[[#This Row],[PG]],Listas2!$G$14:$K$16,3,0)</f>
        <v>1</v>
      </c>
      <c r="R85" s="73">
        <f>VLOOKUP(Tabla6[[#This Row],[PG]],Listas2!H90:'Listas2'!$G$14:$K$16,4,0)</f>
        <v>0</v>
      </c>
      <c r="S85" s="73">
        <f>VLOOKUP(Tabla6[[#This Row],[PG]],Listas2!$G$14:$K$16,2,0)</f>
        <v>0</v>
      </c>
      <c r="T85" s="66" t="s">
        <v>84</v>
      </c>
      <c r="U85" s="74">
        <v>53</v>
      </c>
      <c r="V85" s="66">
        <v>530106</v>
      </c>
      <c r="W85" s="63" t="str">
        <f>VLOOKUP(Tabla6[[#This Row],[ÍTEM PRESUPUESTARIO]],Tabla2[#All],2,0)</f>
        <v>SERVICIO DE CORREO</v>
      </c>
      <c r="X85" s="57">
        <v>100</v>
      </c>
      <c r="Y85" s="57">
        <f>100-94</f>
        <v>6</v>
      </c>
      <c r="Z85" s="58">
        <v>6</v>
      </c>
      <c r="AA85" s="58">
        <v>0</v>
      </c>
      <c r="AB85" s="58">
        <v>0</v>
      </c>
      <c r="AC85" s="58">
        <v>0</v>
      </c>
      <c r="AD85" s="58">
        <v>0</v>
      </c>
      <c r="AE85" s="58">
        <v>0</v>
      </c>
      <c r="AF85" s="58">
        <v>0</v>
      </c>
      <c r="AG85" s="58">
        <v>0</v>
      </c>
      <c r="AH85" s="58">
        <v>0</v>
      </c>
      <c r="AI85" s="58">
        <v>0</v>
      </c>
      <c r="AJ85" s="58">
        <v>0</v>
      </c>
      <c r="AK85" s="58">
        <v>0</v>
      </c>
      <c r="AL85" s="75">
        <f>+SUBTOTAL(9,Tabla6[[#This Row],[ENE]:[DIC]])</f>
        <v>6</v>
      </c>
      <c r="AM85" s="76" t="str">
        <f t="shared" si="1"/>
        <v>OK</v>
      </c>
      <c r="AN85" s="60">
        <v>6</v>
      </c>
      <c r="AO85" s="61">
        <f>+Tabla6[[#This Row],[PRESUPUESTO VIGENTE]]-Tabla6[[#This Row],[CERTIFICACIÓN PAPP]]</f>
        <v>0</v>
      </c>
      <c r="AP85" s="59">
        <v>0</v>
      </c>
    </row>
    <row r="86" spans="1:42" ht="93" customHeight="1" x14ac:dyDescent="0.25">
      <c r="A86" s="62" t="s">
        <v>78</v>
      </c>
      <c r="B86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86" s="64" t="s">
        <v>79</v>
      </c>
      <c r="D86" s="64" t="s">
        <v>80</v>
      </c>
      <c r="E86" s="64" t="s">
        <v>81</v>
      </c>
      <c r="F86" s="64" t="s">
        <v>82</v>
      </c>
      <c r="G86" s="64" t="s">
        <v>83</v>
      </c>
      <c r="H86" s="65" t="str">
        <f>VLOOKUP(Tabla6[[#This Row],[DIRECCIÓN]],DIRECCIÓN[#All],2,0)</f>
        <v>ADMINISTRACIÓN CENTRAL</v>
      </c>
      <c r="I86" s="66" t="s">
        <v>784</v>
      </c>
      <c r="J86" s="67">
        <v>1</v>
      </c>
      <c r="K86" s="68" t="str">
        <f>VLOOKUP(Tabla6[[#This Row],[DIRECCIÓN GENERAL / COORDINACIÓN / SUBDIRECCIÓN]],Tabla37[[#All],[Columna1]:[EOD]],2,0)</f>
        <v>266_0001</v>
      </c>
      <c r="L86" s="69">
        <f>VLOOKUP(Tabla6[[#This Row],[OBJETIVOS PND]],Listas!$A$1:$C$3,3,0)</f>
        <v>1</v>
      </c>
      <c r="M86" s="70">
        <f>VLOOKUP(Tabla6[[#This Row],[PG]],Listas2!$G$14:$K$16,5,0)</f>
        <v>0</v>
      </c>
      <c r="N86" s="71">
        <v>1</v>
      </c>
      <c r="O86" s="72">
        <v>801</v>
      </c>
      <c r="P86" s="73" t="str">
        <f>VLOOKUP(Tabla6[[#This Row],[GEO]],Listas!$A$48:$B$77,2,0)</f>
        <v>ESMERALDAS</v>
      </c>
      <c r="Q86" s="70">
        <f>VLOOKUP(Tabla6[[#This Row],[PG]],Listas2!$G$14:$K$16,3,0)</f>
        <v>1</v>
      </c>
      <c r="R86" s="73">
        <f>VLOOKUP(Tabla6[[#This Row],[PG]],Listas2!H91:'Listas2'!$G$14:$K$16,4,0)</f>
        <v>0</v>
      </c>
      <c r="S86" s="73">
        <f>VLOOKUP(Tabla6[[#This Row],[PG]],Listas2!$G$14:$K$16,2,0)</f>
        <v>0</v>
      </c>
      <c r="T86" s="66" t="s">
        <v>84</v>
      </c>
      <c r="U86" s="74">
        <v>53</v>
      </c>
      <c r="V86" s="66">
        <v>530106</v>
      </c>
      <c r="W86" s="63" t="str">
        <f>VLOOKUP(Tabla6[[#This Row],[ÍTEM PRESUPUESTARIO]],Tabla2[#All],2,0)</f>
        <v>SERVICIO DE CORREO</v>
      </c>
      <c r="X86" s="57">
        <v>495</v>
      </c>
      <c r="Y86" s="57">
        <f>495-145-96.3</f>
        <v>253.7</v>
      </c>
      <c r="Z86" s="58">
        <v>0</v>
      </c>
      <c r="AA86" s="58">
        <v>0</v>
      </c>
      <c r="AB86" s="58">
        <v>35</v>
      </c>
      <c r="AC86" s="58">
        <v>35</v>
      </c>
      <c r="AD86" s="58">
        <v>35</v>
      </c>
      <c r="AE86" s="58">
        <v>35</v>
      </c>
      <c r="AF86" s="58">
        <v>35</v>
      </c>
      <c r="AG86" s="58">
        <v>35</v>
      </c>
      <c r="AH86" s="58">
        <v>35</v>
      </c>
      <c r="AI86" s="58">
        <v>0</v>
      </c>
      <c r="AJ86" s="58">
        <v>8.6999999999999993</v>
      </c>
      <c r="AK86" s="58">
        <v>0</v>
      </c>
      <c r="AL86" s="75">
        <f>+SUBTOTAL(9,Tabla6[[#This Row],[ENE]:[DIC]])</f>
        <v>253.7</v>
      </c>
      <c r="AM86" s="76" t="str">
        <f t="shared" si="1"/>
        <v>OK</v>
      </c>
      <c r="AN86" s="60">
        <v>253.7</v>
      </c>
      <c r="AO86" s="61">
        <f>+Tabla6[[#This Row],[PRESUPUESTO VIGENTE]]-Tabla6[[#This Row],[CERTIFICACIÓN PAPP]]</f>
        <v>0</v>
      </c>
      <c r="AP86" s="59">
        <v>0</v>
      </c>
    </row>
    <row r="87" spans="1:42" ht="93" customHeight="1" x14ac:dyDescent="0.25">
      <c r="A87" s="62" t="s">
        <v>78</v>
      </c>
      <c r="B87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87" s="64" t="s">
        <v>79</v>
      </c>
      <c r="D87" s="64" t="s">
        <v>80</v>
      </c>
      <c r="E87" s="64" t="s">
        <v>81</v>
      </c>
      <c r="F87" s="64" t="s">
        <v>82</v>
      </c>
      <c r="G87" s="64" t="s">
        <v>83</v>
      </c>
      <c r="H87" s="65" t="str">
        <f>VLOOKUP(Tabla6[[#This Row],[DIRECCIÓN]],DIRECCIÓN[#All],2,0)</f>
        <v>ADMINISTRACIÓN CENTRAL</v>
      </c>
      <c r="I87" s="66" t="s">
        <v>785</v>
      </c>
      <c r="J87" s="67">
        <v>1</v>
      </c>
      <c r="K87" s="68" t="str">
        <f>VLOOKUP(Tabla6[[#This Row],[DIRECCIÓN GENERAL / COORDINACIÓN / SUBDIRECCIÓN]],Tabla37[[#All],[Columna1]:[EOD]],2,0)</f>
        <v>266_0001</v>
      </c>
      <c r="L87" s="69">
        <f>VLOOKUP(Tabla6[[#This Row],[OBJETIVOS PND]],Listas!$A$1:$C$3,3,0)</f>
        <v>1</v>
      </c>
      <c r="M87" s="70">
        <f>VLOOKUP(Tabla6[[#This Row],[PG]],Listas2!$G$14:$K$16,5,0)</f>
        <v>0</v>
      </c>
      <c r="N87" s="71">
        <v>1</v>
      </c>
      <c r="O87" s="72">
        <v>801</v>
      </c>
      <c r="P87" s="73" t="str">
        <f>VLOOKUP(Tabla6[[#This Row],[GEO]],Listas!$A$48:$B$77,2,0)</f>
        <v>ESMERALDAS</v>
      </c>
      <c r="Q87" s="70">
        <f>VLOOKUP(Tabla6[[#This Row],[PG]],Listas2!$G$14:$K$16,3,0)</f>
        <v>1</v>
      </c>
      <c r="R87" s="73">
        <f>VLOOKUP(Tabla6[[#This Row],[PG]],Listas2!H92:'Listas2'!$G$14:$K$16,4,0)</f>
        <v>0</v>
      </c>
      <c r="S87" s="73">
        <f>VLOOKUP(Tabla6[[#This Row],[PG]],Listas2!$G$14:$K$16,2,0)</f>
        <v>0</v>
      </c>
      <c r="T87" s="66" t="s">
        <v>84</v>
      </c>
      <c r="U87" s="74">
        <v>53</v>
      </c>
      <c r="V87" s="66">
        <v>530201</v>
      </c>
      <c r="W87" s="63" t="str">
        <f>VLOOKUP(Tabla6[[#This Row],[ÍTEM PRESUPUESTARIO]],Tabla2[#All],2,0)</f>
        <v>TRANSPORTE DE PERSONAL</v>
      </c>
      <c r="X87" s="57">
        <v>4267</v>
      </c>
      <c r="Y87" s="57">
        <f>4267-0.5</f>
        <v>4266.5</v>
      </c>
      <c r="Z87" s="58">
        <v>4266.5</v>
      </c>
      <c r="AA87" s="58">
        <v>0</v>
      </c>
      <c r="AB87" s="58">
        <v>0</v>
      </c>
      <c r="AC87" s="58">
        <v>0</v>
      </c>
      <c r="AD87" s="58">
        <v>0</v>
      </c>
      <c r="AE87" s="58">
        <v>0</v>
      </c>
      <c r="AF87" s="58">
        <v>0</v>
      </c>
      <c r="AG87" s="58">
        <v>0</v>
      </c>
      <c r="AH87" s="58">
        <v>0</v>
      </c>
      <c r="AI87" s="58">
        <v>0</v>
      </c>
      <c r="AJ87" s="58">
        <v>0</v>
      </c>
      <c r="AK87" s="58">
        <v>0</v>
      </c>
      <c r="AL87" s="75">
        <f>+SUBTOTAL(9,Tabla6[[#This Row],[ENE]:[DIC]])</f>
        <v>4266.5</v>
      </c>
      <c r="AM87" s="76" t="str">
        <f t="shared" si="1"/>
        <v>OK</v>
      </c>
      <c r="AN87" s="60">
        <v>4266.5</v>
      </c>
      <c r="AO87" s="61">
        <f>+Tabla6[[#This Row],[PRESUPUESTO VIGENTE]]-Tabla6[[#This Row],[CERTIFICACIÓN PAPP]]</f>
        <v>0</v>
      </c>
      <c r="AP87" s="59">
        <v>0</v>
      </c>
    </row>
    <row r="88" spans="1:42" ht="93" customHeight="1" x14ac:dyDescent="0.25">
      <c r="A88" s="62" t="s">
        <v>78</v>
      </c>
      <c r="B88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88" s="64" t="s">
        <v>79</v>
      </c>
      <c r="D88" s="64" t="s">
        <v>80</v>
      </c>
      <c r="E88" s="64" t="s">
        <v>81</v>
      </c>
      <c r="F88" s="64" t="s">
        <v>82</v>
      </c>
      <c r="G88" s="64" t="s">
        <v>83</v>
      </c>
      <c r="H88" s="65" t="str">
        <f>VLOOKUP(Tabla6[[#This Row],[DIRECCIÓN]],DIRECCIÓN[#All],2,0)</f>
        <v>ADMINISTRACIÓN CENTRAL</v>
      </c>
      <c r="I88" s="66" t="s">
        <v>836</v>
      </c>
      <c r="J88" s="67">
        <v>1</v>
      </c>
      <c r="K88" s="68" t="str">
        <f>VLOOKUP(Tabla6[[#This Row],[DIRECCIÓN GENERAL / COORDINACIÓN / SUBDIRECCIÓN]],Tabla37[[#All],[Columna1]:[EOD]],2,0)</f>
        <v>266_0001</v>
      </c>
      <c r="L88" s="69">
        <f>VLOOKUP(Tabla6[[#This Row],[OBJETIVOS PND]],Listas!$A$1:$C$3,3,0)</f>
        <v>1</v>
      </c>
      <c r="M88" s="70">
        <f>VLOOKUP(Tabla6[[#This Row],[PG]],Listas2!$G$14:$K$16,5,0)</f>
        <v>0</v>
      </c>
      <c r="N88" s="71">
        <v>1</v>
      </c>
      <c r="O88" s="72">
        <v>801</v>
      </c>
      <c r="P88" s="73" t="str">
        <f>VLOOKUP(Tabla6[[#This Row],[GEO]],Listas!$A$48:$B$77,2,0)</f>
        <v>ESMERALDAS</v>
      </c>
      <c r="Q88" s="70">
        <f>VLOOKUP(Tabla6[[#This Row],[PG]],Listas2!$G$14:$K$16,3,0)</f>
        <v>1</v>
      </c>
      <c r="R88" s="73">
        <f>VLOOKUP(Tabla6[[#This Row],[PG]],Listas2!H93:'Listas2'!$G$14:$K$16,4,0)</f>
        <v>0</v>
      </c>
      <c r="S88" s="73">
        <f>VLOOKUP(Tabla6[[#This Row],[PG]],Listas2!$G$14:$K$16,2,0)</f>
        <v>0</v>
      </c>
      <c r="T88" s="66" t="s">
        <v>84</v>
      </c>
      <c r="U88" s="74">
        <v>53</v>
      </c>
      <c r="V88" s="66">
        <v>530201</v>
      </c>
      <c r="W88" s="63" t="str">
        <f>VLOOKUP(Tabla6[[#This Row],[ÍTEM PRESUPUESTARIO]],Tabla2[#All],2,0)</f>
        <v>TRANSPORTE DE PERSONAL</v>
      </c>
      <c r="X88" s="57">
        <v>56400</v>
      </c>
      <c r="Y88" s="57">
        <f>56400-11400-3749.99</f>
        <v>41250.01</v>
      </c>
      <c r="Z88" s="58">
        <v>0</v>
      </c>
      <c r="AA88" s="58">
        <v>3750</v>
      </c>
      <c r="AB88" s="58">
        <v>3750</v>
      </c>
      <c r="AC88" s="58">
        <v>3750</v>
      </c>
      <c r="AD88" s="58">
        <v>3750</v>
      </c>
      <c r="AE88" s="58">
        <v>3750</v>
      </c>
      <c r="AF88" s="58">
        <v>3750</v>
      </c>
      <c r="AG88" s="58">
        <v>3750</v>
      </c>
      <c r="AH88" s="58">
        <v>3750</v>
      </c>
      <c r="AI88" s="58">
        <v>3750</v>
      </c>
      <c r="AJ88" s="58">
        <v>3750</v>
      </c>
      <c r="AK88" s="58">
        <v>3750.010000000002</v>
      </c>
      <c r="AL88" s="75">
        <f>+SUBTOTAL(9,Tabla6[[#This Row],[ENE]:[DIC]])</f>
        <v>41250.01</v>
      </c>
      <c r="AM88" s="76" t="str">
        <f t="shared" si="1"/>
        <v>OK</v>
      </c>
      <c r="AN88" s="60">
        <v>41250.01</v>
      </c>
      <c r="AO88" s="61">
        <f>+Tabla6[[#This Row],[PRESUPUESTO VIGENTE]]-Tabla6[[#This Row],[CERTIFICACIÓN PAPP]]</f>
        <v>0</v>
      </c>
      <c r="AP88" s="59">
        <v>0</v>
      </c>
    </row>
    <row r="89" spans="1:42" ht="93" customHeight="1" x14ac:dyDescent="0.25">
      <c r="A89" s="62" t="s">
        <v>78</v>
      </c>
      <c r="B89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89" s="64" t="s">
        <v>79</v>
      </c>
      <c r="D89" s="64" t="s">
        <v>80</v>
      </c>
      <c r="E89" s="64" t="s">
        <v>81</v>
      </c>
      <c r="F89" s="64" t="s">
        <v>82</v>
      </c>
      <c r="G89" s="64" t="s">
        <v>83</v>
      </c>
      <c r="H89" s="65" t="str">
        <f>VLOOKUP(Tabla6[[#This Row],[DIRECCIÓN]],DIRECCIÓN[#All],2,0)</f>
        <v>ADMINISTRACIÓN CENTRAL</v>
      </c>
      <c r="I89" s="66" t="s">
        <v>787</v>
      </c>
      <c r="J89" s="67">
        <v>1</v>
      </c>
      <c r="K89" s="68" t="str">
        <f>VLOOKUP(Tabla6[[#This Row],[DIRECCIÓN GENERAL / COORDINACIÓN / SUBDIRECCIÓN]],Tabla37[[#All],[Columna1]:[EOD]],2,0)</f>
        <v>266_0001</v>
      </c>
      <c r="L89" s="69">
        <f>VLOOKUP(Tabla6[[#This Row],[OBJETIVOS PND]],Listas!$A$1:$C$3,3,0)</f>
        <v>1</v>
      </c>
      <c r="M89" s="70">
        <f>VLOOKUP(Tabla6[[#This Row],[PG]],Listas2!$G$14:$K$16,5,0)</f>
        <v>0</v>
      </c>
      <c r="N89" s="71">
        <v>1</v>
      </c>
      <c r="O89" s="72">
        <v>801</v>
      </c>
      <c r="P89" s="73" t="str">
        <f>VLOOKUP(Tabla6[[#This Row],[GEO]],Listas!$A$48:$B$77,2,0)</f>
        <v>ESMERALDAS</v>
      </c>
      <c r="Q89" s="70">
        <f>VLOOKUP(Tabla6[[#This Row],[PG]],Listas2!$G$14:$K$16,3,0)</f>
        <v>1</v>
      </c>
      <c r="R89" s="73">
        <f>VLOOKUP(Tabla6[[#This Row],[PG]],Listas2!H94:'Listas2'!$G$14:$K$16,4,0)</f>
        <v>0</v>
      </c>
      <c r="S89" s="73">
        <f>VLOOKUP(Tabla6[[#This Row],[PG]],Listas2!$G$14:$K$16,2,0)</f>
        <v>0</v>
      </c>
      <c r="T89" s="66" t="s">
        <v>84</v>
      </c>
      <c r="U89" s="74">
        <v>53</v>
      </c>
      <c r="V89" s="66">
        <v>530203</v>
      </c>
      <c r="W89" s="63" t="str">
        <f>VLOOKUP(Tabla6[[#This Row],[ÍTEM PRESUPUESTARIO]],Tabla2[#All],2,0)</f>
        <v>ALMACENAMIENTO, EMBALAJE, DESEMBALAJE, ENVASE, DESENVASE Y RECARGA DE EXTINTORES</v>
      </c>
      <c r="X89" s="57">
        <v>550</v>
      </c>
      <c r="Y89" s="57">
        <f>550-119-119</f>
        <v>312</v>
      </c>
      <c r="Z89" s="58">
        <v>0</v>
      </c>
      <c r="AA89" s="58">
        <v>0</v>
      </c>
      <c r="AB89" s="58">
        <v>0</v>
      </c>
      <c r="AC89" s="58">
        <v>0</v>
      </c>
      <c r="AD89" s="58">
        <v>0</v>
      </c>
      <c r="AE89" s="58">
        <v>0</v>
      </c>
      <c r="AF89" s="58">
        <v>0</v>
      </c>
      <c r="AG89" s="58">
        <v>312</v>
      </c>
      <c r="AH89" s="58">
        <v>0</v>
      </c>
      <c r="AI89" s="58">
        <v>0</v>
      </c>
      <c r="AJ89" s="58">
        <v>0</v>
      </c>
      <c r="AK89" s="58">
        <v>0</v>
      </c>
      <c r="AL89" s="75">
        <f>+SUBTOTAL(9,Tabla6[[#This Row],[ENE]:[DIC]])</f>
        <v>312</v>
      </c>
      <c r="AM89" s="76" t="str">
        <f t="shared" si="1"/>
        <v>OK</v>
      </c>
      <c r="AN89" s="60">
        <v>312</v>
      </c>
      <c r="AO89" s="61">
        <f>+Tabla6[[#This Row],[PRESUPUESTO VIGENTE]]-Tabla6[[#This Row],[CERTIFICACIÓN PAPP]]</f>
        <v>0</v>
      </c>
      <c r="AP89" s="59">
        <v>0</v>
      </c>
    </row>
    <row r="90" spans="1:42" ht="93" customHeight="1" x14ac:dyDescent="0.25">
      <c r="A90" s="62" t="s">
        <v>78</v>
      </c>
      <c r="B90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90" s="64" t="s">
        <v>85</v>
      </c>
      <c r="D90" s="64" t="s">
        <v>80</v>
      </c>
      <c r="E90" s="64" t="s">
        <v>81</v>
      </c>
      <c r="F90" s="64" t="s">
        <v>82</v>
      </c>
      <c r="G90" s="64" t="s">
        <v>86</v>
      </c>
      <c r="H90" s="65" t="str">
        <f>VLOOKUP(Tabla6[[#This Row],[DIRECCIÓN]],DIRECCIÓN[#All],2,0)</f>
        <v>COMUNICACIÓN SOCIAL</v>
      </c>
      <c r="I90" s="66" t="s">
        <v>837</v>
      </c>
      <c r="J90" s="67">
        <v>2</v>
      </c>
      <c r="K90" s="68" t="str">
        <f>VLOOKUP(Tabla6[[#This Row],[DIRECCIÓN GENERAL / COORDINACIÓN / SUBDIRECCIÓN]],Tabla37[[#All],[Columna1]:[EOD]],2,0)</f>
        <v>266_0001</v>
      </c>
      <c r="L90" s="69">
        <f>VLOOKUP(Tabla6[[#This Row],[OBJETIVOS PND]],Listas!$A$1:$C$3,3,0)</f>
        <v>1</v>
      </c>
      <c r="M90" s="70">
        <f>VLOOKUP(Tabla6[[#This Row],[PG]],Listas2!$G$14:$K$16,5,0)</f>
        <v>0</v>
      </c>
      <c r="N90" s="71">
        <v>1</v>
      </c>
      <c r="O90" s="72">
        <v>801</v>
      </c>
      <c r="P90" s="73" t="str">
        <f>VLOOKUP(Tabla6[[#This Row],[GEO]],Listas!$A$48:$B$77,2,0)</f>
        <v>ESMERALDAS</v>
      </c>
      <c r="Q90" s="70">
        <f>VLOOKUP(Tabla6[[#This Row],[PG]],Listas2!$G$14:$K$16,3,0)</f>
        <v>1</v>
      </c>
      <c r="R90" s="73">
        <f>VLOOKUP(Tabla6[[#This Row],[PG]],Listas2!H95:'Listas2'!$G$14:$K$16,4,0)</f>
        <v>0</v>
      </c>
      <c r="S90" s="73">
        <f>VLOOKUP(Tabla6[[#This Row],[PG]],Listas2!$G$14:$K$16,2,0)</f>
        <v>0</v>
      </c>
      <c r="T90" s="66" t="s">
        <v>84</v>
      </c>
      <c r="U90" s="74">
        <v>53</v>
      </c>
      <c r="V90" s="66">
        <v>530204</v>
      </c>
      <c r="W90" s="63" t="str">
        <f>VLOOKUP(Tabla6[[#This Row],[ÍTEM PRESUPUESTARIO]],Tabla2[#All],2,0)</f>
        <v>EDICIÓN, IMPRESIÓN, REPRODUCCIÓN, PUBLICACIONES, SUSCRIPCIONES, FOTOCOPIADO, TRADUCCIÓN, EMPASTADO, ENMARCACIÓN, SERIGRAFÍA, FOTOGRAFÍA, CARNETIZACIÓN, FILMACIÓN E IMÁGENES SATELITALES</v>
      </c>
      <c r="X90" s="57">
        <v>1480</v>
      </c>
      <c r="Y90" s="57">
        <f>1480-1480</f>
        <v>0</v>
      </c>
      <c r="Z90" s="58">
        <v>0</v>
      </c>
      <c r="AA90" s="58">
        <v>0</v>
      </c>
      <c r="AB90" s="58">
        <v>0</v>
      </c>
      <c r="AC90" s="58">
        <v>0</v>
      </c>
      <c r="AD90" s="58">
        <v>0</v>
      </c>
      <c r="AE90" s="58">
        <v>0</v>
      </c>
      <c r="AF90" s="58">
        <v>0</v>
      </c>
      <c r="AG90" s="58">
        <v>0</v>
      </c>
      <c r="AH90" s="58">
        <v>0</v>
      </c>
      <c r="AI90" s="58">
        <v>0</v>
      </c>
      <c r="AJ90" s="58">
        <v>0</v>
      </c>
      <c r="AK90" s="58">
        <v>0</v>
      </c>
      <c r="AL90" s="75">
        <f>+SUBTOTAL(9,Tabla6[[#This Row],[ENE]:[DIC]])</f>
        <v>0</v>
      </c>
      <c r="AM90" s="76" t="str">
        <f t="shared" si="1"/>
        <v>OK</v>
      </c>
      <c r="AN90" s="60">
        <v>0</v>
      </c>
      <c r="AO90" s="61">
        <f>+Tabla6[[#This Row],[PRESUPUESTO VIGENTE]]-Tabla6[[#This Row],[CERTIFICACIÓN PAPP]]</f>
        <v>0</v>
      </c>
      <c r="AP90" s="59">
        <v>0</v>
      </c>
    </row>
    <row r="91" spans="1:42" ht="93" customHeight="1" x14ac:dyDescent="0.25">
      <c r="A91" s="62" t="s">
        <v>78</v>
      </c>
      <c r="B91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91" s="64" t="s">
        <v>85</v>
      </c>
      <c r="D91" s="64" t="s">
        <v>80</v>
      </c>
      <c r="E91" s="64" t="s">
        <v>81</v>
      </c>
      <c r="F91" s="64" t="s">
        <v>82</v>
      </c>
      <c r="G91" s="64" t="s">
        <v>86</v>
      </c>
      <c r="H91" s="65" t="str">
        <f>VLOOKUP(Tabla6[[#This Row],[DIRECCIÓN]],DIRECCIÓN[#All],2,0)</f>
        <v>COMUNICACIÓN SOCIAL</v>
      </c>
      <c r="I91" s="66" t="s">
        <v>838</v>
      </c>
      <c r="J91" s="67">
        <v>1</v>
      </c>
      <c r="K91" s="68" t="str">
        <f>VLOOKUP(Tabla6[[#This Row],[DIRECCIÓN GENERAL / COORDINACIÓN / SUBDIRECCIÓN]],Tabla37[[#All],[Columna1]:[EOD]],2,0)</f>
        <v>266_0001</v>
      </c>
      <c r="L91" s="69">
        <f>VLOOKUP(Tabla6[[#This Row],[OBJETIVOS PND]],Listas!$A$1:$C$3,3,0)</f>
        <v>1</v>
      </c>
      <c r="M91" s="70">
        <f>VLOOKUP(Tabla6[[#This Row],[PG]],Listas2!$G$14:$K$16,5,0)</f>
        <v>0</v>
      </c>
      <c r="N91" s="71">
        <v>1</v>
      </c>
      <c r="O91" s="72">
        <v>801</v>
      </c>
      <c r="P91" s="73" t="str">
        <f>VLOOKUP(Tabla6[[#This Row],[GEO]],Listas!$A$48:$B$77,2,0)</f>
        <v>ESMERALDAS</v>
      </c>
      <c r="Q91" s="70">
        <f>VLOOKUP(Tabla6[[#This Row],[PG]],Listas2!$G$14:$K$16,3,0)</f>
        <v>1</v>
      </c>
      <c r="R91" s="73">
        <f>VLOOKUP(Tabla6[[#This Row],[PG]],Listas2!H96:'Listas2'!$G$14:$K$16,4,0)</f>
        <v>0</v>
      </c>
      <c r="S91" s="73">
        <f>VLOOKUP(Tabla6[[#This Row],[PG]],Listas2!$G$14:$K$16,2,0)</f>
        <v>0</v>
      </c>
      <c r="T91" s="66" t="s">
        <v>84</v>
      </c>
      <c r="U91" s="74">
        <v>53</v>
      </c>
      <c r="V91" s="66">
        <v>530204</v>
      </c>
      <c r="W91" s="63" t="str">
        <f>VLOOKUP(Tabla6[[#This Row],[ÍTEM PRESUPUESTARIO]],Tabla2[#All],2,0)</f>
        <v>EDICIÓN, IMPRESIÓN, REPRODUCCIÓN, PUBLICACIONES, SUSCRIPCIONES, FOTOCOPIADO, TRADUCCIÓN, EMPASTADO, ENMARCACIÓN, SERIGRAFÍA, FOTOGRAFÍA, CARNETIZACIÓN, FILMACIÓN E IMÁGENES SATELITALES</v>
      </c>
      <c r="X91" s="57">
        <v>807</v>
      </c>
      <c r="Y91" s="57">
        <f>807-807</f>
        <v>0</v>
      </c>
      <c r="Z91" s="58">
        <v>0</v>
      </c>
      <c r="AA91" s="58">
        <v>0</v>
      </c>
      <c r="AB91" s="58">
        <v>0</v>
      </c>
      <c r="AC91" s="58">
        <v>0</v>
      </c>
      <c r="AD91" s="58">
        <v>0</v>
      </c>
      <c r="AE91" s="58">
        <v>0</v>
      </c>
      <c r="AF91" s="58">
        <v>0</v>
      </c>
      <c r="AG91" s="58">
        <v>0</v>
      </c>
      <c r="AH91" s="58">
        <v>0</v>
      </c>
      <c r="AI91" s="58">
        <v>0</v>
      </c>
      <c r="AJ91" s="58">
        <v>0</v>
      </c>
      <c r="AK91" s="58">
        <v>0</v>
      </c>
      <c r="AL91" s="75">
        <f>+SUBTOTAL(9,Tabla6[[#This Row],[ENE]:[DIC]])</f>
        <v>0</v>
      </c>
      <c r="AM91" s="76" t="str">
        <f t="shared" si="1"/>
        <v>OK</v>
      </c>
      <c r="AN91" s="60">
        <v>0</v>
      </c>
      <c r="AO91" s="61">
        <f>+Tabla6[[#This Row],[PRESUPUESTO VIGENTE]]-Tabla6[[#This Row],[CERTIFICACIÓN PAPP]]</f>
        <v>0</v>
      </c>
      <c r="AP91" s="59" t="s">
        <v>87</v>
      </c>
    </row>
    <row r="92" spans="1:42" ht="93" customHeight="1" x14ac:dyDescent="0.25">
      <c r="A92" s="62" t="s">
        <v>78</v>
      </c>
      <c r="B92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92" s="64" t="s">
        <v>79</v>
      </c>
      <c r="D92" s="64" t="s">
        <v>80</v>
      </c>
      <c r="E92" s="64" t="s">
        <v>81</v>
      </c>
      <c r="F92" s="64" t="s">
        <v>82</v>
      </c>
      <c r="G92" s="64" t="s">
        <v>83</v>
      </c>
      <c r="H92" s="65" t="str">
        <f>VLOOKUP(Tabla6[[#This Row],[DIRECCIÓN]],DIRECCIÓN[#All],2,0)</f>
        <v>ADMINISTRACIÓN CENTRAL</v>
      </c>
      <c r="I92" s="66" t="s">
        <v>839</v>
      </c>
      <c r="J92" s="67">
        <v>1</v>
      </c>
      <c r="K92" s="68" t="str">
        <f>VLOOKUP(Tabla6[[#This Row],[DIRECCIÓN GENERAL / COORDINACIÓN / SUBDIRECCIÓN]],Tabla37[[#All],[Columna1]:[EOD]],2,0)</f>
        <v>266_0001</v>
      </c>
      <c r="L92" s="69">
        <f>VLOOKUP(Tabla6[[#This Row],[OBJETIVOS PND]],Listas!$A$1:$C$3,3,0)</f>
        <v>1</v>
      </c>
      <c r="M92" s="70">
        <f>VLOOKUP(Tabla6[[#This Row],[PG]],Listas2!$G$14:$K$16,5,0)</f>
        <v>0</v>
      </c>
      <c r="N92" s="71">
        <v>1</v>
      </c>
      <c r="O92" s="72">
        <v>801</v>
      </c>
      <c r="P92" s="73" t="str">
        <f>VLOOKUP(Tabla6[[#This Row],[GEO]],Listas!$A$48:$B$77,2,0)</f>
        <v>ESMERALDAS</v>
      </c>
      <c r="Q92" s="70">
        <f>VLOOKUP(Tabla6[[#This Row],[PG]],Listas2!$G$14:$K$16,3,0)</f>
        <v>1</v>
      </c>
      <c r="R92" s="73">
        <f>VLOOKUP(Tabla6[[#This Row],[PG]],Listas2!H97:'Listas2'!$G$14:$K$16,4,0)</f>
        <v>0</v>
      </c>
      <c r="S92" s="73">
        <f>VLOOKUP(Tabla6[[#This Row],[PG]],Listas2!$G$14:$K$16,2,0)</f>
        <v>0</v>
      </c>
      <c r="T92" s="66" t="s">
        <v>84</v>
      </c>
      <c r="U92" s="74">
        <v>53</v>
      </c>
      <c r="V92" s="66">
        <v>530209</v>
      </c>
      <c r="W92" s="63" t="str">
        <f>VLOOKUP(Tabla6[[#This Row],[ÍTEM PRESUPUESTARIO]],Tabla2[#All],2,0)</f>
        <v>SERVICIOS DE ASEO, LAVADO DE VESTIMENTA DE TRABAJO, FUMIGACIÓN, DESINFECCIÓN, LIMPIEZA DE INSTALACIONES, MANEJO DE DESECHOS CONTAMINADOS, RECUPERACIÓN Y CLASIFICACIÓN DE MATERIALES RECICLABLES</v>
      </c>
      <c r="X92" s="57">
        <v>3328</v>
      </c>
      <c r="Y92" s="57">
        <f>3328-357.13</f>
        <v>2970.87</v>
      </c>
      <c r="Z92" s="58">
        <v>2970.87</v>
      </c>
      <c r="AA92" s="58">
        <v>0</v>
      </c>
      <c r="AB92" s="58">
        <v>0</v>
      </c>
      <c r="AC92" s="58">
        <v>0</v>
      </c>
      <c r="AD92" s="58">
        <v>0</v>
      </c>
      <c r="AE92" s="58">
        <v>0</v>
      </c>
      <c r="AF92" s="58">
        <v>0</v>
      </c>
      <c r="AG92" s="58">
        <v>0</v>
      </c>
      <c r="AH92" s="58">
        <v>0</v>
      </c>
      <c r="AI92" s="58">
        <v>0</v>
      </c>
      <c r="AJ92" s="58">
        <v>0</v>
      </c>
      <c r="AK92" s="58">
        <v>0</v>
      </c>
      <c r="AL92" s="75">
        <f>+SUBTOTAL(9,Tabla6[[#This Row],[ENE]:[DIC]])</f>
        <v>2970.87</v>
      </c>
      <c r="AM92" s="76" t="str">
        <f t="shared" si="1"/>
        <v>OK</v>
      </c>
      <c r="AN92" s="60">
        <v>2970.87</v>
      </c>
      <c r="AO92" s="61">
        <f>+Tabla6[[#This Row],[PRESUPUESTO VIGENTE]]-Tabla6[[#This Row],[CERTIFICACIÓN PAPP]]</f>
        <v>0</v>
      </c>
      <c r="AP92" s="59">
        <v>0</v>
      </c>
    </row>
    <row r="93" spans="1:42" ht="93" customHeight="1" x14ac:dyDescent="0.25">
      <c r="A93" s="62" t="s">
        <v>78</v>
      </c>
      <c r="B93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93" s="64" t="s">
        <v>79</v>
      </c>
      <c r="D93" s="64" t="s">
        <v>80</v>
      </c>
      <c r="E93" s="64" t="s">
        <v>81</v>
      </c>
      <c r="F93" s="64" t="s">
        <v>82</v>
      </c>
      <c r="G93" s="64" t="s">
        <v>83</v>
      </c>
      <c r="H93" s="65" t="str">
        <f>VLOOKUP(Tabla6[[#This Row],[DIRECCIÓN]],DIRECCIÓN[#All],2,0)</f>
        <v>ADMINISTRACIÓN CENTRAL</v>
      </c>
      <c r="I93" s="66" t="s">
        <v>840</v>
      </c>
      <c r="J93" s="67">
        <v>1</v>
      </c>
      <c r="K93" s="68" t="str">
        <f>VLOOKUP(Tabla6[[#This Row],[DIRECCIÓN GENERAL / COORDINACIÓN / SUBDIRECCIÓN]],Tabla37[[#All],[Columna1]:[EOD]],2,0)</f>
        <v>266_0001</v>
      </c>
      <c r="L93" s="69">
        <f>VLOOKUP(Tabla6[[#This Row],[OBJETIVOS PND]],Listas!$A$1:$C$3,3,0)</f>
        <v>1</v>
      </c>
      <c r="M93" s="70">
        <f>VLOOKUP(Tabla6[[#This Row],[PG]],Listas2!$G$14:$K$16,5,0)</f>
        <v>0</v>
      </c>
      <c r="N93" s="71">
        <v>1</v>
      </c>
      <c r="O93" s="72">
        <v>801</v>
      </c>
      <c r="P93" s="73" t="str">
        <f>VLOOKUP(Tabla6[[#This Row],[GEO]],Listas!$A$48:$B$77,2,0)</f>
        <v>ESMERALDAS</v>
      </c>
      <c r="Q93" s="70">
        <f>VLOOKUP(Tabla6[[#This Row],[PG]],Listas2!$G$14:$K$16,3,0)</f>
        <v>1</v>
      </c>
      <c r="R93" s="73">
        <f>VLOOKUP(Tabla6[[#This Row],[PG]],Listas2!H98:'Listas2'!$G$14:$K$16,4,0)</f>
        <v>0</v>
      </c>
      <c r="S93" s="73">
        <f>VLOOKUP(Tabla6[[#This Row],[PG]],Listas2!$G$14:$K$16,2,0)</f>
        <v>0</v>
      </c>
      <c r="T93" s="66" t="s">
        <v>84</v>
      </c>
      <c r="U93" s="74">
        <v>53</v>
      </c>
      <c r="V93" s="66">
        <v>530209</v>
      </c>
      <c r="W93" s="63" t="str">
        <f>VLOOKUP(Tabla6[[#This Row],[ÍTEM PRESUPUESTARIO]],Tabla2[#All],2,0)</f>
        <v>SERVICIOS DE ASEO, LAVADO DE VESTIMENTA DE TRABAJO, FUMIGACIÓN, DESINFECCIÓN, LIMPIEZA DE INSTALACIONES, MANEJO DE DESECHOS CONTAMINADOS, RECUPERACIÓN Y CLASIFICACIÓN DE MATERIALES RECICLABLES</v>
      </c>
      <c r="X93" s="57">
        <v>16640</v>
      </c>
      <c r="Y93" s="57">
        <f>16640+19010.44-1485.43-1485.44</f>
        <v>32679.570000000003</v>
      </c>
      <c r="Z93" s="58">
        <v>0</v>
      </c>
      <c r="AA93" s="58">
        <v>2970.87</v>
      </c>
      <c r="AB93" s="58">
        <v>2970.87</v>
      </c>
      <c r="AC93" s="58">
        <v>2970.87</v>
      </c>
      <c r="AD93" s="58">
        <v>2970.87</v>
      </c>
      <c r="AE93" s="58">
        <v>2970.87</v>
      </c>
      <c r="AF93" s="58">
        <v>2970.87</v>
      </c>
      <c r="AG93" s="58">
        <v>2970.87</v>
      </c>
      <c r="AH93" s="58">
        <v>2970.87</v>
      </c>
      <c r="AI93" s="58">
        <v>2970.87</v>
      </c>
      <c r="AJ93" s="58">
        <v>2970.87</v>
      </c>
      <c r="AK93" s="58">
        <v>2970.8700000000099</v>
      </c>
      <c r="AL93" s="75">
        <f>+SUBTOTAL(9,Tabla6[[#This Row],[ENE]:[DIC]])</f>
        <v>32679.570000000003</v>
      </c>
      <c r="AM93" s="76" t="str">
        <f t="shared" si="1"/>
        <v>OK</v>
      </c>
      <c r="AN93" s="60">
        <f>17825.22+17825.22-2970.87</f>
        <v>32679.570000000003</v>
      </c>
      <c r="AO93" s="61">
        <f>+Tabla6[[#This Row],[PRESUPUESTO VIGENTE]]-Tabla6[[#This Row],[CERTIFICACIÓN PAPP]]</f>
        <v>0</v>
      </c>
      <c r="AP93" s="59">
        <v>0</v>
      </c>
    </row>
    <row r="94" spans="1:42" ht="93" customHeight="1" x14ac:dyDescent="0.25">
      <c r="A94" s="62" t="s">
        <v>78</v>
      </c>
      <c r="B94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94" s="64" t="s">
        <v>79</v>
      </c>
      <c r="D94" s="64" t="s">
        <v>80</v>
      </c>
      <c r="E94" s="64" t="s">
        <v>81</v>
      </c>
      <c r="F94" s="64" t="s">
        <v>82</v>
      </c>
      <c r="G94" s="64" t="s">
        <v>83</v>
      </c>
      <c r="H94" s="65" t="str">
        <f>VLOOKUP(Tabla6[[#This Row],[DIRECCIÓN]],DIRECCIÓN[#All],2,0)</f>
        <v>ADMINISTRACIÓN CENTRAL</v>
      </c>
      <c r="I94" s="66" t="s">
        <v>841</v>
      </c>
      <c r="J94" s="67">
        <v>1</v>
      </c>
      <c r="K94" s="68" t="str">
        <f>VLOOKUP(Tabla6[[#This Row],[DIRECCIÓN GENERAL / COORDINACIÓN / SUBDIRECCIÓN]],Tabla37[[#All],[Columna1]:[EOD]],2,0)</f>
        <v>266_0001</v>
      </c>
      <c r="L94" s="69">
        <f>VLOOKUP(Tabla6[[#This Row],[OBJETIVOS PND]],Listas!$A$1:$C$3,3,0)</f>
        <v>1</v>
      </c>
      <c r="M94" s="70">
        <f>VLOOKUP(Tabla6[[#This Row],[PG]],Listas2!$G$14:$K$16,5,0)</f>
        <v>0</v>
      </c>
      <c r="N94" s="71">
        <v>1</v>
      </c>
      <c r="O94" s="72">
        <v>801</v>
      </c>
      <c r="P94" s="73" t="str">
        <f>VLOOKUP(Tabla6[[#This Row],[GEO]],Listas!$A$48:$B$77,2,0)</f>
        <v>ESMERALDAS</v>
      </c>
      <c r="Q94" s="70">
        <f>VLOOKUP(Tabla6[[#This Row],[PG]],Listas2!$G$14:$K$16,3,0)</f>
        <v>1</v>
      </c>
      <c r="R94" s="73">
        <f>VLOOKUP(Tabla6[[#This Row],[PG]],Listas2!H99:'Listas2'!$G$14:$K$16,4,0)</f>
        <v>0</v>
      </c>
      <c r="S94" s="73">
        <f>VLOOKUP(Tabla6[[#This Row],[PG]],Listas2!$G$14:$K$16,2,0)</f>
        <v>0</v>
      </c>
      <c r="T94" s="66" t="s">
        <v>84</v>
      </c>
      <c r="U94" s="74">
        <v>53</v>
      </c>
      <c r="V94" s="66">
        <v>530209</v>
      </c>
      <c r="W94" s="63" t="str">
        <f>VLOOKUP(Tabla6[[#This Row],[ÍTEM PRESUPUESTARIO]],Tabla2[#All],2,0)</f>
        <v>SERVICIOS DE ASEO, LAVADO DE VESTIMENTA DE TRABAJO, FUMIGACIÓN, DESINFECCIÓN, LIMPIEZA DE INSTALACIONES, MANEJO DE DESECHOS CONTAMINADOS, RECUPERACIÓN Y CLASIFICACIÓN DE MATERIALES RECICLABLES</v>
      </c>
      <c r="X94" s="57">
        <v>240</v>
      </c>
      <c r="Y94" s="57">
        <f>240+240</f>
        <v>480</v>
      </c>
      <c r="Z94" s="58">
        <v>0</v>
      </c>
      <c r="AA94" s="58">
        <v>0</v>
      </c>
      <c r="AB94" s="58">
        <v>0</v>
      </c>
      <c r="AC94" s="58">
        <v>0</v>
      </c>
      <c r="AD94" s="58">
        <v>120</v>
      </c>
      <c r="AE94" s="58">
        <v>120</v>
      </c>
      <c r="AF94" s="58">
        <v>0</v>
      </c>
      <c r="AG94" s="58">
        <v>0</v>
      </c>
      <c r="AH94" s="58">
        <v>120</v>
      </c>
      <c r="AI94" s="58">
        <v>0</v>
      </c>
      <c r="AJ94" s="58">
        <v>0</v>
      </c>
      <c r="AK94" s="58">
        <v>120</v>
      </c>
      <c r="AL94" s="75">
        <f>+SUBTOTAL(9,Tabla6[[#This Row],[ENE]:[DIC]])</f>
        <v>480</v>
      </c>
      <c r="AM94" s="76" t="str">
        <f t="shared" si="1"/>
        <v>OK</v>
      </c>
      <c r="AN94" s="60">
        <v>480</v>
      </c>
      <c r="AO94" s="61">
        <f>+Tabla6[[#This Row],[PRESUPUESTO VIGENTE]]-Tabla6[[#This Row],[CERTIFICACIÓN PAPP]]</f>
        <v>0</v>
      </c>
      <c r="AP94" s="59" t="s">
        <v>87</v>
      </c>
    </row>
    <row r="95" spans="1:42" ht="93" customHeight="1" x14ac:dyDescent="0.25">
      <c r="A95" s="62" t="s">
        <v>78</v>
      </c>
      <c r="B95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95" s="64" t="s">
        <v>79</v>
      </c>
      <c r="D95" s="64" t="s">
        <v>80</v>
      </c>
      <c r="E95" s="64" t="s">
        <v>81</v>
      </c>
      <c r="F95" s="64" t="s">
        <v>82</v>
      </c>
      <c r="G95" s="64" t="s">
        <v>83</v>
      </c>
      <c r="H95" s="65" t="str">
        <f>VLOOKUP(Tabla6[[#This Row],[DIRECCIÓN]],DIRECCIÓN[#All],2,0)</f>
        <v>ADMINISTRACIÓN CENTRAL</v>
      </c>
      <c r="I95" s="66" t="s">
        <v>842</v>
      </c>
      <c r="J95" s="67">
        <v>2</v>
      </c>
      <c r="K95" s="68" t="str">
        <f>VLOOKUP(Tabla6[[#This Row],[DIRECCIÓN GENERAL / COORDINACIÓN / SUBDIRECCIÓN]],Tabla37[[#All],[Columna1]:[EOD]],2,0)</f>
        <v>266_0001</v>
      </c>
      <c r="L95" s="69">
        <f>VLOOKUP(Tabla6[[#This Row],[OBJETIVOS PND]],Listas!$A$1:$C$3,3,0)</f>
        <v>1</v>
      </c>
      <c r="M95" s="70">
        <f>VLOOKUP(Tabla6[[#This Row],[PG]],Listas2!$G$14:$K$16,5,0)</f>
        <v>0</v>
      </c>
      <c r="N95" s="71">
        <v>1</v>
      </c>
      <c r="O95" s="72">
        <v>801</v>
      </c>
      <c r="P95" s="73" t="str">
        <f>VLOOKUP(Tabla6[[#This Row],[GEO]],Listas!$A$48:$B$77,2,0)</f>
        <v>ESMERALDAS</v>
      </c>
      <c r="Q95" s="70">
        <f>VLOOKUP(Tabla6[[#This Row],[PG]],Listas2!$G$14:$K$16,3,0)</f>
        <v>1</v>
      </c>
      <c r="R95" s="73">
        <f>VLOOKUP(Tabla6[[#This Row],[PG]],Listas2!H100:'Listas2'!$G$14:$K$16,4,0)</f>
        <v>0</v>
      </c>
      <c r="S95" s="73">
        <f>VLOOKUP(Tabla6[[#This Row],[PG]],Listas2!$G$14:$K$16,2,0)</f>
        <v>0</v>
      </c>
      <c r="T95" s="66" t="s">
        <v>84</v>
      </c>
      <c r="U95" s="74">
        <v>53</v>
      </c>
      <c r="V95" s="66">
        <v>530210</v>
      </c>
      <c r="W95" s="63" t="str">
        <f>VLOOKUP(Tabla6[[#This Row],[ÍTEM PRESUPUESTARIO]],Tabla2[#All],2,0)</f>
        <v>SERVICIO DE GUARDERÍA</v>
      </c>
      <c r="X95" s="57">
        <v>0</v>
      </c>
      <c r="Y95" s="57">
        <f>3348-3348</f>
        <v>0</v>
      </c>
      <c r="Z95" s="58">
        <v>0</v>
      </c>
      <c r="AA95" s="58">
        <v>0</v>
      </c>
      <c r="AB95" s="58">
        <v>0</v>
      </c>
      <c r="AC95" s="58">
        <v>0</v>
      </c>
      <c r="AD95" s="58">
        <v>0</v>
      </c>
      <c r="AE95" s="58">
        <v>0</v>
      </c>
      <c r="AF95" s="58">
        <v>0</v>
      </c>
      <c r="AG95" s="58">
        <v>0</v>
      </c>
      <c r="AH95" s="58">
        <v>0</v>
      </c>
      <c r="AI95" s="58">
        <v>0</v>
      </c>
      <c r="AJ95" s="58">
        <v>0</v>
      </c>
      <c r="AK95" s="58">
        <v>0</v>
      </c>
      <c r="AL95" s="75">
        <f>+SUBTOTAL(9,Tabla6[[#This Row],[ENE]:[DIC]])</f>
        <v>0</v>
      </c>
      <c r="AM95" s="76" t="str">
        <f t="shared" si="1"/>
        <v>OK</v>
      </c>
      <c r="AN95" s="60">
        <v>0</v>
      </c>
      <c r="AO95" s="61">
        <f>+Tabla6[[#This Row],[PRESUPUESTO VIGENTE]]-Tabla6[[#This Row],[CERTIFICACIÓN PAPP]]</f>
        <v>0</v>
      </c>
      <c r="AP95" s="59">
        <v>0</v>
      </c>
    </row>
    <row r="96" spans="1:42" ht="93" customHeight="1" x14ac:dyDescent="0.25">
      <c r="A96" s="62" t="s">
        <v>78</v>
      </c>
      <c r="B96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96" s="64" t="s">
        <v>79</v>
      </c>
      <c r="D96" s="64" t="s">
        <v>80</v>
      </c>
      <c r="E96" s="64" t="s">
        <v>81</v>
      </c>
      <c r="F96" s="64" t="s">
        <v>82</v>
      </c>
      <c r="G96" s="64" t="s">
        <v>83</v>
      </c>
      <c r="H96" s="65" t="str">
        <f>VLOOKUP(Tabla6[[#This Row],[DIRECCIÓN]],DIRECCIÓN[#All],2,0)</f>
        <v>ADMINISTRACIÓN CENTRAL</v>
      </c>
      <c r="I96" s="66" t="s">
        <v>843</v>
      </c>
      <c r="J96" s="67">
        <v>2</v>
      </c>
      <c r="K96" s="68" t="str">
        <f>VLOOKUP(Tabla6[[#This Row],[DIRECCIÓN GENERAL / COORDINACIÓN / SUBDIRECCIÓN]],Tabla37[[#All],[Columna1]:[EOD]],2,0)</f>
        <v>266_0001</v>
      </c>
      <c r="L96" s="69">
        <f>VLOOKUP(Tabla6[[#This Row],[OBJETIVOS PND]],Listas!$A$1:$C$3,3,0)</f>
        <v>1</v>
      </c>
      <c r="M96" s="70">
        <f>VLOOKUP(Tabla6[[#This Row],[PG]],Listas2!$G$14:$K$16,5,0)</f>
        <v>0</v>
      </c>
      <c r="N96" s="71">
        <v>1</v>
      </c>
      <c r="O96" s="72">
        <v>801</v>
      </c>
      <c r="P96" s="73" t="str">
        <f>VLOOKUP(Tabla6[[#This Row],[GEO]],Listas!$A$48:$B$77,2,0)</f>
        <v>ESMERALDAS</v>
      </c>
      <c r="Q96" s="70">
        <f>VLOOKUP(Tabla6[[#This Row],[PG]],Listas2!$G$14:$K$16,3,0)</f>
        <v>1</v>
      </c>
      <c r="R96" s="73">
        <f>VLOOKUP(Tabla6[[#This Row],[PG]],Listas2!H101:'Listas2'!$G$14:$K$16,4,0)</f>
        <v>0</v>
      </c>
      <c r="S96" s="73">
        <f>VLOOKUP(Tabla6[[#This Row],[PG]],Listas2!$G$14:$K$16,2,0)</f>
        <v>0</v>
      </c>
      <c r="T96" s="66" t="s">
        <v>84</v>
      </c>
      <c r="U96" s="74">
        <v>53</v>
      </c>
      <c r="V96" s="66">
        <v>530246</v>
      </c>
      <c r="W96" s="63" t="str">
        <f>VLOOKUP(Tabla6[[#This Row],[ÍTEM PRESUPUESTARIO]],Tabla2[#All],2,0)</f>
        <v>SERVICIOS DE IDENTIFICACIÓN, MARCACIÓN, AUTENTIFICACIÓN, RASTREO, MONITOREO, SEGUIMIENTO Y/O TRAZABILIDAD</v>
      </c>
      <c r="X96" s="57">
        <v>0</v>
      </c>
      <c r="Y96" s="57">
        <f>1500-1020-103.92</f>
        <v>376.08</v>
      </c>
      <c r="Z96" s="58">
        <v>0</v>
      </c>
      <c r="AA96" s="58">
        <v>0</v>
      </c>
      <c r="AB96" s="58">
        <v>0</v>
      </c>
      <c r="AC96" s="58">
        <v>0</v>
      </c>
      <c r="AD96" s="58">
        <v>376.08</v>
      </c>
      <c r="AE96" s="58">
        <v>0</v>
      </c>
      <c r="AF96" s="58">
        <v>0</v>
      </c>
      <c r="AG96" s="58">
        <v>0</v>
      </c>
      <c r="AH96" s="58">
        <v>0</v>
      </c>
      <c r="AI96" s="58">
        <v>0</v>
      </c>
      <c r="AJ96" s="58">
        <v>0</v>
      </c>
      <c r="AK96" s="58">
        <v>0</v>
      </c>
      <c r="AL96" s="75">
        <f>+SUBTOTAL(9,Tabla6[[#This Row],[ENE]:[DIC]])</f>
        <v>376.08</v>
      </c>
      <c r="AM96" s="76" t="str">
        <f t="shared" si="1"/>
        <v>OK</v>
      </c>
      <c r="AN96" s="60">
        <f>480-103.92</f>
        <v>376.08</v>
      </c>
      <c r="AO96" s="61">
        <f>+Tabla6[[#This Row],[PRESUPUESTO VIGENTE]]-Tabla6[[#This Row],[CERTIFICACIÓN PAPP]]</f>
        <v>0</v>
      </c>
      <c r="AP96" s="59" t="s">
        <v>87</v>
      </c>
    </row>
    <row r="97" spans="1:42" ht="93" customHeight="1" x14ac:dyDescent="0.25">
      <c r="A97" s="62" t="s">
        <v>78</v>
      </c>
      <c r="B97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97" s="64" t="s">
        <v>79</v>
      </c>
      <c r="D97" s="64" t="s">
        <v>80</v>
      </c>
      <c r="E97" s="64" t="s">
        <v>81</v>
      </c>
      <c r="F97" s="64" t="s">
        <v>82</v>
      </c>
      <c r="G97" s="64" t="s">
        <v>83</v>
      </c>
      <c r="H97" s="65" t="str">
        <f>VLOOKUP(Tabla6[[#This Row],[DIRECCIÓN]],DIRECCIÓN[#All],2,0)</f>
        <v>ADMINISTRACIÓN CENTRAL</v>
      </c>
      <c r="I97" s="66" t="s">
        <v>844</v>
      </c>
      <c r="J97" s="67">
        <v>1</v>
      </c>
      <c r="K97" s="68" t="str">
        <f>VLOOKUP(Tabla6[[#This Row],[DIRECCIÓN GENERAL / COORDINACIÓN / SUBDIRECCIÓN]],Tabla37[[#All],[Columna1]:[EOD]],2,0)</f>
        <v>266_0001</v>
      </c>
      <c r="L97" s="69">
        <f>VLOOKUP(Tabla6[[#This Row],[OBJETIVOS PND]],Listas!$A$1:$C$3,3,0)</f>
        <v>1</v>
      </c>
      <c r="M97" s="70">
        <f>VLOOKUP(Tabla6[[#This Row],[PG]],Listas2!$G$14:$K$16,5,0)</f>
        <v>0</v>
      </c>
      <c r="N97" s="71">
        <v>1</v>
      </c>
      <c r="O97" s="72">
        <v>801</v>
      </c>
      <c r="P97" s="73" t="str">
        <f>VLOOKUP(Tabla6[[#This Row],[GEO]],Listas!$A$48:$B$77,2,0)</f>
        <v>ESMERALDAS</v>
      </c>
      <c r="Q97" s="70">
        <f>VLOOKUP(Tabla6[[#This Row],[PG]],Listas2!$G$14:$K$16,3,0)</f>
        <v>1</v>
      </c>
      <c r="R97" s="73">
        <f>VLOOKUP(Tabla6[[#This Row],[PG]],Listas2!H102:'Listas2'!$G$14:$K$16,4,0)</f>
        <v>0</v>
      </c>
      <c r="S97" s="73">
        <f>VLOOKUP(Tabla6[[#This Row],[PG]],Listas2!$G$14:$K$16,2,0)</f>
        <v>0</v>
      </c>
      <c r="T97" s="66" t="s">
        <v>84</v>
      </c>
      <c r="U97" s="74">
        <v>53</v>
      </c>
      <c r="V97" s="66">
        <v>530255</v>
      </c>
      <c r="W97" s="63" t="str">
        <f>VLOOKUP(Tabla6[[#This Row],[ÍTEM PRESUPUESTARIO]],Tabla2[#All],2,0)</f>
        <v>COMBUSTIBLES</v>
      </c>
      <c r="X97" s="57">
        <v>0</v>
      </c>
      <c r="Y97" s="57">
        <v>100</v>
      </c>
      <c r="Z97" s="58">
        <v>0</v>
      </c>
      <c r="AA97" s="58">
        <v>0</v>
      </c>
      <c r="AB97" s="58">
        <v>0</v>
      </c>
      <c r="AC97" s="58">
        <v>0</v>
      </c>
      <c r="AD97" s="58">
        <v>0</v>
      </c>
      <c r="AE97" s="58">
        <v>0</v>
      </c>
      <c r="AF97" s="58">
        <v>0</v>
      </c>
      <c r="AG97" s="58">
        <v>0</v>
      </c>
      <c r="AH97" s="58">
        <v>0</v>
      </c>
      <c r="AI97" s="58">
        <v>0</v>
      </c>
      <c r="AJ97" s="58">
        <v>0</v>
      </c>
      <c r="AK97" s="58">
        <v>100</v>
      </c>
      <c r="AL97" s="75">
        <f>+SUBTOTAL(9,Tabla6[[#This Row],[ENE]:[DIC]])</f>
        <v>100</v>
      </c>
      <c r="AM97" s="76" t="str">
        <f t="shared" si="1"/>
        <v>OK</v>
      </c>
      <c r="AN97" s="60">
        <v>100</v>
      </c>
      <c r="AO97" s="61">
        <f>+Tabla6[[#This Row],[PRESUPUESTO VIGENTE]]-Tabla6[[#This Row],[CERTIFICACIÓN PAPP]]</f>
        <v>0</v>
      </c>
      <c r="AP97" s="59">
        <v>0</v>
      </c>
    </row>
    <row r="98" spans="1:42" ht="93" customHeight="1" x14ac:dyDescent="0.25">
      <c r="A98" s="62" t="s">
        <v>78</v>
      </c>
      <c r="B98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98" s="64" t="s">
        <v>79</v>
      </c>
      <c r="D98" s="64" t="s">
        <v>80</v>
      </c>
      <c r="E98" s="64" t="s">
        <v>81</v>
      </c>
      <c r="F98" s="64" t="s">
        <v>82</v>
      </c>
      <c r="G98" s="64" t="s">
        <v>83</v>
      </c>
      <c r="H98" s="65" t="str">
        <f>VLOOKUP(Tabla6[[#This Row],[DIRECCIÓN]],DIRECCIÓN[#All],2,0)</f>
        <v>ADMINISTRACIÓN CENTRAL</v>
      </c>
      <c r="I98" s="66" t="s">
        <v>845</v>
      </c>
      <c r="J98" s="67">
        <v>1</v>
      </c>
      <c r="K98" s="68" t="str">
        <f>VLOOKUP(Tabla6[[#This Row],[DIRECCIÓN GENERAL / COORDINACIÓN / SUBDIRECCIÓN]],Tabla37[[#All],[Columna1]:[EOD]],2,0)</f>
        <v>266_0001</v>
      </c>
      <c r="L98" s="69">
        <f>VLOOKUP(Tabla6[[#This Row],[OBJETIVOS PND]],Listas!$A$1:$C$3,3,0)</f>
        <v>1</v>
      </c>
      <c r="M98" s="70">
        <f>VLOOKUP(Tabla6[[#This Row],[PG]],Listas2!$G$14:$K$16,5,0)</f>
        <v>0</v>
      </c>
      <c r="N98" s="71">
        <v>1</v>
      </c>
      <c r="O98" s="72">
        <v>801</v>
      </c>
      <c r="P98" s="73" t="str">
        <f>VLOOKUP(Tabla6[[#This Row],[GEO]],Listas!$A$48:$B$77,2,0)</f>
        <v>ESMERALDAS</v>
      </c>
      <c r="Q98" s="70">
        <f>VLOOKUP(Tabla6[[#This Row],[PG]],Listas2!$G$14:$K$16,3,0)</f>
        <v>1</v>
      </c>
      <c r="R98" s="73">
        <f>VLOOKUP(Tabla6[[#This Row],[PG]],Listas2!H103:'Listas2'!$G$14:$K$16,4,0)</f>
        <v>0</v>
      </c>
      <c r="S98" s="73">
        <f>VLOOKUP(Tabla6[[#This Row],[PG]],Listas2!$G$14:$K$16,2,0)</f>
        <v>0</v>
      </c>
      <c r="T98" s="66" t="s">
        <v>84</v>
      </c>
      <c r="U98" s="74">
        <v>53</v>
      </c>
      <c r="V98" s="66">
        <v>530255</v>
      </c>
      <c r="W98" s="63" t="str">
        <f>VLOOKUP(Tabla6[[#This Row],[ÍTEM PRESUPUESTARIO]],Tabla2[#All],2,0)</f>
        <v>COMBUSTIBLES</v>
      </c>
      <c r="X98" s="57">
        <v>0</v>
      </c>
      <c r="Y98" s="57">
        <f>3500-187.5-187.5</f>
        <v>3125</v>
      </c>
      <c r="Z98" s="58">
        <v>0</v>
      </c>
      <c r="AA98" s="58">
        <v>0</v>
      </c>
      <c r="AB98" s="58">
        <v>350</v>
      </c>
      <c r="AC98" s="58">
        <v>350</v>
      </c>
      <c r="AD98" s="58">
        <v>350</v>
      </c>
      <c r="AE98" s="58">
        <v>350</v>
      </c>
      <c r="AF98" s="58">
        <v>350</v>
      </c>
      <c r="AG98" s="58">
        <v>350</v>
      </c>
      <c r="AH98" s="58">
        <v>350</v>
      </c>
      <c r="AI98" s="58">
        <v>350</v>
      </c>
      <c r="AJ98" s="58">
        <v>325</v>
      </c>
      <c r="AK98" s="58">
        <v>0</v>
      </c>
      <c r="AL98" s="75">
        <f>+SUBTOTAL(9,Tabla6[[#This Row],[ENE]:[DIC]])</f>
        <v>3125</v>
      </c>
      <c r="AM98" s="76" t="str">
        <f t="shared" si="1"/>
        <v>OK</v>
      </c>
      <c r="AN98" s="60">
        <v>3125</v>
      </c>
      <c r="AO98" s="61">
        <f>+Tabla6[[#This Row],[PRESUPUESTO VIGENTE]]-Tabla6[[#This Row],[CERTIFICACIÓN PAPP]]</f>
        <v>0</v>
      </c>
      <c r="AP98" s="59">
        <v>0</v>
      </c>
    </row>
    <row r="99" spans="1:42" ht="93" customHeight="1" x14ac:dyDescent="0.25">
      <c r="A99" s="62" t="s">
        <v>78</v>
      </c>
      <c r="B99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99" s="64" t="s">
        <v>79</v>
      </c>
      <c r="D99" s="64" t="s">
        <v>80</v>
      </c>
      <c r="E99" s="64" t="s">
        <v>81</v>
      </c>
      <c r="F99" s="64" t="s">
        <v>82</v>
      </c>
      <c r="G99" s="64" t="s">
        <v>83</v>
      </c>
      <c r="H99" s="65" t="str">
        <f>VLOOKUP(Tabla6[[#This Row],[DIRECCIÓN]],DIRECCIÓN[#All],2,0)</f>
        <v>ADMINISTRACIÓN CENTRAL</v>
      </c>
      <c r="I99" s="66" t="s">
        <v>799</v>
      </c>
      <c r="J99" s="67">
        <v>1</v>
      </c>
      <c r="K99" s="68" t="str">
        <f>VLOOKUP(Tabla6[[#This Row],[DIRECCIÓN GENERAL / COORDINACIÓN / SUBDIRECCIÓN]],Tabla37[[#All],[Columna1]:[EOD]],2,0)</f>
        <v>266_0001</v>
      </c>
      <c r="L99" s="69">
        <f>VLOOKUP(Tabla6[[#This Row],[OBJETIVOS PND]],Listas!$A$1:$C$3,3,0)</f>
        <v>1</v>
      </c>
      <c r="M99" s="70">
        <f>VLOOKUP(Tabla6[[#This Row],[PG]],Listas2!$G$14:$K$16,5,0)</f>
        <v>0</v>
      </c>
      <c r="N99" s="71">
        <v>1</v>
      </c>
      <c r="O99" s="72">
        <v>801</v>
      </c>
      <c r="P99" s="73" t="str">
        <f>VLOOKUP(Tabla6[[#This Row],[GEO]],Listas!$A$48:$B$77,2,0)</f>
        <v>ESMERALDAS</v>
      </c>
      <c r="Q99" s="70">
        <f>VLOOKUP(Tabla6[[#This Row],[PG]],Listas2!$G$14:$K$16,3,0)</f>
        <v>1</v>
      </c>
      <c r="R99" s="73">
        <f>VLOOKUP(Tabla6[[#This Row],[PG]],Listas2!H104:'Listas2'!$G$14:$K$16,4,0)</f>
        <v>0</v>
      </c>
      <c r="S99" s="73">
        <f>VLOOKUP(Tabla6[[#This Row],[PG]],Listas2!$G$14:$K$16,2,0)</f>
        <v>0</v>
      </c>
      <c r="T99" s="66" t="s">
        <v>84</v>
      </c>
      <c r="U99" s="74">
        <v>53</v>
      </c>
      <c r="V99" s="66">
        <v>530301</v>
      </c>
      <c r="W99" s="63" t="str">
        <f>VLOOKUP(Tabla6[[#This Row],[ÍTEM PRESUPUESTARIO]],Tabla2[#All],2,0)</f>
        <v>PASAJES AL INTERIOR</v>
      </c>
      <c r="X99" s="57">
        <v>150</v>
      </c>
      <c r="Y99" s="57">
        <f>150+60</f>
        <v>210</v>
      </c>
      <c r="Z99" s="58">
        <v>0</v>
      </c>
      <c r="AA99" s="58">
        <v>0</v>
      </c>
      <c r="AB99" s="58">
        <v>0</v>
      </c>
      <c r="AC99" s="58">
        <v>0</v>
      </c>
      <c r="AD99" s="58">
        <v>0</v>
      </c>
      <c r="AE99" s="58">
        <v>0</v>
      </c>
      <c r="AF99" s="58">
        <v>0</v>
      </c>
      <c r="AG99" s="58">
        <v>0</v>
      </c>
      <c r="AH99" s="58">
        <v>0</v>
      </c>
      <c r="AI99" s="58">
        <v>0</v>
      </c>
      <c r="AJ99" s="58">
        <v>0</v>
      </c>
      <c r="AK99" s="58">
        <v>210</v>
      </c>
      <c r="AL99" s="75">
        <f>+SUBTOTAL(9,Tabla6[[#This Row],[ENE]:[DIC]])</f>
        <v>210</v>
      </c>
      <c r="AM99" s="76" t="str">
        <f t="shared" si="1"/>
        <v>OK</v>
      </c>
      <c r="AN99" s="60">
        <v>210</v>
      </c>
      <c r="AO99" s="61">
        <f>+Tabla6[[#This Row],[PRESUPUESTO VIGENTE]]-Tabla6[[#This Row],[CERTIFICACIÓN PAPP]]</f>
        <v>0</v>
      </c>
      <c r="AP99" s="59">
        <v>0</v>
      </c>
    </row>
    <row r="100" spans="1:42" ht="93" customHeight="1" x14ac:dyDescent="0.25">
      <c r="A100" s="62" t="s">
        <v>78</v>
      </c>
      <c r="B100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00" s="64" t="s">
        <v>79</v>
      </c>
      <c r="D100" s="64" t="s">
        <v>80</v>
      </c>
      <c r="E100" s="64" t="s">
        <v>81</v>
      </c>
      <c r="F100" s="64" t="s">
        <v>82</v>
      </c>
      <c r="G100" s="64" t="s">
        <v>83</v>
      </c>
      <c r="H100" s="65" t="str">
        <f>VLOOKUP(Tabla6[[#This Row],[DIRECCIÓN]],DIRECCIÓN[#All],2,0)</f>
        <v>ADMINISTRACIÓN CENTRAL</v>
      </c>
      <c r="I100" s="66" t="s">
        <v>846</v>
      </c>
      <c r="J100" s="67">
        <v>1</v>
      </c>
      <c r="K100" s="68" t="str">
        <f>VLOOKUP(Tabla6[[#This Row],[DIRECCIÓN GENERAL / COORDINACIÓN / SUBDIRECCIÓN]],Tabla37[[#All],[Columna1]:[EOD]],2,0)</f>
        <v>266_0001</v>
      </c>
      <c r="L100" s="69">
        <f>VLOOKUP(Tabla6[[#This Row],[OBJETIVOS PND]],Listas!$A$1:$C$3,3,0)</f>
        <v>1</v>
      </c>
      <c r="M100" s="70">
        <f>VLOOKUP(Tabla6[[#This Row],[PG]],Listas2!$G$14:$K$16,5,0)</f>
        <v>0</v>
      </c>
      <c r="N100" s="71">
        <v>1</v>
      </c>
      <c r="O100" s="72">
        <v>801</v>
      </c>
      <c r="P100" s="73" t="str">
        <f>VLOOKUP(Tabla6[[#This Row],[GEO]],Listas!$A$48:$B$77,2,0)</f>
        <v>ESMERALDAS</v>
      </c>
      <c r="Q100" s="70">
        <f>VLOOKUP(Tabla6[[#This Row],[PG]],Listas2!$G$14:$K$16,3,0)</f>
        <v>1</v>
      </c>
      <c r="R100" s="73">
        <f>VLOOKUP(Tabla6[[#This Row],[PG]],Listas2!H105:'Listas2'!$G$14:$K$16,4,0)</f>
        <v>0</v>
      </c>
      <c r="S100" s="73">
        <f>VLOOKUP(Tabla6[[#This Row],[PG]],Listas2!$G$14:$K$16,2,0)</f>
        <v>0</v>
      </c>
      <c r="T100" s="66" t="s">
        <v>84</v>
      </c>
      <c r="U100" s="74">
        <v>53</v>
      </c>
      <c r="V100" s="66">
        <v>530303</v>
      </c>
      <c r="W100" s="63" t="str">
        <f>VLOOKUP(Tabla6[[#This Row],[ÍTEM PRESUPUESTARIO]],Tabla2[#All],2,0)</f>
        <v>VIÁTICOS Y SUBSISTENCIAS EN EL INTERIOR</v>
      </c>
      <c r="X100" s="57">
        <v>1500</v>
      </c>
      <c r="Y100" s="57">
        <f>1500+2260-2.81+500</f>
        <v>4257.1900000000005</v>
      </c>
      <c r="Z100" s="58">
        <v>0</v>
      </c>
      <c r="AA100" s="58">
        <v>0</v>
      </c>
      <c r="AB100" s="58">
        <v>0</v>
      </c>
      <c r="AC100" s="58">
        <v>0</v>
      </c>
      <c r="AD100" s="58">
        <v>0</v>
      </c>
      <c r="AE100" s="58">
        <v>0</v>
      </c>
      <c r="AF100" s="58">
        <v>0</v>
      </c>
      <c r="AG100" s="58">
        <v>0</v>
      </c>
      <c r="AH100" s="58">
        <v>0</v>
      </c>
      <c r="AI100" s="58">
        <v>0</v>
      </c>
      <c r="AJ100" s="58">
        <v>0</v>
      </c>
      <c r="AK100" s="58">
        <v>4257.1900000000005</v>
      </c>
      <c r="AL100" s="75">
        <f>+SUBTOTAL(9,Tabla6[[#This Row],[ENE]:[DIC]])</f>
        <v>4257.1900000000005</v>
      </c>
      <c r="AM100" s="76" t="str">
        <f t="shared" si="1"/>
        <v>OK</v>
      </c>
      <c r="AN100" s="60">
        <v>4257.1899999999996</v>
      </c>
      <c r="AO100" s="61">
        <f>+Tabla6[[#This Row],[PRESUPUESTO VIGENTE]]-Tabla6[[#This Row],[CERTIFICACIÓN PAPP]]</f>
        <v>0</v>
      </c>
      <c r="AP100" s="59">
        <v>0</v>
      </c>
    </row>
    <row r="101" spans="1:42" ht="93" customHeight="1" x14ac:dyDescent="0.25">
      <c r="A101" s="62" t="s">
        <v>78</v>
      </c>
      <c r="B101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01" s="64" t="s">
        <v>79</v>
      </c>
      <c r="D101" s="64" t="s">
        <v>80</v>
      </c>
      <c r="E101" s="64" t="s">
        <v>81</v>
      </c>
      <c r="F101" s="64" t="s">
        <v>82</v>
      </c>
      <c r="G101" s="64" t="s">
        <v>83</v>
      </c>
      <c r="H101" s="65" t="str">
        <f>VLOOKUP(Tabla6[[#This Row],[DIRECCIÓN]],DIRECCIÓN[#All],2,0)</f>
        <v>ADMINISTRACIÓN CENTRAL</v>
      </c>
      <c r="I101" s="66" t="s">
        <v>847</v>
      </c>
      <c r="J101" s="67">
        <v>1</v>
      </c>
      <c r="K101" s="68" t="str">
        <f>VLOOKUP(Tabla6[[#This Row],[DIRECCIÓN GENERAL / COORDINACIÓN / SUBDIRECCIÓN]],Tabla37[[#All],[Columna1]:[EOD]],2,0)</f>
        <v>266_0001</v>
      </c>
      <c r="L101" s="69">
        <f>VLOOKUP(Tabla6[[#This Row],[OBJETIVOS PND]],Listas!$A$1:$C$3,3,0)</f>
        <v>1</v>
      </c>
      <c r="M101" s="70">
        <f>VLOOKUP(Tabla6[[#This Row],[PG]],Listas2!$G$14:$K$16,5,0)</f>
        <v>0</v>
      </c>
      <c r="N101" s="71">
        <v>1</v>
      </c>
      <c r="O101" s="72">
        <v>801</v>
      </c>
      <c r="P101" s="73" t="str">
        <f>VLOOKUP(Tabla6[[#This Row],[GEO]],Listas!$A$48:$B$77,2,0)</f>
        <v>ESMERALDAS</v>
      </c>
      <c r="Q101" s="70">
        <f>VLOOKUP(Tabla6[[#This Row],[PG]],Listas2!$G$14:$K$16,3,0)</f>
        <v>1</v>
      </c>
      <c r="R101" s="73">
        <f>VLOOKUP(Tabla6[[#This Row],[PG]],Listas2!H106:'Listas2'!$G$14:$K$16,4,0)</f>
        <v>0</v>
      </c>
      <c r="S101" s="73">
        <f>VLOOKUP(Tabla6[[#This Row],[PG]],Listas2!$G$14:$K$16,2,0)</f>
        <v>0</v>
      </c>
      <c r="T101" s="66" t="s">
        <v>84</v>
      </c>
      <c r="U101" s="74">
        <v>53</v>
      </c>
      <c r="V101" s="66">
        <v>530402</v>
      </c>
      <c r="W101" s="63" t="str">
        <f>VLOOKUP(Tabla6[[#This Row],[ÍTEM PRESUPUESTARIO]],Tabla2[#All],2,0)</f>
        <v>EDIFICIOS, LOCALES, RESIDENCIAS Y CABLEADO ESTRUCTURADO (INSTALACIÓN, MANTENIMIENTO Y REPARACIÓN)</v>
      </c>
      <c r="X101" s="57">
        <v>6000</v>
      </c>
      <c r="Y101" s="57">
        <f>6000-1900-2058.4+920-778.41</f>
        <v>2183.19</v>
      </c>
      <c r="Z101" s="58">
        <v>0</v>
      </c>
      <c r="AA101" s="58">
        <v>0</v>
      </c>
      <c r="AB101" s="58">
        <v>0</v>
      </c>
      <c r="AC101" s="58">
        <v>0</v>
      </c>
      <c r="AD101" s="58">
        <v>0</v>
      </c>
      <c r="AE101" s="58">
        <v>0</v>
      </c>
      <c r="AF101" s="58">
        <v>0</v>
      </c>
      <c r="AG101" s="58">
        <v>0</v>
      </c>
      <c r="AH101" s="58">
        <v>2183.19</v>
      </c>
      <c r="AI101" s="58">
        <v>0</v>
      </c>
      <c r="AJ101" s="58">
        <v>0</v>
      </c>
      <c r="AK101" s="58">
        <v>0</v>
      </c>
      <c r="AL101" s="75">
        <f>+SUBTOTAL(9,Tabla6[[#This Row],[ENE]:[DIC]])</f>
        <v>2183.19</v>
      </c>
      <c r="AM101" s="76" t="str">
        <f t="shared" si="1"/>
        <v>OK</v>
      </c>
      <c r="AN101" s="60">
        <v>2183.19</v>
      </c>
      <c r="AO101" s="61">
        <f>+Tabla6[[#This Row],[PRESUPUESTO VIGENTE]]-Tabla6[[#This Row],[CERTIFICACIÓN PAPP]]</f>
        <v>0</v>
      </c>
      <c r="AP101" s="59" t="s">
        <v>87</v>
      </c>
    </row>
    <row r="102" spans="1:42" ht="93" customHeight="1" x14ac:dyDescent="0.25">
      <c r="A102" s="62" t="s">
        <v>78</v>
      </c>
      <c r="B102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02" s="64" t="s">
        <v>79</v>
      </c>
      <c r="D102" s="64" t="s">
        <v>80</v>
      </c>
      <c r="E102" s="64" t="s">
        <v>81</v>
      </c>
      <c r="F102" s="64" t="s">
        <v>82</v>
      </c>
      <c r="G102" s="64" t="s">
        <v>83</v>
      </c>
      <c r="H102" s="65" t="str">
        <f>VLOOKUP(Tabla6[[#This Row],[DIRECCIÓN]],DIRECCIÓN[#All],2,0)</f>
        <v>ADMINISTRACIÓN CENTRAL</v>
      </c>
      <c r="I102" s="66" t="s">
        <v>848</v>
      </c>
      <c r="J102" s="67">
        <v>1</v>
      </c>
      <c r="K102" s="68" t="str">
        <f>VLOOKUP(Tabla6[[#This Row],[DIRECCIÓN GENERAL / COORDINACIÓN / SUBDIRECCIÓN]],Tabla37[[#All],[Columna1]:[EOD]],2,0)</f>
        <v>266_0001</v>
      </c>
      <c r="L102" s="69">
        <f>VLOOKUP(Tabla6[[#This Row],[OBJETIVOS PND]],Listas!$A$1:$C$3,3,0)</f>
        <v>1</v>
      </c>
      <c r="M102" s="70">
        <f>VLOOKUP(Tabla6[[#This Row],[PG]],Listas2!$G$14:$K$16,5,0)</f>
        <v>0</v>
      </c>
      <c r="N102" s="71">
        <v>1</v>
      </c>
      <c r="O102" s="72">
        <v>801</v>
      </c>
      <c r="P102" s="73" t="str">
        <f>VLOOKUP(Tabla6[[#This Row],[GEO]],Listas!$A$48:$B$77,2,0)</f>
        <v>ESMERALDAS</v>
      </c>
      <c r="Q102" s="70">
        <f>VLOOKUP(Tabla6[[#This Row],[PG]],Listas2!$G$14:$K$16,3,0)</f>
        <v>1</v>
      </c>
      <c r="R102" s="73">
        <f>VLOOKUP(Tabla6[[#This Row],[PG]],Listas2!H107:'Listas2'!$G$14:$K$16,4,0)</f>
        <v>0</v>
      </c>
      <c r="S102" s="73">
        <f>VLOOKUP(Tabla6[[#This Row],[PG]],Listas2!$G$14:$K$16,2,0)</f>
        <v>0</v>
      </c>
      <c r="T102" s="66" t="s">
        <v>84</v>
      </c>
      <c r="U102" s="74">
        <v>53</v>
      </c>
      <c r="V102" s="66">
        <v>530402</v>
      </c>
      <c r="W102" s="63" t="str">
        <f>VLOOKUP(Tabla6[[#This Row],[ÍTEM PRESUPUESTARIO]],Tabla2[#All],2,0)</f>
        <v>EDIFICIOS, LOCALES, RESIDENCIAS Y CABLEADO ESTRUCTURADO (INSTALACIÓN, MANTENIMIENTO Y REPARACIÓN)</v>
      </c>
      <c r="X102" s="57">
        <v>20000</v>
      </c>
      <c r="Y102" s="57">
        <f>20000-2200-2260-15540</f>
        <v>0</v>
      </c>
      <c r="Z102" s="58">
        <v>0</v>
      </c>
      <c r="AA102" s="58">
        <v>0</v>
      </c>
      <c r="AB102" s="58">
        <v>0</v>
      </c>
      <c r="AC102" s="58">
        <v>0</v>
      </c>
      <c r="AD102" s="58">
        <v>0</v>
      </c>
      <c r="AE102" s="58">
        <v>0</v>
      </c>
      <c r="AF102" s="58">
        <v>0</v>
      </c>
      <c r="AG102" s="58">
        <v>0</v>
      </c>
      <c r="AH102" s="58">
        <v>0</v>
      </c>
      <c r="AI102" s="58">
        <v>0</v>
      </c>
      <c r="AJ102" s="58">
        <v>0</v>
      </c>
      <c r="AK102" s="58">
        <v>0</v>
      </c>
      <c r="AL102" s="75">
        <f>+SUBTOTAL(9,Tabla6[[#This Row],[ENE]:[DIC]])</f>
        <v>0</v>
      </c>
      <c r="AM102" s="76" t="str">
        <f t="shared" si="1"/>
        <v>OK</v>
      </c>
      <c r="AN102" s="60">
        <v>0</v>
      </c>
      <c r="AO102" s="61">
        <f>+Tabla6[[#This Row],[PRESUPUESTO VIGENTE]]-Tabla6[[#This Row],[CERTIFICACIÓN PAPP]]</f>
        <v>0</v>
      </c>
      <c r="AP102" s="59" t="s">
        <v>87</v>
      </c>
    </row>
    <row r="103" spans="1:42" ht="93" customHeight="1" x14ac:dyDescent="0.25">
      <c r="A103" s="62" t="s">
        <v>78</v>
      </c>
      <c r="B103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03" s="64" t="s">
        <v>79</v>
      </c>
      <c r="D103" s="64" t="s">
        <v>80</v>
      </c>
      <c r="E103" s="64" t="s">
        <v>81</v>
      </c>
      <c r="F103" s="64" t="s">
        <v>82</v>
      </c>
      <c r="G103" s="64" t="s">
        <v>83</v>
      </c>
      <c r="H103" s="65" t="str">
        <f>VLOOKUP(Tabla6[[#This Row],[DIRECCIÓN]],DIRECCIÓN[#All],2,0)</f>
        <v>ADMINISTRACIÓN CENTRAL</v>
      </c>
      <c r="I103" s="66" t="s">
        <v>849</v>
      </c>
      <c r="J103" s="67">
        <v>2</v>
      </c>
      <c r="K103" s="68" t="str">
        <f>VLOOKUP(Tabla6[[#This Row],[DIRECCIÓN GENERAL / COORDINACIÓN / SUBDIRECCIÓN]],Tabla37[[#All],[Columna1]:[EOD]],2,0)</f>
        <v>266_0001</v>
      </c>
      <c r="L103" s="69">
        <f>VLOOKUP(Tabla6[[#This Row],[OBJETIVOS PND]],Listas!$A$1:$C$3,3,0)</f>
        <v>1</v>
      </c>
      <c r="M103" s="70">
        <f>VLOOKUP(Tabla6[[#This Row],[PG]],Listas2!$G$14:$K$16,5,0)</f>
        <v>0</v>
      </c>
      <c r="N103" s="71">
        <v>1</v>
      </c>
      <c r="O103" s="72">
        <v>801</v>
      </c>
      <c r="P103" s="73" t="str">
        <f>VLOOKUP(Tabla6[[#This Row],[GEO]],Listas!$A$48:$B$77,2,0)</f>
        <v>ESMERALDAS</v>
      </c>
      <c r="Q103" s="70">
        <f>VLOOKUP(Tabla6[[#This Row],[PG]],Listas2!$G$14:$K$16,3,0)</f>
        <v>1</v>
      </c>
      <c r="R103" s="73">
        <f>VLOOKUP(Tabla6[[#This Row],[PG]],Listas2!H108:'Listas2'!$G$14:$K$16,4,0)</f>
        <v>0</v>
      </c>
      <c r="S103" s="73">
        <f>VLOOKUP(Tabla6[[#This Row],[PG]],Listas2!$G$14:$K$16,2,0)</f>
        <v>0</v>
      </c>
      <c r="T103" s="66" t="s">
        <v>84</v>
      </c>
      <c r="U103" s="74">
        <v>53</v>
      </c>
      <c r="V103" s="66">
        <v>530402</v>
      </c>
      <c r="W103" s="63" t="str">
        <f>VLOOKUP(Tabla6[[#This Row],[ÍTEM PRESUPUESTARIO]],Tabla2[#All],2,0)</f>
        <v>EDIFICIOS, LOCALES, RESIDENCIAS Y CABLEADO ESTRUCTURADO (INSTALACIÓN, MANTENIMIENTO Y REPARACIÓN)</v>
      </c>
      <c r="X103" s="57">
        <v>0</v>
      </c>
      <c r="Y103" s="57">
        <f>2200-2200</f>
        <v>0</v>
      </c>
      <c r="Z103" s="58">
        <v>0</v>
      </c>
      <c r="AA103" s="58">
        <v>0</v>
      </c>
      <c r="AB103" s="58">
        <v>0</v>
      </c>
      <c r="AC103" s="58">
        <v>0</v>
      </c>
      <c r="AD103" s="58">
        <v>0</v>
      </c>
      <c r="AE103" s="58">
        <v>0</v>
      </c>
      <c r="AF103" s="58">
        <v>0</v>
      </c>
      <c r="AG103" s="58">
        <v>0</v>
      </c>
      <c r="AH103" s="58">
        <v>0</v>
      </c>
      <c r="AI103" s="58">
        <v>0</v>
      </c>
      <c r="AJ103" s="58">
        <v>0</v>
      </c>
      <c r="AK103" s="58">
        <v>0</v>
      </c>
      <c r="AL103" s="75">
        <f>+SUBTOTAL(9,Tabla6[[#This Row],[ENE]:[DIC]])</f>
        <v>0</v>
      </c>
      <c r="AM103" s="76" t="str">
        <f t="shared" si="1"/>
        <v>OK</v>
      </c>
      <c r="AN103" s="60">
        <v>0</v>
      </c>
      <c r="AO103" s="61">
        <f>+Tabla6[[#This Row],[PRESUPUESTO VIGENTE]]-Tabla6[[#This Row],[CERTIFICACIÓN PAPP]]</f>
        <v>0</v>
      </c>
      <c r="AP103" s="59" t="s">
        <v>87</v>
      </c>
    </row>
    <row r="104" spans="1:42" ht="93" customHeight="1" x14ac:dyDescent="0.25">
      <c r="A104" s="62" t="s">
        <v>78</v>
      </c>
      <c r="B104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04" s="64" t="s">
        <v>79</v>
      </c>
      <c r="D104" s="64" t="s">
        <v>80</v>
      </c>
      <c r="E104" s="64" t="s">
        <v>81</v>
      </c>
      <c r="F104" s="64" t="s">
        <v>82</v>
      </c>
      <c r="G104" s="64" t="s">
        <v>83</v>
      </c>
      <c r="H104" s="65" t="str">
        <f>VLOOKUP(Tabla6[[#This Row],[DIRECCIÓN]],DIRECCIÓN[#All],2,0)</f>
        <v>ADMINISTRACIÓN CENTRAL</v>
      </c>
      <c r="I104" s="66" t="s">
        <v>850</v>
      </c>
      <c r="J104" s="67">
        <v>1</v>
      </c>
      <c r="K104" s="68" t="str">
        <f>VLOOKUP(Tabla6[[#This Row],[DIRECCIÓN GENERAL / COORDINACIÓN / SUBDIRECCIÓN]],Tabla37[[#All],[Columna1]:[EOD]],2,0)</f>
        <v>266_0001</v>
      </c>
      <c r="L104" s="69">
        <f>VLOOKUP(Tabla6[[#This Row],[OBJETIVOS PND]],Listas!$A$1:$C$3,3,0)</f>
        <v>1</v>
      </c>
      <c r="M104" s="70">
        <f>VLOOKUP(Tabla6[[#This Row],[PG]],Listas2!$G$14:$K$16,5,0)</f>
        <v>0</v>
      </c>
      <c r="N104" s="71">
        <v>1</v>
      </c>
      <c r="O104" s="72">
        <v>801</v>
      </c>
      <c r="P104" s="73" t="str">
        <f>VLOOKUP(Tabla6[[#This Row],[GEO]],Listas!$A$48:$B$77,2,0)</f>
        <v>ESMERALDAS</v>
      </c>
      <c r="Q104" s="70">
        <f>VLOOKUP(Tabla6[[#This Row],[PG]],Listas2!$G$14:$K$16,3,0)</f>
        <v>1</v>
      </c>
      <c r="R104" s="73">
        <f>VLOOKUP(Tabla6[[#This Row],[PG]],Listas2!H109:'Listas2'!$G$14:$K$16,4,0)</f>
        <v>0</v>
      </c>
      <c r="S104" s="73">
        <f>VLOOKUP(Tabla6[[#This Row],[PG]],Listas2!$G$14:$K$16,2,0)</f>
        <v>0</v>
      </c>
      <c r="T104" s="66" t="s">
        <v>84</v>
      </c>
      <c r="U104" s="74">
        <v>53</v>
      </c>
      <c r="V104" s="66">
        <v>530404</v>
      </c>
      <c r="W104" s="63" t="str">
        <f>VLOOKUP(Tabla6[[#This Row],[ÍTEM PRESUPUESTARIO]],Tabla2[#All],2,0)</f>
        <v>MAQUINARIAS Y EQUIPOS (INSTALACIÓN, MANTENIMIENTO Y REPARACIÓN)</v>
      </c>
      <c r="X104" s="57">
        <v>4524</v>
      </c>
      <c r="Y104" s="57">
        <f>4524-2551.63-383.37-294.5-294.5</f>
        <v>1000</v>
      </c>
      <c r="Z104" s="58">
        <v>0</v>
      </c>
      <c r="AA104" s="58">
        <v>0</v>
      </c>
      <c r="AB104" s="58">
        <v>0</v>
      </c>
      <c r="AC104" s="58">
        <v>0</v>
      </c>
      <c r="AD104" s="58">
        <v>200</v>
      </c>
      <c r="AE104" s="58">
        <v>200</v>
      </c>
      <c r="AF104" s="58">
        <v>0</v>
      </c>
      <c r="AG104" s="58">
        <v>200</v>
      </c>
      <c r="AH104" s="58">
        <v>0</v>
      </c>
      <c r="AI104" s="58">
        <v>200</v>
      </c>
      <c r="AJ104" s="58">
        <v>0</v>
      </c>
      <c r="AK104" s="58">
        <v>200</v>
      </c>
      <c r="AL104" s="75">
        <f>+SUBTOTAL(9,Tabla6[[#This Row],[ENE]:[DIC]])</f>
        <v>1000</v>
      </c>
      <c r="AM104" s="76" t="str">
        <f t="shared" si="1"/>
        <v>OK</v>
      </c>
      <c r="AN104" s="60">
        <v>1000</v>
      </c>
      <c r="AO104" s="61">
        <f>+Tabla6[[#This Row],[PRESUPUESTO VIGENTE]]-Tabla6[[#This Row],[CERTIFICACIÓN PAPP]]</f>
        <v>0</v>
      </c>
      <c r="AP104" s="59" t="s">
        <v>87</v>
      </c>
    </row>
    <row r="105" spans="1:42" ht="93" customHeight="1" x14ac:dyDescent="0.25">
      <c r="A105" s="62" t="s">
        <v>78</v>
      </c>
      <c r="B105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05" s="64" t="s">
        <v>79</v>
      </c>
      <c r="D105" s="64" t="s">
        <v>80</v>
      </c>
      <c r="E105" s="64" t="s">
        <v>81</v>
      </c>
      <c r="F105" s="64" t="s">
        <v>82</v>
      </c>
      <c r="G105" s="64" t="s">
        <v>83</v>
      </c>
      <c r="H105" s="65" t="str">
        <f>VLOOKUP(Tabla6[[#This Row],[DIRECCIÓN]],DIRECCIÓN[#All],2,0)</f>
        <v>ADMINISTRACIÓN CENTRAL</v>
      </c>
      <c r="I105" s="66" t="s">
        <v>851</v>
      </c>
      <c r="J105" s="67">
        <v>1</v>
      </c>
      <c r="K105" s="68" t="str">
        <f>VLOOKUP(Tabla6[[#This Row],[DIRECCIÓN GENERAL / COORDINACIÓN / SUBDIRECCIÓN]],Tabla37[[#All],[Columna1]:[EOD]],2,0)</f>
        <v>266_0001</v>
      </c>
      <c r="L105" s="69">
        <f>VLOOKUP(Tabla6[[#This Row],[OBJETIVOS PND]],Listas!$A$1:$C$3,3,0)</f>
        <v>1</v>
      </c>
      <c r="M105" s="70">
        <f>VLOOKUP(Tabla6[[#This Row],[PG]],Listas2!$G$14:$K$16,5,0)</f>
        <v>0</v>
      </c>
      <c r="N105" s="71">
        <v>1</v>
      </c>
      <c r="O105" s="72">
        <v>801</v>
      </c>
      <c r="P105" s="73" t="str">
        <f>VLOOKUP(Tabla6[[#This Row],[GEO]],Listas!$A$48:$B$77,2,0)</f>
        <v>ESMERALDAS</v>
      </c>
      <c r="Q105" s="70">
        <f>VLOOKUP(Tabla6[[#This Row],[PG]],Listas2!$G$14:$K$16,3,0)</f>
        <v>1</v>
      </c>
      <c r="R105" s="73">
        <f>VLOOKUP(Tabla6[[#This Row],[PG]],Listas2!H110:'Listas2'!$G$14:$K$16,4,0)</f>
        <v>0</v>
      </c>
      <c r="S105" s="73">
        <f>VLOOKUP(Tabla6[[#This Row],[PG]],Listas2!$G$14:$K$16,2,0)</f>
        <v>0</v>
      </c>
      <c r="T105" s="66" t="s">
        <v>84</v>
      </c>
      <c r="U105" s="74">
        <v>53</v>
      </c>
      <c r="V105" s="66">
        <v>530405</v>
      </c>
      <c r="W105" s="63" t="str">
        <f>VLOOKUP(Tabla6[[#This Row],[ÍTEM PRESUPUESTARIO]],Tabla2[#All],2,0)</f>
        <v>VEHÍCULOS (SERVICIO PARA MANTENIMIENTO Y REPARACIÓN)</v>
      </c>
      <c r="X105" s="57">
        <v>3246</v>
      </c>
      <c r="Y105" s="57">
        <f>3246-1060.5-5</f>
        <v>2180.5</v>
      </c>
      <c r="Z105" s="58">
        <v>0</v>
      </c>
      <c r="AA105" s="58">
        <v>0</v>
      </c>
      <c r="AB105" s="58">
        <v>0</v>
      </c>
      <c r="AC105" s="58">
        <v>437.1</v>
      </c>
      <c r="AD105" s="58">
        <v>0</v>
      </c>
      <c r="AE105" s="58">
        <v>437.1</v>
      </c>
      <c r="AF105" s="58">
        <v>0</v>
      </c>
      <c r="AG105" s="58">
        <v>437.1</v>
      </c>
      <c r="AH105" s="58">
        <v>0</v>
      </c>
      <c r="AI105" s="58">
        <v>437.1</v>
      </c>
      <c r="AJ105" s="58">
        <v>0</v>
      </c>
      <c r="AK105" s="58">
        <v>432.09999999999991</v>
      </c>
      <c r="AL105" s="75">
        <f>+SUBTOTAL(9,Tabla6[[#This Row],[ENE]:[DIC]])</f>
        <v>2180.5</v>
      </c>
      <c r="AM105" s="76" t="str">
        <f t="shared" si="1"/>
        <v>OK</v>
      </c>
      <c r="AN105" s="60">
        <v>2180.5</v>
      </c>
      <c r="AO105" s="61">
        <f>+Tabla6[[#This Row],[PRESUPUESTO VIGENTE]]-Tabla6[[#This Row],[CERTIFICACIÓN PAPP]]</f>
        <v>0</v>
      </c>
      <c r="AP105" s="59" t="s">
        <v>87</v>
      </c>
    </row>
    <row r="106" spans="1:42" ht="93" customHeight="1" x14ac:dyDescent="0.25">
      <c r="A106" s="62" t="s">
        <v>78</v>
      </c>
      <c r="B106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06" s="64" t="s">
        <v>79</v>
      </c>
      <c r="D106" s="64" t="s">
        <v>80</v>
      </c>
      <c r="E106" s="64" t="s">
        <v>81</v>
      </c>
      <c r="F106" s="64" t="s">
        <v>82</v>
      </c>
      <c r="G106" s="64" t="s">
        <v>83</v>
      </c>
      <c r="H106" s="65" t="str">
        <f>VLOOKUP(Tabla6[[#This Row],[DIRECCIÓN]],DIRECCIÓN[#All],2,0)</f>
        <v>ADMINISTRACIÓN CENTRAL</v>
      </c>
      <c r="I106" s="66" t="s">
        <v>852</v>
      </c>
      <c r="J106" s="67">
        <v>1</v>
      </c>
      <c r="K106" s="68" t="str">
        <f>VLOOKUP(Tabla6[[#This Row],[DIRECCIÓN GENERAL / COORDINACIÓN / SUBDIRECCIÓN]],Tabla37[[#All],[Columna1]:[EOD]],2,0)</f>
        <v>266_0001</v>
      </c>
      <c r="L106" s="69">
        <f>VLOOKUP(Tabla6[[#This Row],[OBJETIVOS PND]],Listas!$A$1:$C$3,3,0)</f>
        <v>1</v>
      </c>
      <c r="M106" s="70">
        <f>VLOOKUP(Tabla6[[#This Row],[PG]],Listas2!$G$14:$K$16,5,0)</f>
        <v>0</v>
      </c>
      <c r="N106" s="71">
        <v>1</v>
      </c>
      <c r="O106" s="72">
        <v>801</v>
      </c>
      <c r="P106" s="73" t="str">
        <f>VLOOKUP(Tabla6[[#This Row],[GEO]],Listas!$A$48:$B$77,2,0)</f>
        <v>ESMERALDAS</v>
      </c>
      <c r="Q106" s="70">
        <f>VLOOKUP(Tabla6[[#This Row],[PG]],Listas2!$G$14:$K$16,3,0)</f>
        <v>1</v>
      </c>
      <c r="R106" s="73">
        <f>VLOOKUP(Tabla6[[#This Row],[PG]],Listas2!H111:'Listas2'!$G$14:$K$16,4,0)</f>
        <v>0</v>
      </c>
      <c r="S106" s="73">
        <f>VLOOKUP(Tabla6[[#This Row],[PG]],Listas2!$G$14:$K$16,2,0)</f>
        <v>0</v>
      </c>
      <c r="T106" s="66" t="s">
        <v>84</v>
      </c>
      <c r="U106" s="74">
        <v>53</v>
      </c>
      <c r="V106" s="66">
        <v>530405</v>
      </c>
      <c r="W106" s="63" t="str">
        <f>VLOOKUP(Tabla6[[#This Row],[ÍTEM PRESUPUESTARIO]],Tabla2[#All],2,0)</f>
        <v>VEHÍCULOS (SERVICIO PARA MANTENIMIENTO Y REPARACIÓN)</v>
      </c>
      <c r="X106" s="57">
        <v>1000</v>
      </c>
      <c r="Y106" s="57">
        <f>1000-1000</f>
        <v>0</v>
      </c>
      <c r="Z106" s="58">
        <v>0</v>
      </c>
      <c r="AA106" s="58">
        <v>0</v>
      </c>
      <c r="AB106" s="58">
        <v>0</v>
      </c>
      <c r="AC106" s="58">
        <v>0</v>
      </c>
      <c r="AD106" s="58">
        <v>0</v>
      </c>
      <c r="AE106" s="58">
        <v>0</v>
      </c>
      <c r="AF106" s="58">
        <v>0</v>
      </c>
      <c r="AG106" s="58">
        <v>0</v>
      </c>
      <c r="AH106" s="58">
        <v>0</v>
      </c>
      <c r="AI106" s="58">
        <v>0</v>
      </c>
      <c r="AJ106" s="58">
        <v>0</v>
      </c>
      <c r="AK106" s="58">
        <v>0</v>
      </c>
      <c r="AL106" s="75">
        <f>+SUBTOTAL(9,Tabla6[[#This Row],[ENE]:[DIC]])</f>
        <v>0</v>
      </c>
      <c r="AM106" s="76" t="str">
        <f t="shared" si="1"/>
        <v>OK</v>
      </c>
      <c r="AN106" s="60">
        <v>0</v>
      </c>
      <c r="AO106" s="61">
        <f>+Tabla6[[#This Row],[PRESUPUESTO VIGENTE]]-Tabla6[[#This Row],[CERTIFICACIÓN PAPP]]</f>
        <v>0</v>
      </c>
      <c r="AP106" s="59">
        <v>0</v>
      </c>
    </row>
    <row r="107" spans="1:42" ht="93" customHeight="1" x14ac:dyDescent="0.25">
      <c r="A107" s="62" t="s">
        <v>78</v>
      </c>
      <c r="B107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07" s="64" t="s">
        <v>79</v>
      </c>
      <c r="D107" s="64" t="s">
        <v>80</v>
      </c>
      <c r="E107" s="64" t="s">
        <v>81</v>
      </c>
      <c r="F107" s="64" t="s">
        <v>82</v>
      </c>
      <c r="G107" s="64" t="s">
        <v>83</v>
      </c>
      <c r="H107" s="65" t="str">
        <f>VLOOKUP(Tabla6[[#This Row],[DIRECCIÓN]],DIRECCIÓN[#All],2,0)</f>
        <v>ADMINISTRACIÓN CENTRAL</v>
      </c>
      <c r="I107" s="66" t="s">
        <v>853</v>
      </c>
      <c r="J107" s="67">
        <v>1</v>
      </c>
      <c r="K107" s="68" t="str">
        <f>VLOOKUP(Tabla6[[#This Row],[DIRECCIÓN GENERAL / COORDINACIÓN / SUBDIRECCIÓN]],Tabla37[[#All],[Columna1]:[EOD]],2,0)</f>
        <v>266_0001</v>
      </c>
      <c r="L107" s="69">
        <f>VLOOKUP(Tabla6[[#This Row],[OBJETIVOS PND]],Listas!$A$1:$C$3,3,0)</f>
        <v>1</v>
      </c>
      <c r="M107" s="70">
        <f>VLOOKUP(Tabla6[[#This Row],[PG]],Listas2!$G$14:$K$16,5,0)</f>
        <v>0</v>
      </c>
      <c r="N107" s="71">
        <v>1</v>
      </c>
      <c r="O107" s="72">
        <v>801</v>
      </c>
      <c r="P107" s="73" t="str">
        <f>VLOOKUP(Tabla6[[#This Row],[GEO]],Listas!$A$48:$B$77,2,0)</f>
        <v>ESMERALDAS</v>
      </c>
      <c r="Q107" s="70">
        <f>VLOOKUP(Tabla6[[#This Row],[PG]],Listas2!$G$14:$K$16,3,0)</f>
        <v>1</v>
      </c>
      <c r="R107" s="73">
        <f>VLOOKUP(Tabla6[[#This Row],[PG]],Listas2!H112:'Listas2'!$G$14:$K$16,4,0)</f>
        <v>0</v>
      </c>
      <c r="S107" s="73">
        <f>VLOOKUP(Tabla6[[#This Row],[PG]],Listas2!$G$14:$K$16,2,0)</f>
        <v>0</v>
      </c>
      <c r="T107" s="66" t="s">
        <v>84</v>
      </c>
      <c r="U107" s="74" t="s">
        <v>91</v>
      </c>
      <c r="V107" s="66">
        <v>530704</v>
      </c>
      <c r="W107" s="63" t="str">
        <f>VLOOKUP(Tabla6[[#This Row],[ÍTEM PRESUPUESTARIO]],Tabla2[#All],2,0)</f>
        <v xml:space="preserve">MANTENIMIENTO Y REPARACIÓN DE EQUIPOS Y SISTEMAS INFORMÁTICOS </v>
      </c>
      <c r="X107" s="57">
        <v>0</v>
      </c>
      <c r="Y107" s="57">
        <f>500-145-145</f>
        <v>210</v>
      </c>
      <c r="Z107" s="58">
        <v>0</v>
      </c>
      <c r="AA107" s="58">
        <v>0</v>
      </c>
      <c r="AB107" s="58">
        <v>0</v>
      </c>
      <c r="AC107" s="58">
        <v>0</v>
      </c>
      <c r="AD107" s="58">
        <v>0</v>
      </c>
      <c r="AE107" s="58">
        <v>0</v>
      </c>
      <c r="AF107" s="58">
        <v>0</v>
      </c>
      <c r="AG107" s="58">
        <v>210</v>
      </c>
      <c r="AH107" s="58">
        <v>0</v>
      </c>
      <c r="AI107" s="58">
        <v>0</v>
      </c>
      <c r="AJ107" s="58">
        <v>0</v>
      </c>
      <c r="AK107" s="58">
        <v>0</v>
      </c>
      <c r="AL107" s="75">
        <f>+SUBTOTAL(9,Tabla6[[#This Row],[ENE]:[DIC]])</f>
        <v>210</v>
      </c>
      <c r="AM107" s="76" t="str">
        <f t="shared" si="1"/>
        <v>OK</v>
      </c>
      <c r="AN107" s="60">
        <v>210</v>
      </c>
      <c r="AO107" s="61">
        <f>+Tabla6[[#This Row],[PRESUPUESTO VIGENTE]]-Tabla6[[#This Row],[CERTIFICACIÓN PAPP]]</f>
        <v>0</v>
      </c>
      <c r="AP107" s="59" t="s">
        <v>87</v>
      </c>
    </row>
    <row r="108" spans="1:42" ht="93" customHeight="1" x14ac:dyDescent="0.25">
      <c r="A108" s="62" t="s">
        <v>78</v>
      </c>
      <c r="B108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08" s="64" t="s">
        <v>79</v>
      </c>
      <c r="D108" s="64" t="s">
        <v>80</v>
      </c>
      <c r="E108" s="64" t="s">
        <v>81</v>
      </c>
      <c r="F108" s="64" t="s">
        <v>82</v>
      </c>
      <c r="G108" s="64" t="s">
        <v>83</v>
      </c>
      <c r="H108" s="65" t="str">
        <f>VLOOKUP(Tabla6[[#This Row],[DIRECCIÓN]],DIRECCIÓN[#All],2,0)</f>
        <v>ADMINISTRACIÓN CENTRAL</v>
      </c>
      <c r="I108" s="66" t="s">
        <v>808</v>
      </c>
      <c r="J108" s="67">
        <v>1</v>
      </c>
      <c r="K108" s="68" t="str">
        <f>VLOOKUP(Tabla6[[#This Row],[DIRECCIÓN GENERAL / COORDINACIÓN / SUBDIRECCIÓN]],Tabla37[[#All],[Columna1]:[EOD]],2,0)</f>
        <v>266_0001</v>
      </c>
      <c r="L108" s="69">
        <f>VLOOKUP(Tabla6[[#This Row],[OBJETIVOS PND]],Listas!$A$1:$C$3,3,0)</f>
        <v>1</v>
      </c>
      <c r="M108" s="70">
        <f>VLOOKUP(Tabla6[[#This Row],[PG]],Listas2!$G$14:$K$16,5,0)</f>
        <v>0</v>
      </c>
      <c r="N108" s="71">
        <v>1</v>
      </c>
      <c r="O108" s="72">
        <v>801</v>
      </c>
      <c r="P108" s="73" t="str">
        <f>VLOOKUP(Tabla6[[#This Row],[GEO]],Listas!$A$48:$B$77,2,0)</f>
        <v>ESMERALDAS</v>
      </c>
      <c r="Q108" s="70">
        <f>VLOOKUP(Tabla6[[#This Row],[PG]],Listas2!$G$14:$K$16,3,0)</f>
        <v>1</v>
      </c>
      <c r="R108" s="73">
        <f>VLOOKUP(Tabla6[[#This Row],[PG]],Listas2!H113:'Listas2'!$G$14:$K$16,4,0)</f>
        <v>0</v>
      </c>
      <c r="S108" s="73">
        <f>VLOOKUP(Tabla6[[#This Row],[PG]],Listas2!$G$14:$K$16,2,0)</f>
        <v>0</v>
      </c>
      <c r="T108" s="66" t="s">
        <v>84</v>
      </c>
      <c r="U108" s="74">
        <v>53</v>
      </c>
      <c r="V108" s="66">
        <v>530802</v>
      </c>
      <c r="W108" s="63" t="str">
        <f>VLOOKUP(Tabla6[[#This Row],[ÍTEM PRESUPUESTARIO]],Tabla2[#All],2,0)</f>
        <v>VESTUARIO, LENCERÍA, PRENDAS DE PROTECCIÓN Y ACCESORIOS PARA UNIFORMES DEL PERSONAL DE PROTECCIÓN, VIGILANCIA Y SEGURIDAD</v>
      </c>
      <c r="X108" s="57">
        <v>1608</v>
      </c>
      <c r="Y108" s="57">
        <f>1608-240.76-252.43</f>
        <v>1114.81</v>
      </c>
      <c r="Z108" s="58">
        <v>0</v>
      </c>
      <c r="AA108" s="58">
        <v>0</v>
      </c>
      <c r="AB108" s="58">
        <v>0</v>
      </c>
      <c r="AC108" s="58">
        <v>0</v>
      </c>
      <c r="AD108" s="58">
        <v>0</v>
      </c>
      <c r="AE108" s="58">
        <v>0</v>
      </c>
      <c r="AF108" s="58">
        <v>0</v>
      </c>
      <c r="AG108" s="58">
        <v>1114.81</v>
      </c>
      <c r="AH108" s="58">
        <v>0</v>
      </c>
      <c r="AI108" s="58">
        <v>0</v>
      </c>
      <c r="AJ108" s="58">
        <v>0</v>
      </c>
      <c r="AK108" s="58">
        <v>0</v>
      </c>
      <c r="AL108" s="75">
        <f>+SUBTOTAL(9,Tabla6[[#This Row],[ENE]:[DIC]])</f>
        <v>1114.81</v>
      </c>
      <c r="AM108" s="76" t="str">
        <f t="shared" si="1"/>
        <v>OK</v>
      </c>
      <c r="AN108" s="60">
        <v>1114.81</v>
      </c>
      <c r="AO108" s="61">
        <f>+Tabla6[[#This Row],[PRESUPUESTO VIGENTE]]-Tabla6[[#This Row],[CERTIFICACIÓN PAPP]]</f>
        <v>0</v>
      </c>
      <c r="AP108" s="59">
        <v>0</v>
      </c>
    </row>
    <row r="109" spans="1:42" ht="93" customHeight="1" x14ac:dyDescent="0.25">
      <c r="A109" s="62" t="s">
        <v>78</v>
      </c>
      <c r="B109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09" s="64" t="s">
        <v>79</v>
      </c>
      <c r="D109" s="64" t="s">
        <v>80</v>
      </c>
      <c r="E109" s="64" t="s">
        <v>81</v>
      </c>
      <c r="F109" s="64" t="s">
        <v>82</v>
      </c>
      <c r="G109" s="64" t="s">
        <v>83</v>
      </c>
      <c r="H109" s="65" t="str">
        <f>VLOOKUP(Tabla6[[#This Row],[DIRECCIÓN]],DIRECCIÓN[#All],2,0)</f>
        <v>ADMINISTRACIÓN CENTRAL</v>
      </c>
      <c r="I109" s="66" t="s">
        <v>844</v>
      </c>
      <c r="J109" s="67">
        <v>1</v>
      </c>
      <c r="K109" s="68" t="str">
        <f>VLOOKUP(Tabla6[[#This Row],[DIRECCIÓN GENERAL / COORDINACIÓN / SUBDIRECCIÓN]],Tabla37[[#All],[Columna1]:[EOD]],2,0)</f>
        <v>266_0001</v>
      </c>
      <c r="L109" s="69">
        <f>VLOOKUP(Tabla6[[#This Row],[OBJETIVOS PND]],Listas!$A$1:$C$3,3,0)</f>
        <v>1</v>
      </c>
      <c r="M109" s="70">
        <f>VLOOKUP(Tabla6[[#This Row],[PG]],Listas2!$G$14:$K$16,5,0)</f>
        <v>0</v>
      </c>
      <c r="N109" s="71">
        <v>1</v>
      </c>
      <c r="O109" s="72">
        <v>801</v>
      </c>
      <c r="P109" s="73" t="str">
        <f>VLOOKUP(Tabla6[[#This Row],[GEO]],Listas!$A$48:$B$77,2,0)</f>
        <v>ESMERALDAS</v>
      </c>
      <c r="Q109" s="70">
        <f>VLOOKUP(Tabla6[[#This Row],[PG]],Listas2!$G$14:$K$16,3,0)</f>
        <v>1</v>
      </c>
      <c r="R109" s="73">
        <f>VLOOKUP(Tabla6[[#This Row],[PG]],Listas2!H114:'Listas2'!$G$14:$K$16,4,0)</f>
        <v>0</v>
      </c>
      <c r="S109" s="73">
        <f>VLOOKUP(Tabla6[[#This Row],[PG]],Listas2!$G$14:$K$16,2,0)</f>
        <v>0</v>
      </c>
      <c r="T109" s="66" t="s">
        <v>84</v>
      </c>
      <c r="U109" s="74">
        <v>53</v>
      </c>
      <c r="V109" s="66">
        <v>530803</v>
      </c>
      <c r="W109" s="63" t="str">
        <f>VLOOKUP(Tabla6[[#This Row],[ÍTEM PRESUPUESTARIO]],Tabla2[#All],2,0)</f>
        <v>LUBRICANTES</v>
      </c>
      <c r="X109" s="57">
        <v>100</v>
      </c>
      <c r="Y109" s="57">
        <f>100-100</f>
        <v>0</v>
      </c>
      <c r="Z109" s="58">
        <v>0</v>
      </c>
      <c r="AA109" s="58">
        <v>0</v>
      </c>
      <c r="AB109" s="58">
        <v>0</v>
      </c>
      <c r="AC109" s="58">
        <v>0</v>
      </c>
      <c r="AD109" s="58">
        <v>0</v>
      </c>
      <c r="AE109" s="58">
        <v>0</v>
      </c>
      <c r="AF109" s="58">
        <v>0</v>
      </c>
      <c r="AG109" s="58">
        <v>0</v>
      </c>
      <c r="AH109" s="58">
        <v>0</v>
      </c>
      <c r="AI109" s="58">
        <v>0</v>
      </c>
      <c r="AJ109" s="58">
        <v>0</v>
      </c>
      <c r="AK109" s="58">
        <v>0</v>
      </c>
      <c r="AL109" s="75">
        <f>+SUBTOTAL(9,Tabla6[[#This Row],[ENE]:[DIC]])</f>
        <v>0</v>
      </c>
      <c r="AM109" s="76" t="str">
        <f t="shared" si="1"/>
        <v>OK</v>
      </c>
      <c r="AN109" s="60">
        <v>0</v>
      </c>
      <c r="AO109" s="61">
        <f>+Tabla6[[#This Row],[PRESUPUESTO VIGENTE]]-Tabla6[[#This Row],[CERTIFICACIÓN PAPP]]</f>
        <v>0</v>
      </c>
      <c r="AP109" s="59">
        <v>0</v>
      </c>
    </row>
    <row r="110" spans="1:42" ht="93" customHeight="1" x14ac:dyDescent="0.25">
      <c r="A110" s="62" t="s">
        <v>78</v>
      </c>
      <c r="B110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10" s="64" t="s">
        <v>79</v>
      </c>
      <c r="D110" s="64" t="s">
        <v>80</v>
      </c>
      <c r="E110" s="64" t="s">
        <v>81</v>
      </c>
      <c r="F110" s="64" t="s">
        <v>82</v>
      </c>
      <c r="G110" s="64" t="s">
        <v>83</v>
      </c>
      <c r="H110" s="65" t="str">
        <f>VLOOKUP(Tabla6[[#This Row],[DIRECCIÓN]],DIRECCIÓN[#All],2,0)</f>
        <v>ADMINISTRACIÓN CENTRAL</v>
      </c>
      <c r="I110" s="66" t="s">
        <v>854</v>
      </c>
      <c r="J110" s="67">
        <v>1</v>
      </c>
      <c r="K110" s="68" t="str">
        <f>VLOOKUP(Tabla6[[#This Row],[DIRECCIÓN GENERAL / COORDINACIÓN / SUBDIRECCIÓN]],Tabla37[[#All],[Columna1]:[EOD]],2,0)</f>
        <v>266_0001</v>
      </c>
      <c r="L110" s="69">
        <f>VLOOKUP(Tabla6[[#This Row],[OBJETIVOS PND]],Listas!$A$1:$C$3,3,0)</f>
        <v>1</v>
      </c>
      <c r="M110" s="70">
        <f>VLOOKUP(Tabla6[[#This Row],[PG]],Listas2!$G$14:$K$16,5,0)</f>
        <v>0</v>
      </c>
      <c r="N110" s="71">
        <v>1</v>
      </c>
      <c r="O110" s="72">
        <v>801</v>
      </c>
      <c r="P110" s="73" t="str">
        <f>VLOOKUP(Tabla6[[#This Row],[GEO]],Listas!$A$48:$B$77,2,0)</f>
        <v>ESMERALDAS</v>
      </c>
      <c r="Q110" s="70">
        <f>VLOOKUP(Tabla6[[#This Row],[PG]],Listas2!$G$14:$K$16,3,0)</f>
        <v>1</v>
      </c>
      <c r="R110" s="73">
        <f>VLOOKUP(Tabla6[[#This Row],[PG]],Listas2!H115:'Listas2'!$G$14:$K$16,4,0)</f>
        <v>0</v>
      </c>
      <c r="S110" s="73">
        <f>VLOOKUP(Tabla6[[#This Row],[PG]],Listas2!$G$14:$K$16,2,0)</f>
        <v>0</v>
      </c>
      <c r="T110" s="66" t="s">
        <v>84</v>
      </c>
      <c r="U110" s="74">
        <v>53</v>
      </c>
      <c r="V110" s="66">
        <v>530803</v>
      </c>
      <c r="W110" s="63" t="str">
        <f>VLOOKUP(Tabla6[[#This Row],[ÍTEM PRESUPUESTARIO]],Tabla2[#All],2,0)</f>
        <v>LUBRICANTES</v>
      </c>
      <c r="X110" s="57">
        <v>497</v>
      </c>
      <c r="Y110" s="57">
        <f>497-1</f>
        <v>496</v>
      </c>
      <c r="Z110" s="58">
        <v>0</v>
      </c>
      <c r="AA110" s="58">
        <v>0</v>
      </c>
      <c r="AB110" s="58">
        <v>0</v>
      </c>
      <c r="AC110" s="58">
        <v>99</v>
      </c>
      <c r="AD110" s="58">
        <v>0</v>
      </c>
      <c r="AE110" s="58">
        <v>99</v>
      </c>
      <c r="AF110" s="58">
        <v>0</v>
      </c>
      <c r="AG110" s="58">
        <v>99</v>
      </c>
      <c r="AH110" s="58">
        <v>0</v>
      </c>
      <c r="AI110" s="58">
        <v>99</v>
      </c>
      <c r="AJ110" s="58">
        <v>0</v>
      </c>
      <c r="AK110" s="58">
        <v>100</v>
      </c>
      <c r="AL110" s="75">
        <f>+SUBTOTAL(9,Tabla6[[#This Row],[ENE]:[DIC]])</f>
        <v>496</v>
      </c>
      <c r="AM110" s="76" t="str">
        <f t="shared" si="1"/>
        <v>OK</v>
      </c>
      <c r="AN110" s="60">
        <v>496</v>
      </c>
      <c r="AO110" s="61">
        <f>+Tabla6[[#This Row],[PRESUPUESTO VIGENTE]]-Tabla6[[#This Row],[CERTIFICACIÓN PAPP]]</f>
        <v>0</v>
      </c>
      <c r="AP110" s="59" t="s">
        <v>87</v>
      </c>
    </row>
    <row r="111" spans="1:42" ht="93" customHeight="1" x14ac:dyDescent="0.25">
      <c r="A111" s="62" t="s">
        <v>78</v>
      </c>
      <c r="B111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11" s="64" t="s">
        <v>79</v>
      </c>
      <c r="D111" s="64" t="s">
        <v>80</v>
      </c>
      <c r="E111" s="64" t="s">
        <v>81</v>
      </c>
      <c r="F111" s="64" t="s">
        <v>82</v>
      </c>
      <c r="G111" s="64" t="s">
        <v>83</v>
      </c>
      <c r="H111" s="65" t="str">
        <f>VLOOKUP(Tabla6[[#This Row],[DIRECCIÓN]],DIRECCIÓN[#All],2,0)</f>
        <v>ADMINISTRACIÓN CENTRAL</v>
      </c>
      <c r="I111" s="66" t="s">
        <v>845</v>
      </c>
      <c r="J111" s="67">
        <v>1</v>
      </c>
      <c r="K111" s="68" t="str">
        <f>VLOOKUP(Tabla6[[#This Row],[DIRECCIÓN GENERAL / COORDINACIÓN / SUBDIRECCIÓN]],Tabla37[[#All],[Columna1]:[EOD]],2,0)</f>
        <v>266_0001</v>
      </c>
      <c r="L111" s="69">
        <f>VLOOKUP(Tabla6[[#This Row],[OBJETIVOS PND]],Listas!$A$1:$C$3,3,0)</f>
        <v>1</v>
      </c>
      <c r="M111" s="70">
        <f>VLOOKUP(Tabla6[[#This Row],[PG]],Listas2!$G$14:$K$16,5,0)</f>
        <v>0</v>
      </c>
      <c r="N111" s="71">
        <v>1</v>
      </c>
      <c r="O111" s="72">
        <v>801</v>
      </c>
      <c r="P111" s="73" t="str">
        <f>VLOOKUP(Tabla6[[#This Row],[GEO]],Listas!$A$48:$B$77,2,0)</f>
        <v>ESMERALDAS</v>
      </c>
      <c r="Q111" s="70">
        <f>VLOOKUP(Tabla6[[#This Row],[PG]],Listas2!$G$14:$K$16,3,0)</f>
        <v>1</v>
      </c>
      <c r="R111" s="73">
        <f>VLOOKUP(Tabla6[[#This Row],[PG]],Listas2!H116:'Listas2'!$G$14:$K$16,4,0)</f>
        <v>0</v>
      </c>
      <c r="S111" s="73">
        <f>VLOOKUP(Tabla6[[#This Row],[PG]],Listas2!$G$14:$K$16,2,0)</f>
        <v>0</v>
      </c>
      <c r="T111" s="66" t="s">
        <v>84</v>
      </c>
      <c r="U111" s="74">
        <v>53</v>
      </c>
      <c r="V111" s="66">
        <v>530803</v>
      </c>
      <c r="W111" s="63" t="str">
        <f>VLOOKUP(Tabla6[[#This Row],[ÍTEM PRESUPUESTARIO]],Tabla2[#All],2,0)</f>
        <v>LUBRICANTES</v>
      </c>
      <c r="X111" s="57">
        <v>3500</v>
      </c>
      <c r="Y111" s="57">
        <f>3500-3500</f>
        <v>0</v>
      </c>
      <c r="Z111" s="58">
        <v>0</v>
      </c>
      <c r="AA111" s="58">
        <v>0</v>
      </c>
      <c r="AB111" s="58">
        <v>0</v>
      </c>
      <c r="AC111" s="58">
        <v>0</v>
      </c>
      <c r="AD111" s="58">
        <v>0</v>
      </c>
      <c r="AE111" s="58">
        <v>0</v>
      </c>
      <c r="AF111" s="58">
        <v>0</v>
      </c>
      <c r="AG111" s="58">
        <v>0</v>
      </c>
      <c r="AH111" s="58">
        <v>0</v>
      </c>
      <c r="AI111" s="58">
        <v>0</v>
      </c>
      <c r="AJ111" s="58">
        <v>0</v>
      </c>
      <c r="AK111" s="58">
        <v>0</v>
      </c>
      <c r="AL111" s="75">
        <f>+SUBTOTAL(9,Tabla6[[#This Row],[ENE]:[DIC]])</f>
        <v>0</v>
      </c>
      <c r="AM111" s="76" t="str">
        <f t="shared" si="1"/>
        <v>OK</v>
      </c>
      <c r="AN111" s="60">
        <v>0</v>
      </c>
      <c r="AO111" s="61">
        <f>+Tabla6[[#This Row],[PRESUPUESTO VIGENTE]]-Tabla6[[#This Row],[CERTIFICACIÓN PAPP]]</f>
        <v>0</v>
      </c>
      <c r="AP111" s="59">
        <v>0</v>
      </c>
    </row>
    <row r="112" spans="1:42" ht="93" customHeight="1" x14ac:dyDescent="0.25">
      <c r="A112" s="62" t="s">
        <v>78</v>
      </c>
      <c r="B112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12" s="64" t="s">
        <v>79</v>
      </c>
      <c r="D112" s="64" t="s">
        <v>80</v>
      </c>
      <c r="E112" s="64" t="s">
        <v>81</v>
      </c>
      <c r="F112" s="64" t="s">
        <v>82</v>
      </c>
      <c r="G112" s="64" t="s">
        <v>83</v>
      </c>
      <c r="H112" s="65" t="str">
        <f>VLOOKUP(Tabla6[[#This Row],[DIRECCIÓN]],DIRECCIÓN[#All],2,0)</f>
        <v>ADMINISTRACIÓN CENTRAL</v>
      </c>
      <c r="I112" s="66" t="s">
        <v>855</v>
      </c>
      <c r="J112" s="67">
        <v>2</v>
      </c>
      <c r="K112" s="68" t="str">
        <f>VLOOKUP(Tabla6[[#This Row],[DIRECCIÓN GENERAL / COORDINACIÓN / SUBDIRECCIÓN]],Tabla37[[#All],[Columna1]:[EOD]],2,0)</f>
        <v>266_0001</v>
      </c>
      <c r="L112" s="69">
        <f>VLOOKUP(Tabla6[[#This Row],[OBJETIVOS PND]],Listas!$A$1:$C$3,3,0)</f>
        <v>1</v>
      </c>
      <c r="M112" s="70">
        <f>VLOOKUP(Tabla6[[#This Row],[PG]],Listas2!$G$14:$K$16,5,0)</f>
        <v>0</v>
      </c>
      <c r="N112" s="71">
        <v>1</v>
      </c>
      <c r="O112" s="72">
        <v>801</v>
      </c>
      <c r="P112" s="73" t="str">
        <f>VLOOKUP(Tabla6[[#This Row],[GEO]],Listas!$A$48:$B$77,2,0)</f>
        <v>ESMERALDAS</v>
      </c>
      <c r="Q112" s="70">
        <f>VLOOKUP(Tabla6[[#This Row],[PG]],Listas2!$G$14:$K$16,3,0)</f>
        <v>1</v>
      </c>
      <c r="R112" s="73">
        <f>VLOOKUP(Tabla6[[#This Row],[PG]],Listas2!H117:'Listas2'!$G$14:$K$16,4,0)</f>
        <v>0</v>
      </c>
      <c r="S112" s="73">
        <f>VLOOKUP(Tabla6[[#This Row],[PG]],Listas2!$G$14:$K$16,2,0)</f>
        <v>0</v>
      </c>
      <c r="T112" s="66" t="s">
        <v>84</v>
      </c>
      <c r="U112" s="74">
        <v>53</v>
      </c>
      <c r="V112" s="66">
        <v>530803</v>
      </c>
      <c r="W112" s="63" t="str">
        <f>VLOOKUP(Tabla6[[#This Row],[ÍTEM PRESUPUESTARIO]],Tabla2[#All],2,0)</f>
        <v>LUBRICANTES</v>
      </c>
      <c r="X112" s="57">
        <v>0</v>
      </c>
      <c r="Y112" s="57">
        <f>294.23+110.77</f>
        <v>405</v>
      </c>
      <c r="Z112" s="58">
        <v>0</v>
      </c>
      <c r="AA112" s="58">
        <v>0</v>
      </c>
      <c r="AB112" s="58">
        <v>0</v>
      </c>
      <c r="AC112" s="58">
        <v>0</v>
      </c>
      <c r="AD112" s="58">
        <v>405</v>
      </c>
      <c r="AE112" s="58">
        <v>0</v>
      </c>
      <c r="AF112" s="58">
        <v>0</v>
      </c>
      <c r="AG112" s="58">
        <v>0</v>
      </c>
      <c r="AH112" s="58">
        <v>0</v>
      </c>
      <c r="AI112" s="58">
        <v>0</v>
      </c>
      <c r="AJ112" s="58">
        <v>0</v>
      </c>
      <c r="AK112" s="58">
        <v>0</v>
      </c>
      <c r="AL112" s="75">
        <f>+SUBTOTAL(9,Tabla6[[#This Row],[ENE]:[DIC]])</f>
        <v>405</v>
      </c>
      <c r="AM112" s="76" t="str">
        <f t="shared" si="1"/>
        <v>OK</v>
      </c>
      <c r="AN112" s="60">
        <v>405</v>
      </c>
      <c r="AO112" s="61">
        <f>+Tabla6[[#This Row],[PRESUPUESTO VIGENTE]]-Tabla6[[#This Row],[CERTIFICACIÓN PAPP]]</f>
        <v>0</v>
      </c>
      <c r="AP112" s="59" t="s">
        <v>87</v>
      </c>
    </row>
    <row r="113" spans="1:42" ht="93" customHeight="1" x14ac:dyDescent="0.25">
      <c r="A113" s="62" t="s">
        <v>78</v>
      </c>
      <c r="B113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13" s="64" t="s">
        <v>79</v>
      </c>
      <c r="D113" s="64" t="s">
        <v>80</v>
      </c>
      <c r="E113" s="64" t="s">
        <v>81</v>
      </c>
      <c r="F113" s="64" t="s">
        <v>82</v>
      </c>
      <c r="G113" s="64" t="s">
        <v>83</v>
      </c>
      <c r="H113" s="65" t="str">
        <f>VLOOKUP(Tabla6[[#This Row],[DIRECCIÓN]],DIRECCIÓN[#All],2,0)</f>
        <v>ADMINISTRACIÓN CENTRAL</v>
      </c>
      <c r="I113" s="66" t="s">
        <v>856</v>
      </c>
      <c r="J113" s="67">
        <v>2</v>
      </c>
      <c r="K113" s="68" t="str">
        <f>VLOOKUP(Tabla6[[#This Row],[DIRECCIÓN GENERAL / COORDINACIÓN / SUBDIRECCIÓN]],Tabla37[[#All],[Columna1]:[EOD]],2,0)</f>
        <v>266_0001</v>
      </c>
      <c r="L113" s="69">
        <f>VLOOKUP(Tabla6[[#This Row],[OBJETIVOS PND]],Listas!$A$1:$C$3,3,0)</f>
        <v>1</v>
      </c>
      <c r="M113" s="70">
        <f>VLOOKUP(Tabla6[[#This Row],[PG]],Listas2!$G$14:$K$16,5,0)</f>
        <v>0</v>
      </c>
      <c r="N113" s="71">
        <v>1</v>
      </c>
      <c r="O113" s="72">
        <v>801</v>
      </c>
      <c r="P113" s="73" t="str">
        <f>VLOOKUP(Tabla6[[#This Row],[GEO]],Listas!$A$48:$B$77,2,0)</f>
        <v>ESMERALDAS</v>
      </c>
      <c r="Q113" s="70">
        <f>VLOOKUP(Tabla6[[#This Row],[PG]],Listas2!$G$14:$K$16,3,0)</f>
        <v>1</v>
      </c>
      <c r="R113" s="73">
        <f>VLOOKUP(Tabla6[[#This Row],[PG]],Listas2!H118:'Listas2'!$G$14:$K$16,4,0)</f>
        <v>0</v>
      </c>
      <c r="S113" s="73">
        <f>VLOOKUP(Tabla6[[#This Row],[PG]],Listas2!$G$14:$K$16,2,0)</f>
        <v>0</v>
      </c>
      <c r="T113" s="66" t="s">
        <v>84</v>
      </c>
      <c r="U113" s="74">
        <v>53</v>
      </c>
      <c r="V113" s="66">
        <v>530803</v>
      </c>
      <c r="W113" s="63" t="str">
        <f>VLOOKUP(Tabla6[[#This Row],[ÍTEM PRESUPUESTARIO]],Tabla2[#All],2,0)</f>
        <v>LUBRICANTES</v>
      </c>
      <c r="X113" s="57">
        <v>0</v>
      </c>
      <c r="Y113" s="57">
        <f>1000-800-164.27-1</f>
        <v>34.72999999999999</v>
      </c>
      <c r="Z113" s="58">
        <v>0</v>
      </c>
      <c r="AA113" s="58">
        <v>0</v>
      </c>
      <c r="AB113" s="58">
        <v>0</v>
      </c>
      <c r="AC113" s="58">
        <v>0</v>
      </c>
      <c r="AD113" s="58">
        <v>0</v>
      </c>
      <c r="AE113" s="58">
        <v>0</v>
      </c>
      <c r="AF113" s="58">
        <v>34.729999999999997</v>
      </c>
      <c r="AG113" s="58">
        <v>0</v>
      </c>
      <c r="AH113" s="58">
        <v>0</v>
      </c>
      <c r="AI113" s="58">
        <v>0</v>
      </c>
      <c r="AJ113" s="58">
        <v>0</v>
      </c>
      <c r="AK113" s="58">
        <v>0</v>
      </c>
      <c r="AL113" s="75">
        <f>+SUBTOTAL(9,Tabla6[[#This Row],[ENE]:[DIC]])</f>
        <v>34.729999999999997</v>
      </c>
      <c r="AM113" s="76" t="str">
        <f t="shared" si="1"/>
        <v>OK</v>
      </c>
      <c r="AN113" s="60">
        <v>34.729999999999997</v>
      </c>
      <c r="AO113" s="61">
        <f>+Tabla6[[#This Row],[PRESUPUESTO VIGENTE]]-Tabla6[[#This Row],[CERTIFICACIÓN PAPP]]</f>
        <v>0</v>
      </c>
      <c r="AP113" s="59">
        <v>0</v>
      </c>
    </row>
    <row r="114" spans="1:42" ht="93" customHeight="1" x14ac:dyDescent="0.25">
      <c r="A114" s="62" t="s">
        <v>78</v>
      </c>
      <c r="B114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14" s="64" t="s">
        <v>79</v>
      </c>
      <c r="D114" s="64" t="s">
        <v>80</v>
      </c>
      <c r="E114" s="64" t="s">
        <v>81</v>
      </c>
      <c r="F114" s="64" t="s">
        <v>82</v>
      </c>
      <c r="G114" s="64" t="s">
        <v>83</v>
      </c>
      <c r="H114" s="65" t="str">
        <f>VLOOKUP(Tabla6[[#This Row],[DIRECCIÓN]],DIRECCIÓN[#All],2,0)</f>
        <v>ADMINISTRACIÓN CENTRAL</v>
      </c>
      <c r="I114" s="66" t="s">
        <v>857</v>
      </c>
      <c r="J114" s="67">
        <v>1</v>
      </c>
      <c r="K114" s="68" t="str">
        <f>VLOOKUP(Tabla6[[#This Row],[DIRECCIÓN GENERAL / COORDINACIÓN / SUBDIRECCIÓN]],Tabla37[[#All],[Columna1]:[EOD]],2,0)</f>
        <v>266_0001</v>
      </c>
      <c r="L114" s="69">
        <f>VLOOKUP(Tabla6[[#This Row],[OBJETIVOS PND]],Listas!$A$1:$C$3,3,0)</f>
        <v>1</v>
      </c>
      <c r="M114" s="70">
        <f>VLOOKUP(Tabla6[[#This Row],[PG]],Listas2!$G$14:$K$16,5,0)</f>
        <v>0</v>
      </c>
      <c r="N114" s="71">
        <v>1</v>
      </c>
      <c r="O114" s="72">
        <v>801</v>
      </c>
      <c r="P114" s="73" t="str">
        <f>VLOOKUP(Tabla6[[#This Row],[GEO]],Listas!$A$48:$B$77,2,0)</f>
        <v>ESMERALDAS</v>
      </c>
      <c r="Q114" s="70">
        <f>VLOOKUP(Tabla6[[#This Row],[PG]],Listas2!$G$14:$K$16,3,0)</f>
        <v>1</v>
      </c>
      <c r="R114" s="73">
        <f>VLOOKUP(Tabla6[[#This Row],[PG]],Listas2!H119:'Listas2'!$G$14:$K$16,4,0)</f>
        <v>0</v>
      </c>
      <c r="S114" s="73">
        <f>VLOOKUP(Tabla6[[#This Row],[PG]],Listas2!$G$14:$K$16,2,0)</f>
        <v>0</v>
      </c>
      <c r="T114" s="66" t="s">
        <v>84</v>
      </c>
      <c r="U114" s="74">
        <v>53</v>
      </c>
      <c r="V114" s="66">
        <v>530804</v>
      </c>
      <c r="W114" s="63" t="str">
        <f>VLOOKUP(Tabla6[[#This Row],[ÍTEM PRESUPUESTARIO]],Tabla2[#All],2,0)</f>
        <v>MATERIALES DE OFICINA</v>
      </c>
      <c r="X114" s="57">
        <v>1000</v>
      </c>
      <c r="Y114" s="57">
        <f>1000-262-169.18</f>
        <v>568.81999999999994</v>
      </c>
      <c r="Z114" s="58">
        <v>0</v>
      </c>
      <c r="AA114" s="58">
        <v>0</v>
      </c>
      <c r="AB114" s="58">
        <v>0</v>
      </c>
      <c r="AC114" s="58">
        <v>266.25</v>
      </c>
      <c r="AD114" s="58">
        <v>0</v>
      </c>
      <c r="AE114" s="58">
        <v>0</v>
      </c>
      <c r="AF114" s="58">
        <v>0</v>
      </c>
      <c r="AG114" s="58">
        <v>302.57</v>
      </c>
      <c r="AH114" s="58">
        <v>0</v>
      </c>
      <c r="AI114" s="58">
        <v>0</v>
      </c>
      <c r="AJ114" s="58">
        <v>0</v>
      </c>
      <c r="AK114" s="58">
        <v>0</v>
      </c>
      <c r="AL114" s="75">
        <f>+SUBTOTAL(9,Tabla6[[#This Row],[ENE]:[DIC]])</f>
        <v>568.81999999999994</v>
      </c>
      <c r="AM114" s="76" t="str">
        <f t="shared" si="1"/>
        <v>OK</v>
      </c>
      <c r="AN114" s="60">
        <f>266.25+302.57</f>
        <v>568.81999999999994</v>
      </c>
      <c r="AO114" s="61">
        <f>+Tabla6[[#This Row],[PRESUPUESTO VIGENTE]]-Tabla6[[#This Row],[CERTIFICACIÓN PAPP]]</f>
        <v>0</v>
      </c>
      <c r="AP114" s="59" t="s">
        <v>87</v>
      </c>
    </row>
    <row r="115" spans="1:42" ht="93" customHeight="1" x14ac:dyDescent="0.25">
      <c r="A115" s="62" t="s">
        <v>78</v>
      </c>
      <c r="B115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15" s="64" t="s">
        <v>79</v>
      </c>
      <c r="D115" s="64" t="s">
        <v>80</v>
      </c>
      <c r="E115" s="64" t="s">
        <v>81</v>
      </c>
      <c r="F115" s="64" t="s">
        <v>82</v>
      </c>
      <c r="G115" s="64" t="s">
        <v>83</v>
      </c>
      <c r="H115" s="65" t="str">
        <f>VLOOKUP(Tabla6[[#This Row],[DIRECCIÓN]],DIRECCIÓN[#All],2,0)</f>
        <v>ADMINISTRACIÓN CENTRAL</v>
      </c>
      <c r="I115" s="66" t="s">
        <v>811</v>
      </c>
      <c r="J115" s="67">
        <v>1</v>
      </c>
      <c r="K115" s="68" t="str">
        <f>VLOOKUP(Tabla6[[#This Row],[DIRECCIÓN GENERAL / COORDINACIÓN / SUBDIRECCIÓN]],Tabla37[[#All],[Columna1]:[EOD]],2,0)</f>
        <v>266_0001</v>
      </c>
      <c r="L115" s="69">
        <f>VLOOKUP(Tabla6[[#This Row],[OBJETIVOS PND]],Listas!$A$1:$C$3,3,0)</f>
        <v>1</v>
      </c>
      <c r="M115" s="70">
        <f>VLOOKUP(Tabla6[[#This Row],[PG]],Listas2!$G$14:$K$16,5,0)</f>
        <v>0</v>
      </c>
      <c r="N115" s="71">
        <v>1</v>
      </c>
      <c r="O115" s="72">
        <v>801</v>
      </c>
      <c r="P115" s="73" t="str">
        <f>VLOOKUP(Tabla6[[#This Row],[GEO]],Listas!$A$48:$B$77,2,0)</f>
        <v>ESMERALDAS</v>
      </c>
      <c r="Q115" s="70">
        <f>VLOOKUP(Tabla6[[#This Row],[PG]],Listas2!$G$14:$K$16,3,0)</f>
        <v>1</v>
      </c>
      <c r="R115" s="73">
        <f>VLOOKUP(Tabla6[[#This Row],[PG]],Listas2!H120:'Listas2'!$G$14:$K$16,4,0)</f>
        <v>0</v>
      </c>
      <c r="S115" s="73">
        <f>VLOOKUP(Tabla6[[#This Row],[PG]],Listas2!$G$14:$K$16,2,0)</f>
        <v>0</v>
      </c>
      <c r="T115" s="66" t="s">
        <v>84</v>
      </c>
      <c r="U115" s="74">
        <v>53</v>
      </c>
      <c r="V115" s="66">
        <v>530804</v>
      </c>
      <c r="W115" s="63" t="str">
        <f>VLOOKUP(Tabla6[[#This Row],[ÍTEM PRESUPUESTARIO]],Tabla2[#All],2,0)</f>
        <v>MATERIALES DE OFICINA</v>
      </c>
      <c r="X115" s="57">
        <v>150</v>
      </c>
      <c r="Y115" s="57">
        <f>150+350-436.88</f>
        <v>63.120000000000005</v>
      </c>
      <c r="Z115" s="58">
        <v>0</v>
      </c>
      <c r="AA115" s="58">
        <v>0</v>
      </c>
      <c r="AB115" s="58">
        <v>0</v>
      </c>
      <c r="AC115" s="58">
        <v>0</v>
      </c>
      <c r="AD115" s="58">
        <v>63.12</v>
      </c>
      <c r="AE115" s="58">
        <v>0</v>
      </c>
      <c r="AF115" s="58">
        <v>0</v>
      </c>
      <c r="AG115" s="58">
        <v>0</v>
      </c>
      <c r="AH115" s="58">
        <v>0</v>
      </c>
      <c r="AI115" s="58">
        <v>0</v>
      </c>
      <c r="AJ115" s="58">
        <v>0</v>
      </c>
      <c r="AK115" s="58">
        <v>0</v>
      </c>
      <c r="AL115" s="75">
        <f>+SUBTOTAL(9,Tabla6[[#This Row],[ENE]:[DIC]])</f>
        <v>63.12</v>
      </c>
      <c r="AM115" s="76" t="str">
        <f t="shared" si="1"/>
        <v>OK</v>
      </c>
      <c r="AN115" s="60">
        <v>63.12</v>
      </c>
      <c r="AO115" s="61">
        <f>+Tabla6[[#This Row],[PRESUPUESTO VIGENTE]]-Tabla6[[#This Row],[CERTIFICACIÓN PAPP]]</f>
        <v>0</v>
      </c>
      <c r="AP115" s="59" t="s">
        <v>87</v>
      </c>
    </row>
    <row r="116" spans="1:42" ht="93" customHeight="1" x14ac:dyDescent="0.25">
      <c r="A116" s="62" t="s">
        <v>78</v>
      </c>
      <c r="B116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16" s="64" t="s">
        <v>85</v>
      </c>
      <c r="D116" s="64" t="s">
        <v>80</v>
      </c>
      <c r="E116" s="64" t="s">
        <v>81</v>
      </c>
      <c r="F116" s="64" t="s">
        <v>82</v>
      </c>
      <c r="G116" s="64" t="s">
        <v>86</v>
      </c>
      <c r="H116" s="65" t="str">
        <f>VLOOKUP(Tabla6[[#This Row],[DIRECCIÓN]],DIRECCIÓN[#All],2,0)</f>
        <v>COMUNICACIÓN SOCIAL</v>
      </c>
      <c r="I116" s="66" t="s">
        <v>837</v>
      </c>
      <c r="J116" s="67">
        <v>2</v>
      </c>
      <c r="K116" s="68" t="str">
        <f>VLOOKUP(Tabla6[[#This Row],[DIRECCIÓN GENERAL / COORDINACIÓN / SUBDIRECCIÓN]],Tabla37[[#All],[Columna1]:[EOD]],2,0)</f>
        <v>266_0001</v>
      </c>
      <c r="L116" s="69">
        <f>VLOOKUP(Tabla6[[#This Row],[OBJETIVOS PND]],Listas!$A$1:$C$3,3,0)</f>
        <v>1</v>
      </c>
      <c r="M116" s="70">
        <f>VLOOKUP(Tabla6[[#This Row],[PG]],Listas2!$G$14:$K$16,5,0)</f>
        <v>0</v>
      </c>
      <c r="N116" s="71">
        <v>1</v>
      </c>
      <c r="O116" s="72">
        <v>801</v>
      </c>
      <c r="P116" s="73" t="str">
        <f>VLOOKUP(Tabla6[[#This Row],[GEO]],Listas!$A$48:$B$77,2,0)</f>
        <v>ESMERALDAS</v>
      </c>
      <c r="Q116" s="70">
        <f>VLOOKUP(Tabla6[[#This Row],[PG]],Listas2!$G$14:$K$16,3,0)</f>
        <v>1</v>
      </c>
      <c r="R116" s="73">
        <f>VLOOKUP(Tabla6[[#This Row],[PG]],Listas2!H121:'Listas2'!$G$14:$K$16,4,0)</f>
        <v>0</v>
      </c>
      <c r="S116" s="73">
        <f>VLOOKUP(Tabla6[[#This Row],[PG]],Listas2!$G$14:$K$16,2,0)</f>
        <v>0</v>
      </c>
      <c r="T116" s="66" t="s">
        <v>84</v>
      </c>
      <c r="U116" s="74">
        <v>53</v>
      </c>
      <c r="V116" s="66">
        <v>530804</v>
      </c>
      <c r="W116" s="63" t="str">
        <f>VLOOKUP(Tabla6[[#This Row],[ÍTEM PRESUPUESTARIO]],Tabla2[#All],2,0)</f>
        <v>MATERIALES DE OFICINA</v>
      </c>
      <c r="X116" s="57">
        <v>0</v>
      </c>
      <c r="Y116" s="57">
        <f>675-165</f>
        <v>510</v>
      </c>
      <c r="Z116" s="58">
        <v>0</v>
      </c>
      <c r="AA116" s="58">
        <v>0</v>
      </c>
      <c r="AB116" s="58">
        <v>0</v>
      </c>
      <c r="AC116" s="58">
        <v>0</v>
      </c>
      <c r="AD116" s="58">
        <v>510</v>
      </c>
      <c r="AE116" s="58">
        <v>0</v>
      </c>
      <c r="AF116" s="58">
        <v>0</v>
      </c>
      <c r="AG116" s="58">
        <v>0</v>
      </c>
      <c r="AH116" s="58">
        <v>0</v>
      </c>
      <c r="AI116" s="58">
        <v>0</v>
      </c>
      <c r="AJ116" s="58">
        <v>0</v>
      </c>
      <c r="AK116" s="58">
        <v>0</v>
      </c>
      <c r="AL116" s="75">
        <f>+SUBTOTAL(9,Tabla6[[#This Row],[ENE]:[DIC]])</f>
        <v>510</v>
      </c>
      <c r="AM116" s="76" t="str">
        <f t="shared" si="1"/>
        <v>OK</v>
      </c>
      <c r="AN116" s="60">
        <v>510</v>
      </c>
      <c r="AO116" s="61">
        <f>+Tabla6[[#This Row],[PRESUPUESTO VIGENTE]]-Tabla6[[#This Row],[CERTIFICACIÓN PAPP]]</f>
        <v>0</v>
      </c>
      <c r="AP116" s="59">
        <v>0</v>
      </c>
    </row>
    <row r="117" spans="1:42" ht="93" customHeight="1" x14ac:dyDescent="0.25">
      <c r="A117" s="62" t="s">
        <v>78</v>
      </c>
      <c r="B117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17" s="64" t="s">
        <v>79</v>
      </c>
      <c r="D117" s="64" t="s">
        <v>80</v>
      </c>
      <c r="E117" s="64" t="s">
        <v>81</v>
      </c>
      <c r="F117" s="64" t="s">
        <v>82</v>
      </c>
      <c r="G117" s="64" t="s">
        <v>83</v>
      </c>
      <c r="H117" s="65" t="str">
        <f>VLOOKUP(Tabla6[[#This Row],[DIRECCIÓN]],DIRECCIÓN[#All],2,0)</f>
        <v>ADMINISTRACIÓN CENTRAL</v>
      </c>
      <c r="I117" s="66" t="s">
        <v>858</v>
      </c>
      <c r="J117" s="67">
        <v>1</v>
      </c>
      <c r="K117" s="68" t="str">
        <f>VLOOKUP(Tabla6[[#This Row],[DIRECCIÓN GENERAL / COORDINACIÓN / SUBDIRECCIÓN]],Tabla37[[#All],[Columna1]:[EOD]],2,0)</f>
        <v>266_0001</v>
      </c>
      <c r="L117" s="69">
        <f>VLOOKUP(Tabla6[[#This Row],[OBJETIVOS PND]],Listas!$A$1:$C$3,3,0)</f>
        <v>1</v>
      </c>
      <c r="M117" s="70">
        <f>VLOOKUP(Tabla6[[#This Row],[PG]],Listas2!$G$14:$K$16,5,0)</f>
        <v>0</v>
      </c>
      <c r="N117" s="71">
        <v>1</v>
      </c>
      <c r="O117" s="72">
        <v>801</v>
      </c>
      <c r="P117" s="73" t="str">
        <f>VLOOKUP(Tabla6[[#This Row],[GEO]],Listas!$A$48:$B$77,2,0)</f>
        <v>ESMERALDAS</v>
      </c>
      <c r="Q117" s="70">
        <f>VLOOKUP(Tabla6[[#This Row],[PG]],Listas2!$G$14:$K$16,3,0)</f>
        <v>1</v>
      </c>
      <c r="R117" s="73">
        <f>VLOOKUP(Tabla6[[#This Row],[PG]],Listas2!H122:'Listas2'!$G$14:$K$16,4,0)</f>
        <v>0</v>
      </c>
      <c r="S117" s="73">
        <f>VLOOKUP(Tabla6[[#This Row],[PG]],Listas2!$G$14:$K$16,2,0)</f>
        <v>0</v>
      </c>
      <c r="T117" s="66" t="s">
        <v>84</v>
      </c>
      <c r="U117" s="74">
        <v>53</v>
      </c>
      <c r="V117" s="66">
        <v>530804</v>
      </c>
      <c r="W117" s="63" t="str">
        <f>VLOOKUP(Tabla6[[#This Row],[ÍTEM PRESUPUESTARIO]],Tabla2[#All],2,0)</f>
        <v>MATERIALES DE OFICINA</v>
      </c>
      <c r="X117" s="57">
        <v>0</v>
      </c>
      <c r="Y117" s="57">
        <f>996-498+214.85-712.85</f>
        <v>0</v>
      </c>
      <c r="Z117" s="58">
        <v>0</v>
      </c>
      <c r="AA117" s="58">
        <v>0</v>
      </c>
      <c r="AB117" s="58">
        <v>0</v>
      </c>
      <c r="AC117" s="58">
        <v>0</v>
      </c>
      <c r="AD117" s="58">
        <v>0</v>
      </c>
      <c r="AE117" s="58">
        <v>0</v>
      </c>
      <c r="AF117" s="58">
        <v>0</v>
      </c>
      <c r="AG117" s="58">
        <v>0</v>
      </c>
      <c r="AH117" s="58">
        <v>0</v>
      </c>
      <c r="AI117" s="58">
        <v>0</v>
      </c>
      <c r="AJ117" s="58">
        <v>0</v>
      </c>
      <c r="AK117" s="58">
        <v>0</v>
      </c>
      <c r="AL117" s="75">
        <f>+SUBTOTAL(9,Tabla6[[#This Row],[ENE]:[DIC]])</f>
        <v>0</v>
      </c>
      <c r="AM117" s="76" t="str">
        <f t="shared" si="1"/>
        <v>OK</v>
      </c>
      <c r="AN117" s="60">
        <v>0</v>
      </c>
      <c r="AO117" s="61">
        <f>+Tabla6[[#This Row],[PRESUPUESTO VIGENTE]]-Tabla6[[#This Row],[CERTIFICACIÓN PAPP]]</f>
        <v>0</v>
      </c>
      <c r="AP117" s="59">
        <v>0</v>
      </c>
    </row>
    <row r="118" spans="1:42" ht="93" customHeight="1" x14ac:dyDescent="0.25">
      <c r="A118" s="62" t="s">
        <v>78</v>
      </c>
      <c r="B118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18" s="64" t="s">
        <v>79</v>
      </c>
      <c r="D118" s="64" t="s">
        <v>80</v>
      </c>
      <c r="E118" s="64" t="s">
        <v>81</v>
      </c>
      <c r="F118" s="64" t="s">
        <v>82</v>
      </c>
      <c r="G118" s="64" t="s">
        <v>83</v>
      </c>
      <c r="H118" s="65" t="str">
        <f>VLOOKUP(Tabla6[[#This Row],[DIRECCIÓN]],DIRECCIÓN[#All],2,0)</f>
        <v>ADMINISTRACIÓN CENTRAL</v>
      </c>
      <c r="I118" s="66" t="s">
        <v>859</v>
      </c>
      <c r="J118" s="67">
        <v>1</v>
      </c>
      <c r="K118" s="68" t="str">
        <f>VLOOKUP(Tabla6[[#This Row],[DIRECCIÓN GENERAL / COORDINACIÓN / SUBDIRECCIÓN]],Tabla37[[#All],[Columna1]:[EOD]],2,0)</f>
        <v>266_0001</v>
      </c>
      <c r="L118" s="69">
        <f>VLOOKUP(Tabla6[[#This Row],[OBJETIVOS PND]],Listas!$A$1:$C$3,3,0)</f>
        <v>1</v>
      </c>
      <c r="M118" s="70">
        <f>VLOOKUP(Tabla6[[#This Row],[PG]],Listas2!$G$14:$K$16,5,0)</f>
        <v>0</v>
      </c>
      <c r="N118" s="71">
        <v>1</v>
      </c>
      <c r="O118" s="72">
        <v>801</v>
      </c>
      <c r="P118" s="73" t="str">
        <f>VLOOKUP(Tabla6[[#This Row],[GEO]],Listas!$A$48:$B$77,2,0)</f>
        <v>ESMERALDAS</v>
      </c>
      <c r="Q118" s="70">
        <f>VLOOKUP(Tabla6[[#This Row],[PG]],Listas2!$G$14:$K$16,3,0)</f>
        <v>1</v>
      </c>
      <c r="R118" s="73">
        <f>VLOOKUP(Tabla6[[#This Row],[PG]],Listas2!H123:'Listas2'!$G$14:$K$16,4,0)</f>
        <v>0</v>
      </c>
      <c r="S118" s="73">
        <f>VLOOKUP(Tabla6[[#This Row],[PG]],Listas2!$G$14:$K$16,2,0)</f>
        <v>0</v>
      </c>
      <c r="T118" s="66" t="s">
        <v>84</v>
      </c>
      <c r="U118" s="74">
        <v>53</v>
      </c>
      <c r="V118" s="66">
        <v>530805</v>
      </c>
      <c r="W118" s="63" t="str">
        <f>VLOOKUP(Tabla6[[#This Row],[ÍTEM PRESUPUESTARIO]],Tabla2[#All],2,0)</f>
        <v>MATERIALES DE ASEO</v>
      </c>
      <c r="X118" s="57">
        <v>600</v>
      </c>
      <c r="Y118" s="57">
        <f>600-470+262-0.27</f>
        <v>391.73</v>
      </c>
      <c r="Z118" s="58">
        <v>0</v>
      </c>
      <c r="AA118" s="58">
        <v>0</v>
      </c>
      <c r="AB118" s="58">
        <v>0</v>
      </c>
      <c r="AC118" s="58">
        <v>0</v>
      </c>
      <c r="AD118" s="58">
        <v>0</v>
      </c>
      <c r="AE118" s="58">
        <v>0</v>
      </c>
      <c r="AF118" s="58">
        <v>0</v>
      </c>
      <c r="AG118" s="58">
        <v>391.73</v>
      </c>
      <c r="AH118" s="58">
        <v>0</v>
      </c>
      <c r="AI118" s="58">
        <v>0</v>
      </c>
      <c r="AJ118" s="58">
        <v>0</v>
      </c>
      <c r="AK118" s="58">
        <v>0</v>
      </c>
      <c r="AL118" s="75">
        <f>+SUBTOTAL(9,Tabla6[[#This Row],[ENE]:[DIC]])</f>
        <v>391.73</v>
      </c>
      <c r="AM118" s="76" t="str">
        <f t="shared" si="1"/>
        <v>OK</v>
      </c>
      <c r="AN118" s="60">
        <v>391.73</v>
      </c>
      <c r="AO118" s="61">
        <f>+Tabla6[[#This Row],[PRESUPUESTO VIGENTE]]-Tabla6[[#This Row],[CERTIFICACIÓN PAPP]]</f>
        <v>0</v>
      </c>
      <c r="AP118" s="59" t="s">
        <v>87</v>
      </c>
    </row>
    <row r="119" spans="1:42" ht="93" customHeight="1" x14ac:dyDescent="0.25">
      <c r="A119" s="62" t="s">
        <v>78</v>
      </c>
      <c r="B119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19" s="64" t="s">
        <v>79</v>
      </c>
      <c r="D119" s="64" t="s">
        <v>80</v>
      </c>
      <c r="E119" s="64" t="s">
        <v>81</v>
      </c>
      <c r="F119" s="64" t="s">
        <v>82</v>
      </c>
      <c r="G119" s="64" t="s">
        <v>83</v>
      </c>
      <c r="H119" s="65" t="str">
        <f>VLOOKUP(Tabla6[[#This Row],[DIRECCIÓN]],DIRECCIÓN[#All],2,0)</f>
        <v>ADMINISTRACIÓN CENTRAL</v>
      </c>
      <c r="I119" s="66" t="s">
        <v>860</v>
      </c>
      <c r="J119" s="67">
        <v>1</v>
      </c>
      <c r="K119" s="68" t="str">
        <f>VLOOKUP(Tabla6[[#This Row],[DIRECCIÓN GENERAL / COORDINACIÓN / SUBDIRECCIÓN]],Tabla37[[#All],[Columna1]:[EOD]],2,0)</f>
        <v>266_0001</v>
      </c>
      <c r="L119" s="69">
        <f>VLOOKUP(Tabla6[[#This Row],[OBJETIVOS PND]],Listas!$A$1:$C$3,3,0)</f>
        <v>1</v>
      </c>
      <c r="M119" s="70">
        <f>VLOOKUP(Tabla6[[#This Row],[PG]],Listas2!$G$14:$K$16,5,0)</f>
        <v>0</v>
      </c>
      <c r="N119" s="71">
        <v>1</v>
      </c>
      <c r="O119" s="72">
        <v>801</v>
      </c>
      <c r="P119" s="73" t="str">
        <f>VLOOKUP(Tabla6[[#This Row],[GEO]],Listas!$A$48:$B$77,2,0)</f>
        <v>ESMERALDAS</v>
      </c>
      <c r="Q119" s="70">
        <f>VLOOKUP(Tabla6[[#This Row],[PG]],Listas2!$G$14:$K$16,3,0)</f>
        <v>1</v>
      </c>
      <c r="R119" s="73">
        <f>VLOOKUP(Tabla6[[#This Row],[PG]],Listas2!H124:'Listas2'!$G$14:$K$16,4,0)</f>
        <v>0</v>
      </c>
      <c r="S119" s="73">
        <f>VLOOKUP(Tabla6[[#This Row],[PG]],Listas2!$G$14:$K$16,2,0)</f>
        <v>0</v>
      </c>
      <c r="T119" s="66" t="s">
        <v>84</v>
      </c>
      <c r="U119" s="74">
        <v>53</v>
      </c>
      <c r="V119" s="66">
        <v>530807</v>
      </c>
      <c r="W119" s="63" t="str">
        <f>VLOOKUP(Tabla6[[#This Row],[ÍTEM PRESUPUESTARIO]],Tabla2[#All],2,0)</f>
        <v>MATERIALES DE IMPRESIÓN, FOTOGRAFÍA, REPRODUCCIÓN Y PUBLICACIONES</v>
      </c>
      <c r="X119" s="57">
        <v>3000</v>
      </c>
      <c r="Y119" s="57">
        <f>3000-68.6</f>
        <v>2931.4</v>
      </c>
      <c r="Z119" s="58">
        <v>0</v>
      </c>
      <c r="AA119" s="58">
        <v>0</v>
      </c>
      <c r="AB119" s="58">
        <v>0</v>
      </c>
      <c r="AC119" s="58">
        <v>0</v>
      </c>
      <c r="AD119" s="58">
        <v>0</v>
      </c>
      <c r="AE119" s="58">
        <v>0</v>
      </c>
      <c r="AF119" s="58">
        <v>0</v>
      </c>
      <c r="AG119" s="58">
        <v>250</v>
      </c>
      <c r="AH119" s="58">
        <v>2681.4</v>
      </c>
      <c r="AI119" s="58">
        <v>0</v>
      </c>
      <c r="AJ119" s="58">
        <v>0</v>
      </c>
      <c r="AK119" s="58">
        <v>0</v>
      </c>
      <c r="AL119" s="75">
        <f>+SUBTOTAL(9,Tabla6[[#This Row],[ENE]:[DIC]])</f>
        <v>2931.4</v>
      </c>
      <c r="AM119" s="76" t="str">
        <f t="shared" si="1"/>
        <v>OK</v>
      </c>
      <c r="AN119" s="60">
        <v>2931.4</v>
      </c>
      <c r="AO119" s="61">
        <f>+Tabla6[[#This Row],[PRESUPUESTO VIGENTE]]-Tabla6[[#This Row],[CERTIFICACIÓN PAPP]]</f>
        <v>0</v>
      </c>
      <c r="AP119" s="59" t="s">
        <v>87</v>
      </c>
    </row>
    <row r="120" spans="1:42" ht="93" customHeight="1" x14ac:dyDescent="0.25">
      <c r="A120" s="62" t="s">
        <v>78</v>
      </c>
      <c r="B120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20" s="64" t="s">
        <v>79</v>
      </c>
      <c r="D120" s="64" t="s">
        <v>80</v>
      </c>
      <c r="E120" s="64" t="s">
        <v>81</v>
      </c>
      <c r="F120" s="64" t="s">
        <v>82</v>
      </c>
      <c r="G120" s="64" t="s">
        <v>83</v>
      </c>
      <c r="H120" s="65" t="str">
        <f>VLOOKUP(Tabla6[[#This Row],[DIRECCIÓN]],DIRECCIÓN[#All],2,0)</f>
        <v>ADMINISTRACIÓN CENTRAL</v>
      </c>
      <c r="I120" s="66" t="s">
        <v>858</v>
      </c>
      <c r="J120" s="67">
        <v>1</v>
      </c>
      <c r="K120" s="68" t="str">
        <f>VLOOKUP(Tabla6[[#This Row],[DIRECCIÓN GENERAL / COORDINACIÓN / SUBDIRECCIÓN]],Tabla37[[#All],[Columna1]:[EOD]],2,0)</f>
        <v>266_0001</v>
      </c>
      <c r="L120" s="69">
        <f>VLOOKUP(Tabla6[[#This Row],[OBJETIVOS PND]],Listas!$A$1:$C$3,3,0)</f>
        <v>1</v>
      </c>
      <c r="M120" s="70">
        <f>VLOOKUP(Tabla6[[#This Row],[PG]],Listas2!$G$14:$K$16,5,0)</f>
        <v>0</v>
      </c>
      <c r="N120" s="71">
        <v>1</v>
      </c>
      <c r="O120" s="72">
        <v>801</v>
      </c>
      <c r="P120" s="73" t="str">
        <f>VLOOKUP(Tabla6[[#This Row],[GEO]],Listas!$A$48:$B$77,2,0)</f>
        <v>ESMERALDAS</v>
      </c>
      <c r="Q120" s="70">
        <f>VLOOKUP(Tabla6[[#This Row],[PG]],Listas2!$G$14:$K$16,3,0)</f>
        <v>1</v>
      </c>
      <c r="R120" s="73">
        <f>VLOOKUP(Tabla6[[#This Row],[PG]],Listas2!H125:'Listas2'!$G$14:$K$16,4,0)</f>
        <v>0</v>
      </c>
      <c r="S120" s="73">
        <f>VLOOKUP(Tabla6[[#This Row],[PG]],Listas2!$G$14:$K$16,2,0)</f>
        <v>0</v>
      </c>
      <c r="T120" s="66" t="s">
        <v>84</v>
      </c>
      <c r="U120" s="74">
        <v>53</v>
      </c>
      <c r="V120" s="66">
        <v>530807</v>
      </c>
      <c r="W120" s="63" t="str">
        <f>VLOOKUP(Tabla6[[#This Row],[ÍTEM PRESUPUESTARIO]],Tabla2[#All],2,0)</f>
        <v>MATERIALES DE IMPRESIÓN, FOTOGRAFÍA, REPRODUCCIÓN Y PUBLICACIONES</v>
      </c>
      <c r="X120" s="57">
        <v>0</v>
      </c>
      <c r="Y120" s="57">
        <f>972-492.75+153.25-632.5</f>
        <v>0</v>
      </c>
      <c r="Z120" s="58">
        <v>0</v>
      </c>
      <c r="AA120" s="58">
        <v>0</v>
      </c>
      <c r="AB120" s="58">
        <v>0</v>
      </c>
      <c r="AC120" s="58">
        <v>0</v>
      </c>
      <c r="AD120" s="58">
        <v>0</v>
      </c>
      <c r="AE120" s="58">
        <v>0</v>
      </c>
      <c r="AF120" s="58">
        <v>0</v>
      </c>
      <c r="AG120" s="58">
        <v>0</v>
      </c>
      <c r="AH120" s="58">
        <v>0</v>
      </c>
      <c r="AI120" s="58">
        <v>0</v>
      </c>
      <c r="AJ120" s="58">
        <v>0</v>
      </c>
      <c r="AK120" s="58">
        <v>0</v>
      </c>
      <c r="AL120" s="75">
        <f>+SUBTOTAL(9,Tabla6[[#This Row],[ENE]:[DIC]])</f>
        <v>0</v>
      </c>
      <c r="AM120" s="76" t="str">
        <f t="shared" si="1"/>
        <v>OK</v>
      </c>
      <c r="AN120" s="60">
        <v>0</v>
      </c>
      <c r="AO120" s="61">
        <f>+Tabla6[[#This Row],[PRESUPUESTO VIGENTE]]-Tabla6[[#This Row],[CERTIFICACIÓN PAPP]]</f>
        <v>0</v>
      </c>
      <c r="AP120" s="59">
        <v>0</v>
      </c>
    </row>
    <row r="121" spans="1:42" ht="93" customHeight="1" x14ac:dyDescent="0.25">
      <c r="A121" s="62" t="s">
        <v>78</v>
      </c>
      <c r="B121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21" s="64" t="s">
        <v>79</v>
      </c>
      <c r="D121" s="64" t="s">
        <v>80</v>
      </c>
      <c r="E121" s="64" t="s">
        <v>81</v>
      </c>
      <c r="F121" s="64" t="s">
        <v>82</v>
      </c>
      <c r="G121" s="64" t="s">
        <v>83</v>
      </c>
      <c r="H121" s="65" t="str">
        <f>VLOOKUP(Tabla6[[#This Row],[DIRECCIÓN]],DIRECCIÓN[#All],2,0)</f>
        <v>ADMINISTRACIÓN CENTRAL</v>
      </c>
      <c r="I121" s="66" t="s">
        <v>861</v>
      </c>
      <c r="J121" s="67">
        <v>1</v>
      </c>
      <c r="K121" s="68" t="str">
        <f>VLOOKUP(Tabla6[[#This Row],[DIRECCIÓN GENERAL / COORDINACIÓN / SUBDIRECCIÓN]],Tabla37[[#All],[Columna1]:[EOD]],2,0)</f>
        <v>266_0001</v>
      </c>
      <c r="L121" s="69">
        <f>VLOOKUP(Tabla6[[#This Row],[OBJETIVOS PND]],Listas!$A$1:$C$3,3,0)</f>
        <v>1</v>
      </c>
      <c r="M121" s="70">
        <f>VLOOKUP(Tabla6[[#This Row],[PG]],Listas2!$G$14:$K$16,5,0)</f>
        <v>0</v>
      </c>
      <c r="N121" s="71">
        <v>1</v>
      </c>
      <c r="O121" s="72">
        <v>801</v>
      </c>
      <c r="P121" s="73" t="str">
        <f>VLOOKUP(Tabla6[[#This Row],[GEO]],Listas!$A$48:$B$77,2,0)</f>
        <v>ESMERALDAS</v>
      </c>
      <c r="Q121" s="70">
        <f>VLOOKUP(Tabla6[[#This Row],[PG]],Listas2!$G$14:$K$16,3,0)</f>
        <v>1</v>
      </c>
      <c r="R121" s="73">
        <f>VLOOKUP(Tabla6[[#This Row],[PG]],Listas2!H126:'Listas2'!$G$14:$K$16,4,0)</f>
        <v>0</v>
      </c>
      <c r="S121" s="73">
        <f>VLOOKUP(Tabla6[[#This Row],[PG]],Listas2!$G$14:$K$16,2,0)</f>
        <v>0</v>
      </c>
      <c r="T121" s="66" t="s">
        <v>84</v>
      </c>
      <c r="U121" s="74">
        <v>53</v>
      </c>
      <c r="V121" s="66">
        <v>530811</v>
      </c>
      <c r="W121" s="63" t="str">
        <f>VLOOKUP(Tabla6[[#This Row],[ÍTEM PRESUPUESTARIO]],Tabla2[#All],2,0)</f>
        <v>INSUMOS, MATERIALES Y SUMINISTROS PARA CONSTRUCCIÓN, ELECTRICIDAD, PLOMERÍA, CARPINTERÍA, SEÑALIZACIÓN VIAL, NAVEGACIÓN, CONTRA INCENDIOS Y PLACAS</v>
      </c>
      <c r="X121" s="57">
        <v>300</v>
      </c>
      <c r="Y121" s="57">
        <f>300-300+300-186.93</f>
        <v>113.07</v>
      </c>
      <c r="Z121" s="58">
        <v>0</v>
      </c>
      <c r="AA121" s="58">
        <v>0</v>
      </c>
      <c r="AB121" s="58">
        <v>0</v>
      </c>
      <c r="AC121" s="58">
        <v>0</v>
      </c>
      <c r="AD121" s="58">
        <v>0</v>
      </c>
      <c r="AE121" s="58">
        <v>0</v>
      </c>
      <c r="AF121" s="58">
        <v>0</v>
      </c>
      <c r="AG121" s="58">
        <v>0</v>
      </c>
      <c r="AH121" s="58">
        <v>0</v>
      </c>
      <c r="AI121" s="58">
        <v>0</v>
      </c>
      <c r="AJ121" s="58">
        <v>0</v>
      </c>
      <c r="AK121" s="58">
        <v>113.07</v>
      </c>
      <c r="AL121" s="75">
        <f>+SUBTOTAL(9,Tabla6[[#This Row],[ENE]:[DIC]])</f>
        <v>113.07</v>
      </c>
      <c r="AM121" s="76" t="str">
        <f t="shared" si="1"/>
        <v>OK</v>
      </c>
      <c r="AN121" s="60">
        <v>113.07</v>
      </c>
      <c r="AO121" s="61">
        <f>+Tabla6[[#This Row],[PRESUPUESTO VIGENTE]]-Tabla6[[#This Row],[CERTIFICACIÓN PAPP]]</f>
        <v>0</v>
      </c>
      <c r="AP121" s="59" t="s">
        <v>87</v>
      </c>
    </row>
    <row r="122" spans="1:42" ht="93" customHeight="1" x14ac:dyDescent="0.25">
      <c r="A122" s="62" t="s">
        <v>78</v>
      </c>
      <c r="B122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22" s="64" t="s">
        <v>79</v>
      </c>
      <c r="D122" s="64" t="s">
        <v>80</v>
      </c>
      <c r="E122" s="64" t="s">
        <v>81</v>
      </c>
      <c r="F122" s="64" t="s">
        <v>82</v>
      </c>
      <c r="G122" s="64" t="s">
        <v>83</v>
      </c>
      <c r="H122" s="65" t="str">
        <f>VLOOKUP(Tabla6[[#This Row],[DIRECCIÓN]],DIRECCIÓN[#All],2,0)</f>
        <v>ADMINISTRACIÓN CENTRAL</v>
      </c>
      <c r="I122" s="66" t="s">
        <v>862</v>
      </c>
      <c r="J122" s="67">
        <v>1</v>
      </c>
      <c r="K122" s="68" t="str">
        <f>VLOOKUP(Tabla6[[#This Row],[DIRECCIÓN GENERAL / COORDINACIÓN / SUBDIRECCIÓN]],Tabla37[[#All],[Columna1]:[EOD]],2,0)</f>
        <v>266_0001</v>
      </c>
      <c r="L122" s="69">
        <f>VLOOKUP(Tabla6[[#This Row],[OBJETIVOS PND]],Listas!$A$1:$C$3,3,0)</f>
        <v>1</v>
      </c>
      <c r="M122" s="70">
        <f>VLOOKUP(Tabla6[[#This Row],[PG]],Listas2!$G$14:$K$16,5,0)</f>
        <v>0</v>
      </c>
      <c r="N122" s="71">
        <v>1</v>
      </c>
      <c r="O122" s="72">
        <v>801</v>
      </c>
      <c r="P122" s="73" t="str">
        <f>VLOOKUP(Tabla6[[#This Row],[GEO]],Listas!$A$48:$B$77,2,0)</f>
        <v>ESMERALDAS</v>
      </c>
      <c r="Q122" s="70">
        <f>VLOOKUP(Tabla6[[#This Row],[PG]],Listas2!$G$14:$K$16,3,0)</f>
        <v>1</v>
      </c>
      <c r="R122" s="73">
        <f>VLOOKUP(Tabla6[[#This Row],[PG]],Listas2!H127:'Listas2'!$G$14:$K$16,4,0)</f>
        <v>0</v>
      </c>
      <c r="S122" s="73">
        <f>VLOOKUP(Tabla6[[#This Row],[PG]],Listas2!$G$14:$K$16,2,0)</f>
        <v>0</v>
      </c>
      <c r="T122" s="66" t="s">
        <v>84</v>
      </c>
      <c r="U122" s="74">
        <v>53</v>
      </c>
      <c r="V122" s="66">
        <v>530811</v>
      </c>
      <c r="W122" s="63" t="str">
        <f>VLOOKUP(Tabla6[[#This Row],[ÍTEM PRESUPUESTARIO]],Tabla2[#All],2,0)</f>
        <v>INSUMOS, MATERIALES Y SUMINISTROS PARA CONSTRUCCIÓN, ELECTRICIDAD, PLOMERÍA, CARPINTERÍA, SEÑALIZACIÓN VIAL, NAVEGACIÓN, CONTRA INCENDIOS Y PLACAS</v>
      </c>
      <c r="X122" s="57">
        <v>3500</v>
      </c>
      <c r="Y122" s="57">
        <f>3500-689.19</f>
        <v>2810.81</v>
      </c>
      <c r="Z122" s="58">
        <v>0</v>
      </c>
      <c r="AA122" s="58">
        <v>0</v>
      </c>
      <c r="AB122" s="58">
        <v>0</v>
      </c>
      <c r="AC122" s="58">
        <v>0</v>
      </c>
      <c r="AD122" s="58">
        <v>0</v>
      </c>
      <c r="AE122" s="58">
        <v>0</v>
      </c>
      <c r="AF122" s="58">
        <v>0</v>
      </c>
      <c r="AG122" s="58">
        <v>2810.81</v>
      </c>
      <c r="AH122" s="58">
        <v>0</v>
      </c>
      <c r="AI122" s="58">
        <v>0</v>
      </c>
      <c r="AJ122" s="58">
        <v>0</v>
      </c>
      <c r="AK122" s="58">
        <v>0</v>
      </c>
      <c r="AL122" s="75">
        <f>+SUBTOTAL(9,Tabla6[[#This Row],[ENE]:[DIC]])</f>
        <v>2810.81</v>
      </c>
      <c r="AM122" s="76" t="str">
        <f t="shared" si="1"/>
        <v>OK</v>
      </c>
      <c r="AN122" s="60">
        <v>2810.81</v>
      </c>
      <c r="AO122" s="61">
        <f>+Tabla6[[#This Row],[PRESUPUESTO VIGENTE]]-Tabla6[[#This Row],[CERTIFICACIÓN PAPP]]</f>
        <v>0</v>
      </c>
      <c r="AP122" s="59" t="s">
        <v>87</v>
      </c>
    </row>
    <row r="123" spans="1:42" ht="93" customHeight="1" x14ac:dyDescent="0.25">
      <c r="A123" s="62" t="s">
        <v>78</v>
      </c>
      <c r="B123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23" s="64" t="s">
        <v>85</v>
      </c>
      <c r="D123" s="64" t="s">
        <v>80</v>
      </c>
      <c r="E123" s="64" t="s">
        <v>81</v>
      </c>
      <c r="F123" s="64" t="s">
        <v>82</v>
      </c>
      <c r="G123" s="64" t="s">
        <v>86</v>
      </c>
      <c r="H123" s="65" t="str">
        <f>VLOOKUP(Tabla6[[#This Row],[DIRECCIÓN]],DIRECCIÓN[#All],2,0)</f>
        <v>COMUNICACIÓN SOCIAL</v>
      </c>
      <c r="I123" s="66" t="s">
        <v>837</v>
      </c>
      <c r="J123" s="67">
        <v>2</v>
      </c>
      <c r="K123" s="68" t="str">
        <f>VLOOKUP(Tabla6[[#This Row],[DIRECCIÓN GENERAL / COORDINACIÓN / SUBDIRECCIÓN]],Tabla37[[#All],[Columna1]:[EOD]],2,0)</f>
        <v>266_0001</v>
      </c>
      <c r="L123" s="69">
        <f>VLOOKUP(Tabla6[[#This Row],[OBJETIVOS PND]],Listas!$A$1:$C$3,3,0)</f>
        <v>1</v>
      </c>
      <c r="M123" s="70">
        <f>VLOOKUP(Tabla6[[#This Row],[PG]],Listas2!$G$14:$K$16,5,0)</f>
        <v>0</v>
      </c>
      <c r="N123" s="71">
        <v>1</v>
      </c>
      <c r="O123" s="72">
        <v>801</v>
      </c>
      <c r="P123" s="73" t="str">
        <f>VLOOKUP(Tabla6[[#This Row],[GEO]],Listas!$A$48:$B$77,2,0)</f>
        <v>ESMERALDAS</v>
      </c>
      <c r="Q123" s="70">
        <f>VLOOKUP(Tabla6[[#This Row],[PG]],Listas2!$G$14:$K$16,3,0)</f>
        <v>1</v>
      </c>
      <c r="R123" s="73">
        <f>VLOOKUP(Tabla6[[#This Row],[PG]],Listas2!H128:'Listas2'!$G$14:$K$16,4,0)</f>
        <v>0</v>
      </c>
      <c r="S123" s="73">
        <f>VLOOKUP(Tabla6[[#This Row],[PG]],Listas2!$G$14:$K$16,2,0)</f>
        <v>0</v>
      </c>
      <c r="T123" s="66" t="s">
        <v>84</v>
      </c>
      <c r="U123" s="74">
        <v>53</v>
      </c>
      <c r="V123" s="66">
        <v>530811</v>
      </c>
      <c r="W123" s="63" t="str">
        <f>VLOOKUP(Tabla6[[#This Row],[ÍTEM PRESUPUESTARIO]],Tabla2[#All],2,0)</f>
        <v>INSUMOS, MATERIALES Y SUMINISTROS PARA CONSTRUCCIÓN, ELECTRICIDAD, PLOMERÍA, CARPINTERÍA, SEÑALIZACIÓN VIAL, NAVEGACIÓN, CONTRA INCENDIOS Y PLACAS</v>
      </c>
      <c r="X123" s="57">
        <v>0</v>
      </c>
      <c r="Y123" s="57">
        <v>470</v>
      </c>
      <c r="Z123" s="58">
        <v>0</v>
      </c>
      <c r="AA123" s="58">
        <v>0</v>
      </c>
      <c r="AB123" s="58">
        <v>0</v>
      </c>
      <c r="AC123" s="58">
        <v>0</v>
      </c>
      <c r="AD123" s="58">
        <v>470</v>
      </c>
      <c r="AE123" s="58">
        <v>0</v>
      </c>
      <c r="AF123" s="58">
        <v>0</v>
      </c>
      <c r="AG123" s="58">
        <v>0</v>
      </c>
      <c r="AH123" s="58">
        <v>0</v>
      </c>
      <c r="AI123" s="58">
        <v>0</v>
      </c>
      <c r="AJ123" s="58">
        <v>0</v>
      </c>
      <c r="AK123" s="58">
        <v>0</v>
      </c>
      <c r="AL123" s="75">
        <f>+SUBTOTAL(9,Tabla6[[#This Row],[ENE]:[DIC]])</f>
        <v>470</v>
      </c>
      <c r="AM123" s="76" t="str">
        <f t="shared" si="1"/>
        <v>OK</v>
      </c>
      <c r="AN123" s="60">
        <v>470</v>
      </c>
      <c r="AO123" s="61">
        <f>+Tabla6[[#This Row],[PRESUPUESTO VIGENTE]]-Tabla6[[#This Row],[CERTIFICACIÓN PAPP]]</f>
        <v>0</v>
      </c>
      <c r="AP123" s="59">
        <v>0</v>
      </c>
    </row>
    <row r="124" spans="1:42" ht="93" customHeight="1" x14ac:dyDescent="0.25">
      <c r="A124" s="62" t="s">
        <v>78</v>
      </c>
      <c r="B124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24" s="64" t="s">
        <v>85</v>
      </c>
      <c r="D124" s="64" t="s">
        <v>80</v>
      </c>
      <c r="E124" s="64" t="s">
        <v>81</v>
      </c>
      <c r="F124" s="64" t="s">
        <v>82</v>
      </c>
      <c r="G124" s="64" t="s">
        <v>86</v>
      </c>
      <c r="H124" s="65" t="str">
        <f>VLOOKUP(Tabla6[[#This Row],[DIRECCIÓN]],DIRECCIÓN[#All],2,0)</f>
        <v>COMUNICACIÓN SOCIAL</v>
      </c>
      <c r="I124" s="66" t="s">
        <v>863</v>
      </c>
      <c r="J124" s="67">
        <v>1</v>
      </c>
      <c r="K124" s="68" t="str">
        <f>VLOOKUP(Tabla6[[#This Row],[DIRECCIÓN GENERAL / COORDINACIÓN / SUBDIRECCIÓN]],Tabla37[[#All],[Columna1]:[EOD]],2,0)</f>
        <v>266_0001</v>
      </c>
      <c r="L124" s="69">
        <f>VLOOKUP(Tabla6[[#This Row],[OBJETIVOS PND]],Listas!$A$1:$C$3,3,0)</f>
        <v>1</v>
      </c>
      <c r="M124" s="70">
        <f>VLOOKUP(Tabla6[[#This Row],[PG]],Listas2!$G$14:$K$16,5,0)</f>
        <v>0</v>
      </c>
      <c r="N124" s="71">
        <v>1</v>
      </c>
      <c r="O124" s="72">
        <v>801</v>
      </c>
      <c r="P124" s="73" t="str">
        <f>VLOOKUP(Tabla6[[#This Row],[GEO]],Listas!$A$48:$B$77,2,0)</f>
        <v>ESMERALDAS</v>
      </c>
      <c r="Q124" s="70">
        <f>VLOOKUP(Tabla6[[#This Row],[PG]],Listas2!$G$14:$K$16,3,0)</f>
        <v>1</v>
      </c>
      <c r="R124" s="73">
        <f>VLOOKUP(Tabla6[[#This Row],[PG]],Listas2!H129:'Listas2'!$G$14:$K$16,4,0)</f>
        <v>0</v>
      </c>
      <c r="S124" s="73">
        <f>VLOOKUP(Tabla6[[#This Row],[PG]],Listas2!$G$14:$K$16,2,0)</f>
        <v>0</v>
      </c>
      <c r="T124" s="66" t="s">
        <v>84</v>
      </c>
      <c r="U124" s="74">
        <v>53</v>
      </c>
      <c r="V124" s="66">
        <v>530812</v>
      </c>
      <c r="W124" s="63" t="str">
        <f>VLOOKUP(Tabla6[[#This Row],[ÍTEM PRESUPUESTARIO]],Tabla2[#All],2,0)</f>
        <v>MATERIALES DIDÁCTICOS</v>
      </c>
      <c r="X124" s="57">
        <v>1295</v>
      </c>
      <c r="Y124" s="57">
        <f>1295-1295</f>
        <v>0</v>
      </c>
      <c r="Z124" s="58">
        <v>0</v>
      </c>
      <c r="AA124" s="58">
        <v>0</v>
      </c>
      <c r="AB124" s="58">
        <v>0</v>
      </c>
      <c r="AC124" s="58">
        <v>0</v>
      </c>
      <c r="AD124" s="58">
        <v>0</v>
      </c>
      <c r="AE124" s="58">
        <v>0</v>
      </c>
      <c r="AF124" s="58">
        <v>0</v>
      </c>
      <c r="AG124" s="58">
        <v>0</v>
      </c>
      <c r="AH124" s="58">
        <v>0</v>
      </c>
      <c r="AI124" s="58">
        <v>0</v>
      </c>
      <c r="AJ124" s="58">
        <v>0</v>
      </c>
      <c r="AK124" s="58">
        <v>0</v>
      </c>
      <c r="AL124" s="75">
        <f>+SUBTOTAL(9,Tabla6[[#This Row],[ENE]:[DIC]])</f>
        <v>0</v>
      </c>
      <c r="AM124" s="76" t="str">
        <f t="shared" si="1"/>
        <v>OK</v>
      </c>
      <c r="AN124" s="60">
        <v>0</v>
      </c>
      <c r="AO124" s="61">
        <f>+Tabla6[[#This Row],[PRESUPUESTO VIGENTE]]-Tabla6[[#This Row],[CERTIFICACIÓN PAPP]]</f>
        <v>0</v>
      </c>
      <c r="AP124" s="59">
        <v>0</v>
      </c>
    </row>
    <row r="125" spans="1:42" ht="93" customHeight="1" x14ac:dyDescent="0.25">
      <c r="A125" s="62" t="s">
        <v>78</v>
      </c>
      <c r="B125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25" s="64" t="s">
        <v>85</v>
      </c>
      <c r="D125" s="64" t="s">
        <v>80</v>
      </c>
      <c r="E125" s="64" t="s">
        <v>81</v>
      </c>
      <c r="F125" s="64" t="s">
        <v>82</v>
      </c>
      <c r="G125" s="64" t="s">
        <v>86</v>
      </c>
      <c r="H125" s="65" t="str">
        <f>VLOOKUP(Tabla6[[#This Row],[DIRECCIÓN]],DIRECCIÓN[#All],2,0)</f>
        <v>COMUNICACIÓN SOCIAL</v>
      </c>
      <c r="I125" s="66" t="s">
        <v>864</v>
      </c>
      <c r="J125" s="67">
        <v>1</v>
      </c>
      <c r="K125" s="68" t="str">
        <f>VLOOKUP(Tabla6[[#This Row],[DIRECCIÓN GENERAL / COORDINACIÓN / SUBDIRECCIÓN]],Tabla37[[#All],[Columna1]:[EOD]],2,0)</f>
        <v>266_0001</v>
      </c>
      <c r="L125" s="69">
        <f>VLOOKUP(Tabla6[[#This Row],[OBJETIVOS PND]],Listas!$A$1:$C$3,3,0)</f>
        <v>1</v>
      </c>
      <c r="M125" s="70">
        <f>VLOOKUP(Tabla6[[#This Row],[PG]],Listas2!$G$14:$K$16,5,0)</f>
        <v>0</v>
      </c>
      <c r="N125" s="71">
        <v>1</v>
      </c>
      <c r="O125" s="72">
        <v>801</v>
      </c>
      <c r="P125" s="73" t="str">
        <f>VLOOKUP(Tabla6[[#This Row],[GEO]],Listas!$A$48:$B$77,2,0)</f>
        <v>ESMERALDAS</v>
      </c>
      <c r="Q125" s="70">
        <f>VLOOKUP(Tabla6[[#This Row],[PG]],Listas2!$G$14:$K$16,3,0)</f>
        <v>1</v>
      </c>
      <c r="R125" s="73">
        <f>VLOOKUP(Tabla6[[#This Row],[PG]],Listas2!H130:'Listas2'!$G$14:$K$16,4,0)</f>
        <v>0</v>
      </c>
      <c r="S125" s="73">
        <f>VLOOKUP(Tabla6[[#This Row],[PG]],Listas2!$G$14:$K$16,2,0)</f>
        <v>0</v>
      </c>
      <c r="T125" s="66" t="s">
        <v>84</v>
      </c>
      <c r="U125" s="74">
        <v>53</v>
      </c>
      <c r="V125" s="66">
        <v>530812</v>
      </c>
      <c r="W125" s="63" t="str">
        <f>VLOOKUP(Tabla6[[#This Row],[ÍTEM PRESUPUESTARIO]],Tabla2[#All],2,0)</f>
        <v>MATERIALES DIDÁCTICOS</v>
      </c>
      <c r="X125" s="57">
        <v>6508</v>
      </c>
      <c r="Y125" s="57">
        <f>6508-6508</f>
        <v>0</v>
      </c>
      <c r="Z125" s="58">
        <v>0</v>
      </c>
      <c r="AA125" s="58">
        <v>0</v>
      </c>
      <c r="AB125" s="58">
        <v>0</v>
      </c>
      <c r="AC125" s="58">
        <v>0</v>
      </c>
      <c r="AD125" s="58">
        <v>0</v>
      </c>
      <c r="AE125" s="58">
        <v>0</v>
      </c>
      <c r="AF125" s="58">
        <v>0</v>
      </c>
      <c r="AG125" s="58">
        <v>0</v>
      </c>
      <c r="AH125" s="58">
        <v>0</v>
      </c>
      <c r="AI125" s="58">
        <v>0</v>
      </c>
      <c r="AJ125" s="58">
        <v>0</v>
      </c>
      <c r="AK125" s="58">
        <v>0</v>
      </c>
      <c r="AL125" s="75">
        <f>+SUBTOTAL(9,Tabla6[[#This Row],[ENE]:[DIC]])</f>
        <v>0</v>
      </c>
      <c r="AM125" s="76" t="str">
        <f t="shared" si="1"/>
        <v>OK</v>
      </c>
      <c r="AN125" s="60">
        <v>0</v>
      </c>
      <c r="AO125" s="61">
        <f>+Tabla6[[#This Row],[PRESUPUESTO VIGENTE]]-Tabla6[[#This Row],[CERTIFICACIÓN PAPP]]</f>
        <v>0</v>
      </c>
      <c r="AP125" s="59">
        <v>0</v>
      </c>
    </row>
    <row r="126" spans="1:42" ht="93" customHeight="1" x14ac:dyDescent="0.25">
      <c r="A126" s="62" t="s">
        <v>78</v>
      </c>
      <c r="B126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26" s="64" t="s">
        <v>79</v>
      </c>
      <c r="D126" s="64" t="s">
        <v>80</v>
      </c>
      <c r="E126" s="64" t="s">
        <v>81</v>
      </c>
      <c r="F126" s="64" t="s">
        <v>82</v>
      </c>
      <c r="G126" s="64" t="s">
        <v>83</v>
      </c>
      <c r="H126" s="65" t="str">
        <f>VLOOKUP(Tabla6[[#This Row],[DIRECCIÓN]],DIRECCIÓN[#All],2,0)</f>
        <v>ADMINISTRACIÓN CENTRAL</v>
      </c>
      <c r="I126" s="66" t="s">
        <v>865</v>
      </c>
      <c r="J126" s="67">
        <v>1</v>
      </c>
      <c r="K126" s="68" t="str">
        <f>VLOOKUP(Tabla6[[#This Row],[DIRECCIÓN GENERAL / COORDINACIÓN / SUBDIRECCIÓN]],Tabla37[[#All],[Columna1]:[EOD]],2,0)</f>
        <v>266_0001</v>
      </c>
      <c r="L126" s="69">
        <f>VLOOKUP(Tabla6[[#This Row],[OBJETIVOS PND]],Listas!$A$1:$C$3,3,0)</f>
        <v>1</v>
      </c>
      <c r="M126" s="70">
        <f>VLOOKUP(Tabla6[[#This Row],[PG]],Listas2!$G$14:$K$16,5,0)</f>
        <v>0</v>
      </c>
      <c r="N126" s="71">
        <v>1</v>
      </c>
      <c r="O126" s="72">
        <v>801</v>
      </c>
      <c r="P126" s="73" t="str">
        <f>VLOOKUP(Tabla6[[#This Row],[GEO]],Listas!$A$48:$B$77,2,0)</f>
        <v>ESMERALDAS</v>
      </c>
      <c r="Q126" s="70">
        <f>VLOOKUP(Tabla6[[#This Row],[PG]],Listas2!$G$14:$K$16,3,0)</f>
        <v>1</v>
      </c>
      <c r="R126" s="73">
        <f>VLOOKUP(Tabla6[[#This Row],[PG]],Listas2!H131:'Listas2'!$G$14:$K$16,4,0)</f>
        <v>0</v>
      </c>
      <c r="S126" s="73">
        <f>VLOOKUP(Tabla6[[#This Row],[PG]],Listas2!$G$14:$K$16,2,0)</f>
        <v>0</v>
      </c>
      <c r="T126" s="66" t="s">
        <v>84</v>
      </c>
      <c r="U126" s="74">
        <v>53</v>
      </c>
      <c r="V126" s="66">
        <v>530813</v>
      </c>
      <c r="W126" s="63" t="str">
        <f>VLOOKUP(Tabla6[[#This Row],[ÍTEM PRESUPUESTARIO]],Tabla2[#All],2,0)</f>
        <v>REPUESTOS Y ACCESORIOS</v>
      </c>
      <c r="X126" s="57">
        <v>1321</v>
      </c>
      <c r="Y126" s="57">
        <f>1321+1060.5-9.53</f>
        <v>2371.9699999999998</v>
      </c>
      <c r="Z126" s="58">
        <v>0</v>
      </c>
      <c r="AA126" s="58">
        <v>0</v>
      </c>
      <c r="AB126" s="58">
        <v>0</v>
      </c>
      <c r="AC126" s="58">
        <v>476.3</v>
      </c>
      <c r="AD126" s="58">
        <v>0</v>
      </c>
      <c r="AE126" s="58">
        <v>476.3</v>
      </c>
      <c r="AF126" s="58">
        <v>0</v>
      </c>
      <c r="AG126" s="58">
        <v>476.3</v>
      </c>
      <c r="AH126" s="58">
        <v>0</v>
      </c>
      <c r="AI126" s="58">
        <v>476.3</v>
      </c>
      <c r="AJ126" s="58">
        <v>0</v>
      </c>
      <c r="AK126" s="58">
        <v>466.76999999999975</v>
      </c>
      <c r="AL126" s="75">
        <f>+SUBTOTAL(9,Tabla6[[#This Row],[ENE]:[DIC]])</f>
        <v>2371.9699999999998</v>
      </c>
      <c r="AM126" s="76" t="str">
        <f t="shared" si="1"/>
        <v>OK</v>
      </c>
      <c r="AN126" s="60">
        <v>2371.9699999999998</v>
      </c>
      <c r="AO126" s="61">
        <f>+Tabla6[[#This Row],[PRESUPUESTO VIGENTE]]-Tabla6[[#This Row],[CERTIFICACIÓN PAPP]]</f>
        <v>0</v>
      </c>
      <c r="AP126" s="59" t="s">
        <v>87</v>
      </c>
    </row>
    <row r="127" spans="1:42" ht="93" customHeight="1" x14ac:dyDescent="0.25">
      <c r="A127" s="62" t="s">
        <v>78</v>
      </c>
      <c r="B127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27" s="64" t="s">
        <v>79</v>
      </c>
      <c r="D127" s="64" t="s">
        <v>80</v>
      </c>
      <c r="E127" s="64" t="s">
        <v>81</v>
      </c>
      <c r="F127" s="64" t="s">
        <v>82</v>
      </c>
      <c r="G127" s="64" t="s">
        <v>83</v>
      </c>
      <c r="H127" s="65" t="str">
        <f>VLOOKUP(Tabla6[[#This Row],[DIRECCIÓN]],DIRECCIÓN[#All],2,0)</f>
        <v>ADMINISTRACIÓN CENTRAL</v>
      </c>
      <c r="I127" s="66" t="s">
        <v>866</v>
      </c>
      <c r="J127" s="67">
        <v>1</v>
      </c>
      <c r="K127" s="68" t="str">
        <f>VLOOKUP(Tabla6[[#This Row],[DIRECCIÓN GENERAL / COORDINACIÓN / SUBDIRECCIÓN]],Tabla37[[#All],[Columna1]:[EOD]],2,0)</f>
        <v>266_0001</v>
      </c>
      <c r="L127" s="69">
        <f>VLOOKUP(Tabla6[[#This Row],[OBJETIVOS PND]],Listas!$A$1:$C$3,3,0)</f>
        <v>1</v>
      </c>
      <c r="M127" s="70">
        <f>VLOOKUP(Tabla6[[#This Row],[PG]],Listas2!$G$14:$K$16,5,0)</f>
        <v>0</v>
      </c>
      <c r="N127" s="71">
        <v>1</v>
      </c>
      <c r="O127" s="72">
        <v>801</v>
      </c>
      <c r="P127" s="73" t="str">
        <f>VLOOKUP(Tabla6[[#This Row],[GEO]],Listas!$A$48:$B$77,2,0)</f>
        <v>ESMERALDAS</v>
      </c>
      <c r="Q127" s="70">
        <f>VLOOKUP(Tabla6[[#This Row],[PG]],Listas2!$G$14:$K$16,3,0)</f>
        <v>1</v>
      </c>
      <c r="R127" s="73">
        <f>VLOOKUP(Tabla6[[#This Row],[PG]],Listas2!H132:'Listas2'!$G$14:$K$16,4,0)</f>
        <v>0</v>
      </c>
      <c r="S127" s="73">
        <f>VLOOKUP(Tabla6[[#This Row],[PG]],Listas2!$G$14:$K$16,2,0)</f>
        <v>0</v>
      </c>
      <c r="T127" s="66" t="s">
        <v>84</v>
      </c>
      <c r="U127" s="74">
        <v>53</v>
      </c>
      <c r="V127" s="66">
        <v>530813</v>
      </c>
      <c r="W127" s="63" t="str">
        <f>VLOOKUP(Tabla6[[#This Row],[ÍTEM PRESUPUESTARIO]],Tabla2[#All],2,0)</f>
        <v>REPUESTOS Y ACCESORIOS</v>
      </c>
      <c r="X127" s="57">
        <v>200</v>
      </c>
      <c r="Y127" s="57">
        <f>200-200+200</f>
        <v>200</v>
      </c>
      <c r="Z127" s="58">
        <v>0</v>
      </c>
      <c r="AA127" s="58">
        <v>0</v>
      </c>
      <c r="AB127" s="58">
        <v>0</v>
      </c>
      <c r="AC127" s="58">
        <v>0</v>
      </c>
      <c r="AD127" s="58">
        <v>0</v>
      </c>
      <c r="AE127" s="58">
        <v>0</v>
      </c>
      <c r="AF127" s="58">
        <v>0</v>
      </c>
      <c r="AG127" s="58">
        <v>0</v>
      </c>
      <c r="AH127" s="58">
        <v>0</v>
      </c>
      <c r="AI127" s="58">
        <v>0</v>
      </c>
      <c r="AJ127" s="58">
        <v>0</v>
      </c>
      <c r="AK127" s="58">
        <v>200</v>
      </c>
      <c r="AL127" s="75">
        <f>+SUBTOTAL(9,Tabla6[[#This Row],[ENE]:[DIC]])</f>
        <v>200</v>
      </c>
      <c r="AM127" s="76" t="str">
        <f t="shared" si="1"/>
        <v>OK</v>
      </c>
      <c r="AN127" s="60">
        <v>200</v>
      </c>
      <c r="AO127" s="61">
        <f>+Tabla6[[#This Row],[PRESUPUESTO VIGENTE]]-Tabla6[[#This Row],[CERTIFICACIÓN PAPP]]</f>
        <v>0</v>
      </c>
      <c r="AP127" s="59" t="s">
        <v>87</v>
      </c>
    </row>
    <row r="128" spans="1:42" ht="93" customHeight="1" x14ac:dyDescent="0.25">
      <c r="A128" s="62" t="s">
        <v>78</v>
      </c>
      <c r="B128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28" s="64" t="s">
        <v>79</v>
      </c>
      <c r="D128" s="64" t="s">
        <v>80</v>
      </c>
      <c r="E128" s="64" t="s">
        <v>81</v>
      </c>
      <c r="F128" s="64" t="s">
        <v>82</v>
      </c>
      <c r="G128" s="64" t="s">
        <v>83</v>
      </c>
      <c r="H128" s="65" t="str">
        <f>VLOOKUP(Tabla6[[#This Row],[DIRECCIÓN]],DIRECCIÓN[#All],2,0)</f>
        <v>ADMINISTRACIÓN CENTRAL</v>
      </c>
      <c r="I128" s="66" t="s">
        <v>867</v>
      </c>
      <c r="J128" s="67">
        <v>1</v>
      </c>
      <c r="K128" s="68" t="str">
        <f>VLOOKUP(Tabla6[[#This Row],[DIRECCIÓN GENERAL / COORDINACIÓN / SUBDIRECCIÓN]],Tabla37[[#All],[Columna1]:[EOD]],2,0)</f>
        <v>266_0001</v>
      </c>
      <c r="L128" s="69">
        <f>VLOOKUP(Tabla6[[#This Row],[OBJETIVOS PND]],Listas!$A$1:$C$3,3,0)</f>
        <v>1</v>
      </c>
      <c r="M128" s="70">
        <f>VLOOKUP(Tabla6[[#This Row],[PG]],Listas2!$G$14:$K$16,5,0)</f>
        <v>0</v>
      </c>
      <c r="N128" s="71">
        <v>1</v>
      </c>
      <c r="O128" s="72">
        <v>801</v>
      </c>
      <c r="P128" s="73" t="str">
        <f>VLOOKUP(Tabla6[[#This Row],[GEO]],Listas!$A$48:$B$77,2,0)</f>
        <v>ESMERALDAS</v>
      </c>
      <c r="Q128" s="70">
        <f>VLOOKUP(Tabla6[[#This Row],[PG]],Listas2!$G$14:$K$16,3,0)</f>
        <v>1</v>
      </c>
      <c r="R128" s="73">
        <f>VLOOKUP(Tabla6[[#This Row],[PG]],Listas2!H133:'Listas2'!$G$14:$K$16,4,0)</f>
        <v>0</v>
      </c>
      <c r="S128" s="73">
        <f>VLOOKUP(Tabla6[[#This Row],[PG]],Listas2!$G$14:$K$16,2,0)</f>
        <v>0</v>
      </c>
      <c r="T128" s="66" t="s">
        <v>84</v>
      </c>
      <c r="U128" s="74">
        <v>53</v>
      </c>
      <c r="V128" s="66">
        <v>530813</v>
      </c>
      <c r="W128" s="63" t="str">
        <f>VLOOKUP(Tabla6[[#This Row],[ÍTEM PRESUPUESTARIO]],Tabla2[#All],2,0)</f>
        <v>REPUESTOS Y ACCESORIOS</v>
      </c>
      <c r="X128" s="57">
        <v>3284</v>
      </c>
      <c r="Y128" s="57">
        <f>3284-265-1996.53</f>
        <v>1022.47</v>
      </c>
      <c r="Z128" s="58">
        <v>0</v>
      </c>
      <c r="AA128" s="58">
        <v>0</v>
      </c>
      <c r="AB128" s="58">
        <v>0</v>
      </c>
      <c r="AC128" s="58">
        <v>0</v>
      </c>
      <c r="AD128" s="58">
        <v>0</v>
      </c>
      <c r="AE128" s="58">
        <v>0</v>
      </c>
      <c r="AF128" s="58">
        <v>0</v>
      </c>
      <c r="AG128" s="58">
        <v>0</v>
      </c>
      <c r="AH128" s="58">
        <v>1022.47</v>
      </c>
      <c r="AI128" s="58">
        <v>0</v>
      </c>
      <c r="AJ128" s="58">
        <v>0</v>
      </c>
      <c r="AK128" s="58">
        <v>0</v>
      </c>
      <c r="AL128" s="75">
        <f>+SUBTOTAL(9,Tabla6[[#This Row],[ENE]:[DIC]])</f>
        <v>1022.47</v>
      </c>
      <c r="AM128" s="76" t="str">
        <f t="shared" si="1"/>
        <v>OK</v>
      </c>
      <c r="AN128" s="60">
        <v>1022.47</v>
      </c>
      <c r="AO128" s="61">
        <f>+Tabla6[[#This Row],[PRESUPUESTO VIGENTE]]-Tabla6[[#This Row],[CERTIFICACIÓN PAPP]]</f>
        <v>0</v>
      </c>
      <c r="AP128" s="59" t="s">
        <v>87</v>
      </c>
    </row>
    <row r="129" spans="1:42" ht="93" customHeight="1" x14ac:dyDescent="0.25">
      <c r="A129" s="62" t="s">
        <v>78</v>
      </c>
      <c r="B129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29" s="64" t="s">
        <v>79</v>
      </c>
      <c r="D129" s="64" t="s">
        <v>80</v>
      </c>
      <c r="E129" s="64" t="s">
        <v>81</v>
      </c>
      <c r="F129" s="64" t="s">
        <v>82</v>
      </c>
      <c r="G129" s="64" t="s">
        <v>83</v>
      </c>
      <c r="H129" s="65" t="str">
        <f>VLOOKUP(Tabla6[[#This Row],[DIRECCIÓN]],DIRECCIÓN[#All],2,0)</f>
        <v>ADMINISTRACIÓN CENTRAL</v>
      </c>
      <c r="I129" s="66" t="s">
        <v>868</v>
      </c>
      <c r="J129" s="67">
        <v>2</v>
      </c>
      <c r="K129" s="68" t="str">
        <f>VLOOKUP(Tabla6[[#This Row],[DIRECCIÓN GENERAL / COORDINACIÓN / SUBDIRECCIÓN]],Tabla37[[#All],[Columna1]:[EOD]],2,0)</f>
        <v>266_0001</v>
      </c>
      <c r="L129" s="69">
        <f>VLOOKUP(Tabla6[[#This Row],[OBJETIVOS PND]],Listas!$A$1:$C$3,3,0)</f>
        <v>1</v>
      </c>
      <c r="M129" s="70">
        <f>VLOOKUP(Tabla6[[#This Row],[PG]],Listas2!$G$14:$K$16,5,0)</f>
        <v>0</v>
      </c>
      <c r="N129" s="71">
        <v>1</v>
      </c>
      <c r="O129" s="72">
        <v>801</v>
      </c>
      <c r="P129" s="73" t="str">
        <f>VLOOKUP(Tabla6[[#This Row],[GEO]],Listas!$A$48:$B$77,2,0)</f>
        <v>ESMERALDAS</v>
      </c>
      <c r="Q129" s="70">
        <f>VLOOKUP(Tabla6[[#This Row],[PG]],Listas2!$G$14:$K$16,3,0)</f>
        <v>1</v>
      </c>
      <c r="R129" s="73">
        <f>VLOOKUP(Tabla6[[#This Row],[PG]],Listas2!H134:'Listas2'!$G$14:$K$16,4,0)</f>
        <v>0</v>
      </c>
      <c r="S129" s="73">
        <f>VLOOKUP(Tabla6[[#This Row],[PG]],Listas2!$G$14:$K$16,2,0)</f>
        <v>0</v>
      </c>
      <c r="T129" s="66" t="s">
        <v>84</v>
      </c>
      <c r="U129" s="74">
        <v>53</v>
      </c>
      <c r="V129" s="66">
        <v>530813</v>
      </c>
      <c r="W129" s="63" t="str">
        <f>VLOOKUP(Tabla6[[#This Row],[ÍTEM PRESUPUESTARIO]],Tabla2[#All],2,0)</f>
        <v>REPUESTOS Y ACCESORIOS</v>
      </c>
      <c r="X129" s="57">
        <v>0</v>
      </c>
      <c r="Y129" s="57">
        <f>2257.4+32.6</f>
        <v>2290</v>
      </c>
      <c r="Z129" s="58">
        <v>0</v>
      </c>
      <c r="AA129" s="58">
        <v>0</v>
      </c>
      <c r="AB129" s="58">
        <v>0</v>
      </c>
      <c r="AC129" s="58">
        <v>0</v>
      </c>
      <c r="AD129" s="58">
        <v>2290</v>
      </c>
      <c r="AE129" s="58">
        <v>0</v>
      </c>
      <c r="AF129" s="58">
        <v>0</v>
      </c>
      <c r="AG129" s="58">
        <v>0</v>
      </c>
      <c r="AH129" s="58">
        <v>0</v>
      </c>
      <c r="AI129" s="58">
        <v>0</v>
      </c>
      <c r="AJ129" s="58">
        <v>0</v>
      </c>
      <c r="AK129" s="58">
        <v>0</v>
      </c>
      <c r="AL129" s="75">
        <f>+SUBTOTAL(9,Tabla6[[#This Row],[ENE]:[DIC]])</f>
        <v>2290</v>
      </c>
      <c r="AM129" s="76" t="str">
        <f t="shared" si="1"/>
        <v>OK</v>
      </c>
      <c r="AN129" s="60">
        <v>2290</v>
      </c>
      <c r="AO129" s="61">
        <f>+Tabla6[[#This Row],[PRESUPUESTO VIGENTE]]-Tabla6[[#This Row],[CERTIFICACIÓN PAPP]]</f>
        <v>0</v>
      </c>
      <c r="AP129" s="59" t="s">
        <v>87</v>
      </c>
    </row>
    <row r="130" spans="1:42" ht="93" customHeight="1" x14ac:dyDescent="0.25">
      <c r="A130" s="62" t="s">
        <v>78</v>
      </c>
      <c r="B130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30" s="64" t="s">
        <v>79</v>
      </c>
      <c r="D130" s="64" t="s">
        <v>80</v>
      </c>
      <c r="E130" s="64" t="s">
        <v>81</v>
      </c>
      <c r="F130" s="64" t="s">
        <v>82</v>
      </c>
      <c r="G130" s="64" t="s">
        <v>83</v>
      </c>
      <c r="H130" s="65" t="str">
        <f>VLOOKUP(Tabla6[[#This Row],[DIRECCIÓN]],DIRECCIÓN[#All],2,0)</f>
        <v>ADMINISTRACIÓN CENTRAL</v>
      </c>
      <c r="I130" s="66" t="s">
        <v>869</v>
      </c>
      <c r="J130" s="67">
        <v>1</v>
      </c>
      <c r="K130" s="68" t="str">
        <f>VLOOKUP(Tabla6[[#This Row],[DIRECCIÓN GENERAL / COORDINACIÓN / SUBDIRECCIÓN]],Tabla37[[#All],[Columna1]:[EOD]],2,0)</f>
        <v>266_0001</v>
      </c>
      <c r="L130" s="69">
        <f>VLOOKUP(Tabla6[[#This Row],[OBJETIVOS PND]],Listas!$A$1:$C$3,3,0)</f>
        <v>1</v>
      </c>
      <c r="M130" s="70">
        <f>VLOOKUP(Tabla6[[#This Row],[PG]],Listas2!$G$14:$K$16,5,0)</f>
        <v>0</v>
      </c>
      <c r="N130" s="71">
        <v>1</v>
      </c>
      <c r="O130" s="72">
        <v>801</v>
      </c>
      <c r="P130" s="73" t="str">
        <f>VLOOKUP(Tabla6[[#This Row],[GEO]],Listas!$A$48:$B$77,2,0)</f>
        <v>ESMERALDAS</v>
      </c>
      <c r="Q130" s="70">
        <f>VLOOKUP(Tabla6[[#This Row],[PG]],Listas2!$G$14:$K$16,3,0)</f>
        <v>1</v>
      </c>
      <c r="R130" s="73">
        <f>VLOOKUP(Tabla6[[#This Row],[PG]],Listas2!H135:'Listas2'!$G$14:$K$16,4,0)</f>
        <v>0</v>
      </c>
      <c r="S130" s="73">
        <f>VLOOKUP(Tabla6[[#This Row],[PG]],Listas2!$G$14:$K$16,2,0)</f>
        <v>0</v>
      </c>
      <c r="T130" s="66" t="s">
        <v>84</v>
      </c>
      <c r="U130" s="74" t="s">
        <v>91</v>
      </c>
      <c r="V130" s="66">
        <v>530813</v>
      </c>
      <c r="W130" s="63" t="str">
        <f>VLOOKUP(Tabla6[[#This Row],[ÍTEM PRESUPUESTARIO]],Tabla2[#All],2,0)</f>
        <v>REPUESTOS Y ACCESORIOS</v>
      </c>
      <c r="X130" s="57">
        <v>0</v>
      </c>
      <c r="Y130" s="57">
        <f>3000-1790</f>
        <v>1210</v>
      </c>
      <c r="Z130" s="58">
        <v>0</v>
      </c>
      <c r="AA130" s="58">
        <v>0</v>
      </c>
      <c r="AB130" s="58">
        <v>0</v>
      </c>
      <c r="AC130" s="58">
        <v>0</v>
      </c>
      <c r="AD130" s="58">
        <v>0</v>
      </c>
      <c r="AE130" s="58">
        <v>0</v>
      </c>
      <c r="AF130" s="58">
        <v>0</v>
      </c>
      <c r="AG130" s="58">
        <v>1210</v>
      </c>
      <c r="AH130" s="58">
        <v>0</v>
      </c>
      <c r="AI130" s="58">
        <v>0</v>
      </c>
      <c r="AJ130" s="58">
        <v>0</v>
      </c>
      <c r="AK130" s="58">
        <v>0</v>
      </c>
      <c r="AL130" s="75">
        <f>+SUBTOTAL(9,Tabla6[[#This Row],[ENE]:[DIC]])</f>
        <v>1210</v>
      </c>
      <c r="AM130" s="76" t="str">
        <f t="shared" si="1"/>
        <v>OK</v>
      </c>
      <c r="AN130" s="60">
        <v>1210</v>
      </c>
      <c r="AO130" s="61">
        <f>+Tabla6[[#This Row],[PRESUPUESTO VIGENTE]]-Tabla6[[#This Row],[CERTIFICACIÓN PAPP]]</f>
        <v>0</v>
      </c>
      <c r="AP130" s="59">
        <v>0</v>
      </c>
    </row>
    <row r="131" spans="1:42" ht="93" customHeight="1" x14ac:dyDescent="0.25">
      <c r="A131" s="62" t="s">
        <v>78</v>
      </c>
      <c r="B131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31" s="64" t="s">
        <v>79</v>
      </c>
      <c r="D131" s="64" t="s">
        <v>80</v>
      </c>
      <c r="E131" s="64" t="s">
        <v>81</v>
      </c>
      <c r="F131" s="64" t="s">
        <v>82</v>
      </c>
      <c r="G131" s="64" t="s">
        <v>83</v>
      </c>
      <c r="H131" s="65" t="str">
        <f>VLOOKUP(Tabla6[[#This Row],[DIRECCIÓN]],DIRECCIÓN[#All],2,0)</f>
        <v>ADMINISTRACIÓN CENTRAL</v>
      </c>
      <c r="I131" s="66" t="s">
        <v>870</v>
      </c>
      <c r="J131" s="67">
        <v>2</v>
      </c>
      <c r="K131" s="68" t="str">
        <f>VLOOKUP(Tabla6[[#This Row],[DIRECCIÓN GENERAL / COORDINACIÓN / SUBDIRECCIÓN]],Tabla37[[#All],[Columna1]:[EOD]],2,0)</f>
        <v>266_0001</v>
      </c>
      <c r="L131" s="69">
        <f>VLOOKUP(Tabla6[[#This Row],[OBJETIVOS PND]],Listas!$A$1:$C$3,3,0)</f>
        <v>1</v>
      </c>
      <c r="M131" s="70">
        <f>VLOOKUP(Tabla6[[#This Row],[PG]],Listas2!$G$14:$K$16,5,0)</f>
        <v>0</v>
      </c>
      <c r="N131" s="71">
        <v>1</v>
      </c>
      <c r="O131" s="72">
        <v>801</v>
      </c>
      <c r="P131" s="73" t="str">
        <f>VLOOKUP(Tabla6[[#This Row],[GEO]],Listas!$A$48:$B$77,2,0)</f>
        <v>ESMERALDAS</v>
      </c>
      <c r="Q131" s="70">
        <f>VLOOKUP(Tabla6[[#This Row],[PG]],Listas2!$G$14:$K$16,3,0)</f>
        <v>1</v>
      </c>
      <c r="R131" s="73">
        <f>VLOOKUP(Tabla6[[#This Row],[PG]],Listas2!H136:'Listas2'!$G$14:$K$16,4,0)</f>
        <v>0</v>
      </c>
      <c r="S131" s="73">
        <f>VLOOKUP(Tabla6[[#This Row],[PG]],Listas2!$G$14:$K$16,2,0)</f>
        <v>0</v>
      </c>
      <c r="T131" s="66" t="s">
        <v>84</v>
      </c>
      <c r="U131" s="74">
        <v>53</v>
      </c>
      <c r="V131" s="66">
        <v>530813</v>
      </c>
      <c r="W131" s="63" t="str">
        <f>VLOOKUP(Tabla6[[#This Row],[ÍTEM PRESUPUESTARIO]],Tabla2[#All],2,0)</f>
        <v>REPUESTOS Y ACCESORIOS</v>
      </c>
      <c r="X131" s="57">
        <v>0</v>
      </c>
      <c r="Y131" s="57">
        <f>2000-1800-179</f>
        <v>21</v>
      </c>
      <c r="Z131" s="58">
        <v>0</v>
      </c>
      <c r="AA131" s="58">
        <v>0</v>
      </c>
      <c r="AB131" s="58">
        <v>0</v>
      </c>
      <c r="AC131" s="58">
        <v>0</v>
      </c>
      <c r="AD131" s="58">
        <v>0</v>
      </c>
      <c r="AE131" s="58">
        <v>0</v>
      </c>
      <c r="AF131" s="58">
        <v>21</v>
      </c>
      <c r="AG131" s="58">
        <v>0</v>
      </c>
      <c r="AH131" s="58">
        <v>0</v>
      </c>
      <c r="AI131" s="58">
        <v>0</v>
      </c>
      <c r="AJ131" s="58">
        <v>0</v>
      </c>
      <c r="AK131" s="58">
        <v>0</v>
      </c>
      <c r="AL131" s="75">
        <f>+SUBTOTAL(9,Tabla6[[#This Row],[ENE]:[DIC]])</f>
        <v>21</v>
      </c>
      <c r="AM131" s="76" t="str">
        <f t="shared" si="1"/>
        <v>OK</v>
      </c>
      <c r="AN131" s="60">
        <v>21</v>
      </c>
      <c r="AO131" s="61">
        <f>+Tabla6[[#This Row],[PRESUPUESTO VIGENTE]]-Tabla6[[#This Row],[CERTIFICACIÓN PAPP]]</f>
        <v>0</v>
      </c>
      <c r="AP131" s="59" t="s">
        <v>87</v>
      </c>
    </row>
    <row r="132" spans="1:42" ht="93" customHeight="1" x14ac:dyDescent="0.25">
      <c r="A132" s="62" t="s">
        <v>78</v>
      </c>
      <c r="B132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32" s="64" t="s">
        <v>85</v>
      </c>
      <c r="D132" s="64" t="s">
        <v>80</v>
      </c>
      <c r="E132" s="64" t="s">
        <v>81</v>
      </c>
      <c r="F132" s="64" t="s">
        <v>82</v>
      </c>
      <c r="G132" s="64" t="s">
        <v>86</v>
      </c>
      <c r="H132" s="65" t="str">
        <f>VLOOKUP(Tabla6[[#This Row],[DIRECCIÓN]],DIRECCIÓN[#All],2,0)</f>
        <v>COMUNICACIÓN SOCIAL</v>
      </c>
      <c r="I132" s="66" t="s">
        <v>837</v>
      </c>
      <c r="J132" s="67">
        <v>2</v>
      </c>
      <c r="K132" s="68" t="str">
        <f>VLOOKUP(Tabla6[[#This Row],[DIRECCIÓN GENERAL / COORDINACIÓN / SUBDIRECCIÓN]],Tabla37[[#All],[Columna1]:[EOD]],2,0)</f>
        <v>266_0001</v>
      </c>
      <c r="L132" s="69">
        <f>VLOOKUP(Tabla6[[#This Row],[OBJETIVOS PND]],Listas!$A$1:$C$3,3,0)</f>
        <v>1</v>
      </c>
      <c r="M132" s="70">
        <f>VLOOKUP(Tabla6[[#This Row],[PG]],Listas2!$G$14:$K$16,5,0)</f>
        <v>0</v>
      </c>
      <c r="N132" s="71">
        <v>1</v>
      </c>
      <c r="O132" s="72">
        <v>801</v>
      </c>
      <c r="P132" s="73" t="str">
        <f>VLOOKUP(Tabla6[[#This Row],[GEO]],Listas!$A$48:$B$77,2,0)</f>
        <v>ESMERALDAS</v>
      </c>
      <c r="Q132" s="70">
        <f>VLOOKUP(Tabla6[[#This Row],[PG]],Listas2!$G$14:$K$16,3,0)</f>
        <v>1</v>
      </c>
      <c r="R132" s="73">
        <f>VLOOKUP(Tabla6[[#This Row],[PG]],Listas2!H137:'Listas2'!$G$14:$K$16,4,0)</f>
        <v>0</v>
      </c>
      <c r="S132" s="73">
        <f>VLOOKUP(Tabla6[[#This Row],[PG]],Listas2!$G$14:$K$16,2,0)</f>
        <v>0</v>
      </c>
      <c r="T132" s="66" t="s">
        <v>84</v>
      </c>
      <c r="U132" s="74">
        <v>53</v>
      </c>
      <c r="V132" s="66">
        <v>530824</v>
      </c>
      <c r="W132" s="63" t="str">
        <f>VLOOKUP(Tabla6[[#This Row],[ÍTEM PRESUPUESTARIO]],Tabla2[#All],2,0)</f>
        <v>INSUMOS, BIENES Y MATERIALES PARA PRODUCCIÓN DE PROGRAMAS DE RADIO, TELEVISIÓN, EVENTOS CULTURALES, ARTÍSTICOS Y ENTRETENIMIENTO EN GENERAL</v>
      </c>
      <c r="X132" s="57">
        <v>0</v>
      </c>
      <c r="Y132" s="57">
        <f>275-95</f>
        <v>180</v>
      </c>
      <c r="Z132" s="58">
        <v>0</v>
      </c>
      <c r="AA132" s="58">
        <v>0</v>
      </c>
      <c r="AB132" s="58">
        <v>0</v>
      </c>
      <c r="AC132" s="58">
        <v>0</v>
      </c>
      <c r="AD132" s="58">
        <v>180</v>
      </c>
      <c r="AE132" s="58">
        <v>0</v>
      </c>
      <c r="AF132" s="58">
        <v>0</v>
      </c>
      <c r="AG132" s="58">
        <v>0</v>
      </c>
      <c r="AH132" s="58">
        <v>0</v>
      </c>
      <c r="AI132" s="58">
        <v>0</v>
      </c>
      <c r="AJ132" s="58">
        <v>0</v>
      </c>
      <c r="AK132" s="58">
        <v>0</v>
      </c>
      <c r="AL132" s="75">
        <f>+SUBTOTAL(9,Tabla6[[#This Row],[ENE]:[DIC]])</f>
        <v>180</v>
      </c>
      <c r="AM132" s="76" t="str">
        <f t="shared" si="1"/>
        <v>OK</v>
      </c>
      <c r="AN132" s="60">
        <v>180</v>
      </c>
      <c r="AO132" s="61">
        <f>+Tabla6[[#This Row],[PRESUPUESTO VIGENTE]]-Tabla6[[#This Row],[CERTIFICACIÓN PAPP]]</f>
        <v>0</v>
      </c>
      <c r="AP132" s="59">
        <v>0</v>
      </c>
    </row>
    <row r="133" spans="1:42" ht="93" customHeight="1" x14ac:dyDescent="0.25">
      <c r="A133" s="62" t="s">
        <v>78</v>
      </c>
      <c r="B133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33" s="64" t="s">
        <v>85</v>
      </c>
      <c r="D133" s="64" t="s">
        <v>80</v>
      </c>
      <c r="E133" s="64" t="s">
        <v>81</v>
      </c>
      <c r="F133" s="64" t="s">
        <v>82</v>
      </c>
      <c r="G133" s="64" t="s">
        <v>86</v>
      </c>
      <c r="H133" s="65" t="str">
        <f>VLOOKUP(Tabla6[[#This Row],[DIRECCIÓN]],DIRECCIÓN[#All],2,0)</f>
        <v>COMUNICACIÓN SOCIAL</v>
      </c>
      <c r="I133" s="66" t="s">
        <v>837</v>
      </c>
      <c r="J133" s="67">
        <v>2</v>
      </c>
      <c r="K133" s="68" t="str">
        <f>VLOOKUP(Tabla6[[#This Row],[DIRECCIÓN GENERAL / COORDINACIÓN / SUBDIRECCIÓN]],Tabla37[[#All],[Columna1]:[EOD]],2,0)</f>
        <v>266_0001</v>
      </c>
      <c r="L133" s="69">
        <f>VLOOKUP(Tabla6[[#This Row],[OBJETIVOS PND]],Listas!$A$1:$C$3,3,0)</f>
        <v>1</v>
      </c>
      <c r="M133" s="70">
        <f>VLOOKUP(Tabla6[[#This Row],[PG]],Listas2!$G$14:$K$16,5,0)</f>
        <v>0</v>
      </c>
      <c r="N133" s="71">
        <v>1</v>
      </c>
      <c r="O133" s="72">
        <v>801</v>
      </c>
      <c r="P133" s="73" t="str">
        <f>VLOOKUP(Tabla6[[#This Row],[GEO]],Listas!$A$48:$B$77,2,0)</f>
        <v>ESMERALDAS</v>
      </c>
      <c r="Q133" s="70">
        <f>VLOOKUP(Tabla6[[#This Row],[PG]],Listas2!$G$14:$K$16,3,0)</f>
        <v>1</v>
      </c>
      <c r="R133" s="73">
        <f>VLOOKUP(Tabla6[[#This Row],[PG]],Listas2!H138:'Listas2'!$G$14:$K$16,4,0)</f>
        <v>0</v>
      </c>
      <c r="S133" s="73">
        <f>VLOOKUP(Tabla6[[#This Row],[PG]],Listas2!$G$14:$K$16,2,0)</f>
        <v>0</v>
      </c>
      <c r="T133" s="66" t="s">
        <v>84</v>
      </c>
      <c r="U133" s="74">
        <v>53</v>
      </c>
      <c r="V133" s="66">
        <v>531403</v>
      </c>
      <c r="W133" s="63" t="str">
        <f>VLOOKUP(Tabla6[[#This Row],[ÍTEM PRESUPUESTARIO]],Tabla2[#All],2,0)</f>
        <v xml:space="preserve">MOBILIARIO </v>
      </c>
      <c r="X133" s="57">
        <v>0</v>
      </c>
      <c r="Y133" s="57">
        <f>150-10</f>
        <v>140</v>
      </c>
      <c r="Z133" s="58">
        <v>0</v>
      </c>
      <c r="AA133" s="58">
        <v>0</v>
      </c>
      <c r="AB133" s="58">
        <v>0</v>
      </c>
      <c r="AC133" s="58">
        <v>0</v>
      </c>
      <c r="AD133" s="58">
        <v>140</v>
      </c>
      <c r="AE133" s="58">
        <v>0</v>
      </c>
      <c r="AF133" s="58">
        <v>0</v>
      </c>
      <c r="AG133" s="58">
        <v>0</v>
      </c>
      <c r="AH133" s="58">
        <v>0</v>
      </c>
      <c r="AI133" s="58">
        <v>0</v>
      </c>
      <c r="AJ133" s="58">
        <v>0</v>
      </c>
      <c r="AK133" s="58">
        <v>0</v>
      </c>
      <c r="AL133" s="75">
        <f>+SUBTOTAL(9,Tabla6[[#This Row],[ENE]:[DIC]])</f>
        <v>140</v>
      </c>
      <c r="AM133" s="76" t="str">
        <f t="shared" si="1"/>
        <v>OK</v>
      </c>
      <c r="AN133" s="60">
        <v>140</v>
      </c>
      <c r="AO133" s="61">
        <f>+Tabla6[[#This Row],[PRESUPUESTO VIGENTE]]-Tabla6[[#This Row],[CERTIFICACIÓN PAPP]]</f>
        <v>0</v>
      </c>
      <c r="AP133" s="59">
        <v>0</v>
      </c>
    </row>
    <row r="134" spans="1:42" ht="93" customHeight="1" x14ac:dyDescent="0.25">
      <c r="A134" s="62" t="s">
        <v>78</v>
      </c>
      <c r="B134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34" s="64" t="s">
        <v>79</v>
      </c>
      <c r="D134" s="64" t="s">
        <v>80</v>
      </c>
      <c r="E134" s="64" t="s">
        <v>81</v>
      </c>
      <c r="F134" s="64" t="s">
        <v>82</v>
      </c>
      <c r="G134" s="64" t="s">
        <v>83</v>
      </c>
      <c r="H134" s="65" t="str">
        <f>VLOOKUP(Tabla6[[#This Row],[DIRECCIÓN]],DIRECCIÓN[#All],2,0)</f>
        <v>ADMINISTRACIÓN CENTRAL</v>
      </c>
      <c r="I134" s="66" t="s">
        <v>826</v>
      </c>
      <c r="J134" s="67">
        <v>1</v>
      </c>
      <c r="K134" s="68" t="str">
        <f>VLOOKUP(Tabla6[[#This Row],[DIRECCIÓN GENERAL / COORDINACIÓN / SUBDIRECCIÓN]],Tabla37[[#All],[Columna1]:[EOD]],2,0)</f>
        <v>266_0001</v>
      </c>
      <c r="L134" s="69">
        <f>VLOOKUP(Tabla6[[#This Row],[OBJETIVOS PND]],Listas!$A$1:$C$3,3,0)</f>
        <v>1</v>
      </c>
      <c r="M134" s="70">
        <f>VLOOKUP(Tabla6[[#This Row],[PG]],Listas2!$G$14:$K$16,5,0)</f>
        <v>0</v>
      </c>
      <c r="N134" s="71">
        <v>1</v>
      </c>
      <c r="O134" s="72">
        <v>801</v>
      </c>
      <c r="P134" s="73" t="str">
        <f>VLOOKUP(Tabla6[[#This Row],[GEO]],Listas!$A$48:$B$77,2,0)</f>
        <v>ESMERALDAS</v>
      </c>
      <c r="Q134" s="70">
        <f>VLOOKUP(Tabla6[[#This Row],[PG]],Listas2!$G$14:$K$16,3,0)</f>
        <v>1</v>
      </c>
      <c r="R134" s="73">
        <f>VLOOKUP(Tabla6[[#This Row],[PG]],Listas2!H139:'Listas2'!$G$14:$K$16,4,0)</f>
        <v>0</v>
      </c>
      <c r="S134" s="73">
        <f>VLOOKUP(Tabla6[[#This Row],[PG]],Listas2!$G$14:$K$16,2,0)</f>
        <v>0</v>
      </c>
      <c r="T134" s="66" t="s">
        <v>84</v>
      </c>
      <c r="U134" s="74">
        <v>57</v>
      </c>
      <c r="V134" s="66">
        <v>570102</v>
      </c>
      <c r="W134" s="63" t="str">
        <f>VLOOKUP(Tabla6[[#This Row],[ÍTEM PRESUPUESTARIO]],Tabla2[#All],2,0)</f>
        <v>TASAS GENERALES, IMPUESTOS, CONTRIBUCIONES, PERMISOS, LICENCIAS Y PATENTES</v>
      </c>
      <c r="X134" s="57">
        <v>1750</v>
      </c>
      <c r="Y134" s="57">
        <f>1750+57.22</f>
        <v>1807.22</v>
      </c>
      <c r="Z134" s="58">
        <v>0</v>
      </c>
      <c r="AA134" s="58">
        <v>0</v>
      </c>
      <c r="AB134" s="58">
        <v>1807.22</v>
      </c>
      <c r="AC134" s="58">
        <v>0</v>
      </c>
      <c r="AD134" s="58">
        <v>0</v>
      </c>
      <c r="AE134" s="58">
        <v>0</v>
      </c>
      <c r="AF134" s="58">
        <v>0</v>
      </c>
      <c r="AG134" s="58">
        <v>0</v>
      </c>
      <c r="AH134" s="58">
        <v>0</v>
      </c>
      <c r="AI134" s="58">
        <v>0</v>
      </c>
      <c r="AJ134" s="58">
        <v>0</v>
      </c>
      <c r="AK134" s="58">
        <v>0</v>
      </c>
      <c r="AL134" s="75">
        <f>+SUBTOTAL(9,Tabla6[[#This Row],[ENE]:[DIC]])</f>
        <v>1807.22</v>
      </c>
      <c r="AM134" s="76" t="str">
        <f t="shared" si="1"/>
        <v>OK</v>
      </c>
      <c r="AN134" s="60">
        <v>1807.22</v>
      </c>
      <c r="AO134" s="61">
        <f>+Tabla6[[#This Row],[PRESUPUESTO VIGENTE]]-Tabla6[[#This Row],[CERTIFICACIÓN PAPP]]</f>
        <v>0</v>
      </c>
      <c r="AP134" s="59">
        <v>0</v>
      </c>
    </row>
    <row r="135" spans="1:42" ht="93" customHeight="1" x14ac:dyDescent="0.25">
      <c r="A135" s="62" t="s">
        <v>78</v>
      </c>
      <c r="B135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35" s="64" t="s">
        <v>79</v>
      </c>
      <c r="D135" s="64" t="s">
        <v>80</v>
      </c>
      <c r="E135" s="64" t="s">
        <v>81</v>
      </c>
      <c r="F135" s="64" t="s">
        <v>82</v>
      </c>
      <c r="G135" s="64" t="s">
        <v>83</v>
      </c>
      <c r="H135" s="65" t="str">
        <f>VLOOKUP(Tabla6[[#This Row],[DIRECCIÓN]],DIRECCIÓN[#All],2,0)</f>
        <v>ADMINISTRACIÓN CENTRAL</v>
      </c>
      <c r="I135" s="66" t="s">
        <v>871</v>
      </c>
      <c r="J135" s="67">
        <v>1</v>
      </c>
      <c r="K135" s="68" t="str">
        <f>VLOOKUP(Tabla6[[#This Row],[DIRECCIÓN GENERAL / COORDINACIÓN / SUBDIRECCIÓN]],Tabla37[[#All],[Columna1]:[EOD]],2,0)</f>
        <v>266_0001</v>
      </c>
      <c r="L135" s="69">
        <f>VLOOKUP(Tabla6[[#This Row],[OBJETIVOS PND]],Listas!$A$1:$C$3,3,0)</f>
        <v>1</v>
      </c>
      <c r="M135" s="70">
        <f>VLOOKUP(Tabla6[[#This Row],[PG]],Listas2!$G$14:$K$16,5,0)</f>
        <v>0</v>
      </c>
      <c r="N135" s="71">
        <v>1</v>
      </c>
      <c r="O135" s="72">
        <v>801</v>
      </c>
      <c r="P135" s="73" t="str">
        <f>VLOOKUP(Tabla6[[#This Row],[GEO]],Listas!$A$48:$B$77,2,0)</f>
        <v>ESMERALDAS</v>
      </c>
      <c r="Q135" s="70">
        <f>VLOOKUP(Tabla6[[#This Row],[PG]],Listas2!$G$14:$K$16,3,0)</f>
        <v>1</v>
      </c>
      <c r="R135" s="73">
        <f>VLOOKUP(Tabla6[[#This Row],[PG]],Listas2!H140:'Listas2'!$G$14:$K$16,4,0)</f>
        <v>0</v>
      </c>
      <c r="S135" s="73">
        <f>VLOOKUP(Tabla6[[#This Row],[PG]],Listas2!$G$14:$K$16,2,0)</f>
        <v>0</v>
      </c>
      <c r="T135" s="66" t="s">
        <v>84</v>
      </c>
      <c r="U135" s="74">
        <v>57</v>
      </c>
      <c r="V135" s="66">
        <v>570102</v>
      </c>
      <c r="W135" s="63" t="str">
        <f>VLOOKUP(Tabla6[[#This Row],[ÍTEM PRESUPUESTARIO]],Tabla2[#All],2,0)</f>
        <v>TASAS GENERALES, IMPUESTOS, CONTRIBUCIONES, PERMISOS, LICENCIAS Y PATENTES</v>
      </c>
      <c r="X135" s="57">
        <v>450</v>
      </c>
      <c r="Y135" s="57">
        <f>450-32.19-287.42</f>
        <v>130.38999999999999</v>
      </c>
      <c r="Z135" s="58">
        <v>0</v>
      </c>
      <c r="AA135" s="58">
        <v>0</v>
      </c>
      <c r="AB135" s="58">
        <v>130.38999999999999</v>
      </c>
      <c r="AC135" s="58">
        <v>0</v>
      </c>
      <c r="AD135" s="58">
        <v>0</v>
      </c>
      <c r="AE135" s="58">
        <v>0</v>
      </c>
      <c r="AF135" s="58">
        <v>0</v>
      </c>
      <c r="AG135" s="58">
        <v>0</v>
      </c>
      <c r="AH135" s="58">
        <v>0</v>
      </c>
      <c r="AI135" s="58">
        <v>0</v>
      </c>
      <c r="AJ135" s="58">
        <v>0</v>
      </c>
      <c r="AK135" s="58">
        <v>0</v>
      </c>
      <c r="AL135" s="75">
        <f>+SUBTOTAL(9,Tabla6[[#This Row],[ENE]:[DIC]])</f>
        <v>130.38999999999999</v>
      </c>
      <c r="AM135" s="76" t="str">
        <f t="shared" si="1"/>
        <v>OK</v>
      </c>
      <c r="AN135" s="60">
        <v>130.38999999999999</v>
      </c>
      <c r="AO135" s="61">
        <f>+Tabla6[[#This Row],[PRESUPUESTO VIGENTE]]-Tabla6[[#This Row],[CERTIFICACIÓN PAPP]]</f>
        <v>0</v>
      </c>
      <c r="AP135" s="59">
        <v>0</v>
      </c>
    </row>
    <row r="136" spans="1:42" ht="93" customHeight="1" x14ac:dyDescent="0.25">
      <c r="A136" s="62" t="s">
        <v>78</v>
      </c>
      <c r="B136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36" s="64" t="s">
        <v>79</v>
      </c>
      <c r="D136" s="64" t="s">
        <v>80</v>
      </c>
      <c r="E136" s="64" t="s">
        <v>81</v>
      </c>
      <c r="F136" s="64" t="s">
        <v>82</v>
      </c>
      <c r="G136" s="64" t="s">
        <v>83</v>
      </c>
      <c r="H136" s="65" t="str">
        <f>VLOOKUP(Tabla6[[#This Row],[DIRECCIÓN]],DIRECCIÓN[#All],2,0)</f>
        <v>ADMINISTRACIÓN CENTRAL</v>
      </c>
      <c r="I136" s="66" t="s">
        <v>827</v>
      </c>
      <c r="J136" s="67">
        <v>1</v>
      </c>
      <c r="K136" s="68" t="str">
        <f>VLOOKUP(Tabla6[[#This Row],[DIRECCIÓN GENERAL / COORDINACIÓN / SUBDIRECCIÓN]],Tabla37[[#All],[Columna1]:[EOD]],2,0)</f>
        <v>266_0001</v>
      </c>
      <c r="L136" s="69">
        <f>VLOOKUP(Tabla6[[#This Row],[OBJETIVOS PND]],Listas!$A$1:$C$3,3,0)</f>
        <v>1</v>
      </c>
      <c r="M136" s="70">
        <f>VLOOKUP(Tabla6[[#This Row],[PG]],Listas2!$G$14:$K$16,5,0)</f>
        <v>0</v>
      </c>
      <c r="N136" s="71">
        <v>1</v>
      </c>
      <c r="O136" s="72">
        <v>801</v>
      </c>
      <c r="P136" s="73" t="str">
        <f>VLOOKUP(Tabla6[[#This Row],[GEO]],Listas!$A$48:$B$77,2,0)</f>
        <v>ESMERALDAS</v>
      </c>
      <c r="Q136" s="70">
        <f>VLOOKUP(Tabla6[[#This Row],[PG]],Listas2!$G$14:$K$16,3,0)</f>
        <v>1</v>
      </c>
      <c r="R136" s="73">
        <f>VLOOKUP(Tabla6[[#This Row],[PG]],Listas2!H141:'Listas2'!$G$14:$K$16,4,0)</f>
        <v>0</v>
      </c>
      <c r="S136" s="73">
        <f>VLOOKUP(Tabla6[[#This Row],[PG]],Listas2!$G$14:$K$16,2,0)</f>
        <v>0</v>
      </c>
      <c r="T136" s="66" t="s">
        <v>84</v>
      </c>
      <c r="U136" s="74">
        <v>57</v>
      </c>
      <c r="V136" s="66">
        <v>570102</v>
      </c>
      <c r="W136" s="63" t="str">
        <f>VLOOKUP(Tabla6[[#This Row],[ÍTEM PRESUPUESTARIO]],Tabla2[#All],2,0)</f>
        <v>TASAS GENERALES, IMPUESTOS, CONTRIBUCIONES, PERMISOS, LICENCIAS Y PATENTES</v>
      </c>
      <c r="X136" s="57">
        <v>810</v>
      </c>
      <c r="Y136" s="57">
        <f>810-57.22-362.98</f>
        <v>389.79999999999995</v>
      </c>
      <c r="Z136" s="58">
        <v>0</v>
      </c>
      <c r="AA136" s="58">
        <v>0</v>
      </c>
      <c r="AB136" s="58">
        <v>389.8</v>
      </c>
      <c r="AC136" s="58">
        <v>0</v>
      </c>
      <c r="AD136" s="58">
        <v>0</v>
      </c>
      <c r="AE136" s="58">
        <v>0</v>
      </c>
      <c r="AF136" s="58">
        <v>0</v>
      </c>
      <c r="AG136" s="58">
        <v>0</v>
      </c>
      <c r="AH136" s="58">
        <v>0</v>
      </c>
      <c r="AI136" s="58">
        <v>0</v>
      </c>
      <c r="AJ136" s="58">
        <v>0</v>
      </c>
      <c r="AK136" s="58">
        <v>0</v>
      </c>
      <c r="AL136" s="75">
        <f>+SUBTOTAL(9,Tabla6[[#This Row],[ENE]:[DIC]])</f>
        <v>389.8</v>
      </c>
      <c r="AM136" s="76" t="str">
        <f t="shared" si="1"/>
        <v>OK</v>
      </c>
      <c r="AN136" s="60">
        <v>389.8</v>
      </c>
      <c r="AO136" s="61">
        <f>+Tabla6[[#This Row],[PRESUPUESTO VIGENTE]]-Tabla6[[#This Row],[CERTIFICACIÓN PAPP]]</f>
        <v>0</v>
      </c>
      <c r="AP136" s="59">
        <v>0</v>
      </c>
    </row>
    <row r="137" spans="1:42" ht="93" customHeight="1" x14ac:dyDescent="0.25">
      <c r="A137" s="62" t="s">
        <v>78</v>
      </c>
      <c r="B137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37" s="64" t="s">
        <v>79</v>
      </c>
      <c r="D137" s="64" t="s">
        <v>80</v>
      </c>
      <c r="E137" s="64" t="s">
        <v>81</v>
      </c>
      <c r="F137" s="64" t="s">
        <v>82</v>
      </c>
      <c r="G137" s="64" t="s">
        <v>83</v>
      </c>
      <c r="H137" s="65" t="str">
        <f>VLOOKUP(Tabla6[[#This Row],[DIRECCIÓN]],DIRECCIÓN[#All],2,0)</f>
        <v>ADMINISTRACIÓN CENTRAL</v>
      </c>
      <c r="I137" s="66" t="s">
        <v>792</v>
      </c>
      <c r="J137" s="67">
        <v>1</v>
      </c>
      <c r="K137" s="68" t="str">
        <f>VLOOKUP(Tabla6[[#This Row],[DIRECCIÓN GENERAL / COORDINACIÓN / SUBDIRECCIÓN]],Tabla37[[#All],[Columna1]:[EOD]],2,0)</f>
        <v>266_0001</v>
      </c>
      <c r="L137" s="69">
        <f>VLOOKUP(Tabla6[[#This Row],[OBJETIVOS PND]],Listas!$A$1:$C$3,3,0)</f>
        <v>1</v>
      </c>
      <c r="M137" s="70">
        <f>VLOOKUP(Tabla6[[#This Row],[PG]],Listas2!$G$14:$K$16,5,0)</f>
        <v>0</v>
      </c>
      <c r="N137" s="71">
        <v>1</v>
      </c>
      <c r="O137" s="72">
        <v>801</v>
      </c>
      <c r="P137" s="73" t="str">
        <f>VLOOKUP(Tabla6[[#This Row],[GEO]],Listas!$A$48:$B$77,2,0)</f>
        <v>ESMERALDAS</v>
      </c>
      <c r="Q137" s="70">
        <f>VLOOKUP(Tabla6[[#This Row],[PG]],Listas2!$G$14:$K$16,3,0)</f>
        <v>1</v>
      </c>
      <c r="R137" s="73">
        <f>VLOOKUP(Tabla6[[#This Row],[PG]],Listas2!H142:'Listas2'!$G$14:$K$16,4,0)</f>
        <v>0</v>
      </c>
      <c r="S137" s="73">
        <f>VLOOKUP(Tabla6[[#This Row],[PG]],Listas2!$G$14:$K$16,2,0)</f>
        <v>0</v>
      </c>
      <c r="T137" s="66" t="s">
        <v>84</v>
      </c>
      <c r="U137" s="74">
        <v>57</v>
      </c>
      <c r="V137" s="66">
        <v>570102</v>
      </c>
      <c r="W137" s="63" t="str">
        <f>VLOOKUP(Tabla6[[#This Row],[ÍTEM PRESUPUESTARIO]],Tabla2[#All],2,0)</f>
        <v>TASAS GENERALES, IMPUESTOS, CONTRIBUCIONES, PERMISOS, LICENCIAS Y PATENTES</v>
      </c>
      <c r="X137" s="57">
        <v>100</v>
      </c>
      <c r="Y137" s="57">
        <f>100-80</f>
        <v>20</v>
      </c>
      <c r="Z137" s="58">
        <v>0</v>
      </c>
      <c r="AA137" s="58">
        <v>0</v>
      </c>
      <c r="AB137" s="58">
        <v>0</v>
      </c>
      <c r="AC137" s="58">
        <v>0</v>
      </c>
      <c r="AD137" s="58">
        <v>0</v>
      </c>
      <c r="AE137" s="58">
        <v>0</v>
      </c>
      <c r="AF137" s="58">
        <v>0</v>
      </c>
      <c r="AG137" s="58">
        <v>0</v>
      </c>
      <c r="AH137" s="58">
        <v>0</v>
      </c>
      <c r="AI137" s="58">
        <v>0</v>
      </c>
      <c r="AJ137" s="58">
        <v>0</v>
      </c>
      <c r="AK137" s="58">
        <v>20</v>
      </c>
      <c r="AL137" s="75">
        <f>+SUBTOTAL(9,Tabla6[[#This Row],[ENE]:[DIC]])</f>
        <v>20</v>
      </c>
      <c r="AM137" s="76" t="str">
        <f t="shared" ref="AM137:AM200" si="2">IF(AL137=Y137,"OK",Y137-AL137)</f>
        <v>OK</v>
      </c>
      <c r="AN137" s="60">
        <v>20</v>
      </c>
      <c r="AO137" s="61">
        <f>+Tabla6[[#This Row],[PRESUPUESTO VIGENTE]]-Tabla6[[#This Row],[CERTIFICACIÓN PAPP]]</f>
        <v>0</v>
      </c>
      <c r="AP137" s="59" t="s">
        <v>87</v>
      </c>
    </row>
    <row r="138" spans="1:42" ht="93" customHeight="1" x14ac:dyDescent="0.25">
      <c r="A138" s="62" t="s">
        <v>88</v>
      </c>
      <c r="B138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38" s="64" t="s">
        <v>89</v>
      </c>
      <c r="D138" s="64" t="s">
        <v>80</v>
      </c>
      <c r="E138" s="64" t="s">
        <v>81</v>
      </c>
      <c r="F138" s="64" t="s">
        <v>82</v>
      </c>
      <c r="G138" s="64" t="s">
        <v>90</v>
      </c>
      <c r="H138" s="65" t="str">
        <f>VLOOKUP(Tabla6[[#This Row],[DIRECCIÓN]],DIRECCIÓN[#All],2,0)</f>
        <v>TECNOLOGÍA</v>
      </c>
      <c r="I138" s="66" t="s">
        <v>828</v>
      </c>
      <c r="J138" s="67">
        <v>1</v>
      </c>
      <c r="K138" s="68" t="str">
        <f>VLOOKUP(Tabla6[[#This Row],[DIRECCIÓN GENERAL / COORDINACIÓN / SUBDIRECCIÓN]],Tabla37[[#All],[Columna1]:[EOD]],2,0)</f>
        <v>266_0001</v>
      </c>
      <c r="L138" s="69">
        <f>VLOOKUP(Tabla6[[#This Row],[OBJETIVOS PND]],Listas!$A$1:$C$3,3,0)</f>
        <v>55</v>
      </c>
      <c r="M138" s="70">
        <f>VLOOKUP(Tabla6[[#This Row],[PG]],Listas2!$G$14:$K$16,5,0)</f>
        <v>0</v>
      </c>
      <c r="N138" s="71">
        <v>3</v>
      </c>
      <c r="O138" s="72">
        <v>801</v>
      </c>
      <c r="P138" s="73" t="str">
        <f>VLOOKUP(Tabla6[[#This Row],[GEO]],Listas!$A$48:$B$77,2,0)</f>
        <v>ESMERALDAS</v>
      </c>
      <c r="Q138" s="70">
        <f>VLOOKUP(Tabla6[[#This Row],[PG]],Listas2!$G$14:$K$16,3,0)</f>
        <v>1</v>
      </c>
      <c r="R138" s="73">
        <f>VLOOKUP(Tabla6[[#This Row],[PG]],Listas2!H143:'Listas2'!$G$14:$K$16,4,0)</f>
        <v>0</v>
      </c>
      <c r="S138" s="73">
        <f>VLOOKUP(Tabla6[[#This Row],[PG]],Listas2!$G$14:$K$16,2,0)</f>
        <v>0</v>
      </c>
      <c r="T138" s="66" t="s">
        <v>84</v>
      </c>
      <c r="U138" s="74">
        <v>53</v>
      </c>
      <c r="V138" s="66">
        <v>530105</v>
      </c>
      <c r="W138" s="63" t="str">
        <f>VLOOKUP(Tabla6[[#This Row],[ÍTEM PRESUPUESTARIO]],Tabla2[#All],2,0)</f>
        <v>TELECOMUNICACIONES</v>
      </c>
      <c r="X138" s="57">
        <v>13900</v>
      </c>
      <c r="Y138" s="57">
        <f>13900-548.85</f>
        <v>13351.15</v>
      </c>
      <c r="Z138" s="58">
        <v>13351.15</v>
      </c>
      <c r="AA138" s="58">
        <v>0</v>
      </c>
      <c r="AB138" s="58">
        <v>0</v>
      </c>
      <c r="AC138" s="58">
        <v>0</v>
      </c>
      <c r="AD138" s="58">
        <v>0</v>
      </c>
      <c r="AE138" s="58">
        <v>0</v>
      </c>
      <c r="AF138" s="58">
        <v>0</v>
      </c>
      <c r="AG138" s="58">
        <v>0</v>
      </c>
      <c r="AH138" s="58">
        <v>0</v>
      </c>
      <c r="AI138" s="58">
        <v>0</v>
      </c>
      <c r="AJ138" s="58">
        <v>0</v>
      </c>
      <c r="AK138" s="58">
        <v>0</v>
      </c>
      <c r="AL138" s="75">
        <f>+SUBTOTAL(9,Tabla6[[#This Row],[ENE]:[DIC]])</f>
        <v>13351.15</v>
      </c>
      <c r="AM138" s="76" t="str">
        <f t="shared" si="2"/>
        <v>OK</v>
      </c>
      <c r="AN138" s="60">
        <v>13351.15</v>
      </c>
      <c r="AO138" s="61">
        <f>+Tabla6[[#This Row],[PRESUPUESTO VIGENTE]]-Tabla6[[#This Row],[CERTIFICACIÓN PAPP]]</f>
        <v>0</v>
      </c>
      <c r="AP138" s="59">
        <v>0</v>
      </c>
    </row>
    <row r="139" spans="1:42" ht="93" customHeight="1" x14ac:dyDescent="0.25">
      <c r="A139" s="62" t="s">
        <v>88</v>
      </c>
      <c r="B139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39" s="64" t="s">
        <v>89</v>
      </c>
      <c r="D139" s="64" t="s">
        <v>80</v>
      </c>
      <c r="E139" s="64" t="s">
        <v>81</v>
      </c>
      <c r="F139" s="64" t="s">
        <v>82</v>
      </c>
      <c r="G139" s="64" t="s">
        <v>90</v>
      </c>
      <c r="H139" s="65" t="str">
        <f>VLOOKUP(Tabla6[[#This Row],[DIRECCIÓN]],DIRECCIÓN[#All],2,0)</f>
        <v>TECNOLOGÍA</v>
      </c>
      <c r="I139" s="66" t="s">
        <v>829</v>
      </c>
      <c r="J139" s="67">
        <v>1</v>
      </c>
      <c r="K139" s="68" t="str">
        <f>VLOOKUP(Tabla6[[#This Row],[DIRECCIÓN GENERAL / COORDINACIÓN / SUBDIRECCIÓN]],Tabla37[[#All],[Columna1]:[EOD]],2,0)</f>
        <v>266_0001</v>
      </c>
      <c r="L139" s="69">
        <f>VLOOKUP(Tabla6[[#This Row],[OBJETIVOS PND]],Listas!$A$1:$C$3,3,0)</f>
        <v>55</v>
      </c>
      <c r="M139" s="70">
        <f>VLOOKUP(Tabla6[[#This Row],[PG]],Listas2!$G$14:$K$16,5,0)</f>
        <v>0</v>
      </c>
      <c r="N139" s="71">
        <v>3</v>
      </c>
      <c r="O139" s="72">
        <v>801</v>
      </c>
      <c r="P139" s="73" t="str">
        <f>VLOOKUP(Tabla6[[#This Row],[GEO]],Listas!$A$48:$B$77,2,0)</f>
        <v>ESMERALDAS</v>
      </c>
      <c r="Q139" s="70">
        <f>VLOOKUP(Tabla6[[#This Row],[PG]],Listas2!$G$14:$K$16,3,0)</f>
        <v>1</v>
      </c>
      <c r="R139" s="73">
        <f>VLOOKUP(Tabla6[[#This Row],[PG]],Listas2!H144:'Listas2'!$G$14:$K$16,4,0)</f>
        <v>0</v>
      </c>
      <c r="S139" s="73">
        <f>VLOOKUP(Tabla6[[#This Row],[PG]],Listas2!$G$14:$K$16,2,0)</f>
        <v>0</v>
      </c>
      <c r="T139" s="66" t="s">
        <v>84</v>
      </c>
      <c r="U139" s="74">
        <v>53</v>
      </c>
      <c r="V139" s="66">
        <v>530105</v>
      </c>
      <c r="W139" s="63" t="str">
        <f>VLOOKUP(Tabla6[[#This Row],[ÍTEM PRESUPUESTARIO]],Tabla2[#All],2,0)</f>
        <v>TELECOMUNICACIONES</v>
      </c>
      <c r="X139" s="57">
        <v>197298</v>
      </c>
      <c r="Y139" s="57">
        <f>197298-29326.38-54914.11-755.08-8666.37</f>
        <v>103636.06</v>
      </c>
      <c r="Z139" s="58">
        <v>0</v>
      </c>
      <c r="AA139" s="58">
        <v>9421.4599999999991</v>
      </c>
      <c r="AB139" s="58">
        <v>9421.4599999999991</v>
      </c>
      <c r="AC139" s="58">
        <v>9421.4599999999991</v>
      </c>
      <c r="AD139" s="58">
        <v>9421.4599999999991</v>
      </c>
      <c r="AE139" s="58">
        <v>9421.4599999999991</v>
      </c>
      <c r="AF139" s="58">
        <v>9421.4599999999991</v>
      </c>
      <c r="AG139" s="58">
        <v>9421.4599999999991</v>
      </c>
      <c r="AH139" s="58">
        <v>9421.4599999999991</v>
      </c>
      <c r="AI139" s="58">
        <v>9421.4599999999991</v>
      </c>
      <c r="AJ139" s="58">
        <v>9421.4599999999991</v>
      </c>
      <c r="AK139" s="58">
        <v>9421.4599999999991</v>
      </c>
      <c r="AL139" s="75">
        <f>+SUBTOTAL(9,Tabla6[[#This Row],[ENE]:[DIC]])</f>
        <v>103636.05999999997</v>
      </c>
      <c r="AM139" s="76" t="str">
        <f t="shared" si="2"/>
        <v>OK</v>
      </c>
      <c r="AN139" s="60">
        <v>85224.93</v>
      </c>
      <c r="AO139" s="61">
        <f>+Tabla6[[#This Row],[PRESUPUESTO VIGENTE]]-Tabla6[[#This Row],[CERTIFICACIÓN PAPP]]</f>
        <v>18411.130000000005</v>
      </c>
      <c r="AP139" s="59">
        <v>0</v>
      </c>
    </row>
    <row r="140" spans="1:42" ht="93" customHeight="1" x14ac:dyDescent="0.25">
      <c r="A140" s="62" t="s">
        <v>88</v>
      </c>
      <c r="B140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40" s="64" t="s">
        <v>89</v>
      </c>
      <c r="D140" s="64" t="s">
        <v>80</v>
      </c>
      <c r="E140" s="64" t="s">
        <v>81</v>
      </c>
      <c r="F140" s="64" t="s">
        <v>82</v>
      </c>
      <c r="G140" s="64" t="s">
        <v>90</v>
      </c>
      <c r="H140" s="65" t="str">
        <f>VLOOKUP(Tabla6[[#This Row],[DIRECCIÓN]],DIRECCIÓN[#All],2,0)</f>
        <v>TECNOLOGÍA</v>
      </c>
      <c r="I140" s="66" t="s">
        <v>830</v>
      </c>
      <c r="J140" s="67">
        <v>2</v>
      </c>
      <c r="K140" s="68" t="str">
        <f>VLOOKUP(Tabla6[[#This Row],[DIRECCIÓN GENERAL / COORDINACIÓN / SUBDIRECCIÓN]],Tabla37[[#All],[Columna1]:[EOD]],2,0)</f>
        <v>266_0001</v>
      </c>
      <c r="L140" s="69">
        <f>VLOOKUP(Tabla6[[#This Row],[OBJETIVOS PND]],Listas!$A$1:$C$3,3,0)</f>
        <v>55</v>
      </c>
      <c r="M140" s="70">
        <f>VLOOKUP(Tabla6[[#This Row],[PG]],Listas2!$G$14:$K$16,5,0)</f>
        <v>0</v>
      </c>
      <c r="N140" s="71">
        <v>3</v>
      </c>
      <c r="O140" s="72">
        <v>801</v>
      </c>
      <c r="P140" s="73" t="str">
        <f>VLOOKUP(Tabla6[[#This Row],[GEO]],Listas!$A$48:$B$77,2,0)</f>
        <v>ESMERALDAS</v>
      </c>
      <c r="Q140" s="70">
        <f>VLOOKUP(Tabla6[[#This Row],[PG]],Listas2!$G$14:$K$16,3,0)</f>
        <v>1</v>
      </c>
      <c r="R140" s="73">
        <f>VLOOKUP(Tabla6[[#This Row],[PG]],Listas2!H145:'Listas2'!$G$14:$K$16,4,0)</f>
        <v>0</v>
      </c>
      <c r="S140" s="73">
        <f>VLOOKUP(Tabla6[[#This Row],[PG]],Listas2!$G$14:$K$16,2,0)</f>
        <v>0</v>
      </c>
      <c r="T140" s="66" t="s">
        <v>84</v>
      </c>
      <c r="U140" s="74">
        <v>53</v>
      </c>
      <c r="V140" s="66">
        <v>530702</v>
      </c>
      <c r="W140" s="63" t="str">
        <f>VLOOKUP(Tabla6[[#This Row],[ÍTEM PRESUPUESTARIO]],Tabla2[#All],2,0)</f>
        <v>ARRENDAMIENTO Y LICENCIAS DE USO DE PAQUETES INFORMÁTICOS</v>
      </c>
      <c r="X140" s="57">
        <v>3369</v>
      </c>
      <c r="Y140" s="57">
        <f>3369-77.67-0.1</f>
        <v>3291.23</v>
      </c>
      <c r="Z140" s="58">
        <v>0</v>
      </c>
      <c r="AA140" s="58">
        <v>0</v>
      </c>
      <c r="AB140" s="58">
        <v>3291.23</v>
      </c>
      <c r="AC140" s="58">
        <v>0</v>
      </c>
      <c r="AD140" s="58">
        <v>0</v>
      </c>
      <c r="AE140" s="58">
        <v>0</v>
      </c>
      <c r="AF140" s="58">
        <v>0</v>
      </c>
      <c r="AG140" s="58">
        <v>0</v>
      </c>
      <c r="AH140" s="58">
        <v>0</v>
      </c>
      <c r="AI140" s="58">
        <v>0</v>
      </c>
      <c r="AJ140" s="58">
        <v>0</v>
      </c>
      <c r="AK140" s="58">
        <v>0</v>
      </c>
      <c r="AL140" s="75">
        <f>+SUBTOTAL(9,Tabla6[[#This Row],[ENE]:[DIC]])</f>
        <v>3291.23</v>
      </c>
      <c r="AM140" s="76" t="str">
        <f t="shared" si="2"/>
        <v>OK</v>
      </c>
      <c r="AN140" s="60">
        <v>2938.6</v>
      </c>
      <c r="AO140" s="61">
        <f>+Tabla6[[#This Row],[PRESUPUESTO VIGENTE]]-Tabla6[[#This Row],[CERTIFICACIÓN PAPP]]</f>
        <v>352.63000000000011</v>
      </c>
      <c r="AP140" s="59">
        <v>0</v>
      </c>
    </row>
    <row r="141" spans="1:42" ht="93" customHeight="1" x14ac:dyDescent="0.25">
      <c r="A141" s="62" t="s">
        <v>88</v>
      </c>
      <c r="B141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41" s="64" t="s">
        <v>89</v>
      </c>
      <c r="D141" s="64" t="s">
        <v>80</v>
      </c>
      <c r="E141" s="64" t="s">
        <v>81</v>
      </c>
      <c r="F141" s="64" t="s">
        <v>82</v>
      </c>
      <c r="G141" s="64" t="s">
        <v>90</v>
      </c>
      <c r="H141" s="65" t="str">
        <f>VLOOKUP(Tabla6[[#This Row],[DIRECCIÓN]],DIRECCIÓN[#All],2,0)</f>
        <v>TECNOLOGÍA</v>
      </c>
      <c r="I141" s="66" t="s">
        <v>872</v>
      </c>
      <c r="J141" s="67">
        <v>1</v>
      </c>
      <c r="K141" s="68" t="str">
        <f>VLOOKUP(Tabla6[[#This Row],[DIRECCIÓN GENERAL / COORDINACIÓN / SUBDIRECCIÓN]],Tabla37[[#All],[Columna1]:[EOD]],2,0)</f>
        <v>266_0001</v>
      </c>
      <c r="L141" s="69">
        <f>VLOOKUP(Tabla6[[#This Row],[OBJETIVOS PND]],Listas!$A$1:$C$3,3,0)</f>
        <v>55</v>
      </c>
      <c r="M141" s="70">
        <f>VLOOKUP(Tabla6[[#This Row],[PG]],Listas2!$G$14:$K$16,5,0)</f>
        <v>0</v>
      </c>
      <c r="N141" s="71">
        <v>3</v>
      </c>
      <c r="O141" s="72">
        <v>801</v>
      </c>
      <c r="P141" s="73" t="str">
        <f>VLOOKUP(Tabla6[[#This Row],[GEO]],Listas!$A$48:$B$77,2,0)</f>
        <v>ESMERALDAS</v>
      </c>
      <c r="Q141" s="70">
        <f>VLOOKUP(Tabla6[[#This Row],[PG]],Listas2!$G$14:$K$16,3,0)</f>
        <v>1</v>
      </c>
      <c r="R141" s="73">
        <f>VLOOKUP(Tabla6[[#This Row],[PG]],Listas2!H146:'Listas2'!$G$14:$K$16,4,0)</f>
        <v>0</v>
      </c>
      <c r="S141" s="73">
        <f>VLOOKUP(Tabla6[[#This Row],[PG]],Listas2!$G$14:$K$16,2,0)</f>
        <v>0</v>
      </c>
      <c r="T141" s="66" t="s">
        <v>84</v>
      </c>
      <c r="U141" s="74">
        <v>53</v>
      </c>
      <c r="V141" s="66">
        <v>530704</v>
      </c>
      <c r="W141" s="63" t="str">
        <f>VLOOKUP(Tabla6[[#This Row],[ÍTEM PRESUPUESTARIO]],Tabla2[#All],2,0)</f>
        <v xml:space="preserve">MANTENIMIENTO Y REPARACIÓN DE EQUIPOS Y SISTEMAS INFORMÁTICOS </v>
      </c>
      <c r="X141" s="57">
        <v>0</v>
      </c>
      <c r="Y141" s="57">
        <v>21916.79</v>
      </c>
      <c r="Z141" s="58">
        <v>0</v>
      </c>
      <c r="AA141" s="58">
        <v>0</v>
      </c>
      <c r="AB141" s="58">
        <v>0</v>
      </c>
      <c r="AC141" s="58">
        <v>0</v>
      </c>
      <c r="AD141" s="58">
        <v>0</v>
      </c>
      <c r="AE141" s="58">
        <v>0</v>
      </c>
      <c r="AF141" s="58">
        <v>0</v>
      </c>
      <c r="AG141" s="58">
        <v>0</v>
      </c>
      <c r="AH141" s="58">
        <v>0</v>
      </c>
      <c r="AI141" s="58">
        <v>0</v>
      </c>
      <c r="AJ141" s="58">
        <v>21916.79</v>
      </c>
      <c r="AK141" s="58">
        <v>0</v>
      </c>
      <c r="AL141" s="75">
        <f>+SUBTOTAL(9,Tabla6[[#This Row],[ENE]:[DIC]])</f>
        <v>21916.79</v>
      </c>
      <c r="AM141" s="76" t="str">
        <f t="shared" si="2"/>
        <v>OK</v>
      </c>
      <c r="AN141" s="60">
        <v>21916.79</v>
      </c>
      <c r="AO141" s="61">
        <f>+Tabla6[[#This Row],[PRESUPUESTO VIGENTE]]-Tabla6[[#This Row],[CERTIFICACIÓN PAPP]]</f>
        <v>0</v>
      </c>
      <c r="AP141" s="59">
        <v>0</v>
      </c>
    </row>
    <row r="142" spans="1:42" ht="93" customHeight="1" x14ac:dyDescent="0.25">
      <c r="A142" s="62" t="s">
        <v>88</v>
      </c>
      <c r="B142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42" s="64" t="s">
        <v>89</v>
      </c>
      <c r="D142" s="64" t="s">
        <v>80</v>
      </c>
      <c r="E142" s="64" t="s">
        <v>81</v>
      </c>
      <c r="F142" s="64" t="s">
        <v>82</v>
      </c>
      <c r="G142" s="64" t="s">
        <v>90</v>
      </c>
      <c r="H142" s="65" t="str">
        <f>VLOOKUP(Tabla6[[#This Row],[DIRECCIÓN]],DIRECCIÓN[#All],2,0)</f>
        <v>TECNOLOGÍA</v>
      </c>
      <c r="I142" s="66" t="s">
        <v>832</v>
      </c>
      <c r="J142" s="67">
        <v>2</v>
      </c>
      <c r="K142" s="68" t="str">
        <f>VLOOKUP(Tabla6[[#This Row],[DIRECCIÓN GENERAL / COORDINACIÓN / SUBDIRECCIÓN]],Tabla37[[#All],[Columna1]:[EOD]],2,0)</f>
        <v>266_0001</v>
      </c>
      <c r="L142" s="69">
        <f>VLOOKUP(Tabla6[[#This Row],[OBJETIVOS PND]],Listas!$A$1:$C$3,3,0)</f>
        <v>55</v>
      </c>
      <c r="M142" s="70">
        <f>VLOOKUP(Tabla6[[#This Row],[PG]],Listas2!$G$14:$K$16,5,0)</f>
        <v>0</v>
      </c>
      <c r="N142" s="71">
        <v>3</v>
      </c>
      <c r="O142" s="72">
        <v>801</v>
      </c>
      <c r="P142" s="73" t="str">
        <f>VLOOKUP(Tabla6[[#This Row],[GEO]],Listas!$A$48:$B$77,2,0)</f>
        <v>ESMERALDAS</v>
      </c>
      <c r="Q142" s="70">
        <f>VLOOKUP(Tabla6[[#This Row],[PG]],Listas2!$G$14:$K$16,3,0)</f>
        <v>1</v>
      </c>
      <c r="R142" s="73">
        <f>VLOOKUP(Tabla6[[#This Row],[PG]],Listas2!H147:'Listas2'!$G$14:$K$16,4,0)</f>
        <v>0</v>
      </c>
      <c r="S142" s="73">
        <f>VLOOKUP(Tabla6[[#This Row],[PG]],Listas2!$G$14:$K$16,2,0)</f>
        <v>0</v>
      </c>
      <c r="T142" s="66" t="s">
        <v>84</v>
      </c>
      <c r="U142" s="74">
        <v>53</v>
      </c>
      <c r="V142" s="66">
        <v>530811</v>
      </c>
      <c r="W142" s="63" t="str">
        <f>VLOOKUP(Tabla6[[#This Row],[ÍTEM PRESUPUESTARIO]],Tabla2[#All],2,0)</f>
        <v>INSUMOS, MATERIALES Y SUMINISTROS PARA CONSTRUCCIÓN, ELECTRICIDAD, PLOMERÍA, CARPINTERÍA, SEÑALIZACIÓN VIAL, NAVEGACIÓN, CONTRA INCENDIOS Y PLACAS</v>
      </c>
      <c r="X142" s="57">
        <v>2000</v>
      </c>
      <c r="Y142" s="57">
        <f>2000-3.45</f>
        <v>1996.55</v>
      </c>
      <c r="Z142" s="58">
        <v>0</v>
      </c>
      <c r="AA142" s="58">
        <v>0</v>
      </c>
      <c r="AB142" s="58">
        <v>0</v>
      </c>
      <c r="AC142" s="58">
        <v>0</v>
      </c>
      <c r="AD142" s="58">
        <v>1996.55</v>
      </c>
      <c r="AE142" s="58">
        <v>0</v>
      </c>
      <c r="AF142" s="58">
        <v>0</v>
      </c>
      <c r="AG142" s="58">
        <v>0</v>
      </c>
      <c r="AH142" s="58">
        <v>0</v>
      </c>
      <c r="AI142" s="58">
        <v>0</v>
      </c>
      <c r="AJ142" s="58">
        <v>0</v>
      </c>
      <c r="AK142" s="58">
        <v>0</v>
      </c>
      <c r="AL142" s="75">
        <f>+SUBTOTAL(9,Tabla6[[#This Row],[ENE]:[DIC]])</f>
        <v>1996.55</v>
      </c>
      <c r="AM142" s="76" t="str">
        <f t="shared" si="2"/>
        <v>OK</v>
      </c>
      <c r="AN142" s="60">
        <v>1996.55</v>
      </c>
      <c r="AO142" s="61">
        <f>+Tabla6[[#This Row],[PRESUPUESTO VIGENTE]]-Tabla6[[#This Row],[CERTIFICACIÓN PAPP]]</f>
        <v>0</v>
      </c>
      <c r="AP142" s="59">
        <v>0</v>
      </c>
    </row>
    <row r="143" spans="1:42" ht="93" customHeight="1" x14ac:dyDescent="0.25">
      <c r="A143" s="62" t="s">
        <v>88</v>
      </c>
      <c r="B143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43" s="64" t="s">
        <v>89</v>
      </c>
      <c r="D143" s="64" t="s">
        <v>80</v>
      </c>
      <c r="E143" s="64" t="s">
        <v>81</v>
      </c>
      <c r="F143" s="64" t="s">
        <v>82</v>
      </c>
      <c r="G143" s="64" t="s">
        <v>90</v>
      </c>
      <c r="H143" s="65" t="str">
        <f>VLOOKUP(Tabla6[[#This Row],[DIRECCIÓN]],DIRECCIÓN[#All],2,0)</f>
        <v>TECNOLOGÍA</v>
      </c>
      <c r="I143" s="66" t="s">
        <v>873</v>
      </c>
      <c r="J143" s="67">
        <v>2</v>
      </c>
      <c r="K143" s="68" t="str">
        <f>VLOOKUP(Tabla6[[#This Row],[DIRECCIÓN GENERAL / COORDINACIÓN / SUBDIRECCIÓN]],Tabla37[[#All],[Columna1]:[EOD]],2,0)</f>
        <v>266_0001</v>
      </c>
      <c r="L143" s="69">
        <f>VLOOKUP(Tabla6[[#This Row],[OBJETIVOS PND]],Listas!$A$1:$C$3,3,0)</f>
        <v>55</v>
      </c>
      <c r="M143" s="70">
        <f>VLOOKUP(Tabla6[[#This Row],[PG]],Listas2!$G$14:$K$16,5,0)</f>
        <v>0</v>
      </c>
      <c r="N143" s="71">
        <v>3</v>
      </c>
      <c r="O143" s="72">
        <v>801</v>
      </c>
      <c r="P143" s="73" t="str">
        <f>VLOOKUP(Tabla6[[#This Row],[GEO]],Listas!$A$48:$B$77,2,0)</f>
        <v>ESMERALDAS</v>
      </c>
      <c r="Q143" s="70">
        <f>VLOOKUP(Tabla6[[#This Row],[PG]],Listas2!$G$14:$K$16,3,0)</f>
        <v>1</v>
      </c>
      <c r="R143" s="73">
        <f>VLOOKUP(Tabla6[[#This Row],[PG]],Listas2!H148:'Listas2'!$G$14:$K$16,4,0)</f>
        <v>0</v>
      </c>
      <c r="S143" s="73">
        <f>VLOOKUP(Tabla6[[#This Row],[PG]],Listas2!$G$14:$K$16,2,0)</f>
        <v>0</v>
      </c>
      <c r="T143" s="66" t="s">
        <v>84</v>
      </c>
      <c r="U143" s="74">
        <v>53</v>
      </c>
      <c r="V143" s="66">
        <v>530811</v>
      </c>
      <c r="W143" s="63" t="str">
        <f>VLOOKUP(Tabla6[[#This Row],[ÍTEM PRESUPUESTARIO]],Tabla2[#All],2,0)</f>
        <v>INSUMOS, MATERIALES Y SUMINISTROS PARA CONSTRUCCIÓN, ELECTRICIDAD, PLOMERÍA, CARPINTERÍA, SEÑALIZACIÓN VIAL, NAVEGACIÓN, CONTRA INCENDIOS Y PLACAS</v>
      </c>
      <c r="X143" s="57">
        <v>300</v>
      </c>
      <c r="Y143" s="57">
        <f>300-300+300-300</f>
        <v>0</v>
      </c>
      <c r="Z143" s="58">
        <v>0</v>
      </c>
      <c r="AA143" s="58">
        <v>0</v>
      </c>
      <c r="AB143" s="58">
        <v>0</v>
      </c>
      <c r="AC143" s="58">
        <v>0</v>
      </c>
      <c r="AD143" s="58">
        <v>0</v>
      </c>
      <c r="AE143" s="58">
        <v>0</v>
      </c>
      <c r="AF143" s="58">
        <v>0</v>
      </c>
      <c r="AG143" s="58">
        <v>0</v>
      </c>
      <c r="AH143" s="58">
        <v>0</v>
      </c>
      <c r="AI143" s="58">
        <v>0</v>
      </c>
      <c r="AJ143" s="58">
        <v>0</v>
      </c>
      <c r="AK143" s="58">
        <v>0</v>
      </c>
      <c r="AL143" s="75">
        <f>+SUBTOTAL(9,Tabla6[[#This Row],[ENE]:[DIC]])</f>
        <v>0</v>
      </c>
      <c r="AM143" s="76" t="str">
        <f t="shared" si="2"/>
        <v>OK</v>
      </c>
      <c r="AN143" s="60">
        <v>0</v>
      </c>
      <c r="AO143" s="61">
        <f>+Tabla6[[#This Row],[PRESUPUESTO VIGENTE]]-Tabla6[[#This Row],[CERTIFICACIÓN PAPP]]</f>
        <v>0</v>
      </c>
      <c r="AP143" s="59" t="s">
        <v>87</v>
      </c>
    </row>
    <row r="144" spans="1:42" ht="93" customHeight="1" x14ac:dyDescent="0.25">
      <c r="A144" s="62" t="s">
        <v>88</v>
      </c>
      <c r="B144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44" s="64" t="s">
        <v>89</v>
      </c>
      <c r="D144" s="64" t="s">
        <v>80</v>
      </c>
      <c r="E144" s="64" t="s">
        <v>81</v>
      </c>
      <c r="F144" s="64" t="s">
        <v>82</v>
      </c>
      <c r="G144" s="64" t="s">
        <v>90</v>
      </c>
      <c r="H144" s="65" t="str">
        <f>VLOOKUP(Tabla6[[#This Row],[DIRECCIÓN]],DIRECCIÓN[#All],2,0)</f>
        <v>TECNOLOGÍA</v>
      </c>
      <c r="I144" s="66" t="s">
        <v>874</v>
      </c>
      <c r="J144" s="67">
        <v>2</v>
      </c>
      <c r="K144" s="68" t="str">
        <f>VLOOKUP(Tabla6[[#This Row],[DIRECCIÓN GENERAL / COORDINACIÓN / SUBDIRECCIÓN]],Tabla37[[#All],[Columna1]:[EOD]],2,0)</f>
        <v>266_0001</v>
      </c>
      <c r="L144" s="69">
        <f>VLOOKUP(Tabla6[[#This Row],[OBJETIVOS PND]],Listas!$A$1:$C$3,3,0)</f>
        <v>55</v>
      </c>
      <c r="M144" s="70">
        <f>VLOOKUP(Tabla6[[#This Row],[PG]],Listas2!$G$14:$K$16,5,0)</f>
        <v>0</v>
      </c>
      <c r="N144" s="71">
        <v>3</v>
      </c>
      <c r="O144" s="72">
        <v>801</v>
      </c>
      <c r="P144" s="73" t="str">
        <f>VLOOKUP(Tabla6[[#This Row],[GEO]],Listas!$A$48:$B$77,2,0)</f>
        <v>ESMERALDAS</v>
      </c>
      <c r="Q144" s="70">
        <f>VLOOKUP(Tabla6[[#This Row],[PG]],Listas2!$G$14:$K$16,3,0)</f>
        <v>1</v>
      </c>
      <c r="R144" s="73">
        <f>VLOOKUP(Tabla6[[#This Row],[PG]],Listas2!H149:'Listas2'!$G$14:$K$16,4,0)</f>
        <v>0</v>
      </c>
      <c r="S144" s="73">
        <f>VLOOKUP(Tabla6[[#This Row],[PG]],Listas2!$G$14:$K$16,2,0)</f>
        <v>0</v>
      </c>
      <c r="T144" s="66" t="s">
        <v>84</v>
      </c>
      <c r="U144" s="74">
        <v>53</v>
      </c>
      <c r="V144" s="66">
        <v>530813</v>
      </c>
      <c r="W144" s="63" t="str">
        <f>VLOOKUP(Tabla6[[#This Row],[ÍTEM PRESUPUESTARIO]],Tabla2[#All],2,0)</f>
        <v>REPUESTOS Y ACCESORIOS</v>
      </c>
      <c r="X144" s="57">
        <v>4670</v>
      </c>
      <c r="Y144" s="57">
        <f>4670-4670</f>
        <v>0</v>
      </c>
      <c r="Z144" s="58">
        <v>0</v>
      </c>
      <c r="AA144" s="58">
        <v>0</v>
      </c>
      <c r="AB144" s="58">
        <v>0</v>
      </c>
      <c r="AC144" s="58">
        <v>0</v>
      </c>
      <c r="AD144" s="58">
        <v>0</v>
      </c>
      <c r="AE144" s="58">
        <v>0</v>
      </c>
      <c r="AF144" s="58">
        <v>0</v>
      </c>
      <c r="AG144" s="58">
        <v>0</v>
      </c>
      <c r="AH144" s="58">
        <v>0</v>
      </c>
      <c r="AI144" s="58">
        <v>0</v>
      </c>
      <c r="AJ144" s="58">
        <v>0</v>
      </c>
      <c r="AK144" s="58">
        <v>0</v>
      </c>
      <c r="AL144" s="75">
        <f>+SUBTOTAL(9,Tabla6[[#This Row],[ENE]:[DIC]])</f>
        <v>0</v>
      </c>
      <c r="AM144" s="76" t="str">
        <f t="shared" si="2"/>
        <v>OK</v>
      </c>
      <c r="AN144" s="60">
        <v>0</v>
      </c>
      <c r="AO144" s="61">
        <f>+Tabla6[[#This Row],[PRESUPUESTO VIGENTE]]-Tabla6[[#This Row],[CERTIFICACIÓN PAPP]]</f>
        <v>0</v>
      </c>
      <c r="AP144" s="59">
        <v>0</v>
      </c>
    </row>
    <row r="145" spans="1:42" ht="93" customHeight="1" x14ac:dyDescent="0.25">
      <c r="A145" s="62" t="s">
        <v>88</v>
      </c>
      <c r="B145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45" s="64" t="s">
        <v>89</v>
      </c>
      <c r="D145" s="64" t="s">
        <v>80</v>
      </c>
      <c r="E145" s="64" t="s">
        <v>81</v>
      </c>
      <c r="F145" s="64" t="s">
        <v>82</v>
      </c>
      <c r="G145" s="64" t="s">
        <v>90</v>
      </c>
      <c r="H145" s="65" t="str">
        <f>VLOOKUP(Tabla6[[#This Row],[DIRECCIÓN]],DIRECCIÓN[#All],2,0)</f>
        <v>TECNOLOGÍA</v>
      </c>
      <c r="I145" s="66" t="s">
        <v>792</v>
      </c>
      <c r="J145" s="67">
        <v>2</v>
      </c>
      <c r="K145" s="68" t="str">
        <f>VLOOKUP(Tabla6[[#This Row],[DIRECCIÓN GENERAL / COORDINACIÓN / SUBDIRECCIÓN]],Tabla37[[#All],[Columna1]:[EOD]],2,0)</f>
        <v>266_0001</v>
      </c>
      <c r="L145" s="69">
        <f>VLOOKUP(Tabla6[[#This Row],[OBJETIVOS PND]],Listas!$A$1:$C$3,3,0)</f>
        <v>55</v>
      </c>
      <c r="M145" s="70">
        <f>VLOOKUP(Tabla6[[#This Row],[PG]],Listas2!$G$14:$K$16,5,0)</f>
        <v>0</v>
      </c>
      <c r="N145" s="71">
        <v>3</v>
      </c>
      <c r="O145" s="72">
        <v>801</v>
      </c>
      <c r="P145" s="73" t="str">
        <f>VLOOKUP(Tabla6[[#This Row],[GEO]],Listas!$A$48:$B$77,2,0)</f>
        <v>ESMERALDAS</v>
      </c>
      <c r="Q145" s="70">
        <f>VLOOKUP(Tabla6[[#This Row],[PG]],Listas2!$G$14:$K$16,3,0)</f>
        <v>1</v>
      </c>
      <c r="R145" s="73">
        <f>VLOOKUP(Tabla6[[#This Row],[PG]],Listas2!H150:'Listas2'!$G$14:$K$16,4,0)</f>
        <v>0</v>
      </c>
      <c r="S145" s="73">
        <f>VLOOKUP(Tabla6[[#This Row],[PG]],Listas2!$G$14:$K$16,2,0)</f>
        <v>0</v>
      </c>
      <c r="T145" s="66" t="s">
        <v>84</v>
      </c>
      <c r="U145" s="74">
        <v>53</v>
      </c>
      <c r="V145" s="66">
        <v>530813</v>
      </c>
      <c r="W145" s="63" t="str">
        <f>VLOOKUP(Tabla6[[#This Row],[ÍTEM PRESUPUESTARIO]],Tabla2[#All],2,0)</f>
        <v>REPUESTOS Y ACCESORIOS</v>
      </c>
      <c r="X145" s="57">
        <v>204</v>
      </c>
      <c r="Y145" s="57">
        <f>204-204+204</f>
        <v>204</v>
      </c>
      <c r="Z145" s="58">
        <v>0</v>
      </c>
      <c r="AA145" s="58">
        <v>0</v>
      </c>
      <c r="AB145" s="58">
        <v>0</v>
      </c>
      <c r="AC145" s="58">
        <v>0</v>
      </c>
      <c r="AD145" s="58">
        <v>0</v>
      </c>
      <c r="AE145" s="58">
        <v>0</v>
      </c>
      <c r="AF145" s="58">
        <v>0</v>
      </c>
      <c r="AG145" s="58">
        <v>0</v>
      </c>
      <c r="AH145" s="58">
        <v>0</v>
      </c>
      <c r="AI145" s="58">
        <v>0</v>
      </c>
      <c r="AJ145" s="58">
        <v>0</v>
      </c>
      <c r="AK145" s="58">
        <v>204</v>
      </c>
      <c r="AL145" s="75">
        <f>+SUBTOTAL(9,Tabla6[[#This Row],[ENE]:[DIC]])</f>
        <v>204</v>
      </c>
      <c r="AM145" s="76" t="str">
        <f t="shared" si="2"/>
        <v>OK</v>
      </c>
      <c r="AN145" s="60">
        <v>204</v>
      </c>
      <c r="AO145" s="61">
        <f>+Tabla6[[#This Row],[PRESUPUESTO VIGENTE]]-Tabla6[[#This Row],[CERTIFICACIÓN PAPP]]</f>
        <v>0</v>
      </c>
      <c r="AP145" s="59" t="s">
        <v>87</v>
      </c>
    </row>
    <row r="146" spans="1:42" ht="93" customHeight="1" x14ac:dyDescent="0.25">
      <c r="A146" s="62" t="s">
        <v>88</v>
      </c>
      <c r="B146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46" s="64" t="s">
        <v>89</v>
      </c>
      <c r="D146" s="64" t="s">
        <v>80</v>
      </c>
      <c r="E146" s="64" t="s">
        <v>81</v>
      </c>
      <c r="F146" s="64" t="s">
        <v>82</v>
      </c>
      <c r="G146" s="64" t="s">
        <v>90</v>
      </c>
      <c r="H146" s="65" t="str">
        <f>VLOOKUP(Tabla6[[#This Row],[DIRECCIÓN]],DIRECCIÓN[#All],2,0)</f>
        <v>TECNOLOGÍA</v>
      </c>
      <c r="I146" s="66" t="s">
        <v>834</v>
      </c>
      <c r="J146" s="67">
        <v>2</v>
      </c>
      <c r="K146" s="68" t="str">
        <f>VLOOKUP(Tabla6[[#This Row],[DIRECCIÓN GENERAL / COORDINACIÓN / SUBDIRECCIÓN]],Tabla37[[#All],[Columna1]:[EOD]],2,0)</f>
        <v>266_0001</v>
      </c>
      <c r="L146" s="69">
        <f>VLOOKUP(Tabla6[[#This Row],[OBJETIVOS PND]],Listas!$A$1:$C$3,3,0)</f>
        <v>55</v>
      </c>
      <c r="M146" s="70">
        <f>VLOOKUP(Tabla6[[#This Row],[PG]],Listas2!$G$14:$K$16,5,0)</f>
        <v>0</v>
      </c>
      <c r="N146" s="71">
        <v>3</v>
      </c>
      <c r="O146" s="72">
        <v>801</v>
      </c>
      <c r="P146" s="73" t="str">
        <f>VLOOKUP(Tabla6[[#This Row],[GEO]],Listas!$A$48:$B$77,2,0)</f>
        <v>ESMERALDAS</v>
      </c>
      <c r="Q146" s="70">
        <f>VLOOKUP(Tabla6[[#This Row],[PG]],Listas2!$G$14:$K$16,3,0)</f>
        <v>1</v>
      </c>
      <c r="R146" s="73">
        <f>VLOOKUP(Tabla6[[#This Row],[PG]],Listas2!H151:'Listas2'!$G$14:$K$16,4,0)</f>
        <v>0</v>
      </c>
      <c r="S146" s="73">
        <f>VLOOKUP(Tabla6[[#This Row],[PG]],Listas2!$G$14:$K$16,2,0)</f>
        <v>0</v>
      </c>
      <c r="T146" s="66" t="s">
        <v>84</v>
      </c>
      <c r="U146" s="74">
        <v>53</v>
      </c>
      <c r="V146" s="66">
        <v>530813</v>
      </c>
      <c r="W146" s="63" t="str">
        <f>VLOOKUP(Tabla6[[#This Row],[ÍTEM PRESUPUESTARIO]],Tabla2[#All],2,0)</f>
        <v>REPUESTOS Y ACCESORIOS</v>
      </c>
      <c r="X146" s="57">
        <v>6022</v>
      </c>
      <c r="Y146" s="57">
        <f>6022-6022</f>
        <v>0</v>
      </c>
      <c r="Z146" s="58">
        <v>0</v>
      </c>
      <c r="AA146" s="58">
        <v>0</v>
      </c>
      <c r="AB146" s="58">
        <v>0</v>
      </c>
      <c r="AC146" s="58">
        <v>0</v>
      </c>
      <c r="AD146" s="58">
        <v>0</v>
      </c>
      <c r="AE146" s="58">
        <v>0</v>
      </c>
      <c r="AF146" s="58">
        <v>0</v>
      </c>
      <c r="AG146" s="58">
        <v>0</v>
      </c>
      <c r="AH146" s="58">
        <v>0</v>
      </c>
      <c r="AI146" s="58">
        <v>0</v>
      </c>
      <c r="AJ146" s="58">
        <v>0</v>
      </c>
      <c r="AK146" s="58">
        <v>0</v>
      </c>
      <c r="AL146" s="75">
        <f>+SUBTOTAL(9,Tabla6[[#This Row],[ENE]:[DIC]])</f>
        <v>0</v>
      </c>
      <c r="AM146" s="76" t="str">
        <f t="shared" si="2"/>
        <v>OK</v>
      </c>
      <c r="AN146" s="60">
        <v>0</v>
      </c>
      <c r="AO146" s="61">
        <f>+Tabla6[[#This Row],[PRESUPUESTO VIGENTE]]-Tabla6[[#This Row],[CERTIFICACIÓN PAPP]]</f>
        <v>0</v>
      </c>
      <c r="AP146" s="59" t="s">
        <v>87</v>
      </c>
    </row>
    <row r="147" spans="1:42" ht="93" customHeight="1" x14ac:dyDescent="0.25">
      <c r="A147" s="62" t="s">
        <v>88</v>
      </c>
      <c r="B147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47" s="64" t="s">
        <v>89</v>
      </c>
      <c r="D147" s="64" t="s">
        <v>80</v>
      </c>
      <c r="E147" s="64" t="s">
        <v>81</v>
      </c>
      <c r="F147" s="64" t="s">
        <v>82</v>
      </c>
      <c r="G147" s="64" t="s">
        <v>90</v>
      </c>
      <c r="H147" s="65" t="str">
        <f>VLOOKUP(Tabla6[[#This Row],[DIRECCIÓN]],DIRECCIÓN[#All],2,0)</f>
        <v>TECNOLOGÍA</v>
      </c>
      <c r="I147" s="66" t="s">
        <v>835</v>
      </c>
      <c r="J147" s="67">
        <v>2</v>
      </c>
      <c r="K147" s="68" t="str">
        <f>VLOOKUP(Tabla6[[#This Row],[DIRECCIÓN GENERAL / COORDINACIÓN / SUBDIRECCIÓN]],Tabla37[[#All],[Columna1]:[EOD]],2,0)</f>
        <v>266_0001</v>
      </c>
      <c r="L147" s="69">
        <f>VLOOKUP(Tabla6[[#This Row],[OBJETIVOS PND]],Listas!$A$1:$C$3,3,0)</f>
        <v>55</v>
      </c>
      <c r="M147" s="70">
        <f>VLOOKUP(Tabla6[[#This Row],[PG]],Listas2!$G$14:$K$16,5,0)</f>
        <v>0</v>
      </c>
      <c r="N147" s="71">
        <v>3</v>
      </c>
      <c r="O147" s="72">
        <v>801</v>
      </c>
      <c r="P147" s="73" t="str">
        <f>VLOOKUP(Tabla6[[#This Row],[GEO]],Listas!$A$48:$B$77,2,0)</f>
        <v>ESMERALDAS</v>
      </c>
      <c r="Q147" s="70">
        <f>VLOOKUP(Tabla6[[#This Row],[PG]],Listas2!$G$14:$K$16,3,0)</f>
        <v>1</v>
      </c>
      <c r="R147" s="73">
        <f>VLOOKUP(Tabla6[[#This Row],[PG]],Listas2!H152:'Listas2'!$G$14:$K$16,4,0)</f>
        <v>0</v>
      </c>
      <c r="S147" s="73">
        <f>VLOOKUP(Tabla6[[#This Row],[PG]],Listas2!$G$14:$K$16,2,0)</f>
        <v>0</v>
      </c>
      <c r="T147" s="66" t="s">
        <v>84</v>
      </c>
      <c r="U147" s="74">
        <v>53</v>
      </c>
      <c r="V147" s="66">
        <v>530813</v>
      </c>
      <c r="W147" s="63" t="str">
        <f>VLOOKUP(Tabla6[[#This Row],[ÍTEM PRESUPUESTARIO]],Tabla2[#All],2,0)</f>
        <v>REPUESTOS Y ACCESORIOS</v>
      </c>
      <c r="X147" s="57">
        <v>0</v>
      </c>
      <c r="Y147" s="57">
        <v>6088.25</v>
      </c>
      <c r="Z147" s="58">
        <v>0</v>
      </c>
      <c r="AA147" s="58">
        <v>0</v>
      </c>
      <c r="AB147" s="58">
        <v>0</v>
      </c>
      <c r="AC147" s="58">
        <v>0</v>
      </c>
      <c r="AD147" s="58">
        <v>0</v>
      </c>
      <c r="AE147" s="58">
        <v>6088.25</v>
      </c>
      <c r="AF147" s="58">
        <v>0</v>
      </c>
      <c r="AG147" s="58">
        <v>0</v>
      </c>
      <c r="AH147" s="58">
        <v>0</v>
      </c>
      <c r="AI147" s="58">
        <v>0</v>
      </c>
      <c r="AJ147" s="58">
        <v>0</v>
      </c>
      <c r="AK147" s="58">
        <v>0</v>
      </c>
      <c r="AL147" s="75">
        <f>+SUBTOTAL(9,Tabla6[[#This Row],[ENE]:[DIC]])</f>
        <v>6088.25</v>
      </c>
      <c r="AM147" s="76" t="str">
        <f t="shared" si="2"/>
        <v>OK</v>
      </c>
      <c r="AN147" s="60">
        <v>6088.25</v>
      </c>
      <c r="AO147" s="61">
        <f>+Tabla6[[#This Row],[PRESUPUESTO VIGENTE]]-Tabla6[[#This Row],[CERTIFICACIÓN PAPP]]</f>
        <v>0</v>
      </c>
      <c r="AP147" s="59">
        <v>0</v>
      </c>
    </row>
    <row r="148" spans="1:42" ht="93" customHeight="1" x14ac:dyDescent="0.25">
      <c r="A148" s="62" t="s">
        <v>88</v>
      </c>
      <c r="B148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48" s="64" t="s">
        <v>89</v>
      </c>
      <c r="D148" s="64" t="s">
        <v>80</v>
      </c>
      <c r="E148" s="64" t="s">
        <v>81</v>
      </c>
      <c r="F148" s="64" t="s">
        <v>82</v>
      </c>
      <c r="G148" s="64" t="s">
        <v>90</v>
      </c>
      <c r="H148" s="65" t="str">
        <f>VLOOKUP(Tabla6[[#This Row],[DIRECCIÓN]],DIRECCIÓN[#All],2,0)</f>
        <v>TECNOLOGÍA</v>
      </c>
      <c r="I148" s="66" t="s">
        <v>872</v>
      </c>
      <c r="J148" s="67">
        <v>1</v>
      </c>
      <c r="K148" s="68" t="str">
        <f>VLOOKUP(Tabla6[[#This Row],[DIRECCIÓN GENERAL / COORDINACIÓN / SUBDIRECCIÓN]],Tabla37[[#All],[Columna1]:[EOD]],2,0)</f>
        <v>266_0001</v>
      </c>
      <c r="L148" s="69">
        <f>VLOOKUP(Tabla6[[#This Row],[OBJETIVOS PND]],Listas!$A$1:$C$3,3,0)</f>
        <v>55</v>
      </c>
      <c r="M148" s="70">
        <f>VLOOKUP(Tabla6[[#This Row],[PG]],Listas2!$G$14:$K$16,5,0)</f>
        <v>0</v>
      </c>
      <c r="N148" s="71">
        <v>3</v>
      </c>
      <c r="O148" s="72">
        <v>801</v>
      </c>
      <c r="P148" s="73" t="str">
        <f>VLOOKUP(Tabla6[[#This Row],[GEO]],Listas!$A$48:$B$77,2,0)</f>
        <v>ESMERALDAS</v>
      </c>
      <c r="Q148" s="70">
        <f>VLOOKUP(Tabla6[[#This Row],[PG]],Listas2!$G$14:$K$16,3,0)</f>
        <v>1</v>
      </c>
      <c r="R148" s="73">
        <f>VLOOKUP(Tabla6[[#This Row],[PG]],Listas2!H153:'Listas2'!$G$14:$K$16,4,0)</f>
        <v>0</v>
      </c>
      <c r="S148" s="73">
        <f>VLOOKUP(Tabla6[[#This Row],[PG]],Listas2!$G$14:$K$16,2,0)</f>
        <v>0</v>
      </c>
      <c r="T148" s="66" t="s">
        <v>84</v>
      </c>
      <c r="U148" s="74">
        <v>53</v>
      </c>
      <c r="V148" s="66">
        <v>530813</v>
      </c>
      <c r="W148" s="63" t="str">
        <f>VLOOKUP(Tabla6[[#This Row],[ÍTEM PRESUPUESTARIO]],Tabla2[#All],2,0)</f>
        <v>REPUESTOS Y ACCESORIOS</v>
      </c>
      <c r="X148" s="57">
        <v>0</v>
      </c>
      <c r="Y148" s="57">
        <f>42416.76-2956.42-3242.2</f>
        <v>36218.140000000007</v>
      </c>
      <c r="Z148" s="58">
        <v>0</v>
      </c>
      <c r="AA148" s="58">
        <v>0</v>
      </c>
      <c r="AB148" s="58">
        <v>0</v>
      </c>
      <c r="AC148" s="58">
        <v>0</v>
      </c>
      <c r="AD148" s="58">
        <v>0</v>
      </c>
      <c r="AE148" s="58">
        <v>0</v>
      </c>
      <c r="AF148" s="58">
        <v>0</v>
      </c>
      <c r="AG148" s="58">
        <v>0</v>
      </c>
      <c r="AH148" s="58">
        <v>0</v>
      </c>
      <c r="AI148" s="58">
        <v>0</v>
      </c>
      <c r="AJ148" s="58">
        <v>36218.14</v>
      </c>
      <c r="AK148" s="58">
        <v>0</v>
      </c>
      <c r="AL148" s="75">
        <f>+SUBTOTAL(9,Tabla6[[#This Row],[ENE]:[DIC]])</f>
        <v>36218.14</v>
      </c>
      <c r="AM148" s="76" t="str">
        <f t="shared" si="2"/>
        <v>OK</v>
      </c>
      <c r="AN148" s="60">
        <v>36218.14</v>
      </c>
      <c r="AO148" s="61">
        <f>+Tabla6[[#This Row],[PRESUPUESTO VIGENTE]]-Tabla6[[#This Row],[CERTIFICACIÓN PAPP]]</f>
        <v>0</v>
      </c>
      <c r="AP148" s="59">
        <v>0</v>
      </c>
    </row>
    <row r="149" spans="1:42" ht="93" customHeight="1" x14ac:dyDescent="0.25">
      <c r="A149" s="62" t="s">
        <v>88</v>
      </c>
      <c r="B149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49" s="64" t="s">
        <v>89</v>
      </c>
      <c r="D149" s="64" t="s">
        <v>80</v>
      </c>
      <c r="E149" s="64" t="s">
        <v>81</v>
      </c>
      <c r="F149" s="64" t="s">
        <v>82</v>
      </c>
      <c r="G149" s="64" t="s">
        <v>90</v>
      </c>
      <c r="H149" s="65" t="str">
        <f>VLOOKUP(Tabla6[[#This Row],[DIRECCIÓN]],DIRECCIÓN[#All],2,0)</f>
        <v>TECNOLOGÍA</v>
      </c>
      <c r="I149" s="66" t="s">
        <v>835</v>
      </c>
      <c r="J149" s="67">
        <v>2</v>
      </c>
      <c r="K149" s="68" t="str">
        <f>VLOOKUP(Tabla6[[#This Row],[DIRECCIÓN GENERAL / COORDINACIÓN / SUBDIRECCIÓN]],Tabla37[[#All],[Columna1]:[EOD]],2,0)</f>
        <v>266_0001</v>
      </c>
      <c r="L149" s="69">
        <f>VLOOKUP(Tabla6[[#This Row],[OBJETIVOS PND]],Listas!$A$1:$C$3,3,0)</f>
        <v>55</v>
      </c>
      <c r="M149" s="70">
        <f>VLOOKUP(Tabla6[[#This Row],[PG]],Listas2!$G$14:$K$16,5,0)</f>
        <v>0</v>
      </c>
      <c r="N149" s="71">
        <v>3</v>
      </c>
      <c r="O149" s="72">
        <v>801</v>
      </c>
      <c r="P149" s="73" t="str">
        <f>VLOOKUP(Tabla6[[#This Row],[GEO]],Listas!$A$48:$B$77,2,0)</f>
        <v>ESMERALDAS</v>
      </c>
      <c r="Q149" s="70">
        <f>VLOOKUP(Tabla6[[#This Row],[PG]],Listas2!$G$14:$K$16,3,0)</f>
        <v>1</v>
      </c>
      <c r="R149" s="73">
        <f>VLOOKUP(Tabla6[[#This Row],[PG]],Listas2!H154:'Listas2'!$G$14:$K$16,4,0)</f>
        <v>0</v>
      </c>
      <c r="S149" s="73">
        <f>VLOOKUP(Tabla6[[#This Row],[PG]],Listas2!$G$14:$K$16,2,0)</f>
        <v>0</v>
      </c>
      <c r="T149" s="66" t="s">
        <v>84</v>
      </c>
      <c r="U149" s="74">
        <v>53</v>
      </c>
      <c r="V149" s="66">
        <v>531404</v>
      </c>
      <c r="W149" s="63" t="str">
        <f>VLOOKUP(Tabla6[[#This Row],[ÍTEM PRESUPUESTARIO]],Tabla2[#All],2,0)</f>
        <v>MAQUINARIAS Y EQUIPOS</v>
      </c>
      <c r="X149" s="57">
        <v>0</v>
      </c>
      <c r="Y149" s="57">
        <f>16.92-1.92</f>
        <v>15.000000000000002</v>
      </c>
      <c r="Z149" s="58">
        <v>0</v>
      </c>
      <c r="AA149" s="58">
        <v>0</v>
      </c>
      <c r="AB149" s="58">
        <v>0</v>
      </c>
      <c r="AC149" s="58">
        <v>0</v>
      </c>
      <c r="AD149" s="58">
        <v>0</v>
      </c>
      <c r="AE149" s="58">
        <v>15</v>
      </c>
      <c r="AF149" s="58">
        <v>0</v>
      </c>
      <c r="AG149" s="58">
        <v>0</v>
      </c>
      <c r="AH149" s="58">
        <v>0</v>
      </c>
      <c r="AI149" s="58">
        <v>0</v>
      </c>
      <c r="AJ149" s="58">
        <v>0</v>
      </c>
      <c r="AK149" s="58">
        <v>0</v>
      </c>
      <c r="AL149" s="75">
        <f>+SUBTOTAL(9,Tabla6[[#This Row],[ENE]:[DIC]])</f>
        <v>15</v>
      </c>
      <c r="AM149" s="76" t="str">
        <f t="shared" si="2"/>
        <v>OK</v>
      </c>
      <c r="AN149" s="60">
        <v>15</v>
      </c>
      <c r="AO149" s="61">
        <f>+Tabla6[[#This Row],[PRESUPUESTO VIGENTE]]-Tabla6[[#This Row],[CERTIFICACIÓN PAPP]]</f>
        <v>0</v>
      </c>
      <c r="AP149" s="59">
        <v>0</v>
      </c>
    </row>
    <row r="150" spans="1:42" ht="93" customHeight="1" x14ac:dyDescent="0.25">
      <c r="A150" s="62" t="s">
        <v>88</v>
      </c>
      <c r="B150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50" s="64" t="s">
        <v>89</v>
      </c>
      <c r="D150" s="64" t="s">
        <v>80</v>
      </c>
      <c r="E150" s="64" t="s">
        <v>81</v>
      </c>
      <c r="F150" s="64" t="s">
        <v>82</v>
      </c>
      <c r="G150" s="64" t="s">
        <v>90</v>
      </c>
      <c r="H150" s="65" t="str">
        <f>VLOOKUP(Tabla6[[#This Row],[DIRECCIÓN]],DIRECCIÓN[#All],2,0)</f>
        <v>TECNOLOGÍA</v>
      </c>
      <c r="I150" s="66" t="s">
        <v>835</v>
      </c>
      <c r="J150" s="67">
        <v>2</v>
      </c>
      <c r="K150" s="68" t="str">
        <f>VLOOKUP(Tabla6[[#This Row],[DIRECCIÓN GENERAL / COORDINACIÓN / SUBDIRECCIÓN]],Tabla37[[#All],[Columna1]:[EOD]],2,0)</f>
        <v>266_0001</v>
      </c>
      <c r="L150" s="69">
        <f>VLOOKUP(Tabla6[[#This Row],[OBJETIVOS PND]],Listas!$A$1:$C$3,3,0)</f>
        <v>55</v>
      </c>
      <c r="M150" s="70">
        <f>VLOOKUP(Tabla6[[#This Row],[PG]],Listas2!$G$14:$K$16,5,0)</f>
        <v>0</v>
      </c>
      <c r="N150" s="71">
        <v>3</v>
      </c>
      <c r="O150" s="72">
        <v>801</v>
      </c>
      <c r="P150" s="73" t="str">
        <f>VLOOKUP(Tabla6[[#This Row],[GEO]],Listas!$A$48:$B$77,2,0)</f>
        <v>ESMERALDAS</v>
      </c>
      <c r="Q150" s="70">
        <f>VLOOKUP(Tabla6[[#This Row],[PG]],Listas2!$G$14:$K$16,3,0)</f>
        <v>1</v>
      </c>
      <c r="R150" s="73">
        <f>VLOOKUP(Tabla6[[#This Row],[PG]],Listas2!H155:'Listas2'!$G$14:$K$16,4,0)</f>
        <v>0</v>
      </c>
      <c r="S150" s="73">
        <f>VLOOKUP(Tabla6[[#This Row],[PG]],Listas2!$G$14:$K$16,2,0)</f>
        <v>0</v>
      </c>
      <c r="T150" s="66" t="s">
        <v>84</v>
      </c>
      <c r="U150" s="74">
        <v>53</v>
      </c>
      <c r="V150" s="66">
        <v>531406</v>
      </c>
      <c r="W150" s="63" t="str">
        <f>VLOOKUP(Tabla6[[#This Row],[ÍTEM PRESUPUESTARIO]],Tabla2[#All],2,0)</f>
        <v>HERRAMIENTAS Y EQUIPOS MENORES</v>
      </c>
      <c r="X150" s="57">
        <v>0</v>
      </c>
      <c r="Y150" s="57">
        <f>110.56-60.56</f>
        <v>50</v>
      </c>
      <c r="Z150" s="58">
        <v>0</v>
      </c>
      <c r="AA150" s="58">
        <v>0</v>
      </c>
      <c r="AB150" s="58">
        <v>0</v>
      </c>
      <c r="AC150" s="58">
        <v>0</v>
      </c>
      <c r="AD150" s="58">
        <v>0</v>
      </c>
      <c r="AE150" s="58">
        <v>50</v>
      </c>
      <c r="AF150" s="58">
        <v>0</v>
      </c>
      <c r="AG150" s="58">
        <v>0</v>
      </c>
      <c r="AH150" s="58">
        <v>0</v>
      </c>
      <c r="AI150" s="58">
        <v>0</v>
      </c>
      <c r="AJ150" s="58">
        <v>0</v>
      </c>
      <c r="AK150" s="58">
        <v>0</v>
      </c>
      <c r="AL150" s="75">
        <f>+SUBTOTAL(9,Tabla6[[#This Row],[ENE]:[DIC]])</f>
        <v>50</v>
      </c>
      <c r="AM150" s="76" t="str">
        <f t="shared" si="2"/>
        <v>OK</v>
      </c>
      <c r="AN150" s="60">
        <v>50</v>
      </c>
      <c r="AO150" s="61">
        <f>+Tabla6[[#This Row],[PRESUPUESTO VIGENTE]]-Tabla6[[#This Row],[CERTIFICACIÓN PAPP]]</f>
        <v>0</v>
      </c>
      <c r="AP150" s="59">
        <v>0</v>
      </c>
    </row>
    <row r="151" spans="1:42" ht="93" customHeight="1" x14ac:dyDescent="0.25">
      <c r="A151" s="62" t="s">
        <v>88</v>
      </c>
      <c r="B151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51" s="64" t="s">
        <v>89</v>
      </c>
      <c r="D151" s="64" t="s">
        <v>80</v>
      </c>
      <c r="E151" s="64" t="s">
        <v>81</v>
      </c>
      <c r="F151" s="64" t="s">
        <v>82</v>
      </c>
      <c r="G151" s="64" t="s">
        <v>90</v>
      </c>
      <c r="H151" s="65" t="str">
        <f>VLOOKUP(Tabla6[[#This Row],[DIRECCIÓN]],DIRECCIÓN[#All],2,0)</f>
        <v>TECNOLOGÍA</v>
      </c>
      <c r="I151" s="66" t="s">
        <v>835</v>
      </c>
      <c r="J151" s="67">
        <v>2</v>
      </c>
      <c r="K151" s="68" t="str">
        <f>VLOOKUP(Tabla6[[#This Row],[DIRECCIÓN GENERAL / COORDINACIÓN / SUBDIRECCIÓN]],Tabla37[[#All],[Columna1]:[EOD]],2,0)</f>
        <v>266_0001</v>
      </c>
      <c r="L151" s="69">
        <f>VLOOKUP(Tabla6[[#This Row],[OBJETIVOS PND]],Listas!$A$1:$C$3,3,0)</f>
        <v>55</v>
      </c>
      <c r="M151" s="70">
        <f>VLOOKUP(Tabla6[[#This Row],[PG]],Listas2!$G$14:$K$16,5,0)</f>
        <v>0</v>
      </c>
      <c r="N151" s="71">
        <v>3</v>
      </c>
      <c r="O151" s="72">
        <v>801</v>
      </c>
      <c r="P151" s="73" t="str">
        <f>VLOOKUP(Tabla6[[#This Row],[GEO]],Listas!$A$48:$B$77,2,0)</f>
        <v>ESMERALDAS</v>
      </c>
      <c r="Q151" s="70">
        <f>VLOOKUP(Tabla6[[#This Row],[PG]],Listas2!$G$14:$K$16,3,0)</f>
        <v>1</v>
      </c>
      <c r="R151" s="73">
        <f>VLOOKUP(Tabla6[[#This Row],[PG]],Listas2!H156:'Listas2'!$G$14:$K$16,4,0)</f>
        <v>0</v>
      </c>
      <c r="S151" s="73">
        <f>VLOOKUP(Tabla6[[#This Row],[PG]],Listas2!$G$14:$K$16,2,0)</f>
        <v>0</v>
      </c>
      <c r="T151" s="66" t="s">
        <v>84</v>
      </c>
      <c r="U151" s="74">
        <v>53</v>
      </c>
      <c r="V151" s="66">
        <v>531407</v>
      </c>
      <c r="W151" s="63" t="str">
        <f>VLOOKUP(Tabla6[[#This Row],[ÍTEM PRESUPUESTARIO]],Tabla2[#All],2,0)</f>
        <v>EQUIPOS, SISTEMAS Y PAQUETES INFORMÁTICOS</v>
      </c>
      <c r="X151" s="57">
        <v>0</v>
      </c>
      <c r="Y151" s="57">
        <v>225.09</v>
      </c>
      <c r="Z151" s="58">
        <v>0</v>
      </c>
      <c r="AA151" s="58">
        <v>0</v>
      </c>
      <c r="AB151" s="58">
        <v>0</v>
      </c>
      <c r="AC151" s="58">
        <v>0</v>
      </c>
      <c r="AD151" s="58">
        <v>0</v>
      </c>
      <c r="AE151" s="58">
        <v>225.09</v>
      </c>
      <c r="AF151" s="58">
        <v>0</v>
      </c>
      <c r="AG151" s="58">
        <v>0</v>
      </c>
      <c r="AH151" s="58">
        <v>0</v>
      </c>
      <c r="AI151" s="58">
        <v>0</v>
      </c>
      <c r="AJ151" s="58">
        <v>0</v>
      </c>
      <c r="AK151" s="58">
        <v>0</v>
      </c>
      <c r="AL151" s="75">
        <f>+SUBTOTAL(9,Tabla6[[#This Row],[ENE]:[DIC]])</f>
        <v>225.09</v>
      </c>
      <c r="AM151" s="76" t="str">
        <f t="shared" si="2"/>
        <v>OK</v>
      </c>
      <c r="AN151" s="60">
        <v>225.09</v>
      </c>
      <c r="AO151" s="61">
        <f>+Tabla6[[#This Row],[PRESUPUESTO VIGENTE]]-Tabla6[[#This Row],[CERTIFICACIÓN PAPP]]</f>
        <v>0</v>
      </c>
      <c r="AP151" s="59">
        <v>0</v>
      </c>
    </row>
    <row r="152" spans="1:42" ht="93" customHeight="1" x14ac:dyDescent="0.25">
      <c r="A152" s="62" t="s">
        <v>88</v>
      </c>
      <c r="B152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52" s="64" t="s">
        <v>89</v>
      </c>
      <c r="D152" s="64" t="s">
        <v>80</v>
      </c>
      <c r="E152" s="64" t="s">
        <v>81</v>
      </c>
      <c r="F152" s="64" t="s">
        <v>82</v>
      </c>
      <c r="G152" s="64" t="s">
        <v>90</v>
      </c>
      <c r="H152" s="65" t="str">
        <f>VLOOKUP(Tabla6[[#This Row],[DIRECCIÓN]],DIRECCIÓN[#All],2,0)</f>
        <v>TECNOLOGÍA</v>
      </c>
      <c r="I152" s="66" t="s">
        <v>872</v>
      </c>
      <c r="J152" s="67">
        <v>1</v>
      </c>
      <c r="K152" s="68" t="str">
        <f>VLOOKUP(Tabla6[[#This Row],[DIRECCIÓN GENERAL / COORDINACIÓN / SUBDIRECCIÓN]],Tabla37[[#All],[Columna1]:[EOD]],2,0)</f>
        <v>266_0001</v>
      </c>
      <c r="L152" s="69">
        <f>VLOOKUP(Tabla6[[#This Row],[OBJETIVOS PND]],Listas!$A$1:$C$3,3,0)</f>
        <v>55</v>
      </c>
      <c r="M152" s="70">
        <f>VLOOKUP(Tabla6[[#This Row],[PG]],Listas2!$G$14:$K$16,5,0)</f>
        <v>0</v>
      </c>
      <c r="N152" s="71">
        <v>3</v>
      </c>
      <c r="O152" s="72">
        <v>801</v>
      </c>
      <c r="P152" s="73" t="str">
        <f>VLOOKUP(Tabla6[[#This Row],[GEO]],Listas!$A$48:$B$77,2,0)</f>
        <v>ESMERALDAS</v>
      </c>
      <c r="Q152" s="70">
        <f>VLOOKUP(Tabla6[[#This Row],[PG]],Listas2!$G$14:$K$16,3,0)</f>
        <v>1</v>
      </c>
      <c r="R152" s="73">
        <f>VLOOKUP(Tabla6[[#This Row],[PG]],Listas2!H157:'Listas2'!$G$14:$K$16,4,0)</f>
        <v>0</v>
      </c>
      <c r="S152" s="73">
        <f>VLOOKUP(Tabla6[[#This Row],[PG]],Listas2!$G$14:$K$16,2,0)</f>
        <v>0</v>
      </c>
      <c r="T152" s="66" t="s">
        <v>84</v>
      </c>
      <c r="U152" s="74">
        <v>53</v>
      </c>
      <c r="V152" s="66">
        <v>531407</v>
      </c>
      <c r="W152" s="63" t="str">
        <f>VLOOKUP(Tabla6[[#This Row],[ÍTEM PRESUPUESTARIO]],Tabla2[#All],2,0)</f>
        <v>EQUIPOS, SISTEMAS Y PAQUETES INFORMÁTICOS</v>
      </c>
      <c r="X152" s="57">
        <v>0</v>
      </c>
      <c r="Y152" s="57">
        <f>2956.42-35.09</f>
        <v>2921.33</v>
      </c>
      <c r="Z152" s="58">
        <v>0</v>
      </c>
      <c r="AA152" s="58">
        <v>0</v>
      </c>
      <c r="AB152" s="58">
        <v>0</v>
      </c>
      <c r="AC152" s="58">
        <v>0</v>
      </c>
      <c r="AD152" s="58">
        <v>0</v>
      </c>
      <c r="AE152" s="58">
        <v>0</v>
      </c>
      <c r="AF152" s="58">
        <v>0</v>
      </c>
      <c r="AG152" s="58">
        <v>0</v>
      </c>
      <c r="AH152" s="58">
        <v>0</v>
      </c>
      <c r="AI152" s="58">
        <v>0</v>
      </c>
      <c r="AJ152" s="58">
        <v>2921.33</v>
      </c>
      <c r="AK152" s="58">
        <v>0</v>
      </c>
      <c r="AL152" s="75">
        <f>+SUBTOTAL(9,Tabla6[[#This Row],[ENE]:[DIC]])</f>
        <v>2921.33</v>
      </c>
      <c r="AM152" s="76" t="str">
        <f t="shared" si="2"/>
        <v>OK</v>
      </c>
      <c r="AN152" s="60">
        <v>2921.33</v>
      </c>
      <c r="AO152" s="61">
        <f>+Tabla6[[#This Row],[PRESUPUESTO VIGENTE]]-Tabla6[[#This Row],[CERTIFICACIÓN PAPP]]</f>
        <v>0</v>
      </c>
      <c r="AP152" s="59">
        <v>0</v>
      </c>
    </row>
    <row r="153" spans="1:42" ht="93" customHeight="1" x14ac:dyDescent="0.25">
      <c r="A153" s="62" t="s">
        <v>78</v>
      </c>
      <c r="B153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53" s="64" t="s">
        <v>79</v>
      </c>
      <c r="D153" s="64" t="s">
        <v>80</v>
      </c>
      <c r="E153" s="64" t="s">
        <v>81</v>
      </c>
      <c r="F153" s="64" t="s">
        <v>82</v>
      </c>
      <c r="G153" s="64" t="s">
        <v>92</v>
      </c>
      <c r="H153" s="65" t="str">
        <f>VLOOKUP(Tabla6[[#This Row],[DIRECCIÓN]],DIRECCIÓN[#All],2,0)</f>
        <v>ADMINISTRACIÓN CENTRAL</v>
      </c>
      <c r="I153" s="66" t="s">
        <v>93</v>
      </c>
      <c r="J153" s="67">
        <v>1</v>
      </c>
      <c r="K153" s="68" t="str">
        <f>VLOOKUP(Tabla6[[#This Row],[DIRECCIÓN GENERAL / COORDINACIÓN / SUBDIRECCIÓN]],Tabla37[[#All],[Columna1]:[EOD]],2,0)</f>
        <v>266_0001</v>
      </c>
      <c r="L153" s="69">
        <f>VLOOKUP(Tabla6[[#This Row],[OBJETIVOS PND]],Listas!$A$1:$C$3,3,0)</f>
        <v>1</v>
      </c>
      <c r="M153" s="70">
        <f>VLOOKUP(Tabla6[[#This Row],[PG]],Listas2!$G$14:$K$16,5,0)</f>
        <v>0</v>
      </c>
      <c r="N153" s="71">
        <v>1</v>
      </c>
      <c r="O153" s="72">
        <v>1000</v>
      </c>
      <c r="P153" s="73" t="str">
        <f>VLOOKUP(Tabla6[[#This Row],[GEO]],Listas!$A$48:$B$77,2,0)</f>
        <v>IMBABURA</v>
      </c>
      <c r="Q153" s="70">
        <f>VLOOKUP(Tabla6[[#This Row],[PG]],Listas2!$G$14:$K$16,3,0)</f>
        <v>1</v>
      </c>
      <c r="R153" s="73">
        <f>VLOOKUP(Tabla6[[#This Row],[PG]],Listas2!H158:'Listas2'!$G$14:$K$16,4,0)</f>
        <v>0</v>
      </c>
      <c r="S153" s="73">
        <f>VLOOKUP(Tabla6[[#This Row],[PG]],Listas2!$G$14:$K$16,2,0)</f>
        <v>0</v>
      </c>
      <c r="T153" s="66" t="s">
        <v>84</v>
      </c>
      <c r="U153" s="74">
        <v>51</v>
      </c>
      <c r="V153" s="66">
        <v>510105</v>
      </c>
      <c r="W153" s="63" t="str">
        <f>VLOOKUP(Tabla6[[#This Row],[ÍTEM PRESUPUESTARIO]],Tabla2[#All],2,0)</f>
        <v>REMUNERACIONES UNIFICADAS</v>
      </c>
      <c r="X153" s="57">
        <v>769920</v>
      </c>
      <c r="Y153" s="57">
        <f>755358.56-5069.76</f>
        <v>750288.8</v>
      </c>
      <c r="Z153" s="58">
        <v>64244</v>
      </c>
      <c r="AA153" s="58">
        <v>64244</v>
      </c>
      <c r="AB153" s="58">
        <v>64244</v>
      </c>
      <c r="AC153" s="58">
        <v>64244</v>
      </c>
      <c r="AD153" s="58">
        <v>64244</v>
      </c>
      <c r="AE153" s="58">
        <v>64244</v>
      </c>
      <c r="AF153" s="58">
        <v>64244</v>
      </c>
      <c r="AG153" s="58">
        <v>64244</v>
      </c>
      <c r="AH153" s="58">
        <v>64244</v>
      </c>
      <c r="AI153" s="58">
        <v>64244</v>
      </c>
      <c r="AJ153" s="58">
        <v>64244</v>
      </c>
      <c r="AK153" s="58">
        <v>43604.800000000003</v>
      </c>
      <c r="AL153" s="75">
        <f>+SUBTOTAL(9,Tabla6[[#This Row],[ENE]:[DIC]])</f>
        <v>750288.8</v>
      </c>
      <c r="AM153" s="76" t="str">
        <f t="shared" si="2"/>
        <v>OK</v>
      </c>
      <c r="AN153" s="60">
        <v>0</v>
      </c>
      <c r="AO153" s="61">
        <f>+Tabla6[[#This Row],[PRESUPUESTO VIGENTE]]-Tabla6[[#This Row],[CERTIFICACIÓN PAPP]]</f>
        <v>750288.8</v>
      </c>
      <c r="AP153" s="59">
        <v>0</v>
      </c>
    </row>
    <row r="154" spans="1:42" ht="93" customHeight="1" x14ac:dyDescent="0.25">
      <c r="A154" s="62" t="s">
        <v>78</v>
      </c>
      <c r="B154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54" s="64" t="s">
        <v>79</v>
      </c>
      <c r="D154" s="64" t="s">
        <v>80</v>
      </c>
      <c r="E154" s="64" t="s">
        <v>81</v>
      </c>
      <c r="F154" s="64" t="s">
        <v>82</v>
      </c>
      <c r="G154" s="64" t="s">
        <v>92</v>
      </c>
      <c r="H154" s="65" t="str">
        <f>VLOOKUP(Tabla6[[#This Row],[DIRECCIÓN]],DIRECCIÓN[#All],2,0)</f>
        <v>ADMINISTRACIÓN CENTRAL</v>
      </c>
      <c r="I154" s="66" t="s">
        <v>93</v>
      </c>
      <c r="J154" s="67">
        <v>1</v>
      </c>
      <c r="K154" s="68" t="str">
        <f>VLOOKUP(Tabla6[[#This Row],[DIRECCIÓN GENERAL / COORDINACIÓN / SUBDIRECCIÓN]],Tabla37[[#All],[Columna1]:[EOD]],2,0)</f>
        <v>266_0001</v>
      </c>
      <c r="L154" s="69">
        <f>VLOOKUP(Tabla6[[#This Row],[OBJETIVOS PND]],Listas!$A$1:$C$3,3,0)</f>
        <v>1</v>
      </c>
      <c r="M154" s="70">
        <f>VLOOKUP(Tabla6[[#This Row],[PG]],Listas2!$G$14:$K$16,5,0)</f>
        <v>0</v>
      </c>
      <c r="N154" s="71">
        <v>1</v>
      </c>
      <c r="O154" s="72">
        <v>1000</v>
      </c>
      <c r="P154" s="73" t="str">
        <f>VLOOKUP(Tabla6[[#This Row],[GEO]],Listas!$A$48:$B$77,2,0)</f>
        <v>IMBABURA</v>
      </c>
      <c r="Q154" s="70">
        <f>VLOOKUP(Tabla6[[#This Row],[PG]],Listas2!$G$14:$K$16,3,0)</f>
        <v>1</v>
      </c>
      <c r="R154" s="73">
        <f>VLOOKUP(Tabla6[[#This Row],[PG]],Listas2!H159:'Listas2'!$G$14:$K$16,4,0)</f>
        <v>0</v>
      </c>
      <c r="S154" s="73">
        <f>VLOOKUP(Tabla6[[#This Row],[PG]],Listas2!$G$14:$K$16,2,0)</f>
        <v>0</v>
      </c>
      <c r="T154" s="66" t="s">
        <v>84</v>
      </c>
      <c r="U154" s="74">
        <v>51</v>
      </c>
      <c r="V154" s="66">
        <v>510106</v>
      </c>
      <c r="W154" s="63" t="str">
        <f>VLOOKUP(Tabla6[[#This Row],[ÍTEM PRESUPUESTARIO]],Tabla2[#All],2,0)</f>
        <v>SALARIOS UNIFICADOS</v>
      </c>
      <c r="X154" s="57">
        <v>95688</v>
      </c>
      <c r="Y154" s="57">
        <v>102840</v>
      </c>
      <c r="Z154" s="58">
        <v>7974</v>
      </c>
      <c r="AA154" s="58">
        <v>7974</v>
      </c>
      <c r="AB154" s="58">
        <v>7974</v>
      </c>
      <c r="AC154" s="58">
        <v>7974</v>
      </c>
      <c r="AD154" s="58">
        <v>7974</v>
      </c>
      <c r="AE154" s="58">
        <v>7974</v>
      </c>
      <c r="AF154" s="58">
        <v>7974</v>
      </c>
      <c r="AG154" s="58">
        <v>7974</v>
      </c>
      <c r="AH154" s="58">
        <v>7974</v>
      </c>
      <c r="AI154" s="58">
        <v>7974</v>
      </c>
      <c r="AJ154" s="58">
        <v>7974</v>
      </c>
      <c r="AK154" s="58">
        <v>15126</v>
      </c>
      <c r="AL154" s="75">
        <f>+SUBTOTAL(9,Tabla6[[#This Row],[ENE]:[DIC]])</f>
        <v>102840</v>
      </c>
      <c r="AM154" s="76" t="str">
        <f t="shared" si="2"/>
        <v>OK</v>
      </c>
      <c r="AN154" s="60">
        <v>0</v>
      </c>
      <c r="AO154" s="61">
        <f>+Tabla6[[#This Row],[PRESUPUESTO VIGENTE]]-Tabla6[[#This Row],[CERTIFICACIÓN PAPP]]</f>
        <v>102840</v>
      </c>
      <c r="AP154" s="59">
        <v>0</v>
      </c>
    </row>
    <row r="155" spans="1:42" ht="93" customHeight="1" x14ac:dyDescent="0.25">
      <c r="A155" s="62" t="s">
        <v>78</v>
      </c>
      <c r="B155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55" s="64" t="s">
        <v>79</v>
      </c>
      <c r="D155" s="64" t="s">
        <v>80</v>
      </c>
      <c r="E155" s="64" t="s">
        <v>81</v>
      </c>
      <c r="F155" s="64" t="s">
        <v>82</v>
      </c>
      <c r="G155" s="64" t="s">
        <v>92</v>
      </c>
      <c r="H155" s="65" t="str">
        <f>VLOOKUP(Tabla6[[#This Row],[DIRECCIÓN]],DIRECCIÓN[#All],2,0)</f>
        <v>ADMINISTRACIÓN CENTRAL</v>
      </c>
      <c r="I155" s="66" t="s">
        <v>93</v>
      </c>
      <c r="J155" s="67">
        <v>1</v>
      </c>
      <c r="K155" s="68" t="str">
        <f>VLOOKUP(Tabla6[[#This Row],[DIRECCIÓN GENERAL / COORDINACIÓN / SUBDIRECCIÓN]],Tabla37[[#All],[Columna1]:[EOD]],2,0)</f>
        <v>266_0001</v>
      </c>
      <c r="L155" s="69">
        <f>VLOOKUP(Tabla6[[#This Row],[OBJETIVOS PND]],Listas!$A$1:$C$3,3,0)</f>
        <v>1</v>
      </c>
      <c r="M155" s="70">
        <f>VLOOKUP(Tabla6[[#This Row],[PG]],Listas2!$G$14:$K$16,5,0)</f>
        <v>0</v>
      </c>
      <c r="N155" s="71">
        <v>1</v>
      </c>
      <c r="O155" s="72">
        <v>1000</v>
      </c>
      <c r="P155" s="73" t="str">
        <f>VLOOKUP(Tabla6[[#This Row],[GEO]],Listas!$A$48:$B$77,2,0)</f>
        <v>IMBABURA</v>
      </c>
      <c r="Q155" s="70">
        <f>VLOOKUP(Tabla6[[#This Row],[PG]],Listas2!$G$14:$K$16,3,0)</f>
        <v>1</v>
      </c>
      <c r="R155" s="73">
        <f>VLOOKUP(Tabla6[[#This Row],[PG]],Listas2!H160:'Listas2'!$G$14:$K$16,4,0)</f>
        <v>0</v>
      </c>
      <c r="S155" s="73">
        <f>VLOOKUP(Tabla6[[#This Row],[PG]],Listas2!$G$14:$K$16,2,0)</f>
        <v>0</v>
      </c>
      <c r="T155" s="66" t="s">
        <v>84</v>
      </c>
      <c r="U155" s="74">
        <v>51</v>
      </c>
      <c r="V155" s="66">
        <v>510203</v>
      </c>
      <c r="W155" s="63" t="str">
        <f>VLOOKUP(Tabla6[[#This Row],[ÍTEM PRESUPUESTARIO]],Tabla2[#All],2,0)</f>
        <v>DÉCIMO TERCER SUELDO</v>
      </c>
      <c r="X155" s="57">
        <v>72134</v>
      </c>
      <c r="Y155" s="57">
        <f>72893.74-215.83+404-1247.75</f>
        <v>71834.16</v>
      </c>
      <c r="Z155" s="58">
        <v>0</v>
      </c>
      <c r="AA155" s="58">
        <v>0</v>
      </c>
      <c r="AB155" s="58">
        <v>0</v>
      </c>
      <c r="AC155" s="58">
        <v>0</v>
      </c>
      <c r="AD155" s="58">
        <v>0</v>
      </c>
      <c r="AE155" s="58">
        <v>0</v>
      </c>
      <c r="AF155" s="58">
        <v>0</v>
      </c>
      <c r="AG155" s="58">
        <v>0</v>
      </c>
      <c r="AH155" s="58">
        <v>0</v>
      </c>
      <c r="AI155" s="58">
        <v>0</v>
      </c>
      <c r="AJ155" s="58">
        <v>0</v>
      </c>
      <c r="AK155" s="58">
        <v>71834.16</v>
      </c>
      <c r="AL155" s="75">
        <f>+SUBTOTAL(9,Tabla6[[#This Row],[ENE]:[DIC]])</f>
        <v>71834.16</v>
      </c>
      <c r="AM155" s="76" t="str">
        <f t="shared" si="2"/>
        <v>OK</v>
      </c>
      <c r="AN155" s="60">
        <v>0</v>
      </c>
      <c r="AO155" s="61">
        <f>+Tabla6[[#This Row],[PRESUPUESTO VIGENTE]]-Tabla6[[#This Row],[CERTIFICACIÓN PAPP]]</f>
        <v>71834.16</v>
      </c>
      <c r="AP155" s="59">
        <v>0</v>
      </c>
    </row>
    <row r="156" spans="1:42" ht="93" customHeight="1" x14ac:dyDescent="0.25">
      <c r="A156" s="62" t="s">
        <v>78</v>
      </c>
      <c r="B156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56" s="64" t="s">
        <v>79</v>
      </c>
      <c r="D156" s="64" t="s">
        <v>80</v>
      </c>
      <c r="E156" s="64" t="s">
        <v>81</v>
      </c>
      <c r="F156" s="64" t="s">
        <v>82</v>
      </c>
      <c r="G156" s="64" t="s">
        <v>92</v>
      </c>
      <c r="H156" s="65" t="str">
        <f>VLOOKUP(Tabla6[[#This Row],[DIRECCIÓN]],DIRECCIÓN[#All],2,0)</f>
        <v>ADMINISTRACIÓN CENTRAL</v>
      </c>
      <c r="I156" s="66" t="s">
        <v>93</v>
      </c>
      <c r="J156" s="67">
        <v>1</v>
      </c>
      <c r="K156" s="68" t="str">
        <f>VLOOKUP(Tabla6[[#This Row],[DIRECCIÓN GENERAL / COORDINACIÓN / SUBDIRECCIÓN]],Tabla37[[#All],[Columna1]:[EOD]],2,0)</f>
        <v>266_0001</v>
      </c>
      <c r="L156" s="69">
        <f>VLOOKUP(Tabla6[[#This Row],[OBJETIVOS PND]],Listas!$A$1:$C$3,3,0)</f>
        <v>1</v>
      </c>
      <c r="M156" s="70">
        <f>VLOOKUP(Tabla6[[#This Row],[PG]],Listas2!$G$14:$K$16,5,0)</f>
        <v>0</v>
      </c>
      <c r="N156" s="71">
        <v>1</v>
      </c>
      <c r="O156" s="72">
        <v>1000</v>
      </c>
      <c r="P156" s="73" t="str">
        <f>VLOOKUP(Tabla6[[#This Row],[GEO]],Listas!$A$48:$B$77,2,0)</f>
        <v>IMBABURA</v>
      </c>
      <c r="Q156" s="70">
        <f>VLOOKUP(Tabla6[[#This Row],[PG]],Listas2!$G$14:$K$16,3,0)</f>
        <v>1</v>
      </c>
      <c r="R156" s="73">
        <f>VLOOKUP(Tabla6[[#This Row],[PG]],Listas2!H161:'Listas2'!$G$14:$K$16,4,0)</f>
        <v>0</v>
      </c>
      <c r="S156" s="73">
        <f>VLOOKUP(Tabla6[[#This Row],[PG]],Listas2!$G$14:$K$16,2,0)</f>
        <v>0</v>
      </c>
      <c r="T156" s="66" t="s">
        <v>84</v>
      </c>
      <c r="U156" s="74">
        <v>51</v>
      </c>
      <c r="V156" s="66">
        <v>510204</v>
      </c>
      <c r="W156" s="63" t="str">
        <f>VLOOKUP(Tabla6[[#This Row],[ÍTEM PRESUPUESTARIO]],Tabla2[#All],2,0)</f>
        <v>DÉCIMO CUARTO SUELDO</v>
      </c>
      <c r="X156" s="57">
        <v>27625</v>
      </c>
      <c r="Y156" s="57">
        <f>29625-80.45+18.75+450-928.1</f>
        <v>29085.200000000001</v>
      </c>
      <c r="Z156" s="58">
        <v>0</v>
      </c>
      <c r="AA156" s="58">
        <v>0</v>
      </c>
      <c r="AB156" s="58">
        <v>0</v>
      </c>
      <c r="AC156" s="58">
        <v>13000</v>
      </c>
      <c r="AD156" s="58">
        <v>0</v>
      </c>
      <c r="AE156" s="58">
        <v>0</v>
      </c>
      <c r="AF156" s="58">
        <v>0</v>
      </c>
      <c r="AG156" s="58">
        <v>14625</v>
      </c>
      <c r="AH156" s="58">
        <v>0</v>
      </c>
      <c r="AI156" s="58">
        <v>0</v>
      </c>
      <c r="AJ156" s="58">
        <v>0</v>
      </c>
      <c r="AK156" s="58">
        <v>1460.2000000000007</v>
      </c>
      <c r="AL156" s="75">
        <f>+SUBTOTAL(9,Tabla6[[#This Row],[ENE]:[DIC]])</f>
        <v>29085.200000000001</v>
      </c>
      <c r="AM156" s="76" t="str">
        <f t="shared" si="2"/>
        <v>OK</v>
      </c>
      <c r="AN156" s="60">
        <v>0</v>
      </c>
      <c r="AO156" s="61">
        <f>+Tabla6[[#This Row],[PRESUPUESTO VIGENTE]]-Tabla6[[#This Row],[CERTIFICACIÓN PAPP]]</f>
        <v>29085.200000000001</v>
      </c>
      <c r="AP156" s="59">
        <v>0</v>
      </c>
    </row>
    <row r="157" spans="1:42" ht="93" customHeight="1" x14ac:dyDescent="0.25">
      <c r="A157" s="62" t="s">
        <v>78</v>
      </c>
      <c r="B157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57" s="64" t="s">
        <v>79</v>
      </c>
      <c r="D157" s="64" t="s">
        <v>80</v>
      </c>
      <c r="E157" s="64" t="s">
        <v>81</v>
      </c>
      <c r="F157" s="64" t="s">
        <v>82</v>
      </c>
      <c r="G157" s="64" t="s">
        <v>92</v>
      </c>
      <c r="H157" s="65" t="str">
        <f>VLOOKUP(Tabla6[[#This Row],[DIRECCIÓN]],DIRECCIÓN[#All],2,0)</f>
        <v>ADMINISTRACIÓN CENTRAL</v>
      </c>
      <c r="I157" s="66" t="s">
        <v>93</v>
      </c>
      <c r="J157" s="67">
        <v>1</v>
      </c>
      <c r="K157" s="68" t="str">
        <f>VLOOKUP(Tabla6[[#This Row],[DIRECCIÓN GENERAL / COORDINACIÓN / SUBDIRECCIÓN]],Tabla37[[#All],[Columna1]:[EOD]],2,0)</f>
        <v>266_0001</v>
      </c>
      <c r="L157" s="69">
        <f>VLOOKUP(Tabla6[[#This Row],[OBJETIVOS PND]],Listas!$A$1:$C$3,3,0)</f>
        <v>1</v>
      </c>
      <c r="M157" s="70">
        <f>VLOOKUP(Tabla6[[#This Row],[PG]],Listas2!$G$14:$K$16,5,0)</f>
        <v>0</v>
      </c>
      <c r="N157" s="71">
        <v>1</v>
      </c>
      <c r="O157" s="72">
        <v>1000</v>
      </c>
      <c r="P157" s="73" t="str">
        <f>VLOOKUP(Tabla6[[#This Row],[GEO]],Listas!$A$48:$B$77,2,0)</f>
        <v>IMBABURA</v>
      </c>
      <c r="Q157" s="70">
        <f>VLOOKUP(Tabla6[[#This Row],[PG]],Listas2!$G$14:$K$16,3,0)</f>
        <v>1</v>
      </c>
      <c r="R157" s="73">
        <f>VLOOKUP(Tabla6[[#This Row],[PG]],Listas2!H162:'Listas2'!$G$14:$K$16,4,0)</f>
        <v>0</v>
      </c>
      <c r="S157" s="73">
        <f>VLOOKUP(Tabla6[[#This Row],[PG]],Listas2!$G$14:$K$16,2,0)</f>
        <v>0</v>
      </c>
      <c r="T157" s="66" t="s">
        <v>84</v>
      </c>
      <c r="U157" s="74">
        <v>51</v>
      </c>
      <c r="V157" s="66">
        <v>510509</v>
      </c>
      <c r="W157" s="63" t="str">
        <f>VLOOKUP(Tabla6[[#This Row],[ÍTEM PRESUPUESTARIO]],Tabla2[#All],2,0)</f>
        <v>HORAS EXTRAORDINARIAS Y SUPLEMENTARIAS</v>
      </c>
      <c r="X157" s="57">
        <v>4000</v>
      </c>
      <c r="Y157" s="57">
        <f>6050+2000+2681.36-1863.66</f>
        <v>8867.7000000000007</v>
      </c>
      <c r="Z157" s="58">
        <v>330</v>
      </c>
      <c r="AA157" s="58">
        <v>330</v>
      </c>
      <c r="AB157" s="58">
        <v>330</v>
      </c>
      <c r="AC157" s="58">
        <v>330</v>
      </c>
      <c r="AD157" s="58">
        <v>330</v>
      </c>
      <c r="AE157" s="58">
        <v>330</v>
      </c>
      <c r="AF157" s="58">
        <v>330</v>
      </c>
      <c r="AG157" s="58">
        <v>330</v>
      </c>
      <c r="AH157" s="58">
        <v>330</v>
      </c>
      <c r="AI157" s="58">
        <v>330</v>
      </c>
      <c r="AJ157" s="58">
        <v>330</v>
      </c>
      <c r="AK157" s="58">
        <v>5237.7000000000007</v>
      </c>
      <c r="AL157" s="75">
        <f>+SUBTOTAL(9,Tabla6[[#This Row],[ENE]:[DIC]])</f>
        <v>8867.7000000000007</v>
      </c>
      <c r="AM157" s="76" t="str">
        <f t="shared" si="2"/>
        <v>OK</v>
      </c>
      <c r="AN157" s="60">
        <v>0</v>
      </c>
      <c r="AO157" s="61">
        <f>+Tabla6[[#This Row],[PRESUPUESTO VIGENTE]]-Tabla6[[#This Row],[CERTIFICACIÓN PAPP]]</f>
        <v>8867.7000000000007</v>
      </c>
      <c r="AP157" s="59">
        <v>0</v>
      </c>
    </row>
    <row r="158" spans="1:42" ht="93" customHeight="1" x14ac:dyDescent="0.25">
      <c r="A158" s="62" t="s">
        <v>78</v>
      </c>
      <c r="B158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58" s="64" t="s">
        <v>79</v>
      </c>
      <c r="D158" s="64" t="s">
        <v>80</v>
      </c>
      <c r="E158" s="64" t="s">
        <v>81</v>
      </c>
      <c r="F158" s="64" t="s">
        <v>82</v>
      </c>
      <c r="G158" s="64" t="s">
        <v>92</v>
      </c>
      <c r="H158" s="65" t="str">
        <f>VLOOKUP(Tabla6[[#This Row],[DIRECCIÓN]],DIRECCIÓN[#All],2,0)</f>
        <v>ADMINISTRACIÓN CENTRAL</v>
      </c>
      <c r="I158" s="66" t="s">
        <v>93</v>
      </c>
      <c r="J158" s="67">
        <v>1</v>
      </c>
      <c r="K158" s="68" t="str">
        <f>VLOOKUP(Tabla6[[#This Row],[DIRECCIÓN GENERAL / COORDINACIÓN / SUBDIRECCIÓN]],Tabla37[[#All],[Columna1]:[EOD]],2,0)</f>
        <v>266_0001</v>
      </c>
      <c r="L158" s="69">
        <f>VLOOKUP(Tabla6[[#This Row],[OBJETIVOS PND]],Listas!$A$1:$C$3,3,0)</f>
        <v>1</v>
      </c>
      <c r="M158" s="70">
        <f>VLOOKUP(Tabla6[[#This Row],[PG]],Listas2!$G$14:$K$16,5,0)</f>
        <v>0</v>
      </c>
      <c r="N158" s="71">
        <v>1</v>
      </c>
      <c r="O158" s="72">
        <v>1000</v>
      </c>
      <c r="P158" s="73" t="str">
        <f>VLOOKUP(Tabla6[[#This Row],[GEO]],Listas!$A$48:$B$77,2,0)</f>
        <v>IMBABURA</v>
      </c>
      <c r="Q158" s="70">
        <f>VLOOKUP(Tabla6[[#This Row],[PG]],Listas2!$G$14:$K$16,3,0)</f>
        <v>1</v>
      </c>
      <c r="R158" s="73">
        <f>VLOOKUP(Tabla6[[#This Row],[PG]],Listas2!H163:'Listas2'!$G$14:$K$16,4,0)</f>
        <v>0</v>
      </c>
      <c r="S158" s="73">
        <f>VLOOKUP(Tabla6[[#This Row],[PG]],Listas2!$G$14:$K$16,2,0)</f>
        <v>0</v>
      </c>
      <c r="T158" s="66" t="s">
        <v>84</v>
      </c>
      <c r="U158" s="74">
        <v>51</v>
      </c>
      <c r="V158" s="66">
        <v>510512</v>
      </c>
      <c r="W158" s="63" t="str">
        <f>VLOOKUP(Tabla6[[#This Row],[ÍTEM PRESUPUESTARIO]],Tabla2[#All],2,0)</f>
        <v xml:space="preserve">SUBROGACIÓN </v>
      </c>
      <c r="X158" s="57">
        <v>0</v>
      </c>
      <c r="Y158" s="57">
        <f>150-136.67</f>
        <v>13.330000000000013</v>
      </c>
      <c r="Z158" s="58">
        <v>0</v>
      </c>
      <c r="AA158" s="58">
        <v>0</v>
      </c>
      <c r="AB158" s="58">
        <v>0</v>
      </c>
      <c r="AC158" s="58">
        <v>0</v>
      </c>
      <c r="AD158" s="58">
        <v>0</v>
      </c>
      <c r="AE158" s="58">
        <v>0</v>
      </c>
      <c r="AF158" s="58">
        <v>0</v>
      </c>
      <c r="AG158" s="58">
        <v>0</v>
      </c>
      <c r="AH158" s="58">
        <v>0</v>
      </c>
      <c r="AI158" s="58">
        <v>0</v>
      </c>
      <c r="AJ158" s="58">
        <v>0</v>
      </c>
      <c r="AK158" s="58">
        <v>13.330000000000013</v>
      </c>
      <c r="AL158" s="75">
        <f>+SUBTOTAL(9,Tabla6[[#This Row],[ENE]:[DIC]])</f>
        <v>13.330000000000013</v>
      </c>
      <c r="AM158" s="76" t="str">
        <f t="shared" si="2"/>
        <v>OK</v>
      </c>
      <c r="AN158" s="60">
        <v>0</v>
      </c>
      <c r="AO158" s="61">
        <f>+Tabla6[[#This Row],[PRESUPUESTO VIGENTE]]-Tabla6[[#This Row],[CERTIFICACIÓN PAPP]]</f>
        <v>13.330000000000013</v>
      </c>
      <c r="AP158" s="59">
        <v>0</v>
      </c>
    </row>
    <row r="159" spans="1:42" ht="93" customHeight="1" x14ac:dyDescent="0.25">
      <c r="A159" s="62" t="s">
        <v>78</v>
      </c>
      <c r="B159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59" s="64" t="s">
        <v>79</v>
      </c>
      <c r="D159" s="64" t="s">
        <v>80</v>
      </c>
      <c r="E159" s="64" t="s">
        <v>81</v>
      </c>
      <c r="F159" s="64" t="s">
        <v>82</v>
      </c>
      <c r="G159" s="64" t="s">
        <v>92</v>
      </c>
      <c r="H159" s="65" t="str">
        <f>VLOOKUP(Tabla6[[#This Row],[DIRECCIÓN]],DIRECCIÓN[#All],2,0)</f>
        <v>ADMINISTRACIÓN CENTRAL</v>
      </c>
      <c r="I159" s="66" t="s">
        <v>93</v>
      </c>
      <c r="J159" s="67">
        <v>1</v>
      </c>
      <c r="K159" s="68" t="str">
        <f>VLOOKUP(Tabla6[[#This Row],[DIRECCIÓN GENERAL / COORDINACIÓN / SUBDIRECCIÓN]],Tabla37[[#All],[Columna1]:[EOD]],2,0)</f>
        <v>266_0001</v>
      </c>
      <c r="L159" s="69">
        <f>VLOOKUP(Tabla6[[#This Row],[OBJETIVOS PND]],Listas!$A$1:$C$3,3,0)</f>
        <v>1</v>
      </c>
      <c r="M159" s="70">
        <f>VLOOKUP(Tabla6[[#This Row],[PG]],Listas2!$G$14:$K$16,5,0)</f>
        <v>0</v>
      </c>
      <c r="N159" s="71">
        <v>1</v>
      </c>
      <c r="O159" s="72">
        <v>1000</v>
      </c>
      <c r="P159" s="73" t="str">
        <f>VLOOKUP(Tabla6[[#This Row],[GEO]],Listas!$A$48:$B$77,2,0)</f>
        <v>IMBABURA</v>
      </c>
      <c r="Q159" s="70">
        <f>VLOOKUP(Tabla6[[#This Row],[PG]],Listas2!$G$14:$K$16,3,0)</f>
        <v>1</v>
      </c>
      <c r="R159" s="73">
        <f>VLOOKUP(Tabla6[[#This Row],[PG]],Listas2!H164:'Listas2'!$G$14:$K$16,4,0)</f>
        <v>0</v>
      </c>
      <c r="S159" s="73">
        <f>VLOOKUP(Tabla6[[#This Row],[PG]],Listas2!$G$14:$K$16,2,0)</f>
        <v>0</v>
      </c>
      <c r="T159" s="66" t="s">
        <v>84</v>
      </c>
      <c r="U159" s="74">
        <v>51</v>
      </c>
      <c r="V159" s="66">
        <v>510601</v>
      </c>
      <c r="W159" s="63" t="str">
        <f>VLOOKUP(Tabla6[[#This Row],[ÍTEM PRESUPUESTARIO]],Tabla2[#All],2,0)</f>
        <v>APORTE PATRONAL</v>
      </c>
      <c r="X159" s="57">
        <v>85924</v>
      </c>
      <c r="Y159" s="57">
        <f>86697.3-595.48+186.08-309.96</f>
        <v>85977.94</v>
      </c>
      <c r="Z159" s="58">
        <v>7160</v>
      </c>
      <c r="AA159" s="58">
        <v>7160</v>
      </c>
      <c r="AB159" s="58">
        <v>7160</v>
      </c>
      <c r="AC159" s="58">
        <v>7160</v>
      </c>
      <c r="AD159" s="58">
        <v>7160</v>
      </c>
      <c r="AE159" s="58">
        <v>7160</v>
      </c>
      <c r="AF159" s="58">
        <v>7160</v>
      </c>
      <c r="AG159" s="58">
        <v>7160</v>
      </c>
      <c r="AH159" s="58">
        <v>7160</v>
      </c>
      <c r="AI159" s="58">
        <v>7160</v>
      </c>
      <c r="AJ159" s="58">
        <v>7160</v>
      </c>
      <c r="AK159" s="58">
        <v>7217.9400000000023</v>
      </c>
      <c r="AL159" s="75">
        <f>+SUBTOTAL(9,Tabla6[[#This Row],[ENE]:[DIC]])</f>
        <v>85977.94</v>
      </c>
      <c r="AM159" s="76" t="str">
        <f t="shared" si="2"/>
        <v>OK</v>
      </c>
      <c r="AN159" s="60">
        <v>0</v>
      </c>
      <c r="AO159" s="61">
        <f>+Tabla6[[#This Row],[PRESUPUESTO VIGENTE]]-Tabla6[[#This Row],[CERTIFICACIÓN PAPP]]</f>
        <v>85977.94</v>
      </c>
      <c r="AP159" s="59">
        <v>0</v>
      </c>
    </row>
    <row r="160" spans="1:42" ht="93" customHeight="1" x14ac:dyDescent="0.25">
      <c r="A160" s="62" t="s">
        <v>78</v>
      </c>
      <c r="B160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60" s="64" t="s">
        <v>79</v>
      </c>
      <c r="D160" s="64" t="s">
        <v>80</v>
      </c>
      <c r="E160" s="64" t="s">
        <v>81</v>
      </c>
      <c r="F160" s="64" t="s">
        <v>82</v>
      </c>
      <c r="G160" s="64" t="s">
        <v>92</v>
      </c>
      <c r="H160" s="65" t="str">
        <f>VLOOKUP(Tabla6[[#This Row],[DIRECCIÓN]],DIRECCIÓN[#All],2,0)</f>
        <v>ADMINISTRACIÓN CENTRAL</v>
      </c>
      <c r="I160" s="66" t="s">
        <v>93</v>
      </c>
      <c r="J160" s="67">
        <v>1</v>
      </c>
      <c r="K160" s="68" t="str">
        <f>VLOOKUP(Tabla6[[#This Row],[DIRECCIÓN GENERAL / COORDINACIÓN / SUBDIRECCIÓN]],Tabla37[[#All],[Columna1]:[EOD]],2,0)</f>
        <v>266_0001</v>
      </c>
      <c r="L160" s="69">
        <f>VLOOKUP(Tabla6[[#This Row],[OBJETIVOS PND]],Listas!$A$1:$C$3,3,0)</f>
        <v>1</v>
      </c>
      <c r="M160" s="70">
        <f>VLOOKUP(Tabla6[[#This Row],[PG]],Listas2!$G$14:$K$16,5,0)</f>
        <v>0</v>
      </c>
      <c r="N160" s="71">
        <v>1</v>
      </c>
      <c r="O160" s="72">
        <v>1000</v>
      </c>
      <c r="P160" s="73" t="str">
        <f>VLOOKUP(Tabla6[[#This Row],[GEO]],Listas!$A$48:$B$77,2,0)</f>
        <v>IMBABURA</v>
      </c>
      <c r="Q160" s="70">
        <f>VLOOKUP(Tabla6[[#This Row],[PG]],Listas2!$G$14:$K$16,3,0)</f>
        <v>1</v>
      </c>
      <c r="R160" s="73">
        <f>VLOOKUP(Tabla6[[#This Row],[PG]],Listas2!H165:'Listas2'!$G$14:$K$16,4,0)</f>
        <v>0</v>
      </c>
      <c r="S160" s="73">
        <f>VLOOKUP(Tabla6[[#This Row],[PG]],Listas2!$G$14:$K$16,2,0)</f>
        <v>0</v>
      </c>
      <c r="T160" s="66" t="s">
        <v>84</v>
      </c>
      <c r="U160" s="74">
        <v>51</v>
      </c>
      <c r="V160" s="66">
        <v>510602</v>
      </c>
      <c r="W160" s="63" t="str">
        <f>VLOOKUP(Tabla6[[#This Row],[ÍTEM PRESUPUESTARIO]],Tabla2[#All],2,0)</f>
        <v>FONDO DE RESERVA</v>
      </c>
      <c r="X160" s="57">
        <v>72134</v>
      </c>
      <c r="Y160" s="57">
        <f>72450.83-2612-2742.92</f>
        <v>67095.91</v>
      </c>
      <c r="Z160" s="58">
        <v>6011</v>
      </c>
      <c r="AA160" s="58">
        <v>6011</v>
      </c>
      <c r="AB160" s="58">
        <v>6011</v>
      </c>
      <c r="AC160" s="58">
        <v>6011</v>
      </c>
      <c r="AD160" s="58">
        <v>6011</v>
      </c>
      <c r="AE160" s="58">
        <v>6011</v>
      </c>
      <c r="AF160" s="58">
        <v>6011</v>
      </c>
      <c r="AG160" s="58">
        <v>6011</v>
      </c>
      <c r="AH160" s="58">
        <v>6011</v>
      </c>
      <c r="AI160" s="58">
        <v>6011</v>
      </c>
      <c r="AJ160" s="58">
        <v>6011</v>
      </c>
      <c r="AK160" s="58">
        <v>974.91000000000349</v>
      </c>
      <c r="AL160" s="75">
        <f>+SUBTOTAL(9,Tabla6[[#This Row],[ENE]:[DIC]])</f>
        <v>67095.91</v>
      </c>
      <c r="AM160" s="76" t="str">
        <f t="shared" si="2"/>
        <v>OK</v>
      </c>
      <c r="AN160" s="60">
        <v>0</v>
      </c>
      <c r="AO160" s="61">
        <f>+Tabla6[[#This Row],[PRESUPUESTO VIGENTE]]-Tabla6[[#This Row],[CERTIFICACIÓN PAPP]]</f>
        <v>67095.91</v>
      </c>
      <c r="AP160" s="59">
        <v>0</v>
      </c>
    </row>
    <row r="161" spans="1:42" ht="93" customHeight="1" x14ac:dyDescent="0.25">
      <c r="A161" s="62" t="s">
        <v>78</v>
      </c>
      <c r="B161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61" s="64" t="s">
        <v>79</v>
      </c>
      <c r="D161" s="64" t="s">
        <v>80</v>
      </c>
      <c r="E161" s="64" t="s">
        <v>81</v>
      </c>
      <c r="F161" s="64" t="s">
        <v>82</v>
      </c>
      <c r="G161" s="64" t="s">
        <v>92</v>
      </c>
      <c r="H161" s="65" t="str">
        <f>VLOOKUP(Tabla6[[#This Row],[DIRECCIÓN]],DIRECCIÓN[#All],2,0)</f>
        <v>ADMINISTRACIÓN CENTRAL</v>
      </c>
      <c r="I161" s="66" t="s">
        <v>93</v>
      </c>
      <c r="J161" s="67">
        <v>1</v>
      </c>
      <c r="K161" s="68" t="str">
        <f>VLOOKUP(Tabla6[[#This Row],[DIRECCIÓN GENERAL / COORDINACIÓN / SUBDIRECCIÓN]],Tabla37[[#All],[Columna1]:[EOD]],2,0)</f>
        <v>266_0001</v>
      </c>
      <c r="L161" s="69">
        <f>VLOOKUP(Tabla6[[#This Row],[OBJETIVOS PND]],Listas!$A$1:$C$3,3,0)</f>
        <v>1</v>
      </c>
      <c r="M161" s="70">
        <f>VLOOKUP(Tabla6[[#This Row],[PG]],Listas2!$G$14:$K$16,5,0)</f>
        <v>0</v>
      </c>
      <c r="N161" s="71">
        <v>1</v>
      </c>
      <c r="O161" s="72">
        <v>1000</v>
      </c>
      <c r="P161" s="73" t="str">
        <f>VLOOKUP(Tabla6[[#This Row],[GEO]],Listas!$A$48:$B$77,2,0)</f>
        <v>IMBABURA</v>
      </c>
      <c r="Q161" s="70">
        <f>VLOOKUP(Tabla6[[#This Row],[PG]],Listas2!$G$14:$K$16,3,0)</f>
        <v>1</v>
      </c>
      <c r="R161" s="73">
        <f>VLOOKUP(Tabla6[[#This Row],[PG]],Listas2!H166:'Listas2'!$G$14:$K$16,4,0)</f>
        <v>0</v>
      </c>
      <c r="S161" s="73">
        <f>VLOOKUP(Tabla6[[#This Row],[PG]],Listas2!$G$14:$K$16,2,0)</f>
        <v>0</v>
      </c>
      <c r="T161" s="66" t="s">
        <v>84</v>
      </c>
      <c r="U161" s="74">
        <v>51</v>
      </c>
      <c r="V161" s="66">
        <v>510707</v>
      </c>
      <c r="W161" s="63" t="str">
        <f>VLOOKUP(Tabla6[[#This Row],[ÍTEM PRESUPUESTARIO]],Tabla2[#All],2,0)</f>
        <v>COMPENSACIÓN POR VACACIONES NO GOZADAS POR CESACIÓN DE FUNCIONES</v>
      </c>
      <c r="X161" s="57">
        <v>0</v>
      </c>
      <c r="Y161" s="57">
        <f>1000-703.47</f>
        <v>296.52999999999997</v>
      </c>
      <c r="Z161" s="58">
        <v>0</v>
      </c>
      <c r="AA161" s="58">
        <v>0</v>
      </c>
      <c r="AB161" s="58">
        <v>0</v>
      </c>
      <c r="AC161" s="58">
        <v>0</v>
      </c>
      <c r="AD161" s="58">
        <v>0</v>
      </c>
      <c r="AE161" s="58">
        <v>296.52999999999997</v>
      </c>
      <c r="AF161" s="58">
        <v>0</v>
      </c>
      <c r="AG161" s="58">
        <v>0</v>
      </c>
      <c r="AH161" s="58">
        <v>0</v>
      </c>
      <c r="AI161" s="58">
        <v>0</v>
      </c>
      <c r="AJ161" s="58">
        <v>0</v>
      </c>
      <c r="AK161" s="58">
        <v>0</v>
      </c>
      <c r="AL161" s="75">
        <f>+SUBTOTAL(9,Tabla6[[#This Row],[ENE]:[DIC]])</f>
        <v>296.52999999999997</v>
      </c>
      <c r="AM161" s="76" t="str">
        <f t="shared" si="2"/>
        <v>OK</v>
      </c>
      <c r="AN161" s="60">
        <v>0</v>
      </c>
      <c r="AO161" s="61">
        <f>+Tabla6[[#This Row],[PRESUPUESTO VIGENTE]]-Tabla6[[#This Row],[CERTIFICACIÓN PAPP]]</f>
        <v>296.52999999999997</v>
      </c>
      <c r="AP161" s="59">
        <v>0</v>
      </c>
    </row>
    <row r="162" spans="1:42" ht="93" customHeight="1" x14ac:dyDescent="0.25">
      <c r="A162" s="62" t="s">
        <v>78</v>
      </c>
      <c r="B162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62" s="64" t="s">
        <v>79</v>
      </c>
      <c r="D162" s="64" t="s">
        <v>80</v>
      </c>
      <c r="E162" s="64" t="s">
        <v>81</v>
      </c>
      <c r="F162" s="64" t="s">
        <v>82</v>
      </c>
      <c r="G162" s="64" t="s">
        <v>92</v>
      </c>
      <c r="H162" s="65" t="str">
        <f>VLOOKUP(Tabla6[[#This Row],[DIRECCIÓN]],DIRECCIÓN[#All],2,0)</f>
        <v>ADMINISTRACIÓN CENTRAL</v>
      </c>
      <c r="I162" s="66" t="s">
        <v>93</v>
      </c>
      <c r="J162" s="67">
        <v>2</v>
      </c>
      <c r="K162" s="68" t="str">
        <f>VLOOKUP(Tabla6[[#This Row],[DIRECCIÓN GENERAL / COORDINACIÓN / SUBDIRECCIÓN]],Tabla37[[#All],[Columna1]:[EOD]],2,0)</f>
        <v>266_0001</v>
      </c>
      <c r="L162" s="69">
        <f>VLOOKUP(Tabla6[[#This Row],[OBJETIVOS PND]],Listas!$A$1:$C$3,3,0)</f>
        <v>1</v>
      </c>
      <c r="M162" s="70">
        <f>VLOOKUP(Tabla6[[#This Row],[PG]],Listas2!$G$14:$K$16,5,0)</f>
        <v>0</v>
      </c>
      <c r="N162" s="71">
        <v>1</v>
      </c>
      <c r="O162" s="72">
        <v>1000</v>
      </c>
      <c r="P162" s="73" t="str">
        <f>VLOOKUP(Tabla6[[#This Row],[GEO]],Listas!$A$48:$B$77,2,0)</f>
        <v>IMBABURA</v>
      </c>
      <c r="Q162" s="70">
        <f>VLOOKUP(Tabla6[[#This Row],[PG]],Listas2!$G$14:$K$16,3,0)</f>
        <v>1</v>
      </c>
      <c r="R162" s="73">
        <f>VLOOKUP(Tabla6[[#This Row],[PG]],Listas2!H167:'Listas2'!$G$14:$K$16,4,0)</f>
        <v>0</v>
      </c>
      <c r="S162" s="73">
        <f>VLOOKUP(Tabla6[[#This Row],[PG]],Listas2!$G$14:$K$16,2,0)</f>
        <v>0</v>
      </c>
      <c r="T162" s="66" t="s">
        <v>84</v>
      </c>
      <c r="U162" s="74">
        <v>99</v>
      </c>
      <c r="V162" s="66">
        <v>990101</v>
      </c>
      <c r="W162" s="63" t="str">
        <f>VLOOKUP(Tabla6[[#This Row],[ÍTEM PRESUPUESTARIO]],Tabla2[#All],2,0)</f>
        <v>OBLIGACIONES DE EJERCICIOS ANTERIORES POR EGRESOS DE PERSONAL</v>
      </c>
      <c r="X162" s="57">
        <v>0</v>
      </c>
      <c r="Y162" s="57">
        <v>675.51</v>
      </c>
      <c r="Z162" s="58">
        <v>0</v>
      </c>
      <c r="AA162" s="58">
        <v>0</v>
      </c>
      <c r="AB162" s="58">
        <v>0</v>
      </c>
      <c r="AC162" s="58">
        <v>0</v>
      </c>
      <c r="AD162" s="58">
        <v>0</v>
      </c>
      <c r="AE162" s="58">
        <v>0</v>
      </c>
      <c r="AF162" s="58">
        <v>0</v>
      </c>
      <c r="AG162" s="58">
        <v>0</v>
      </c>
      <c r="AH162" s="58">
        <v>0</v>
      </c>
      <c r="AI162" s="58">
        <v>0</v>
      </c>
      <c r="AJ162" s="58">
        <v>0</v>
      </c>
      <c r="AK162" s="58">
        <v>675.51</v>
      </c>
      <c r="AL162" s="75">
        <f>+SUBTOTAL(9,Tabla6[[#This Row],[ENE]:[DIC]])</f>
        <v>675.51</v>
      </c>
      <c r="AM162" s="76" t="str">
        <f t="shared" si="2"/>
        <v>OK</v>
      </c>
      <c r="AN162" s="60">
        <v>0</v>
      </c>
      <c r="AO162" s="61">
        <f>+Tabla6[[#This Row],[PRESUPUESTO VIGENTE]]-Tabla6[[#This Row],[CERTIFICACIÓN PAPP]]</f>
        <v>675.51</v>
      </c>
      <c r="AP162" s="59">
        <v>0</v>
      </c>
    </row>
    <row r="163" spans="1:42" ht="93" customHeight="1" x14ac:dyDescent="0.25">
      <c r="A163" s="62" t="s">
        <v>88</v>
      </c>
      <c r="B163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63" s="64" t="s">
        <v>89</v>
      </c>
      <c r="D163" s="64" t="s">
        <v>80</v>
      </c>
      <c r="E163" s="64" t="s">
        <v>81</v>
      </c>
      <c r="F163" s="64" t="s">
        <v>82</v>
      </c>
      <c r="G163" s="64" t="s">
        <v>9</v>
      </c>
      <c r="H163" s="65" t="str">
        <f>VLOOKUP(Tabla6[[#This Row],[DIRECCIÓN]],DIRECCIÓN[#All],2,0)</f>
        <v>OPERACIONES</v>
      </c>
      <c r="I163" s="66" t="s">
        <v>93</v>
      </c>
      <c r="J163" s="67">
        <v>1</v>
      </c>
      <c r="K163" s="68" t="str">
        <f>VLOOKUP(Tabla6[[#This Row],[DIRECCIÓN GENERAL / COORDINACIÓN / SUBDIRECCIÓN]],Tabla37[[#All],[Columna1]:[EOD]],2,0)</f>
        <v>266_0001</v>
      </c>
      <c r="L163" s="69">
        <f>VLOOKUP(Tabla6[[#This Row],[OBJETIVOS PND]],Listas!$A$1:$C$3,3,0)</f>
        <v>55</v>
      </c>
      <c r="M163" s="70">
        <f>VLOOKUP(Tabla6[[#This Row],[PG]],Listas2!$G$14:$K$16,5,0)</f>
        <v>0</v>
      </c>
      <c r="N163" s="71">
        <v>2</v>
      </c>
      <c r="O163" s="72">
        <v>1000</v>
      </c>
      <c r="P163" s="73" t="str">
        <f>VLOOKUP(Tabla6[[#This Row],[GEO]],Listas!$A$48:$B$77,2,0)</f>
        <v>IMBABURA</v>
      </c>
      <c r="Q163" s="70">
        <f>VLOOKUP(Tabla6[[#This Row],[PG]],Listas2!$G$14:$K$16,3,0)</f>
        <v>1</v>
      </c>
      <c r="R163" s="73">
        <f>VLOOKUP(Tabla6[[#This Row],[PG]],Listas2!H168:'Listas2'!$G$14:$K$16,4,0)</f>
        <v>0</v>
      </c>
      <c r="S163" s="73">
        <f>VLOOKUP(Tabla6[[#This Row],[PG]],Listas2!$G$14:$K$16,2,0)</f>
        <v>0</v>
      </c>
      <c r="T163" s="66" t="s">
        <v>84</v>
      </c>
      <c r="U163" s="74">
        <v>51</v>
      </c>
      <c r="V163" s="66">
        <v>510105</v>
      </c>
      <c r="W163" s="63" t="str">
        <f>VLOOKUP(Tabla6[[#This Row],[ÍTEM PRESUPUESTARIO]],Tabla2[#All],2,0)</f>
        <v>REMUNERACIONES UNIFICADAS</v>
      </c>
      <c r="X163" s="57">
        <v>1649652</v>
      </c>
      <c r="Y163" s="57">
        <f>1648014.98-7647.64</f>
        <v>1640367.34</v>
      </c>
      <c r="Z163" s="58">
        <v>137471</v>
      </c>
      <c r="AA163" s="58">
        <v>137471</v>
      </c>
      <c r="AB163" s="58">
        <v>137471</v>
      </c>
      <c r="AC163" s="58">
        <v>137471</v>
      </c>
      <c r="AD163" s="58">
        <v>137471</v>
      </c>
      <c r="AE163" s="58">
        <v>137471</v>
      </c>
      <c r="AF163" s="58">
        <v>137471</v>
      </c>
      <c r="AG163" s="58">
        <v>137471</v>
      </c>
      <c r="AH163" s="58">
        <v>137471</v>
      </c>
      <c r="AI163" s="58">
        <v>137471</v>
      </c>
      <c r="AJ163" s="58">
        <v>137471</v>
      </c>
      <c r="AK163" s="58">
        <v>128186.34000000008</v>
      </c>
      <c r="AL163" s="75">
        <f>+SUBTOTAL(9,Tabla6[[#This Row],[ENE]:[DIC]])</f>
        <v>1640367.34</v>
      </c>
      <c r="AM163" s="76" t="str">
        <f t="shared" si="2"/>
        <v>OK</v>
      </c>
      <c r="AN163" s="60">
        <v>0</v>
      </c>
      <c r="AO163" s="61">
        <f>+Tabla6[[#This Row],[PRESUPUESTO VIGENTE]]-Tabla6[[#This Row],[CERTIFICACIÓN PAPP]]</f>
        <v>1640367.34</v>
      </c>
      <c r="AP163" s="59">
        <v>0</v>
      </c>
    </row>
    <row r="164" spans="1:42" ht="93" customHeight="1" x14ac:dyDescent="0.25">
      <c r="A164" s="62" t="s">
        <v>88</v>
      </c>
      <c r="B164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64" s="64" t="s">
        <v>89</v>
      </c>
      <c r="D164" s="64" t="s">
        <v>80</v>
      </c>
      <c r="E164" s="64" t="s">
        <v>81</v>
      </c>
      <c r="F164" s="64" t="s">
        <v>82</v>
      </c>
      <c r="G164" s="64" t="s">
        <v>9</v>
      </c>
      <c r="H164" s="65" t="str">
        <f>VLOOKUP(Tabla6[[#This Row],[DIRECCIÓN]],DIRECCIÓN[#All],2,0)</f>
        <v>OPERACIONES</v>
      </c>
      <c r="I164" s="66" t="s">
        <v>93</v>
      </c>
      <c r="J164" s="67">
        <v>1</v>
      </c>
      <c r="K164" s="68" t="str">
        <f>VLOOKUP(Tabla6[[#This Row],[DIRECCIÓN GENERAL / COORDINACIÓN / SUBDIRECCIÓN]],Tabla37[[#All],[Columna1]:[EOD]],2,0)</f>
        <v>266_0001</v>
      </c>
      <c r="L164" s="69">
        <f>VLOOKUP(Tabla6[[#This Row],[OBJETIVOS PND]],Listas!$A$1:$C$3,3,0)</f>
        <v>55</v>
      </c>
      <c r="M164" s="70">
        <f>VLOOKUP(Tabla6[[#This Row],[PG]],Listas2!$G$14:$K$16,5,0)</f>
        <v>0</v>
      </c>
      <c r="N164" s="71">
        <v>2</v>
      </c>
      <c r="O164" s="72">
        <v>1000</v>
      </c>
      <c r="P164" s="73" t="str">
        <f>VLOOKUP(Tabla6[[#This Row],[GEO]],Listas!$A$48:$B$77,2,0)</f>
        <v>IMBABURA</v>
      </c>
      <c r="Q164" s="70">
        <f>VLOOKUP(Tabla6[[#This Row],[PG]],Listas2!$G$14:$K$16,3,0)</f>
        <v>1</v>
      </c>
      <c r="R164" s="73">
        <f>VLOOKUP(Tabla6[[#This Row],[PG]],Listas2!H169:'Listas2'!$G$14:$K$16,4,0)</f>
        <v>0</v>
      </c>
      <c r="S164" s="73">
        <f>VLOOKUP(Tabla6[[#This Row],[PG]],Listas2!$G$14:$K$16,2,0)</f>
        <v>0</v>
      </c>
      <c r="T164" s="66" t="s">
        <v>84</v>
      </c>
      <c r="U164" s="74">
        <v>51</v>
      </c>
      <c r="V164" s="66">
        <v>510203</v>
      </c>
      <c r="W164" s="63" t="str">
        <f>VLOOKUP(Tabla6[[#This Row],[ÍTEM PRESUPUESTARIO]],Tabla2[#All],2,0)</f>
        <v>DÉCIMO TERCER SUELDO</v>
      </c>
      <c r="X164" s="57">
        <v>112141</v>
      </c>
      <c r="Y164" s="57">
        <f>140774.85+3000+400+800-2700.72</f>
        <v>142274.13</v>
      </c>
      <c r="Z164" s="58">
        <v>0</v>
      </c>
      <c r="AA164" s="58">
        <v>0</v>
      </c>
      <c r="AB164" s="58">
        <v>0</v>
      </c>
      <c r="AC164" s="58">
        <v>0</v>
      </c>
      <c r="AD164" s="58">
        <v>0</v>
      </c>
      <c r="AE164" s="58">
        <v>0</v>
      </c>
      <c r="AF164" s="58">
        <v>0</v>
      </c>
      <c r="AG164" s="58">
        <v>0</v>
      </c>
      <c r="AH164" s="58">
        <v>0</v>
      </c>
      <c r="AI164" s="58">
        <v>0</v>
      </c>
      <c r="AJ164" s="58">
        <v>0</v>
      </c>
      <c r="AK164" s="58">
        <v>142274.13</v>
      </c>
      <c r="AL164" s="75">
        <f>+SUBTOTAL(9,Tabla6[[#This Row],[ENE]:[DIC]])</f>
        <v>142274.13</v>
      </c>
      <c r="AM164" s="76" t="str">
        <f t="shared" si="2"/>
        <v>OK</v>
      </c>
      <c r="AN164" s="60">
        <v>0</v>
      </c>
      <c r="AO164" s="61">
        <f>+Tabla6[[#This Row],[PRESUPUESTO VIGENTE]]-Tabla6[[#This Row],[CERTIFICACIÓN PAPP]]</f>
        <v>142274.13</v>
      </c>
      <c r="AP164" s="59">
        <v>0</v>
      </c>
    </row>
    <row r="165" spans="1:42" ht="93" customHeight="1" x14ac:dyDescent="0.25">
      <c r="A165" s="62" t="s">
        <v>88</v>
      </c>
      <c r="B165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65" s="64" t="s">
        <v>89</v>
      </c>
      <c r="D165" s="64" t="s">
        <v>80</v>
      </c>
      <c r="E165" s="64" t="s">
        <v>81</v>
      </c>
      <c r="F165" s="64" t="s">
        <v>82</v>
      </c>
      <c r="G165" s="64" t="s">
        <v>9</v>
      </c>
      <c r="H165" s="65" t="str">
        <f>VLOOKUP(Tabla6[[#This Row],[DIRECCIÓN]],DIRECCIÓN[#All],2,0)</f>
        <v>OPERACIONES</v>
      </c>
      <c r="I165" s="66" t="s">
        <v>93</v>
      </c>
      <c r="J165" s="67">
        <v>1</v>
      </c>
      <c r="K165" s="68" t="str">
        <f>VLOOKUP(Tabla6[[#This Row],[DIRECCIÓN GENERAL / COORDINACIÓN / SUBDIRECCIÓN]],Tabla37[[#All],[Columna1]:[EOD]],2,0)</f>
        <v>266_0001</v>
      </c>
      <c r="L165" s="69">
        <f>VLOOKUP(Tabla6[[#This Row],[OBJETIVOS PND]],Listas!$A$1:$C$3,3,0)</f>
        <v>55</v>
      </c>
      <c r="M165" s="70">
        <f>VLOOKUP(Tabla6[[#This Row],[PG]],Listas2!$G$14:$K$16,5,0)</f>
        <v>0</v>
      </c>
      <c r="N165" s="71">
        <v>2</v>
      </c>
      <c r="O165" s="72">
        <v>1000</v>
      </c>
      <c r="P165" s="73" t="str">
        <f>VLOOKUP(Tabla6[[#This Row],[GEO]],Listas!$A$48:$B$77,2,0)</f>
        <v>IMBABURA</v>
      </c>
      <c r="Q165" s="70">
        <f>VLOOKUP(Tabla6[[#This Row],[PG]],Listas2!$G$14:$K$16,3,0)</f>
        <v>1</v>
      </c>
      <c r="R165" s="73">
        <f>VLOOKUP(Tabla6[[#This Row],[PG]],Listas2!H170:'Listas2'!$G$14:$K$16,4,0)</f>
        <v>0</v>
      </c>
      <c r="S165" s="73">
        <f>VLOOKUP(Tabla6[[#This Row],[PG]],Listas2!$G$14:$K$16,2,0)</f>
        <v>0</v>
      </c>
      <c r="T165" s="66" t="s">
        <v>84</v>
      </c>
      <c r="U165" s="74">
        <v>51</v>
      </c>
      <c r="V165" s="66">
        <v>510204</v>
      </c>
      <c r="W165" s="63" t="str">
        <f>VLOOKUP(Tabla6[[#This Row],[ÍTEM PRESUPUESTARIO]],Tabla2[#All],2,0)</f>
        <v>DÉCIMO CUARTO SUELDO</v>
      </c>
      <c r="X165" s="57">
        <v>75650</v>
      </c>
      <c r="Y165" s="57">
        <f>80100-100.67+550+300+450-849.68</f>
        <v>80449.650000000009</v>
      </c>
      <c r="Z165" s="58">
        <v>0</v>
      </c>
      <c r="AA165" s="58">
        <v>0</v>
      </c>
      <c r="AB165" s="58">
        <v>0</v>
      </c>
      <c r="AC165" s="58">
        <v>30000</v>
      </c>
      <c r="AD165" s="58">
        <v>0</v>
      </c>
      <c r="AE165" s="58">
        <v>0</v>
      </c>
      <c r="AF165" s="58">
        <v>0</v>
      </c>
      <c r="AG165" s="58">
        <v>45650</v>
      </c>
      <c r="AH165" s="58">
        <v>0</v>
      </c>
      <c r="AI165" s="58">
        <v>0</v>
      </c>
      <c r="AJ165" s="58">
        <v>0</v>
      </c>
      <c r="AK165" s="58">
        <v>4799.6500000000087</v>
      </c>
      <c r="AL165" s="75">
        <f>+SUBTOTAL(9,Tabla6[[#This Row],[ENE]:[DIC]])</f>
        <v>80449.650000000009</v>
      </c>
      <c r="AM165" s="76" t="str">
        <f t="shared" si="2"/>
        <v>OK</v>
      </c>
      <c r="AN165" s="60">
        <v>0</v>
      </c>
      <c r="AO165" s="61">
        <f>+Tabla6[[#This Row],[PRESUPUESTO VIGENTE]]-Tabla6[[#This Row],[CERTIFICACIÓN PAPP]]</f>
        <v>80449.650000000009</v>
      </c>
      <c r="AP165" s="59">
        <v>0</v>
      </c>
    </row>
    <row r="166" spans="1:42" ht="93" customHeight="1" x14ac:dyDescent="0.25">
      <c r="A166" s="62" t="s">
        <v>88</v>
      </c>
      <c r="B166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66" s="64" t="s">
        <v>89</v>
      </c>
      <c r="D166" s="64" t="s">
        <v>80</v>
      </c>
      <c r="E166" s="64" t="s">
        <v>81</v>
      </c>
      <c r="F166" s="64" t="s">
        <v>82</v>
      </c>
      <c r="G166" s="64" t="s">
        <v>9</v>
      </c>
      <c r="H166" s="65" t="str">
        <f>VLOOKUP(Tabla6[[#This Row],[DIRECCIÓN]],DIRECCIÓN[#All],2,0)</f>
        <v>OPERACIONES</v>
      </c>
      <c r="I166" s="66" t="s">
        <v>93</v>
      </c>
      <c r="J166" s="67">
        <v>1</v>
      </c>
      <c r="K166" s="68" t="str">
        <f>VLOOKUP(Tabla6[[#This Row],[DIRECCIÓN GENERAL / COORDINACIÓN / SUBDIRECCIÓN]],Tabla37[[#All],[Columna1]:[EOD]],2,0)</f>
        <v>266_0001</v>
      </c>
      <c r="L166" s="69">
        <f>VLOOKUP(Tabla6[[#This Row],[OBJETIVOS PND]],Listas!$A$1:$C$3,3,0)</f>
        <v>55</v>
      </c>
      <c r="M166" s="70">
        <f>VLOOKUP(Tabla6[[#This Row],[PG]],Listas2!$G$14:$K$16,5,0)</f>
        <v>0</v>
      </c>
      <c r="N166" s="71">
        <v>2</v>
      </c>
      <c r="O166" s="72">
        <v>1000</v>
      </c>
      <c r="P166" s="73" t="str">
        <f>VLOOKUP(Tabla6[[#This Row],[GEO]],Listas!$A$48:$B$77,2,0)</f>
        <v>IMBABURA</v>
      </c>
      <c r="Q166" s="70">
        <f>VLOOKUP(Tabla6[[#This Row],[PG]],Listas2!$G$14:$K$16,3,0)</f>
        <v>1</v>
      </c>
      <c r="R166" s="73">
        <f>VLOOKUP(Tabla6[[#This Row],[PG]],Listas2!H171:'Listas2'!$G$14:$K$16,4,0)</f>
        <v>0</v>
      </c>
      <c r="S166" s="73">
        <f>VLOOKUP(Tabla6[[#This Row],[PG]],Listas2!$G$14:$K$16,2,0)</f>
        <v>0</v>
      </c>
      <c r="T166" s="66" t="s">
        <v>84</v>
      </c>
      <c r="U166" s="74">
        <v>51</v>
      </c>
      <c r="V166" s="66">
        <v>510304</v>
      </c>
      <c r="W166" s="63" t="str">
        <f>VLOOKUP(Tabla6[[#This Row],[ÍTEM PRESUPUESTARIO]],Tabla2[#All],2,0)</f>
        <v>COMPENSACION POR TRANSPORTE</v>
      </c>
      <c r="X166" s="57">
        <v>0</v>
      </c>
      <c r="Y166" s="57">
        <f>462-462</f>
        <v>0</v>
      </c>
      <c r="Z166" s="58">
        <v>0</v>
      </c>
      <c r="AA166" s="58">
        <v>0</v>
      </c>
      <c r="AB166" s="58">
        <v>0</v>
      </c>
      <c r="AC166" s="58">
        <v>0</v>
      </c>
      <c r="AD166" s="58">
        <v>0</v>
      </c>
      <c r="AE166" s="58">
        <v>0</v>
      </c>
      <c r="AF166" s="58">
        <v>0</v>
      </c>
      <c r="AG166" s="58">
        <v>0</v>
      </c>
      <c r="AH166" s="58">
        <v>0</v>
      </c>
      <c r="AI166" s="58">
        <v>0</v>
      </c>
      <c r="AJ166" s="58">
        <v>0</v>
      </c>
      <c r="AK166" s="58">
        <v>0</v>
      </c>
      <c r="AL166" s="75">
        <f>+SUBTOTAL(9,Tabla6[[#This Row],[ENE]:[DIC]])</f>
        <v>0</v>
      </c>
      <c r="AM166" s="76" t="str">
        <f t="shared" si="2"/>
        <v>OK</v>
      </c>
      <c r="AN166" s="60">
        <v>0</v>
      </c>
      <c r="AO166" s="61">
        <f>+Tabla6[[#This Row],[PRESUPUESTO VIGENTE]]-Tabla6[[#This Row],[CERTIFICACIÓN PAPP]]</f>
        <v>0</v>
      </c>
      <c r="AP166" s="59">
        <v>0</v>
      </c>
    </row>
    <row r="167" spans="1:42" ht="93" customHeight="1" x14ac:dyDescent="0.25">
      <c r="A167" s="62" t="s">
        <v>88</v>
      </c>
      <c r="B167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67" s="64" t="s">
        <v>89</v>
      </c>
      <c r="D167" s="64" t="s">
        <v>80</v>
      </c>
      <c r="E167" s="64" t="s">
        <v>81</v>
      </c>
      <c r="F167" s="64" t="s">
        <v>82</v>
      </c>
      <c r="G167" s="64" t="s">
        <v>9</v>
      </c>
      <c r="H167" s="65" t="str">
        <f>VLOOKUP(Tabla6[[#This Row],[DIRECCIÓN]],DIRECCIÓN[#All],2,0)</f>
        <v>OPERACIONES</v>
      </c>
      <c r="I167" s="66" t="s">
        <v>93</v>
      </c>
      <c r="J167" s="67">
        <v>1</v>
      </c>
      <c r="K167" s="68" t="str">
        <f>VLOOKUP(Tabla6[[#This Row],[DIRECCIÓN GENERAL / COORDINACIÓN / SUBDIRECCIÓN]],Tabla37[[#All],[Columna1]:[EOD]],2,0)</f>
        <v>266_0001</v>
      </c>
      <c r="L167" s="69">
        <f>VLOOKUP(Tabla6[[#This Row],[OBJETIVOS PND]],Listas!$A$1:$C$3,3,0)</f>
        <v>55</v>
      </c>
      <c r="M167" s="70">
        <f>VLOOKUP(Tabla6[[#This Row],[PG]],Listas2!$G$14:$K$16,5,0)</f>
        <v>0</v>
      </c>
      <c r="N167" s="71">
        <v>2</v>
      </c>
      <c r="O167" s="72">
        <v>1000</v>
      </c>
      <c r="P167" s="73" t="str">
        <f>VLOOKUP(Tabla6[[#This Row],[GEO]],Listas!$A$48:$B$77,2,0)</f>
        <v>IMBABURA</v>
      </c>
      <c r="Q167" s="70">
        <f>VLOOKUP(Tabla6[[#This Row],[PG]],Listas2!$G$14:$K$16,3,0)</f>
        <v>1</v>
      </c>
      <c r="R167" s="73">
        <f>VLOOKUP(Tabla6[[#This Row],[PG]],Listas2!H172:'Listas2'!$G$14:$K$16,4,0)</f>
        <v>0</v>
      </c>
      <c r="S167" s="73">
        <f>VLOOKUP(Tabla6[[#This Row],[PG]],Listas2!$G$14:$K$16,2,0)</f>
        <v>0</v>
      </c>
      <c r="T167" s="66" t="s">
        <v>84</v>
      </c>
      <c r="U167" s="74">
        <v>51</v>
      </c>
      <c r="V167" s="66">
        <v>510306</v>
      </c>
      <c r="W167" s="63" t="str">
        <f>VLOOKUP(Tabla6[[#This Row],[ÍTEM PRESUPUESTARIO]],Tabla2[#All],2,0)</f>
        <v>ALIMENTACION</v>
      </c>
      <c r="X167" s="57">
        <v>0</v>
      </c>
      <c r="Y167" s="57">
        <f>2310-960.75-1349.25</f>
        <v>0</v>
      </c>
      <c r="Z167" s="58">
        <v>0</v>
      </c>
      <c r="AA167" s="58">
        <v>0</v>
      </c>
      <c r="AB167" s="58">
        <v>0</v>
      </c>
      <c r="AC167" s="58">
        <v>0</v>
      </c>
      <c r="AD167" s="58">
        <v>0</v>
      </c>
      <c r="AE167" s="58">
        <v>0</v>
      </c>
      <c r="AF167" s="58">
        <v>0</v>
      </c>
      <c r="AG167" s="58">
        <v>0</v>
      </c>
      <c r="AH167" s="58">
        <v>0</v>
      </c>
      <c r="AI167" s="58">
        <v>0</v>
      </c>
      <c r="AJ167" s="58">
        <v>0</v>
      </c>
      <c r="AK167" s="58">
        <v>0</v>
      </c>
      <c r="AL167" s="75">
        <f>+SUBTOTAL(9,Tabla6[[#This Row],[ENE]:[DIC]])</f>
        <v>0</v>
      </c>
      <c r="AM167" s="76" t="str">
        <f t="shared" si="2"/>
        <v>OK</v>
      </c>
      <c r="AN167" s="60">
        <v>0</v>
      </c>
      <c r="AO167" s="61">
        <f>+Tabla6[[#This Row],[PRESUPUESTO VIGENTE]]-Tabla6[[#This Row],[CERTIFICACIÓN PAPP]]</f>
        <v>0</v>
      </c>
      <c r="AP167" s="59">
        <v>0</v>
      </c>
    </row>
    <row r="168" spans="1:42" ht="93" customHeight="1" x14ac:dyDescent="0.25">
      <c r="A168" s="62" t="s">
        <v>88</v>
      </c>
      <c r="B168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68" s="64" t="s">
        <v>89</v>
      </c>
      <c r="D168" s="64" t="s">
        <v>80</v>
      </c>
      <c r="E168" s="64" t="s">
        <v>81</v>
      </c>
      <c r="F168" s="64" t="s">
        <v>82</v>
      </c>
      <c r="G168" s="64" t="s">
        <v>9</v>
      </c>
      <c r="H168" s="65" t="str">
        <f>VLOOKUP(Tabla6[[#This Row],[DIRECCIÓN]],DIRECCIÓN[#All],2,0)</f>
        <v>OPERACIONES</v>
      </c>
      <c r="I168" s="66" t="s">
        <v>93</v>
      </c>
      <c r="J168" s="67">
        <v>1</v>
      </c>
      <c r="K168" s="68" t="str">
        <f>VLOOKUP(Tabla6[[#This Row],[DIRECCIÓN GENERAL / COORDINACIÓN / SUBDIRECCIÓN]],Tabla37[[#All],[Columna1]:[EOD]],2,0)</f>
        <v>266_0001</v>
      </c>
      <c r="L168" s="69">
        <f>VLOOKUP(Tabla6[[#This Row],[OBJETIVOS PND]],Listas!$A$1:$C$3,3,0)</f>
        <v>55</v>
      </c>
      <c r="M168" s="70">
        <f>VLOOKUP(Tabla6[[#This Row],[PG]],Listas2!$G$14:$K$16,5,0)</f>
        <v>0</v>
      </c>
      <c r="N168" s="71">
        <v>2</v>
      </c>
      <c r="O168" s="72">
        <v>1000</v>
      </c>
      <c r="P168" s="73" t="str">
        <f>VLOOKUP(Tabla6[[#This Row],[GEO]],Listas!$A$48:$B$77,2,0)</f>
        <v>IMBABURA</v>
      </c>
      <c r="Q168" s="70">
        <f>VLOOKUP(Tabla6[[#This Row],[PG]],Listas2!$G$14:$K$16,3,0)</f>
        <v>1</v>
      </c>
      <c r="R168" s="73">
        <f>VLOOKUP(Tabla6[[#This Row],[PG]],Listas2!H173:'Listas2'!$G$14:$K$16,4,0)</f>
        <v>0</v>
      </c>
      <c r="S168" s="73">
        <f>VLOOKUP(Tabla6[[#This Row],[PG]],Listas2!$G$14:$K$16,2,0)</f>
        <v>0</v>
      </c>
      <c r="T168" s="66" t="s">
        <v>84</v>
      </c>
      <c r="U168" s="74">
        <v>51</v>
      </c>
      <c r="V168" s="66">
        <v>510401</v>
      </c>
      <c r="W168" s="63" t="str">
        <f>VLOOKUP(Tabla6[[#This Row],[ÍTEM PRESUPUESTARIO]],Tabla2[#All],2,0)</f>
        <v>POR CARGAS FAMILIARES</v>
      </c>
      <c r="X168" s="57">
        <v>0</v>
      </c>
      <c r="Y168" s="57">
        <f>421-421</f>
        <v>0</v>
      </c>
      <c r="Z168" s="58">
        <v>0</v>
      </c>
      <c r="AA168" s="58">
        <v>0</v>
      </c>
      <c r="AB168" s="58">
        <v>0</v>
      </c>
      <c r="AC168" s="58">
        <v>0</v>
      </c>
      <c r="AD168" s="58">
        <v>0</v>
      </c>
      <c r="AE168" s="58">
        <v>0</v>
      </c>
      <c r="AF168" s="58">
        <v>0</v>
      </c>
      <c r="AG168" s="58">
        <v>0</v>
      </c>
      <c r="AH168" s="58">
        <v>0</v>
      </c>
      <c r="AI168" s="58">
        <v>0</v>
      </c>
      <c r="AJ168" s="58">
        <v>0</v>
      </c>
      <c r="AK168" s="58">
        <v>0</v>
      </c>
      <c r="AL168" s="75">
        <f>+SUBTOTAL(9,Tabla6[[#This Row],[ENE]:[DIC]])</f>
        <v>0</v>
      </c>
      <c r="AM168" s="76" t="str">
        <f t="shared" si="2"/>
        <v>OK</v>
      </c>
      <c r="AN168" s="60">
        <v>0</v>
      </c>
      <c r="AO168" s="61">
        <f>+Tabla6[[#This Row],[PRESUPUESTO VIGENTE]]-Tabla6[[#This Row],[CERTIFICACIÓN PAPP]]</f>
        <v>0</v>
      </c>
      <c r="AP168" s="59">
        <v>0</v>
      </c>
    </row>
    <row r="169" spans="1:42" ht="93" customHeight="1" x14ac:dyDescent="0.25">
      <c r="A169" s="62" t="s">
        <v>88</v>
      </c>
      <c r="B169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69" s="64" t="s">
        <v>89</v>
      </c>
      <c r="D169" s="64" t="s">
        <v>80</v>
      </c>
      <c r="E169" s="64" t="s">
        <v>81</v>
      </c>
      <c r="F169" s="64" t="s">
        <v>82</v>
      </c>
      <c r="G169" s="64" t="s">
        <v>9</v>
      </c>
      <c r="H169" s="65" t="str">
        <f>VLOOKUP(Tabla6[[#This Row],[DIRECCIÓN]],DIRECCIÓN[#All],2,0)</f>
        <v>OPERACIONES</v>
      </c>
      <c r="I169" s="66" t="s">
        <v>93</v>
      </c>
      <c r="J169" s="67">
        <v>1</v>
      </c>
      <c r="K169" s="68" t="str">
        <f>VLOOKUP(Tabla6[[#This Row],[DIRECCIÓN GENERAL / COORDINACIÓN / SUBDIRECCIÓN]],Tabla37[[#All],[Columna1]:[EOD]],2,0)</f>
        <v>266_0001</v>
      </c>
      <c r="L169" s="69">
        <f>VLOOKUP(Tabla6[[#This Row],[OBJETIVOS PND]],Listas!$A$1:$C$3,3,0)</f>
        <v>55</v>
      </c>
      <c r="M169" s="70">
        <f>VLOOKUP(Tabla6[[#This Row],[PG]],Listas2!$G$14:$K$16,5,0)</f>
        <v>0</v>
      </c>
      <c r="N169" s="71">
        <v>2</v>
      </c>
      <c r="O169" s="72">
        <v>1000</v>
      </c>
      <c r="P169" s="73" t="str">
        <f>VLOOKUP(Tabla6[[#This Row],[GEO]],Listas!$A$48:$B$77,2,0)</f>
        <v>IMBABURA</v>
      </c>
      <c r="Q169" s="70">
        <f>VLOOKUP(Tabla6[[#This Row],[PG]],Listas2!$G$14:$K$16,3,0)</f>
        <v>1</v>
      </c>
      <c r="R169" s="73">
        <f>VLOOKUP(Tabla6[[#This Row],[PG]],Listas2!H174:'Listas2'!$G$14:$K$16,4,0)</f>
        <v>0</v>
      </c>
      <c r="S169" s="73">
        <f>VLOOKUP(Tabla6[[#This Row],[PG]],Listas2!$G$14:$K$16,2,0)</f>
        <v>0</v>
      </c>
      <c r="T169" s="66" t="s">
        <v>84</v>
      </c>
      <c r="U169" s="74">
        <v>51</v>
      </c>
      <c r="V169" s="66">
        <v>510408</v>
      </c>
      <c r="W169" s="63" t="str">
        <f>VLOOKUP(Tabla6[[#This Row],[ÍTEM PRESUPUESTARIO]],Tabla2[#All],2,0)</f>
        <v>SUBSIDIO DE ANTIGUEDAD</v>
      </c>
      <c r="X169" s="57">
        <v>0</v>
      </c>
      <c r="Y169" s="57">
        <f>400-400</f>
        <v>0</v>
      </c>
      <c r="Z169" s="58">
        <v>0</v>
      </c>
      <c r="AA169" s="58">
        <v>0</v>
      </c>
      <c r="AB169" s="58">
        <v>0</v>
      </c>
      <c r="AC169" s="58">
        <v>0</v>
      </c>
      <c r="AD169" s="58">
        <v>0</v>
      </c>
      <c r="AE169" s="58">
        <v>0</v>
      </c>
      <c r="AF169" s="58">
        <v>0</v>
      </c>
      <c r="AG169" s="58">
        <v>0</v>
      </c>
      <c r="AH169" s="58">
        <v>0</v>
      </c>
      <c r="AI169" s="58">
        <v>0</v>
      </c>
      <c r="AJ169" s="58">
        <v>0</v>
      </c>
      <c r="AK169" s="58">
        <v>0</v>
      </c>
      <c r="AL169" s="75">
        <f>+SUBTOTAL(9,Tabla6[[#This Row],[ENE]:[DIC]])</f>
        <v>0</v>
      </c>
      <c r="AM169" s="76" t="str">
        <f t="shared" si="2"/>
        <v>OK</v>
      </c>
      <c r="AN169" s="60">
        <v>0</v>
      </c>
      <c r="AO169" s="61">
        <f>+Tabla6[[#This Row],[PRESUPUESTO VIGENTE]]-Tabla6[[#This Row],[CERTIFICACIÓN PAPP]]</f>
        <v>0</v>
      </c>
      <c r="AP169" s="59">
        <v>0</v>
      </c>
    </row>
    <row r="170" spans="1:42" ht="93" customHeight="1" x14ac:dyDescent="0.25">
      <c r="A170" s="62" t="s">
        <v>88</v>
      </c>
      <c r="B170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70" s="64" t="s">
        <v>89</v>
      </c>
      <c r="D170" s="64" t="s">
        <v>80</v>
      </c>
      <c r="E170" s="64" t="s">
        <v>81</v>
      </c>
      <c r="F170" s="64" t="s">
        <v>82</v>
      </c>
      <c r="G170" s="64" t="s">
        <v>9</v>
      </c>
      <c r="H170" s="65" t="str">
        <f>VLOOKUP(Tabla6[[#This Row],[DIRECCIÓN]],DIRECCIÓN[#All],2,0)</f>
        <v>OPERACIONES</v>
      </c>
      <c r="I170" s="66" t="s">
        <v>93</v>
      </c>
      <c r="J170" s="67">
        <v>1</v>
      </c>
      <c r="K170" s="68" t="str">
        <f>VLOOKUP(Tabla6[[#This Row],[DIRECCIÓN GENERAL / COORDINACIÓN / SUBDIRECCIÓN]],Tabla37[[#All],[Columna1]:[EOD]],2,0)</f>
        <v>266_0001</v>
      </c>
      <c r="L170" s="69">
        <f>VLOOKUP(Tabla6[[#This Row],[OBJETIVOS PND]],Listas!$A$1:$C$3,3,0)</f>
        <v>55</v>
      </c>
      <c r="M170" s="70">
        <f>VLOOKUP(Tabla6[[#This Row],[PG]],Listas2!$G$14:$K$16,5,0)</f>
        <v>0</v>
      </c>
      <c r="N170" s="71">
        <v>2</v>
      </c>
      <c r="O170" s="72">
        <v>1000</v>
      </c>
      <c r="P170" s="73" t="str">
        <f>VLOOKUP(Tabla6[[#This Row],[GEO]],Listas!$A$48:$B$77,2,0)</f>
        <v>IMBABURA</v>
      </c>
      <c r="Q170" s="70">
        <f>VLOOKUP(Tabla6[[#This Row],[PG]],Listas2!$G$14:$K$16,3,0)</f>
        <v>1</v>
      </c>
      <c r="R170" s="73">
        <f>VLOOKUP(Tabla6[[#This Row],[PG]],Listas2!H175:'Listas2'!$G$14:$K$16,4,0)</f>
        <v>0</v>
      </c>
      <c r="S170" s="73">
        <f>VLOOKUP(Tabla6[[#This Row],[PG]],Listas2!$G$14:$K$16,2,0)</f>
        <v>0</v>
      </c>
      <c r="T170" s="66" t="s">
        <v>84</v>
      </c>
      <c r="U170" s="74">
        <v>51</v>
      </c>
      <c r="V170" s="66">
        <v>510510</v>
      </c>
      <c r="W170" s="63" t="str">
        <f>VLOOKUP(Tabla6[[#This Row],[ÍTEM PRESUPUESTARIO]],Tabla2[#All],2,0)</f>
        <v>SERVICIOS PERSONALES POR CONTRATO</v>
      </c>
      <c r="X170" s="57">
        <v>87960</v>
      </c>
      <c r="Y170" s="57">
        <v>67704.77</v>
      </c>
      <c r="Z170" s="58">
        <v>7330</v>
      </c>
      <c r="AA170" s="58">
        <v>7330</v>
      </c>
      <c r="AB170" s="58">
        <v>7330</v>
      </c>
      <c r="AC170" s="58">
        <v>7330</v>
      </c>
      <c r="AD170" s="58">
        <v>7330</v>
      </c>
      <c r="AE170" s="58">
        <v>7330</v>
      </c>
      <c r="AF170" s="58">
        <v>7330</v>
      </c>
      <c r="AG170" s="58">
        <v>7330</v>
      </c>
      <c r="AH170" s="58">
        <v>7330</v>
      </c>
      <c r="AI170" s="58">
        <v>1734.77</v>
      </c>
      <c r="AJ170" s="58">
        <v>0</v>
      </c>
      <c r="AK170" s="58">
        <v>0</v>
      </c>
      <c r="AL170" s="75">
        <f>+SUBTOTAL(9,Tabla6[[#This Row],[ENE]:[DIC]])</f>
        <v>67704.77</v>
      </c>
      <c r="AM170" s="76" t="str">
        <f t="shared" si="2"/>
        <v>OK</v>
      </c>
      <c r="AN170" s="60">
        <v>0</v>
      </c>
      <c r="AO170" s="61">
        <f>+Tabla6[[#This Row],[PRESUPUESTO VIGENTE]]-Tabla6[[#This Row],[CERTIFICACIÓN PAPP]]</f>
        <v>67704.77</v>
      </c>
      <c r="AP170" s="59">
        <v>0</v>
      </c>
    </row>
    <row r="171" spans="1:42" ht="93" customHeight="1" x14ac:dyDescent="0.25">
      <c r="A171" s="62" t="s">
        <v>88</v>
      </c>
      <c r="B171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71" s="64" t="s">
        <v>89</v>
      </c>
      <c r="D171" s="64" t="s">
        <v>80</v>
      </c>
      <c r="E171" s="64" t="s">
        <v>81</v>
      </c>
      <c r="F171" s="64" t="s">
        <v>82</v>
      </c>
      <c r="G171" s="64" t="s">
        <v>9</v>
      </c>
      <c r="H171" s="65" t="str">
        <f>VLOOKUP(Tabla6[[#This Row],[DIRECCIÓN]],DIRECCIÓN[#All],2,0)</f>
        <v>OPERACIONES</v>
      </c>
      <c r="I171" s="66" t="s">
        <v>93</v>
      </c>
      <c r="J171" s="67">
        <v>1</v>
      </c>
      <c r="K171" s="68" t="str">
        <f>VLOOKUP(Tabla6[[#This Row],[DIRECCIÓN GENERAL / COORDINACIÓN / SUBDIRECCIÓN]],Tabla37[[#All],[Columna1]:[EOD]],2,0)</f>
        <v>266_0001</v>
      </c>
      <c r="L171" s="69">
        <f>VLOOKUP(Tabla6[[#This Row],[OBJETIVOS PND]],Listas!$A$1:$C$3,3,0)</f>
        <v>55</v>
      </c>
      <c r="M171" s="70">
        <f>VLOOKUP(Tabla6[[#This Row],[PG]],Listas2!$G$14:$K$16,5,0)</f>
        <v>0</v>
      </c>
      <c r="N171" s="71">
        <v>2</v>
      </c>
      <c r="O171" s="72">
        <v>1000</v>
      </c>
      <c r="P171" s="73" t="str">
        <f>VLOOKUP(Tabla6[[#This Row],[GEO]],Listas!$A$48:$B$77,2,0)</f>
        <v>IMBABURA</v>
      </c>
      <c r="Q171" s="70">
        <f>VLOOKUP(Tabla6[[#This Row],[PG]],Listas2!$G$14:$K$16,3,0)</f>
        <v>1</v>
      </c>
      <c r="R171" s="73">
        <f>VLOOKUP(Tabla6[[#This Row],[PG]],Listas2!H176:'Listas2'!$G$14:$K$16,4,0)</f>
        <v>0</v>
      </c>
      <c r="S171" s="73">
        <f>VLOOKUP(Tabla6[[#This Row],[PG]],Listas2!$G$14:$K$16,2,0)</f>
        <v>0</v>
      </c>
      <c r="T171" s="66" t="s">
        <v>84</v>
      </c>
      <c r="U171" s="74">
        <v>51</v>
      </c>
      <c r="V171" s="66">
        <v>510512</v>
      </c>
      <c r="W171" s="63" t="str">
        <f>VLOOKUP(Tabla6[[#This Row],[ÍTEM PRESUPUESTARIO]],Tabla2[#All],2,0)</f>
        <v xml:space="preserve">SUBROGACIÓN </v>
      </c>
      <c r="X171" s="57">
        <v>2400</v>
      </c>
      <c r="Y171" s="57">
        <f>2867-583.39</f>
        <v>2283.61</v>
      </c>
      <c r="Z171" s="58">
        <v>0</v>
      </c>
      <c r="AA171" s="58">
        <v>0</v>
      </c>
      <c r="AB171" s="58">
        <v>692</v>
      </c>
      <c r="AC171" s="58">
        <v>0</v>
      </c>
      <c r="AD171" s="58">
        <v>692</v>
      </c>
      <c r="AE171" s="58">
        <v>0</v>
      </c>
      <c r="AF171" s="58">
        <v>0</v>
      </c>
      <c r="AG171" s="58">
        <v>0</v>
      </c>
      <c r="AH171" s="58">
        <v>692</v>
      </c>
      <c r="AI171" s="58">
        <v>0</v>
      </c>
      <c r="AJ171" s="58">
        <v>207.61</v>
      </c>
      <c r="AK171" s="58">
        <v>0</v>
      </c>
      <c r="AL171" s="75">
        <f>+SUBTOTAL(9,Tabla6[[#This Row],[ENE]:[DIC]])</f>
        <v>2283.61</v>
      </c>
      <c r="AM171" s="76" t="str">
        <f t="shared" si="2"/>
        <v>OK</v>
      </c>
      <c r="AN171" s="60">
        <v>0</v>
      </c>
      <c r="AO171" s="61">
        <f>+Tabla6[[#This Row],[PRESUPUESTO VIGENTE]]-Tabla6[[#This Row],[CERTIFICACIÓN PAPP]]</f>
        <v>2283.61</v>
      </c>
      <c r="AP171" s="59">
        <v>0</v>
      </c>
    </row>
    <row r="172" spans="1:42" ht="93" customHeight="1" x14ac:dyDescent="0.25">
      <c r="A172" s="62" t="s">
        <v>88</v>
      </c>
      <c r="B172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72" s="64" t="s">
        <v>89</v>
      </c>
      <c r="D172" s="64" t="s">
        <v>80</v>
      </c>
      <c r="E172" s="64" t="s">
        <v>81</v>
      </c>
      <c r="F172" s="64" t="s">
        <v>82</v>
      </c>
      <c r="G172" s="64" t="s">
        <v>9</v>
      </c>
      <c r="H172" s="65" t="str">
        <f>VLOOKUP(Tabla6[[#This Row],[DIRECCIÓN]],DIRECCIÓN[#All],2,0)</f>
        <v>OPERACIONES</v>
      </c>
      <c r="I172" s="66" t="s">
        <v>93</v>
      </c>
      <c r="J172" s="67">
        <v>1</v>
      </c>
      <c r="K172" s="68" t="str">
        <f>VLOOKUP(Tabla6[[#This Row],[DIRECCIÓN GENERAL / COORDINACIÓN / SUBDIRECCIÓN]],Tabla37[[#All],[Columna1]:[EOD]],2,0)</f>
        <v>266_0001</v>
      </c>
      <c r="L172" s="69">
        <f>VLOOKUP(Tabla6[[#This Row],[OBJETIVOS PND]],Listas!$A$1:$C$3,3,0)</f>
        <v>55</v>
      </c>
      <c r="M172" s="70">
        <f>VLOOKUP(Tabla6[[#This Row],[PG]],Listas2!$G$14:$K$16,5,0)</f>
        <v>0</v>
      </c>
      <c r="N172" s="71">
        <v>2</v>
      </c>
      <c r="O172" s="72">
        <v>1000</v>
      </c>
      <c r="P172" s="73" t="str">
        <f>VLOOKUP(Tabla6[[#This Row],[GEO]],Listas!$A$48:$B$77,2,0)</f>
        <v>IMBABURA</v>
      </c>
      <c r="Q172" s="70">
        <f>VLOOKUP(Tabla6[[#This Row],[PG]],Listas2!$G$14:$K$16,3,0)</f>
        <v>1</v>
      </c>
      <c r="R172" s="73">
        <f>VLOOKUP(Tabla6[[#This Row],[PG]],Listas2!H177:'Listas2'!$G$14:$K$16,4,0)</f>
        <v>0</v>
      </c>
      <c r="S172" s="73">
        <f>VLOOKUP(Tabla6[[#This Row],[PG]],Listas2!$G$14:$K$16,2,0)</f>
        <v>0</v>
      </c>
      <c r="T172" s="66" t="s">
        <v>84</v>
      </c>
      <c r="U172" s="74">
        <v>51</v>
      </c>
      <c r="V172" s="66">
        <v>510513</v>
      </c>
      <c r="W172" s="63" t="str">
        <f>VLOOKUP(Tabla6[[#This Row],[ÍTEM PRESUPUESTARIO]],Tabla2[#All],2,0)</f>
        <v>ENCARGOS</v>
      </c>
      <c r="X172" s="57">
        <v>0</v>
      </c>
      <c r="Y172" s="57">
        <f>2722-853.6</f>
        <v>1868.4</v>
      </c>
      <c r="Z172" s="58">
        <v>0</v>
      </c>
      <c r="AA172" s="58">
        <v>0</v>
      </c>
      <c r="AB172" s="58">
        <v>0</v>
      </c>
      <c r="AC172" s="58">
        <v>0</v>
      </c>
      <c r="AD172" s="58">
        <v>0</v>
      </c>
      <c r="AE172" s="58">
        <v>0</v>
      </c>
      <c r="AF172" s="58">
        <v>0</v>
      </c>
      <c r="AG172" s="58">
        <v>0</v>
      </c>
      <c r="AH172" s="58">
        <v>0</v>
      </c>
      <c r="AI172" s="58">
        <v>0</v>
      </c>
      <c r="AJ172" s="58">
        <v>0</v>
      </c>
      <c r="AK172" s="58">
        <v>1868.4</v>
      </c>
      <c r="AL172" s="75">
        <f>+SUBTOTAL(9,Tabla6[[#This Row],[ENE]:[DIC]])</f>
        <v>1868.4</v>
      </c>
      <c r="AM172" s="76" t="str">
        <f t="shared" si="2"/>
        <v>OK</v>
      </c>
      <c r="AN172" s="60">
        <v>0</v>
      </c>
      <c r="AO172" s="61">
        <f>+Tabla6[[#This Row],[PRESUPUESTO VIGENTE]]-Tabla6[[#This Row],[CERTIFICACIÓN PAPP]]</f>
        <v>1868.4</v>
      </c>
      <c r="AP172" s="59">
        <v>0</v>
      </c>
    </row>
    <row r="173" spans="1:42" ht="93" customHeight="1" x14ac:dyDescent="0.25">
      <c r="A173" s="62" t="s">
        <v>88</v>
      </c>
      <c r="B173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73" s="64" t="s">
        <v>89</v>
      </c>
      <c r="D173" s="64" t="s">
        <v>80</v>
      </c>
      <c r="E173" s="64" t="s">
        <v>81</v>
      </c>
      <c r="F173" s="64" t="s">
        <v>82</v>
      </c>
      <c r="G173" s="64" t="s">
        <v>9</v>
      </c>
      <c r="H173" s="65" t="str">
        <f>VLOOKUP(Tabla6[[#This Row],[DIRECCIÓN]],DIRECCIÓN[#All],2,0)</f>
        <v>OPERACIONES</v>
      </c>
      <c r="I173" s="66" t="s">
        <v>93</v>
      </c>
      <c r="J173" s="67">
        <v>1</v>
      </c>
      <c r="K173" s="68" t="str">
        <f>VLOOKUP(Tabla6[[#This Row],[DIRECCIÓN GENERAL / COORDINACIÓN / SUBDIRECCIÓN]],Tabla37[[#All],[Columna1]:[EOD]],2,0)</f>
        <v>266_0001</v>
      </c>
      <c r="L173" s="69">
        <f>VLOOKUP(Tabla6[[#This Row],[OBJETIVOS PND]],Listas!$A$1:$C$3,3,0)</f>
        <v>55</v>
      </c>
      <c r="M173" s="70">
        <f>VLOOKUP(Tabla6[[#This Row],[PG]],Listas2!$G$14:$K$16,5,0)</f>
        <v>0</v>
      </c>
      <c r="N173" s="71">
        <v>2</v>
      </c>
      <c r="O173" s="72">
        <v>1000</v>
      </c>
      <c r="P173" s="73" t="str">
        <f>VLOOKUP(Tabla6[[#This Row],[GEO]],Listas!$A$48:$B$77,2,0)</f>
        <v>IMBABURA</v>
      </c>
      <c r="Q173" s="70">
        <f>VLOOKUP(Tabla6[[#This Row],[PG]],Listas2!$G$14:$K$16,3,0)</f>
        <v>1</v>
      </c>
      <c r="R173" s="73">
        <f>VLOOKUP(Tabla6[[#This Row],[PG]],Listas2!H178:'Listas2'!$G$14:$K$16,4,0)</f>
        <v>0</v>
      </c>
      <c r="S173" s="73">
        <f>VLOOKUP(Tabla6[[#This Row],[PG]],Listas2!$G$14:$K$16,2,0)</f>
        <v>0</v>
      </c>
      <c r="T173" s="66" t="s">
        <v>84</v>
      </c>
      <c r="U173" s="74">
        <v>51</v>
      </c>
      <c r="V173" s="66">
        <v>510601</v>
      </c>
      <c r="W173" s="63" t="str">
        <f>VLOOKUP(Tabla6[[#This Row],[ÍTEM PRESUPUESTARIO]],Tabla2[#All],2,0)</f>
        <v>APORTE PATRONAL</v>
      </c>
      <c r="X173" s="57">
        <v>167680</v>
      </c>
      <c r="Y173" s="57">
        <f>167679.28-808.12+80-1712</f>
        <v>165239.16</v>
      </c>
      <c r="Z173" s="58">
        <v>13973</v>
      </c>
      <c r="AA173" s="58">
        <v>13973</v>
      </c>
      <c r="AB173" s="58">
        <v>13973</v>
      </c>
      <c r="AC173" s="58">
        <v>13973</v>
      </c>
      <c r="AD173" s="58">
        <v>13973</v>
      </c>
      <c r="AE173" s="58">
        <v>13973</v>
      </c>
      <c r="AF173" s="58">
        <v>13973</v>
      </c>
      <c r="AG173" s="58">
        <v>13973</v>
      </c>
      <c r="AH173" s="58">
        <v>13973</v>
      </c>
      <c r="AI173" s="58">
        <v>13973</v>
      </c>
      <c r="AJ173" s="58">
        <v>13973</v>
      </c>
      <c r="AK173" s="58">
        <v>11536.160000000003</v>
      </c>
      <c r="AL173" s="75">
        <f>+SUBTOTAL(9,Tabla6[[#This Row],[ENE]:[DIC]])</f>
        <v>165239.16</v>
      </c>
      <c r="AM173" s="76" t="str">
        <f t="shared" si="2"/>
        <v>OK</v>
      </c>
      <c r="AN173" s="60">
        <v>0</v>
      </c>
      <c r="AO173" s="61">
        <f>+Tabla6[[#This Row],[PRESUPUESTO VIGENTE]]-Tabla6[[#This Row],[CERTIFICACIÓN PAPP]]</f>
        <v>165239.16</v>
      </c>
      <c r="AP173" s="59">
        <v>0</v>
      </c>
    </row>
    <row r="174" spans="1:42" ht="93" customHeight="1" x14ac:dyDescent="0.25">
      <c r="A174" s="62" t="s">
        <v>88</v>
      </c>
      <c r="B174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74" s="64" t="s">
        <v>89</v>
      </c>
      <c r="D174" s="64" t="s">
        <v>80</v>
      </c>
      <c r="E174" s="64" t="s">
        <v>81</v>
      </c>
      <c r="F174" s="64" t="s">
        <v>82</v>
      </c>
      <c r="G174" s="64" t="s">
        <v>9</v>
      </c>
      <c r="H174" s="65" t="str">
        <f>VLOOKUP(Tabla6[[#This Row],[DIRECCIÓN]],DIRECCIÓN[#All],2,0)</f>
        <v>OPERACIONES</v>
      </c>
      <c r="I174" s="66" t="s">
        <v>93</v>
      </c>
      <c r="J174" s="67">
        <v>1</v>
      </c>
      <c r="K174" s="68" t="str">
        <f>VLOOKUP(Tabla6[[#This Row],[DIRECCIÓN GENERAL / COORDINACIÓN / SUBDIRECCIÓN]],Tabla37[[#All],[Columna1]:[EOD]],2,0)</f>
        <v>266_0001</v>
      </c>
      <c r="L174" s="69">
        <f>VLOOKUP(Tabla6[[#This Row],[OBJETIVOS PND]],Listas!$A$1:$C$3,3,0)</f>
        <v>55</v>
      </c>
      <c r="M174" s="70">
        <f>VLOOKUP(Tabla6[[#This Row],[PG]],Listas2!$G$14:$K$16,5,0)</f>
        <v>0</v>
      </c>
      <c r="N174" s="71">
        <v>2</v>
      </c>
      <c r="O174" s="72">
        <v>1000</v>
      </c>
      <c r="P174" s="73" t="str">
        <f>VLOOKUP(Tabla6[[#This Row],[GEO]],Listas!$A$48:$B$77,2,0)</f>
        <v>IMBABURA</v>
      </c>
      <c r="Q174" s="70">
        <f>VLOOKUP(Tabla6[[#This Row],[PG]],Listas2!$G$14:$K$16,3,0)</f>
        <v>1</v>
      </c>
      <c r="R174" s="73">
        <f>VLOOKUP(Tabla6[[#This Row],[PG]],Listas2!H179:'Listas2'!$G$14:$K$16,4,0)</f>
        <v>0</v>
      </c>
      <c r="S174" s="73">
        <f>VLOOKUP(Tabla6[[#This Row],[PG]],Listas2!$G$14:$K$16,2,0)</f>
        <v>0</v>
      </c>
      <c r="T174" s="66" t="s">
        <v>84</v>
      </c>
      <c r="U174" s="74">
        <v>51</v>
      </c>
      <c r="V174" s="66">
        <v>510602</v>
      </c>
      <c r="W174" s="63" t="str">
        <f>VLOOKUP(Tabla6[[#This Row],[ÍTEM PRESUPUESTARIO]],Tabla2[#All],2,0)</f>
        <v>FONDO DE RESERVA</v>
      </c>
      <c r="X174" s="57">
        <v>144801</v>
      </c>
      <c r="Y174" s="57">
        <f>144801-36.15-2125.15-1250-5603.25</f>
        <v>135786.45000000001</v>
      </c>
      <c r="Z174" s="58">
        <v>12067</v>
      </c>
      <c r="AA174" s="58">
        <v>12067</v>
      </c>
      <c r="AB174" s="58">
        <v>12067</v>
      </c>
      <c r="AC174" s="58">
        <v>12067</v>
      </c>
      <c r="AD174" s="58">
        <v>12067</v>
      </c>
      <c r="AE174" s="58">
        <v>12067</v>
      </c>
      <c r="AF174" s="58">
        <v>12067</v>
      </c>
      <c r="AG174" s="58">
        <v>12067</v>
      </c>
      <c r="AH174" s="58">
        <v>12067</v>
      </c>
      <c r="AI174" s="58">
        <v>12067</v>
      </c>
      <c r="AJ174" s="58">
        <v>12067</v>
      </c>
      <c r="AK174" s="58">
        <v>3049.4500000000116</v>
      </c>
      <c r="AL174" s="75">
        <f>+SUBTOTAL(9,Tabla6[[#This Row],[ENE]:[DIC]])</f>
        <v>135786.45000000001</v>
      </c>
      <c r="AM174" s="76" t="str">
        <f t="shared" si="2"/>
        <v>OK</v>
      </c>
      <c r="AN174" s="60">
        <v>0</v>
      </c>
      <c r="AO174" s="61">
        <f>+Tabla6[[#This Row],[PRESUPUESTO VIGENTE]]-Tabla6[[#This Row],[CERTIFICACIÓN PAPP]]</f>
        <v>135786.45000000001</v>
      </c>
      <c r="AP174" s="59">
        <v>0</v>
      </c>
    </row>
    <row r="175" spans="1:42" ht="93" customHeight="1" x14ac:dyDescent="0.25">
      <c r="A175" s="62" t="s">
        <v>88</v>
      </c>
      <c r="B175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75" s="64" t="s">
        <v>89</v>
      </c>
      <c r="D175" s="64" t="s">
        <v>80</v>
      </c>
      <c r="E175" s="64" t="s">
        <v>81</v>
      </c>
      <c r="F175" s="64" t="s">
        <v>82</v>
      </c>
      <c r="G175" s="64" t="s">
        <v>9</v>
      </c>
      <c r="H175" s="65" t="str">
        <f>VLOOKUP(Tabla6[[#This Row],[DIRECCIÓN]],DIRECCIÓN[#All],2,0)</f>
        <v>OPERACIONES</v>
      </c>
      <c r="I175" s="66" t="s">
        <v>93</v>
      </c>
      <c r="J175" s="67">
        <v>1</v>
      </c>
      <c r="K175" s="68" t="str">
        <f>VLOOKUP(Tabla6[[#This Row],[DIRECCIÓN GENERAL / COORDINACIÓN / SUBDIRECCIÓN]],Tabla37[[#All],[Columna1]:[EOD]],2,0)</f>
        <v>266_0001</v>
      </c>
      <c r="L175" s="69">
        <f>VLOOKUP(Tabla6[[#This Row],[OBJETIVOS PND]],Listas!$A$1:$C$3,3,0)</f>
        <v>55</v>
      </c>
      <c r="M175" s="70">
        <f>VLOOKUP(Tabla6[[#This Row],[PG]],Listas2!$G$14:$K$16,5,0)</f>
        <v>0</v>
      </c>
      <c r="N175" s="71">
        <v>2</v>
      </c>
      <c r="O175" s="72">
        <v>1000</v>
      </c>
      <c r="P175" s="73" t="str">
        <f>VLOOKUP(Tabla6[[#This Row],[GEO]],Listas!$A$48:$B$77,2,0)</f>
        <v>IMBABURA</v>
      </c>
      <c r="Q175" s="70">
        <f>VLOOKUP(Tabla6[[#This Row],[PG]],Listas2!$G$14:$K$16,3,0)</f>
        <v>1</v>
      </c>
      <c r="R175" s="73">
        <f>VLOOKUP(Tabla6[[#This Row],[PG]],Listas2!H180:'Listas2'!$G$14:$K$16,4,0)</f>
        <v>0</v>
      </c>
      <c r="S175" s="73">
        <f>VLOOKUP(Tabla6[[#This Row],[PG]],Listas2!$G$14:$K$16,2,0)</f>
        <v>0</v>
      </c>
      <c r="T175" s="66" t="s">
        <v>84</v>
      </c>
      <c r="U175" s="74">
        <v>51</v>
      </c>
      <c r="V175" s="66">
        <v>510707</v>
      </c>
      <c r="W175" s="63" t="str">
        <f>VLOOKUP(Tabla6[[#This Row],[ÍTEM PRESUPUESTARIO]],Tabla2[#All],2,0)</f>
        <v>COMPENSACIÓN POR VACACIONES NO GOZADAS POR CESACIÓN DE FUNCIONES</v>
      </c>
      <c r="X175" s="57">
        <v>0</v>
      </c>
      <c r="Y175" s="57">
        <f>1461.3-853.4</f>
        <v>607.9</v>
      </c>
      <c r="Z175" s="58">
        <v>0</v>
      </c>
      <c r="AA175" s="58">
        <v>0</v>
      </c>
      <c r="AB175" s="58">
        <v>0</v>
      </c>
      <c r="AC175" s="58">
        <v>0</v>
      </c>
      <c r="AD175" s="58">
        <v>0</v>
      </c>
      <c r="AE175" s="58">
        <v>0</v>
      </c>
      <c r="AF175" s="58">
        <v>0</v>
      </c>
      <c r="AG175" s="58">
        <v>0</v>
      </c>
      <c r="AH175" s="58">
        <v>0</v>
      </c>
      <c r="AI175" s="58">
        <v>0</v>
      </c>
      <c r="AJ175" s="58">
        <v>0</v>
      </c>
      <c r="AK175" s="58">
        <v>607.9</v>
      </c>
      <c r="AL175" s="75">
        <f>+SUBTOTAL(9,Tabla6[[#This Row],[ENE]:[DIC]])</f>
        <v>607.9</v>
      </c>
      <c r="AM175" s="76" t="str">
        <f t="shared" si="2"/>
        <v>OK</v>
      </c>
      <c r="AN175" s="60">
        <v>0</v>
      </c>
      <c r="AO175" s="61">
        <f>+Tabla6[[#This Row],[PRESUPUESTO VIGENTE]]-Tabla6[[#This Row],[CERTIFICACIÓN PAPP]]</f>
        <v>607.9</v>
      </c>
      <c r="AP175" s="59">
        <v>0</v>
      </c>
    </row>
    <row r="176" spans="1:42" ht="93" customHeight="1" x14ac:dyDescent="0.25">
      <c r="A176" s="62" t="s">
        <v>88</v>
      </c>
      <c r="B176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76" s="64" t="s">
        <v>89</v>
      </c>
      <c r="D176" s="64" t="s">
        <v>80</v>
      </c>
      <c r="E176" s="64" t="s">
        <v>81</v>
      </c>
      <c r="F176" s="64" t="s">
        <v>82</v>
      </c>
      <c r="G176" s="64" t="s">
        <v>9</v>
      </c>
      <c r="H176" s="65" t="str">
        <f>VLOOKUP(Tabla6[[#This Row],[DIRECCIÓN]],DIRECCIÓN[#All],2,0)</f>
        <v>OPERACIONES</v>
      </c>
      <c r="I176" s="66" t="s">
        <v>93</v>
      </c>
      <c r="J176" s="67">
        <v>2</v>
      </c>
      <c r="K176" s="68" t="str">
        <f>VLOOKUP(Tabla6[[#This Row],[DIRECCIÓN GENERAL / COORDINACIÓN / SUBDIRECCIÓN]],Tabla37[[#All],[Columna1]:[EOD]],2,0)</f>
        <v>266_0001</v>
      </c>
      <c r="L176" s="69">
        <f>VLOOKUP(Tabla6[[#This Row],[OBJETIVOS PND]],Listas!$A$1:$C$3,3,0)</f>
        <v>55</v>
      </c>
      <c r="M176" s="70">
        <f>VLOOKUP(Tabla6[[#This Row],[PG]],Listas2!$G$14:$K$16,5,0)</f>
        <v>0</v>
      </c>
      <c r="N176" s="71">
        <v>2</v>
      </c>
      <c r="O176" s="72">
        <v>1000</v>
      </c>
      <c r="P176" s="73" t="str">
        <f>VLOOKUP(Tabla6[[#This Row],[GEO]],Listas!$A$48:$B$77,2,0)</f>
        <v>IMBABURA</v>
      </c>
      <c r="Q176" s="70">
        <f>VLOOKUP(Tabla6[[#This Row],[PG]],Listas2!$G$14:$K$16,3,0)</f>
        <v>1</v>
      </c>
      <c r="R176" s="73">
        <f>VLOOKUP(Tabla6[[#This Row],[PG]],Listas2!H181:'Listas2'!$G$14:$K$16,4,0)</f>
        <v>0</v>
      </c>
      <c r="S176" s="73">
        <f>VLOOKUP(Tabla6[[#This Row],[PG]],Listas2!$G$14:$K$16,2,0)</f>
        <v>0</v>
      </c>
      <c r="T176" s="66" t="s">
        <v>84</v>
      </c>
      <c r="U176" s="74">
        <v>51</v>
      </c>
      <c r="V176" s="66">
        <v>510709</v>
      </c>
      <c r="W176" s="63" t="str">
        <f>VLOOKUP(Tabla6[[#This Row],[ÍTEM PRESUPUESTARIO]],Tabla2[#All],2,0)</f>
        <v>POR RENUNCIA VOLUNTARIA</v>
      </c>
      <c r="X176" s="57">
        <v>0</v>
      </c>
      <c r="Y176" s="57">
        <f>750-398.95</f>
        <v>351.05</v>
      </c>
      <c r="Z176" s="58">
        <v>0</v>
      </c>
      <c r="AA176" s="58">
        <v>0</v>
      </c>
      <c r="AB176" s="58">
        <v>0</v>
      </c>
      <c r="AC176" s="58">
        <v>0</v>
      </c>
      <c r="AD176" s="58">
        <v>0</v>
      </c>
      <c r="AE176" s="58">
        <v>0</v>
      </c>
      <c r="AF176" s="58">
        <v>0</v>
      </c>
      <c r="AG176" s="58">
        <v>0</v>
      </c>
      <c r="AH176" s="58">
        <v>0</v>
      </c>
      <c r="AI176" s="58">
        <v>0</v>
      </c>
      <c r="AJ176" s="58">
        <v>0</v>
      </c>
      <c r="AK176" s="58">
        <v>351.05</v>
      </c>
      <c r="AL176" s="75">
        <f>+SUBTOTAL(9,Tabla6[[#This Row],[ENE]:[DIC]])</f>
        <v>351.05</v>
      </c>
      <c r="AM176" s="76" t="str">
        <f t="shared" si="2"/>
        <v>OK</v>
      </c>
      <c r="AN176" s="60">
        <v>0</v>
      </c>
      <c r="AO176" s="61">
        <f>+Tabla6[[#This Row],[PRESUPUESTO VIGENTE]]-Tabla6[[#This Row],[CERTIFICACIÓN PAPP]]</f>
        <v>351.05</v>
      </c>
      <c r="AP176" s="59">
        <v>0</v>
      </c>
    </row>
    <row r="177" spans="1:42" ht="93" customHeight="1" x14ac:dyDescent="0.25">
      <c r="A177" s="62" t="s">
        <v>88</v>
      </c>
      <c r="B177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77" s="64" t="s">
        <v>89</v>
      </c>
      <c r="D177" s="64" t="s">
        <v>80</v>
      </c>
      <c r="E177" s="64" t="s">
        <v>81</v>
      </c>
      <c r="F177" s="64" t="s">
        <v>82</v>
      </c>
      <c r="G177" s="64" t="s">
        <v>9</v>
      </c>
      <c r="H177" s="65" t="str">
        <f>VLOOKUP(Tabla6[[#This Row],[DIRECCIÓN]],DIRECCIÓN[#All],2,0)</f>
        <v>OPERACIONES</v>
      </c>
      <c r="I177" s="66" t="s">
        <v>93</v>
      </c>
      <c r="J177" s="67">
        <v>1</v>
      </c>
      <c r="K177" s="68" t="str">
        <f>VLOOKUP(Tabla6[[#This Row],[DIRECCIÓN GENERAL / COORDINACIÓN / SUBDIRECCIÓN]],Tabla37[[#All],[Columna1]:[EOD]],2,0)</f>
        <v>266_0001</v>
      </c>
      <c r="L177" s="69">
        <f>VLOOKUP(Tabla6[[#This Row],[OBJETIVOS PND]],Listas!$A$1:$C$3,3,0)</f>
        <v>55</v>
      </c>
      <c r="M177" s="70">
        <f>VLOOKUP(Tabla6[[#This Row],[PG]],Listas2!$G$14:$K$16,5,0)</f>
        <v>0</v>
      </c>
      <c r="N177" s="71">
        <v>2</v>
      </c>
      <c r="O177" s="72">
        <v>1000</v>
      </c>
      <c r="P177" s="73" t="str">
        <f>VLOOKUP(Tabla6[[#This Row],[GEO]],Listas!$A$48:$B$77,2,0)</f>
        <v>IMBABURA</v>
      </c>
      <c r="Q177" s="70">
        <f>VLOOKUP(Tabla6[[#This Row],[PG]],Listas2!$G$14:$K$16,3,0)</f>
        <v>1</v>
      </c>
      <c r="R177" s="73">
        <f>VLOOKUP(Tabla6[[#This Row],[PG]],Listas2!H182:'Listas2'!$G$14:$K$16,4,0)</f>
        <v>0</v>
      </c>
      <c r="S177" s="73">
        <f>VLOOKUP(Tabla6[[#This Row],[PG]],Listas2!$G$14:$K$16,2,0)</f>
        <v>0</v>
      </c>
      <c r="T177" s="66" t="s">
        <v>84</v>
      </c>
      <c r="U177" s="74">
        <v>99</v>
      </c>
      <c r="V177" s="66">
        <v>990101</v>
      </c>
      <c r="W177" s="63" t="str">
        <f>VLOOKUP(Tabla6[[#This Row],[ÍTEM PRESUPUESTARIO]],Tabla2[#All],2,0)</f>
        <v>OBLIGACIONES DE EJERCICIOS ANTERIORES POR EGRESOS DE PERSONAL</v>
      </c>
      <c r="X177" s="57">
        <v>0</v>
      </c>
      <c r="Y177" s="57">
        <v>624.16</v>
      </c>
      <c r="Z177" s="58">
        <v>0</v>
      </c>
      <c r="AA177" s="58">
        <v>0</v>
      </c>
      <c r="AB177" s="58">
        <v>0</v>
      </c>
      <c r="AC177" s="58">
        <v>0</v>
      </c>
      <c r="AD177" s="58">
        <v>0</v>
      </c>
      <c r="AE177" s="58">
        <v>0</v>
      </c>
      <c r="AF177" s="58">
        <v>0</v>
      </c>
      <c r="AG177" s="58">
        <v>0</v>
      </c>
      <c r="AH177" s="58">
        <v>0</v>
      </c>
      <c r="AI177" s="58">
        <v>0</v>
      </c>
      <c r="AJ177" s="58">
        <v>0</v>
      </c>
      <c r="AK177" s="58">
        <v>624.16</v>
      </c>
      <c r="AL177" s="75">
        <f>+SUBTOTAL(9,Tabla6[[#This Row],[ENE]:[DIC]])</f>
        <v>624.16</v>
      </c>
      <c r="AM177" s="76" t="str">
        <f t="shared" si="2"/>
        <v>OK</v>
      </c>
      <c r="AN177" s="60">
        <v>0</v>
      </c>
      <c r="AO177" s="61">
        <f>+Tabla6[[#This Row],[PRESUPUESTO VIGENTE]]-Tabla6[[#This Row],[CERTIFICACIÓN PAPP]]</f>
        <v>624.16</v>
      </c>
      <c r="AP177" s="59">
        <v>0</v>
      </c>
    </row>
    <row r="178" spans="1:42" ht="93" customHeight="1" x14ac:dyDescent="0.25">
      <c r="A178" s="62" t="s">
        <v>88</v>
      </c>
      <c r="B178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78" s="64" t="s">
        <v>89</v>
      </c>
      <c r="D178" s="64" t="s">
        <v>80</v>
      </c>
      <c r="E178" s="64" t="s">
        <v>81</v>
      </c>
      <c r="F178" s="64" t="s">
        <v>82</v>
      </c>
      <c r="G178" s="64" t="s">
        <v>10</v>
      </c>
      <c r="H178" s="65" t="str">
        <f>VLOOKUP(Tabla6[[#This Row],[DIRECCIÓN]],DIRECCIÓN[#All],2,0)</f>
        <v>TECNOLOGÍA</v>
      </c>
      <c r="I178" s="66" t="s">
        <v>93</v>
      </c>
      <c r="J178" s="67">
        <v>1</v>
      </c>
      <c r="K178" s="68" t="str">
        <f>VLOOKUP(Tabla6[[#This Row],[DIRECCIÓN GENERAL / COORDINACIÓN / SUBDIRECCIÓN]],Tabla37[[#All],[Columna1]:[EOD]],2,0)</f>
        <v>266_0001</v>
      </c>
      <c r="L178" s="69">
        <f>VLOOKUP(Tabla6[[#This Row],[OBJETIVOS PND]],Listas!$A$1:$C$3,3,0)</f>
        <v>55</v>
      </c>
      <c r="M178" s="70">
        <f>VLOOKUP(Tabla6[[#This Row],[PG]],Listas2!$G$14:$K$16,5,0)</f>
        <v>0</v>
      </c>
      <c r="N178" s="71">
        <v>3</v>
      </c>
      <c r="O178" s="72">
        <v>1000</v>
      </c>
      <c r="P178" s="73" t="str">
        <f>VLOOKUP(Tabla6[[#This Row],[GEO]],Listas!$A$48:$B$77,2,0)</f>
        <v>IMBABURA</v>
      </c>
      <c r="Q178" s="70">
        <f>VLOOKUP(Tabla6[[#This Row],[PG]],Listas2!$G$14:$K$16,3,0)</f>
        <v>1</v>
      </c>
      <c r="R178" s="73">
        <f>VLOOKUP(Tabla6[[#This Row],[PG]],Listas2!H183:'Listas2'!$G$14:$K$16,4,0)</f>
        <v>0</v>
      </c>
      <c r="S178" s="73">
        <f>VLOOKUP(Tabla6[[#This Row],[PG]],Listas2!$G$14:$K$16,2,0)</f>
        <v>0</v>
      </c>
      <c r="T178" s="66" t="s">
        <v>84</v>
      </c>
      <c r="U178" s="74">
        <v>51</v>
      </c>
      <c r="V178" s="66">
        <v>510105</v>
      </c>
      <c r="W178" s="63" t="str">
        <f>VLOOKUP(Tabla6[[#This Row],[ÍTEM PRESUPUESTARIO]],Tabla2[#All],2,0)</f>
        <v>REMUNERACIONES UNIFICADAS</v>
      </c>
      <c r="X178" s="57">
        <v>225888</v>
      </c>
      <c r="Y178" s="57">
        <f>225888-646.4</f>
        <v>225241.60000000001</v>
      </c>
      <c r="Z178" s="58">
        <v>18824</v>
      </c>
      <c r="AA178" s="58">
        <v>18824</v>
      </c>
      <c r="AB178" s="58">
        <v>18824</v>
      </c>
      <c r="AC178" s="58">
        <v>18824</v>
      </c>
      <c r="AD178" s="58">
        <v>18824</v>
      </c>
      <c r="AE178" s="58">
        <v>18824</v>
      </c>
      <c r="AF178" s="58">
        <v>18824</v>
      </c>
      <c r="AG178" s="58">
        <v>18824</v>
      </c>
      <c r="AH178" s="58">
        <v>18824</v>
      </c>
      <c r="AI178" s="58">
        <v>18824</v>
      </c>
      <c r="AJ178" s="58">
        <v>18824</v>
      </c>
      <c r="AK178" s="58">
        <v>18177.600000000006</v>
      </c>
      <c r="AL178" s="75">
        <f>+SUBTOTAL(9,Tabla6[[#This Row],[ENE]:[DIC]])</f>
        <v>225241.60000000001</v>
      </c>
      <c r="AM178" s="76" t="str">
        <f t="shared" si="2"/>
        <v>OK</v>
      </c>
      <c r="AN178" s="60">
        <v>0</v>
      </c>
      <c r="AO178" s="61">
        <f>+Tabla6[[#This Row],[PRESUPUESTO VIGENTE]]-Tabla6[[#This Row],[CERTIFICACIÓN PAPP]]</f>
        <v>225241.60000000001</v>
      </c>
      <c r="AP178" s="59">
        <v>0</v>
      </c>
    </row>
    <row r="179" spans="1:42" ht="93" customHeight="1" x14ac:dyDescent="0.25">
      <c r="A179" s="62" t="s">
        <v>88</v>
      </c>
      <c r="B179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79" s="64" t="s">
        <v>89</v>
      </c>
      <c r="D179" s="64" t="s">
        <v>80</v>
      </c>
      <c r="E179" s="64" t="s">
        <v>81</v>
      </c>
      <c r="F179" s="64" t="s">
        <v>82</v>
      </c>
      <c r="G179" s="64" t="s">
        <v>10</v>
      </c>
      <c r="H179" s="65" t="str">
        <f>VLOOKUP(Tabla6[[#This Row],[DIRECCIÓN]],DIRECCIÓN[#All],2,0)</f>
        <v>TECNOLOGÍA</v>
      </c>
      <c r="I179" s="66" t="s">
        <v>93</v>
      </c>
      <c r="J179" s="67">
        <v>1</v>
      </c>
      <c r="K179" s="68" t="str">
        <f>VLOOKUP(Tabla6[[#This Row],[DIRECCIÓN GENERAL / COORDINACIÓN / SUBDIRECCIÓN]],Tabla37[[#All],[Columna1]:[EOD]],2,0)</f>
        <v>266_0001</v>
      </c>
      <c r="L179" s="69">
        <f>VLOOKUP(Tabla6[[#This Row],[OBJETIVOS PND]],Listas!$A$1:$C$3,3,0)</f>
        <v>55</v>
      </c>
      <c r="M179" s="70">
        <f>VLOOKUP(Tabla6[[#This Row],[PG]],Listas2!$G$14:$K$16,5,0)</f>
        <v>0</v>
      </c>
      <c r="N179" s="71">
        <v>3</v>
      </c>
      <c r="O179" s="72">
        <v>1000</v>
      </c>
      <c r="P179" s="73" t="str">
        <f>VLOOKUP(Tabla6[[#This Row],[GEO]],Listas!$A$48:$B$77,2,0)</f>
        <v>IMBABURA</v>
      </c>
      <c r="Q179" s="70">
        <f>VLOOKUP(Tabla6[[#This Row],[PG]],Listas2!$G$14:$K$16,3,0)</f>
        <v>1</v>
      </c>
      <c r="R179" s="73">
        <f>VLOOKUP(Tabla6[[#This Row],[PG]],Listas2!H184:'Listas2'!$G$14:$K$16,4,0)</f>
        <v>0</v>
      </c>
      <c r="S179" s="73">
        <f>VLOOKUP(Tabla6[[#This Row],[PG]],Listas2!$G$14:$K$16,2,0)</f>
        <v>0</v>
      </c>
      <c r="T179" s="66" t="s">
        <v>84</v>
      </c>
      <c r="U179" s="74">
        <v>51</v>
      </c>
      <c r="V179" s="66">
        <v>510203</v>
      </c>
      <c r="W179" s="63" t="str">
        <f>VLOOKUP(Tabla6[[#This Row],[ÍTEM PRESUPUESTARIO]],Tabla2[#All],2,0)</f>
        <v>DÉCIMO TERCER SUELDO</v>
      </c>
      <c r="X179" s="57">
        <v>22460</v>
      </c>
      <c r="Y179" s="57">
        <f>22460+505-410.7</f>
        <v>22554.3</v>
      </c>
      <c r="Z179" s="58">
        <v>0</v>
      </c>
      <c r="AA179" s="58">
        <v>0</v>
      </c>
      <c r="AB179" s="58">
        <v>0</v>
      </c>
      <c r="AC179" s="58">
        <v>0</v>
      </c>
      <c r="AD179" s="58">
        <v>0</v>
      </c>
      <c r="AE179" s="58">
        <v>0</v>
      </c>
      <c r="AF179" s="58">
        <v>0</v>
      </c>
      <c r="AG179" s="58">
        <v>0</v>
      </c>
      <c r="AH179" s="58">
        <v>0</v>
      </c>
      <c r="AI179" s="58">
        <v>0</v>
      </c>
      <c r="AJ179" s="58">
        <v>0</v>
      </c>
      <c r="AK179" s="58">
        <v>22554.3</v>
      </c>
      <c r="AL179" s="75">
        <f>+SUBTOTAL(9,Tabla6[[#This Row],[ENE]:[DIC]])</f>
        <v>22554.3</v>
      </c>
      <c r="AM179" s="76" t="str">
        <f t="shared" si="2"/>
        <v>OK</v>
      </c>
      <c r="AN179" s="60">
        <v>0</v>
      </c>
      <c r="AO179" s="61">
        <f>+Tabla6[[#This Row],[PRESUPUESTO VIGENTE]]-Tabla6[[#This Row],[CERTIFICACIÓN PAPP]]</f>
        <v>22554.3</v>
      </c>
      <c r="AP179" s="59">
        <v>0</v>
      </c>
    </row>
    <row r="180" spans="1:42" ht="93" customHeight="1" x14ac:dyDescent="0.25">
      <c r="A180" s="62" t="s">
        <v>88</v>
      </c>
      <c r="B180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80" s="64" t="s">
        <v>89</v>
      </c>
      <c r="D180" s="64" t="s">
        <v>80</v>
      </c>
      <c r="E180" s="64" t="s">
        <v>81</v>
      </c>
      <c r="F180" s="64" t="s">
        <v>82</v>
      </c>
      <c r="G180" s="64" t="s">
        <v>10</v>
      </c>
      <c r="H180" s="65" t="str">
        <f>VLOOKUP(Tabla6[[#This Row],[DIRECCIÓN]],DIRECCIÓN[#All],2,0)</f>
        <v>TECNOLOGÍA</v>
      </c>
      <c r="I180" s="66" t="s">
        <v>93</v>
      </c>
      <c r="J180" s="67">
        <v>1</v>
      </c>
      <c r="K180" s="68" t="str">
        <f>VLOOKUP(Tabla6[[#This Row],[DIRECCIÓN GENERAL / COORDINACIÓN / SUBDIRECCIÓN]],Tabla37[[#All],[Columna1]:[EOD]],2,0)</f>
        <v>266_0001</v>
      </c>
      <c r="L180" s="69">
        <f>VLOOKUP(Tabla6[[#This Row],[OBJETIVOS PND]],Listas!$A$1:$C$3,3,0)</f>
        <v>55</v>
      </c>
      <c r="M180" s="70">
        <f>VLOOKUP(Tabla6[[#This Row],[PG]],Listas2!$G$14:$K$16,5,0)</f>
        <v>0</v>
      </c>
      <c r="N180" s="71">
        <v>3</v>
      </c>
      <c r="O180" s="72">
        <v>1000</v>
      </c>
      <c r="P180" s="73" t="str">
        <f>VLOOKUP(Tabla6[[#This Row],[GEO]],Listas!$A$48:$B$77,2,0)</f>
        <v>IMBABURA</v>
      </c>
      <c r="Q180" s="70">
        <f>VLOOKUP(Tabla6[[#This Row],[PG]],Listas2!$G$14:$K$16,3,0)</f>
        <v>1</v>
      </c>
      <c r="R180" s="73">
        <f>VLOOKUP(Tabla6[[#This Row],[PG]],Listas2!H185:'Listas2'!$G$14:$K$16,4,0)</f>
        <v>0</v>
      </c>
      <c r="S180" s="73">
        <f>VLOOKUP(Tabla6[[#This Row],[PG]],Listas2!$G$14:$K$16,2,0)</f>
        <v>0</v>
      </c>
      <c r="T180" s="66" t="s">
        <v>84</v>
      </c>
      <c r="U180" s="74">
        <v>51</v>
      </c>
      <c r="V180" s="66">
        <v>510204</v>
      </c>
      <c r="W180" s="63" t="str">
        <f>VLOOKUP(Tabla6[[#This Row],[ÍTEM PRESUPUESTARIO]],Tabla2[#All],2,0)</f>
        <v>DÉCIMO CUARTO SUELDO</v>
      </c>
      <c r="X180" s="57">
        <v>7225</v>
      </c>
      <c r="Y180" s="57">
        <f>7650+354.03-289.2</f>
        <v>7714.83</v>
      </c>
      <c r="Z180" s="58">
        <v>0</v>
      </c>
      <c r="AA180" s="58">
        <v>0</v>
      </c>
      <c r="AB180" s="58">
        <v>0</v>
      </c>
      <c r="AC180" s="58">
        <v>0</v>
      </c>
      <c r="AD180" s="58">
        <v>0</v>
      </c>
      <c r="AE180" s="58">
        <v>0</v>
      </c>
      <c r="AF180" s="58">
        <v>0</v>
      </c>
      <c r="AG180" s="58">
        <v>7225</v>
      </c>
      <c r="AH180" s="58">
        <v>0</v>
      </c>
      <c r="AI180" s="58">
        <v>0</v>
      </c>
      <c r="AJ180" s="58">
        <v>0</v>
      </c>
      <c r="AK180" s="58">
        <v>489.82999999999993</v>
      </c>
      <c r="AL180" s="75">
        <f>+SUBTOTAL(9,Tabla6[[#This Row],[ENE]:[DIC]])</f>
        <v>7714.83</v>
      </c>
      <c r="AM180" s="76" t="str">
        <f t="shared" si="2"/>
        <v>OK</v>
      </c>
      <c r="AN180" s="60">
        <v>0</v>
      </c>
      <c r="AO180" s="61">
        <f>+Tabla6[[#This Row],[PRESUPUESTO VIGENTE]]-Tabla6[[#This Row],[CERTIFICACIÓN PAPP]]</f>
        <v>7714.83</v>
      </c>
      <c r="AP180" s="59">
        <v>0</v>
      </c>
    </row>
    <row r="181" spans="1:42" ht="93" customHeight="1" x14ac:dyDescent="0.25">
      <c r="A181" s="62" t="s">
        <v>88</v>
      </c>
      <c r="B181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81" s="64" t="s">
        <v>89</v>
      </c>
      <c r="D181" s="64" t="s">
        <v>80</v>
      </c>
      <c r="E181" s="64" t="s">
        <v>81</v>
      </c>
      <c r="F181" s="64" t="s">
        <v>82</v>
      </c>
      <c r="G181" s="64" t="s">
        <v>10</v>
      </c>
      <c r="H181" s="65" t="str">
        <f>VLOOKUP(Tabla6[[#This Row],[DIRECCIÓN]],DIRECCIÓN[#All],2,0)</f>
        <v>TECNOLOGÍA</v>
      </c>
      <c r="I181" s="66" t="s">
        <v>93</v>
      </c>
      <c r="J181" s="67">
        <v>1</v>
      </c>
      <c r="K181" s="68" t="str">
        <f>VLOOKUP(Tabla6[[#This Row],[DIRECCIÓN GENERAL / COORDINACIÓN / SUBDIRECCIÓN]],Tabla37[[#All],[Columna1]:[EOD]],2,0)</f>
        <v>266_0001</v>
      </c>
      <c r="L181" s="69">
        <f>VLOOKUP(Tabla6[[#This Row],[OBJETIVOS PND]],Listas!$A$1:$C$3,3,0)</f>
        <v>55</v>
      </c>
      <c r="M181" s="70">
        <f>VLOOKUP(Tabla6[[#This Row],[PG]],Listas2!$G$14:$K$16,5,0)</f>
        <v>0</v>
      </c>
      <c r="N181" s="71">
        <v>3</v>
      </c>
      <c r="O181" s="72">
        <v>1000</v>
      </c>
      <c r="P181" s="73" t="str">
        <f>VLOOKUP(Tabla6[[#This Row],[GEO]],Listas!$A$48:$B$77,2,0)</f>
        <v>IMBABURA</v>
      </c>
      <c r="Q181" s="70">
        <f>VLOOKUP(Tabla6[[#This Row],[PG]],Listas2!$G$14:$K$16,3,0)</f>
        <v>1</v>
      </c>
      <c r="R181" s="73">
        <f>VLOOKUP(Tabla6[[#This Row],[PG]],Listas2!H186:'Listas2'!$G$14:$K$16,4,0)</f>
        <v>0</v>
      </c>
      <c r="S181" s="73">
        <f>VLOOKUP(Tabla6[[#This Row],[PG]],Listas2!$G$14:$K$16,2,0)</f>
        <v>0</v>
      </c>
      <c r="T181" s="66" t="s">
        <v>84</v>
      </c>
      <c r="U181" s="74">
        <v>51</v>
      </c>
      <c r="V181" s="66">
        <v>510510</v>
      </c>
      <c r="W181" s="63" t="str">
        <f>VLOOKUP(Tabla6[[#This Row],[ÍTEM PRESUPUESTARIO]],Tabla2[#All],2,0)</f>
        <v>SERVICIOS PERSONALES POR CONTRATO</v>
      </c>
      <c r="X181" s="57">
        <v>43632</v>
      </c>
      <c r="Y181" s="57">
        <f>43632-3959.2</f>
        <v>39672.800000000003</v>
      </c>
      <c r="Z181" s="58">
        <v>3636</v>
      </c>
      <c r="AA181" s="58">
        <v>3636</v>
      </c>
      <c r="AB181" s="58">
        <v>3636</v>
      </c>
      <c r="AC181" s="58">
        <v>3636</v>
      </c>
      <c r="AD181" s="58">
        <v>3636</v>
      </c>
      <c r="AE181" s="58">
        <v>3636</v>
      </c>
      <c r="AF181" s="58">
        <v>3636</v>
      </c>
      <c r="AG181" s="58">
        <v>3636</v>
      </c>
      <c r="AH181" s="58">
        <v>3636</v>
      </c>
      <c r="AI181" s="58">
        <v>3636</v>
      </c>
      <c r="AJ181" s="58">
        <v>3312.8000000000029</v>
      </c>
      <c r="AK181" s="58">
        <v>0</v>
      </c>
      <c r="AL181" s="75">
        <f>+SUBTOTAL(9,Tabla6[[#This Row],[ENE]:[DIC]])</f>
        <v>39672.800000000003</v>
      </c>
      <c r="AM181" s="76" t="str">
        <f t="shared" si="2"/>
        <v>OK</v>
      </c>
      <c r="AN181" s="60">
        <v>0</v>
      </c>
      <c r="AO181" s="61">
        <f>+Tabla6[[#This Row],[PRESUPUESTO VIGENTE]]-Tabla6[[#This Row],[CERTIFICACIÓN PAPP]]</f>
        <v>39672.800000000003</v>
      </c>
      <c r="AP181" s="59">
        <v>0</v>
      </c>
    </row>
    <row r="182" spans="1:42" ht="93" customHeight="1" x14ac:dyDescent="0.25">
      <c r="A182" s="62" t="s">
        <v>88</v>
      </c>
      <c r="B182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82" s="64" t="s">
        <v>89</v>
      </c>
      <c r="D182" s="64" t="s">
        <v>80</v>
      </c>
      <c r="E182" s="64" t="s">
        <v>81</v>
      </c>
      <c r="F182" s="64" t="s">
        <v>82</v>
      </c>
      <c r="G182" s="64" t="s">
        <v>10</v>
      </c>
      <c r="H182" s="65" t="str">
        <f>VLOOKUP(Tabla6[[#This Row],[DIRECCIÓN]],DIRECCIÓN[#All],2,0)</f>
        <v>TECNOLOGÍA</v>
      </c>
      <c r="I182" s="66" t="s">
        <v>93</v>
      </c>
      <c r="J182" s="67">
        <v>1</v>
      </c>
      <c r="K182" s="68" t="str">
        <f>VLOOKUP(Tabla6[[#This Row],[DIRECCIÓN GENERAL / COORDINACIÓN / SUBDIRECCIÓN]],Tabla37[[#All],[Columna1]:[EOD]],2,0)</f>
        <v>266_0001</v>
      </c>
      <c r="L182" s="69">
        <f>VLOOKUP(Tabla6[[#This Row],[OBJETIVOS PND]],Listas!$A$1:$C$3,3,0)</f>
        <v>55</v>
      </c>
      <c r="M182" s="70">
        <f>VLOOKUP(Tabla6[[#This Row],[PG]],Listas2!$G$14:$K$16,5,0)</f>
        <v>0</v>
      </c>
      <c r="N182" s="71">
        <v>3</v>
      </c>
      <c r="O182" s="72">
        <v>1000</v>
      </c>
      <c r="P182" s="73" t="str">
        <f>VLOOKUP(Tabla6[[#This Row],[GEO]],Listas!$A$48:$B$77,2,0)</f>
        <v>IMBABURA</v>
      </c>
      <c r="Q182" s="70">
        <f>VLOOKUP(Tabla6[[#This Row],[PG]],Listas2!$G$14:$K$16,3,0)</f>
        <v>1</v>
      </c>
      <c r="R182" s="73">
        <f>VLOOKUP(Tabla6[[#This Row],[PG]],Listas2!H187:'Listas2'!$G$14:$K$16,4,0)</f>
        <v>0</v>
      </c>
      <c r="S182" s="73">
        <f>VLOOKUP(Tabla6[[#This Row],[PG]],Listas2!$G$14:$K$16,2,0)</f>
        <v>0</v>
      </c>
      <c r="T182" s="66" t="s">
        <v>84</v>
      </c>
      <c r="U182" s="74">
        <v>51</v>
      </c>
      <c r="V182" s="66">
        <v>510512</v>
      </c>
      <c r="W182" s="63" t="str">
        <f>VLOOKUP(Tabla6[[#This Row],[ÍTEM PRESUPUESTARIO]],Tabla2[#All],2,0)</f>
        <v xml:space="preserve">SUBROGACIÓN </v>
      </c>
      <c r="X182" s="57">
        <v>0</v>
      </c>
      <c r="Y182" s="57">
        <f>1087.67-280.33</f>
        <v>807.34000000000015</v>
      </c>
      <c r="Z182" s="58">
        <v>0</v>
      </c>
      <c r="AA182" s="58">
        <v>0</v>
      </c>
      <c r="AB182" s="58">
        <v>0</v>
      </c>
      <c r="AC182" s="58">
        <v>0</v>
      </c>
      <c r="AD182" s="58">
        <v>0</v>
      </c>
      <c r="AE182" s="58">
        <v>0</v>
      </c>
      <c r="AF182" s="58">
        <v>0</v>
      </c>
      <c r="AG182" s="58">
        <v>0</v>
      </c>
      <c r="AH182" s="58">
        <v>0</v>
      </c>
      <c r="AI182" s="58">
        <v>0</v>
      </c>
      <c r="AJ182" s="58">
        <v>0</v>
      </c>
      <c r="AK182" s="58">
        <v>807.34000000000015</v>
      </c>
      <c r="AL182" s="75">
        <f>+SUBTOTAL(9,Tabla6[[#This Row],[ENE]:[DIC]])</f>
        <v>807.34000000000015</v>
      </c>
      <c r="AM182" s="76" t="str">
        <f t="shared" si="2"/>
        <v>OK</v>
      </c>
      <c r="AN182" s="60">
        <v>0</v>
      </c>
      <c r="AO182" s="61">
        <f>+Tabla6[[#This Row],[PRESUPUESTO VIGENTE]]-Tabla6[[#This Row],[CERTIFICACIÓN PAPP]]</f>
        <v>807.34000000000015</v>
      </c>
      <c r="AP182" s="59">
        <v>0</v>
      </c>
    </row>
    <row r="183" spans="1:42" ht="93" customHeight="1" x14ac:dyDescent="0.25">
      <c r="A183" s="62" t="s">
        <v>88</v>
      </c>
      <c r="B183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83" s="64" t="s">
        <v>89</v>
      </c>
      <c r="D183" s="64" t="s">
        <v>80</v>
      </c>
      <c r="E183" s="64" t="s">
        <v>81</v>
      </c>
      <c r="F183" s="64" t="s">
        <v>82</v>
      </c>
      <c r="G183" s="64" t="s">
        <v>10</v>
      </c>
      <c r="H183" s="65" t="str">
        <f>VLOOKUP(Tabla6[[#This Row],[DIRECCIÓN]],DIRECCIÓN[#All],2,0)</f>
        <v>TECNOLOGÍA</v>
      </c>
      <c r="I183" s="66" t="s">
        <v>93</v>
      </c>
      <c r="J183" s="67">
        <v>1</v>
      </c>
      <c r="K183" s="68" t="str">
        <f>VLOOKUP(Tabla6[[#This Row],[DIRECCIÓN GENERAL / COORDINACIÓN / SUBDIRECCIÓN]],Tabla37[[#All],[Columna1]:[EOD]],2,0)</f>
        <v>266_0001</v>
      </c>
      <c r="L183" s="69">
        <f>VLOOKUP(Tabla6[[#This Row],[OBJETIVOS PND]],Listas!$A$1:$C$3,3,0)</f>
        <v>55</v>
      </c>
      <c r="M183" s="70">
        <f>VLOOKUP(Tabla6[[#This Row],[PG]],Listas2!$G$14:$K$16,5,0)</f>
        <v>0</v>
      </c>
      <c r="N183" s="71">
        <v>3</v>
      </c>
      <c r="O183" s="72">
        <v>1000</v>
      </c>
      <c r="P183" s="73" t="str">
        <f>VLOOKUP(Tabla6[[#This Row],[GEO]],Listas!$A$48:$B$77,2,0)</f>
        <v>IMBABURA</v>
      </c>
      <c r="Q183" s="70">
        <f>VLOOKUP(Tabla6[[#This Row],[PG]],Listas2!$G$14:$K$16,3,0)</f>
        <v>1</v>
      </c>
      <c r="R183" s="73">
        <f>VLOOKUP(Tabla6[[#This Row],[PG]],Listas2!H188:'Listas2'!$G$14:$K$16,4,0)</f>
        <v>0</v>
      </c>
      <c r="S183" s="73">
        <f>VLOOKUP(Tabla6[[#This Row],[PG]],Listas2!$G$14:$K$16,2,0)</f>
        <v>0</v>
      </c>
      <c r="T183" s="66" t="s">
        <v>84</v>
      </c>
      <c r="U183" s="74">
        <v>51</v>
      </c>
      <c r="V183" s="66">
        <v>510601</v>
      </c>
      <c r="W183" s="63" t="str">
        <f>VLOOKUP(Tabla6[[#This Row],[ÍTEM PRESUPUESTARIO]],Tabla2[#All],2,0)</f>
        <v>APORTE PATRONAL</v>
      </c>
      <c r="X183" s="57">
        <v>26009</v>
      </c>
      <c r="Y183" s="57">
        <f>26009+60-426.74</f>
        <v>25642.26</v>
      </c>
      <c r="Z183" s="58">
        <v>2167</v>
      </c>
      <c r="AA183" s="58">
        <v>2167</v>
      </c>
      <c r="AB183" s="58">
        <v>2167</v>
      </c>
      <c r="AC183" s="58">
        <v>2167</v>
      </c>
      <c r="AD183" s="58">
        <v>2167</v>
      </c>
      <c r="AE183" s="58">
        <v>2167</v>
      </c>
      <c r="AF183" s="58">
        <v>2167</v>
      </c>
      <c r="AG183" s="58">
        <v>2168</v>
      </c>
      <c r="AH183" s="58">
        <v>2168</v>
      </c>
      <c r="AI183" s="58">
        <v>2168</v>
      </c>
      <c r="AJ183" s="58">
        <v>2168</v>
      </c>
      <c r="AK183" s="58">
        <v>1801.2599999999984</v>
      </c>
      <c r="AL183" s="75">
        <f>+SUBTOTAL(9,Tabla6[[#This Row],[ENE]:[DIC]])</f>
        <v>25642.26</v>
      </c>
      <c r="AM183" s="76" t="str">
        <f t="shared" si="2"/>
        <v>OK</v>
      </c>
      <c r="AN183" s="60">
        <v>0</v>
      </c>
      <c r="AO183" s="61">
        <f>+Tabla6[[#This Row],[PRESUPUESTO VIGENTE]]-Tabla6[[#This Row],[CERTIFICACIÓN PAPP]]</f>
        <v>25642.26</v>
      </c>
      <c r="AP183" s="59">
        <v>0</v>
      </c>
    </row>
    <row r="184" spans="1:42" ht="93" customHeight="1" x14ac:dyDescent="0.25">
      <c r="A184" s="62" t="s">
        <v>88</v>
      </c>
      <c r="B184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84" s="64" t="s">
        <v>89</v>
      </c>
      <c r="D184" s="64" t="s">
        <v>80</v>
      </c>
      <c r="E184" s="64" t="s">
        <v>81</v>
      </c>
      <c r="F184" s="64" t="s">
        <v>82</v>
      </c>
      <c r="G184" s="64" t="s">
        <v>10</v>
      </c>
      <c r="H184" s="65" t="str">
        <f>VLOOKUP(Tabla6[[#This Row],[DIRECCIÓN]],DIRECCIÓN[#All],2,0)</f>
        <v>TECNOLOGÍA</v>
      </c>
      <c r="I184" s="66" t="s">
        <v>93</v>
      </c>
      <c r="J184" s="67">
        <v>1</v>
      </c>
      <c r="K184" s="68" t="str">
        <f>VLOOKUP(Tabla6[[#This Row],[DIRECCIÓN GENERAL / COORDINACIÓN / SUBDIRECCIÓN]],Tabla37[[#All],[Columna1]:[EOD]],2,0)</f>
        <v>266_0001</v>
      </c>
      <c r="L184" s="69">
        <f>VLOOKUP(Tabla6[[#This Row],[OBJETIVOS PND]],Listas!$A$1:$C$3,3,0)</f>
        <v>55</v>
      </c>
      <c r="M184" s="70">
        <f>VLOOKUP(Tabla6[[#This Row],[PG]],Listas2!$G$14:$K$16,5,0)</f>
        <v>0</v>
      </c>
      <c r="N184" s="71">
        <v>3</v>
      </c>
      <c r="O184" s="72">
        <v>1000</v>
      </c>
      <c r="P184" s="73" t="str">
        <f>VLOOKUP(Tabla6[[#This Row],[GEO]],Listas!$A$48:$B$77,2,0)</f>
        <v>IMBABURA</v>
      </c>
      <c r="Q184" s="70">
        <f>VLOOKUP(Tabla6[[#This Row],[PG]],Listas2!$G$14:$K$16,3,0)</f>
        <v>1</v>
      </c>
      <c r="R184" s="73">
        <f>VLOOKUP(Tabla6[[#This Row],[PG]],Listas2!H189:'Listas2'!$G$14:$K$16,4,0)</f>
        <v>0</v>
      </c>
      <c r="S184" s="73">
        <f>VLOOKUP(Tabla6[[#This Row],[PG]],Listas2!$G$14:$K$16,2,0)</f>
        <v>0</v>
      </c>
      <c r="T184" s="66" t="s">
        <v>84</v>
      </c>
      <c r="U184" s="74">
        <v>51</v>
      </c>
      <c r="V184" s="66">
        <v>510602</v>
      </c>
      <c r="W184" s="63" t="str">
        <f>VLOOKUP(Tabla6[[#This Row],[ÍTEM PRESUPUESTARIO]],Tabla2[#All],2,0)</f>
        <v>FONDO DE RESERVA</v>
      </c>
      <c r="X184" s="57">
        <v>22460</v>
      </c>
      <c r="Y184" s="57">
        <f>22460+60-385.37</f>
        <v>22134.63</v>
      </c>
      <c r="Z184" s="58">
        <v>1871</v>
      </c>
      <c r="AA184" s="58">
        <v>1871</v>
      </c>
      <c r="AB184" s="58">
        <v>1871</v>
      </c>
      <c r="AC184" s="58">
        <v>1871</v>
      </c>
      <c r="AD184" s="58">
        <v>1872</v>
      </c>
      <c r="AE184" s="58">
        <v>1872</v>
      </c>
      <c r="AF184" s="58">
        <v>1872</v>
      </c>
      <c r="AG184" s="58">
        <v>1872</v>
      </c>
      <c r="AH184" s="58">
        <v>1872</v>
      </c>
      <c r="AI184" s="58">
        <v>1872</v>
      </c>
      <c r="AJ184" s="58">
        <v>1872</v>
      </c>
      <c r="AK184" s="58">
        <v>1546.630000000001</v>
      </c>
      <c r="AL184" s="75">
        <f>+SUBTOTAL(9,Tabla6[[#This Row],[ENE]:[DIC]])</f>
        <v>22134.63</v>
      </c>
      <c r="AM184" s="76" t="str">
        <f t="shared" si="2"/>
        <v>OK</v>
      </c>
      <c r="AN184" s="60">
        <v>0</v>
      </c>
      <c r="AO184" s="61">
        <f>+Tabla6[[#This Row],[PRESUPUESTO VIGENTE]]-Tabla6[[#This Row],[CERTIFICACIÓN PAPP]]</f>
        <v>22134.63</v>
      </c>
      <c r="AP184" s="59">
        <v>0</v>
      </c>
    </row>
    <row r="185" spans="1:42" ht="93" customHeight="1" x14ac:dyDescent="0.25">
      <c r="A185" s="62" t="s">
        <v>88</v>
      </c>
      <c r="B185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85" s="64" t="s">
        <v>89</v>
      </c>
      <c r="D185" s="64" t="s">
        <v>80</v>
      </c>
      <c r="E185" s="64" t="s">
        <v>81</v>
      </c>
      <c r="F185" s="64" t="s">
        <v>82</v>
      </c>
      <c r="G185" s="64" t="s">
        <v>10</v>
      </c>
      <c r="H185" s="65" t="str">
        <f>VLOOKUP(Tabla6[[#This Row],[DIRECCIÓN]],DIRECCIÓN[#All],2,0)</f>
        <v>TECNOLOGÍA</v>
      </c>
      <c r="I185" s="66" t="s">
        <v>93</v>
      </c>
      <c r="J185" s="67">
        <v>1</v>
      </c>
      <c r="K185" s="68" t="str">
        <f>VLOOKUP(Tabla6[[#This Row],[DIRECCIÓN GENERAL / COORDINACIÓN / SUBDIRECCIÓN]],Tabla37[[#All],[Columna1]:[EOD]],2,0)</f>
        <v>266_0001</v>
      </c>
      <c r="L185" s="69">
        <f>VLOOKUP(Tabla6[[#This Row],[OBJETIVOS PND]],Listas!$A$1:$C$3,3,0)</f>
        <v>55</v>
      </c>
      <c r="M185" s="70">
        <f>VLOOKUP(Tabla6[[#This Row],[PG]],Listas2!$G$14:$K$16,5,0)</f>
        <v>0</v>
      </c>
      <c r="N185" s="71">
        <v>3</v>
      </c>
      <c r="O185" s="72">
        <v>1000</v>
      </c>
      <c r="P185" s="73" t="str">
        <f>VLOOKUP(Tabla6[[#This Row],[GEO]],Listas!$A$48:$B$77,2,0)</f>
        <v>IMBABURA</v>
      </c>
      <c r="Q185" s="70">
        <f>VLOOKUP(Tabla6[[#This Row],[PG]],Listas2!$G$14:$K$16,3,0)</f>
        <v>1</v>
      </c>
      <c r="R185" s="73">
        <f>VLOOKUP(Tabla6[[#This Row],[PG]],Listas2!H190:'Listas2'!$G$14:$K$16,4,0)</f>
        <v>0</v>
      </c>
      <c r="S185" s="73">
        <f>VLOOKUP(Tabla6[[#This Row],[PG]],Listas2!$G$14:$K$16,2,0)</f>
        <v>0</v>
      </c>
      <c r="T185" s="66" t="s">
        <v>84</v>
      </c>
      <c r="U185" s="74">
        <v>51</v>
      </c>
      <c r="V185" s="66">
        <v>510707</v>
      </c>
      <c r="W185" s="63" t="str">
        <f>VLOOKUP(Tabla6[[#This Row],[ÍTEM PRESUPUESTARIO]],Tabla2[#All],2,0)</f>
        <v>COMPENSACIÓN POR VACACIONES NO GOZADAS POR CESACIÓN DE FUNCIONES</v>
      </c>
      <c r="X185" s="57">
        <v>0</v>
      </c>
      <c r="Y185" s="57">
        <v>195.94</v>
      </c>
      <c r="Z185" s="58">
        <v>0</v>
      </c>
      <c r="AA185" s="58">
        <v>0</v>
      </c>
      <c r="AB185" s="58">
        <v>0</v>
      </c>
      <c r="AC185" s="58">
        <v>0</v>
      </c>
      <c r="AD185" s="58">
        <v>0</v>
      </c>
      <c r="AE185" s="58">
        <v>195.94</v>
      </c>
      <c r="AF185" s="58">
        <v>0</v>
      </c>
      <c r="AG185" s="58">
        <v>0</v>
      </c>
      <c r="AH185" s="58">
        <v>0</v>
      </c>
      <c r="AI185" s="58">
        <v>0</v>
      </c>
      <c r="AJ185" s="58">
        <v>0</v>
      </c>
      <c r="AK185" s="58">
        <v>0</v>
      </c>
      <c r="AL185" s="75">
        <f>+SUBTOTAL(9,Tabla6[[#This Row],[ENE]:[DIC]])</f>
        <v>195.94</v>
      </c>
      <c r="AM185" s="76" t="str">
        <f t="shared" si="2"/>
        <v>OK</v>
      </c>
      <c r="AN185" s="60">
        <v>0</v>
      </c>
      <c r="AO185" s="61">
        <f>+Tabla6[[#This Row],[PRESUPUESTO VIGENTE]]-Tabla6[[#This Row],[CERTIFICACIÓN PAPP]]</f>
        <v>195.94</v>
      </c>
      <c r="AP185" s="59">
        <v>0</v>
      </c>
    </row>
    <row r="186" spans="1:42" ht="93" customHeight="1" x14ac:dyDescent="0.25">
      <c r="A186" s="62" t="s">
        <v>78</v>
      </c>
      <c r="B186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86" s="64" t="s">
        <v>79</v>
      </c>
      <c r="D186" s="64" t="s">
        <v>80</v>
      </c>
      <c r="E186" s="64" t="s">
        <v>81</v>
      </c>
      <c r="F186" s="64" t="s">
        <v>82</v>
      </c>
      <c r="G186" s="64" t="s">
        <v>92</v>
      </c>
      <c r="H186" s="65" t="str">
        <f>VLOOKUP(Tabla6[[#This Row],[DIRECCIÓN]],DIRECCIÓN[#All],2,0)</f>
        <v>ADMINISTRACIÓN CENTRAL</v>
      </c>
      <c r="I186" s="66" t="s">
        <v>779</v>
      </c>
      <c r="J186" s="67">
        <v>1</v>
      </c>
      <c r="K186" s="68" t="str">
        <f>VLOOKUP(Tabla6[[#This Row],[DIRECCIÓN GENERAL / COORDINACIÓN / SUBDIRECCIÓN]],Tabla37[[#All],[Columna1]:[EOD]],2,0)</f>
        <v>266_0001</v>
      </c>
      <c r="L186" s="69">
        <f>VLOOKUP(Tabla6[[#This Row],[OBJETIVOS PND]],Listas!$A$1:$C$3,3,0)</f>
        <v>1</v>
      </c>
      <c r="M186" s="70">
        <f>VLOOKUP(Tabla6[[#This Row],[PG]],Listas2!$G$14:$K$16,5,0)</f>
        <v>0</v>
      </c>
      <c r="N186" s="71">
        <v>1</v>
      </c>
      <c r="O186" s="72">
        <v>1001</v>
      </c>
      <c r="P186" s="73" t="str">
        <f>VLOOKUP(Tabla6[[#This Row],[GEO]],Listas!$A$48:$B$77,2,0)</f>
        <v>IBARRA</v>
      </c>
      <c r="Q186" s="70">
        <f>VLOOKUP(Tabla6[[#This Row],[PG]],Listas2!$G$14:$K$16,3,0)</f>
        <v>1</v>
      </c>
      <c r="R186" s="73">
        <f>VLOOKUP(Tabla6[[#This Row],[PG]],Listas2!H191:'Listas2'!$G$14:$K$16,4,0)</f>
        <v>0</v>
      </c>
      <c r="S186" s="73">
        <f>VLOOKUP(Tabla6[[#This Row],[PG]],Listas2!$G$14:$K$16,2,0)</f>
        <v>0</v>
      </c>
      <c r="T186" s="66" t="s">
        <v>84</v>
      </c>
      <c r="U186" s="74">
        <v>53</v>
      </c>
      <c r="V186" s="66">
        <v>530101</v>
      </c>
      <c r="W186" s="63" t="str">
        <f>VLOOKUP(Tabla6[[#This Row],[ÍTEM PRESUPUESTARIO]],Tabla2[#All],2,0)</f>
        <v>AGUA POTABLE</v>
      </c>
      <c r="X186" s="57">
        <v>125</v>
      </c>
      <c r="Y186" s="57">
        <f>125-35.91</f>
        <v>89.09</v>
      </c>
      <c r="Z186" s="58">
        <v>89.09</v>
      </c>
      <c r="AA186" s="58">
        <v>0</v>
      </c>
      <c r="AB186" s="58">
        <v>0</v>
      </c>
      <c r="AC186" s="58">
        <v>0</v>
      </c>
      <c r="AD186" s="58">
        <v>0</v>
      </c>
      <c r="AE186" s="58">
        <v>0</v>
      </c>
      <c r="AF186" s="58">
        <v>0</v>
      </c>
      <c r="AG186" s="58">
        <v>0</v>
      </c>
      <c r="AH186" s="58">
        <v>0</v>
      </c>
      <c r="AI186" s="58">
        <v>0</v>
      </c>
      <c r="AJ186" s="58">
        <v>0</v>
      </c>
      <c r="AK186" s="58">
        <v>0</v>
      </c>
      <c r="AL186" s="75">
        <f>+SUBTOTAL(9,Tabla6[[#This Row],[ENE]:[DIC]])</f>
        <v>89.09</v>
      </c>
      <c r="AM186" s="76" t="str">
        <f t="shared" si="2"/>
        <v>OK</v>
      </c>
      <c r="AN186" s="60">
        <v>89.09</v>
      </c>
      <c r="AO186" s="61">
        <f>+Tabla6[[#This Row],[PRESUPUESTO VIGENTE]]-Tabla6[[#This Row],[CERTIFICACIÓN PAPP]]</f>
        <v>0</v>
      </c>
      <c r="AP186" s="59">
        <v>0</v>
      </c>
    </row>
    <row r="187" spans="1:42" ht="93" customHeight="1" x14ac:dyDescent="0.25">
      <c r="A187" s="62" t="s">
        <v>78</v>
      </c>
      <c r="B187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87" s="64" t="s">
        <v>79</v>
      </c>
      <c r="D187" s="64" t="s">
        <v>80</v>
      </c>
      <c r="E187" s="64" t="s">
        <v>81</v>
      </c>
      <c r="F187" s="64" t="s">
        <v>82</v>
      </c>
      <c r="G187" s="64" t="s">
        <v>92</v>
      </c>
      <c r="H187" s="65" t="str">
        <f>VLOOKUP(Tabla6[[#This Row],[DIRECCIÓN]],DIRECCIÓN[#All],2,0)</f>
        <v>ADMINISTRACIÓN CENTRAL</v>
      </c>
      <c r="I187" s="66" t="s">
        <v>780</v>
      </c>
      <c r="J187" s="67">
        <v>1</v>
      </c>
      <c r="K187" s="68" t="str">
        <f>VLOOKUP(Tabla6[[#This Row],[DIRECCIÓN GENERAL / COORDINACIÓN / SUBDIRECCIÓN]],Tabla37[[#All],[Columna1]:[EOD]],2,0)</f>
        <v>266_0001</v>
      </c>
      <c r="L187" s="69">
        <f>VLOOKUP(Tabla6[[#This Row],[OBJETIVOS PND]],Listas!$A$1:$C$3,3,0)</f>
        <v>1</v>
      </c>
      <c r="M187" s="70">
        <f>VLOOKUP(Tabla6[[#This Row],[PG]],Listas2!$G$14:$K$16,5,0)</f>
        <v>0</v>
      </c>
      <c r="N187" s="71">
        <v>1</v>
      </c>
      <c r="O187" s="72">
        <v>1001</v>
      </c>
      <c r="P187" s="73" t="str">
        <f>VLOOKUP(Tabla6[[#This Row],[GEO]],Listas!$A$48:$B$77,2,0)</f>
        <v>IBARRA</v>
      </c>
      <c r="Q187" s="70">
        <f>VLOOKUP(Tabla6[[#This Row],[PG]],Listas2!$G$14:$K$16,3,0)</f>
        <v>1</v>
      </c>
      <c r="R187" s="73">
        <f>VLOOKUP(Tabla6[[#This Row],[PG]],Listas2!H192:'Listas2'!$G$14:$K$16,4,0)</f>
        <v>0</v>
      </c>
      <c r="S187" s="73">
        <f>VLOOKUP(Tabla6[[#This Row],[PG]],Listas2!$G$14:$K$16,2,0)</f>
        <v>0</v>
      </c>
      <c r="T187" s="66" t="s">
        <v>84</v>
      </c>
      <c r="U187" s="74">
        <v>53</v>
      </c>
      <c r="V187" s="66">
        <v>530101</v>
      </c>
      <c r="W187" s="63" t="str">
        <f>VLOOKUP(Tabla6[[#This Row],[ÍTEM PRESUPUESTARIO]],Tabla2[#All],2,0)</f>
        <v>AGUA POTABLE</v>
      </c>
      <c r="X187" s="57">
        <v>1200</v>
      </c>
      <c r="Y187" s="57">
        <f>1200+165</f>
        <v>1365</v>
      </c>
      <c r="Z187" s="58">
        <v>0</v>
      </c>
      <c r="AA187" s="58">
        <v>100</v>
      </c>
      <c r="AB187" s="58">
        <v>100</v>
      </c>
      <c r="AC187" s="58">
        <v>100</v>
      </c>
      <c r="AD187" s="58">
        <v>100</v>
      </c>
      <c r="AE187" s="58">
        <v>100</v>
      </c>
      <c r="AF187" s="58">
        <v>100</v>
      </c>
      <c r="AG187" s="58">
        <v>100</v>
      </c>
      <c r="AH187" s="58">
        <v>100</v>
      </c>
      <c r="AI187" s="58">
        <v>100</v>
      </c>
      <c r="AJ187" s="58">
        <v>100</v>
      </c>
      <c r="AK187" s="58">
        <v>365</v>
      </c>
      <c r="AL187" s="75">
        <f>+SUBTOTAL(9,Tabla6[[#This Row],[ENE]:[DIC]])</f>
        <v>1365</v>
      </c>
      <c r="AM187" s="76" t="str">
        <f t="shared" si="2"/>
        <v>OK</v>
      </c>
      <c r="AN187" s="60">
        <v>1365</v>
      </c>
      <c r="AO187" s="61">
        <f>+Tabla6[[#This Row],[PRESUPUESTO VIGENTE]]-Tabla6[[#This Row],[CERTIFICACIÓN PAPP]]</f>
        <v>0</v>
      </c>
      <c r="AP187" s="59">
        <v>0</v>
      </c>
    </row>
    <row r="188" spans="1:42" ht="93" customHeight="1" x14ac:dyDescent="0.25">
      <c r="A188" s="62" t="s">
        <v>78</v>
      </c>
      <c r="B188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88" s="64" t="s">
        <v>79</v>
      </c>
      <c r="D188" s="64" t="s">
        <v>80</v>
      </c>
      <c r="E188" s="64" t="s">
        <v>81</v>
      </c>
      <c r="F188" s="64" t="s">
        <v>82</v>
      </c>
      <c r="G188" s="64" t="s">
        <v>92</v>
      </c>
      <c r="H188" s="65" t="str">
        <f>VLOOKUP(Tabla6[[#This Row],[DIRECCIÓN]],DIRECCIÓN[#All],2,0)</f>
        <v>ADMINISTRACIÓN CENTRAL</v>
      </c>
      <c r="I188" s="66" t="s">
        <v>781</v>
      </c>
      <c r="J188" s="67">
        <v>1</v>
      </c>
      <c r="K188" s="68" t="str">
        <f>VLOOKUP(Tabla6[[#This Row],[DIRECCIÓN GENERAL / COORDINACIÓN / SUBDIRECCIÓN]],Tabla37[[#All],[Columna1]:[EOD]],2,0)</f>
        <v>266_0001</v>
      </c>
      <c r="L188" s="69">
        <f>VLOOKUP(Tabla6[[#This Row],[OBJETIVOS PND]],Listas!$A$1:$C$3,3,0)</f>
        <v>1</v>
      </c>
      <c r="M188" s="70">
        <f>VLOOKUP(Tabla6[[#This Row],[PG]],Listas2!$G$14:$K$16,5,0)</f>
        <v>0</v>
      </c>
      <c r="N188" s="71">
        <v>1</v>
      </c>
      <c r="O188" s="72">
        <v>1001</v>
      </c>
      <c r="P188" s="73" t="str">
        <f>VLOOKUP(Tabla6[[#This Row],[GEO]],Listas!$A$48:$B$77,2,0)</f>
        <v>IBARRA</v>
      </c>
      <c r="Q188" s="70">
        <f>VLOOKUP(Tabla6[[#This Row],[PG]],Listas2!$G$14:$K$16,3,0)</f>
        <v>1</v>
      </c>
      <c r="R188" s="73">
        <f>VLOOKUP(Tabla6[[#This Row],[PG]],Listas2!H193:'Listas2'!$G$14:$K$16,4,0)</f>
        <v>0</v>
      </c>
      <c r="S188" s="73">
        <f>VLOOKUP(Tabla6[[#This Row],[PG]],Listas2!$G$14:$K$16,2,0)</f>
        <v>0</v>
      </c>
      <c r="T188" s="66" t="s">
        <v>84</v>
      </c>
      <c r="U188" s="74">
        <v>53</v>
      </c>
      <c r="V188" s="66">
        <v>530104</v>
      </c>
      <c r="W188" s="63" t="str">
        <f>VLOOKUP(Tabla6[[#This Row],[ÍTEM PRESUPUESTARIO]],Tabla2[#All],2,0)</f>
        <v>ENERGÍA ELÉCTRICA</v>
      </c>
      <c r="X188" s="57">
        <v>1200</v>
      </c>
      <c r="Y188" s="57">
        <f>1200+1129.17</f>
        <v>2329.17</v>
      </c>
      <c r="Z188" s="58">
        <v>2329.17</v>
      </c>
      <c r="AA188" s="58">
        <v>0</v>
      </c>
      <c r="AB188" s="58">
        <v>0</v>
      </c>
      <c r="AC188" s="58">
        <v>0</v>
      </c>
      <c r="AD188" s="58">
        <v>0</v>
      </c>
      <c r="AE188" s="58">
        <v>0</v>
      </c>
      <c r="AF188" s="58">
        <v>0</v>
      </c>
      <c r="AG188" s="58">
        <v>0</v>
      </c>
      <c r="AH188" s="58">
        <v>0</v>
      </c>
      <c r="AI188" s="58">
        <v>0</v>
      </c>
      <c r="AJ188" s="58">
        <v>0</v>
      </c>
      <c r="AK188" s="58">
        <v>0</v>
      </c>
      <c r="AL188" s="75">
        <f>+SUBTOTAL(9,Tabla6[[#This Row],[ENE]:[DIC]])</f>
        <v>2329.17</v>
      </c>
      <c r="AM188" s="76" t="str">
        <f t="shared" si="2"/>
        <v>OK</v>
      </c>
      <c r="AN188" s="60">
        <f>1156.33+1172.84</f>
        <v>2329.17</v>
      </c>
      <c r="AO188" s="61">
        <f>+Tabla6[[#This Row],[PRESUPUESTO VIGENTE]]-Tabla6[[#This Row],[CERTIFICACIÓN PAPP]]</f>
        <v>0</v>
      </c>
      <c r="AP188" s="59">
        <v>0</v>
      </c>
    </row>
    <row r="189" spans="1:42" ht="93" customHeight="1" x14ac:dyDescent="0.25">
      <c r="A189" s="62" t="s">
        <v>78</v>
      </c>
      <c r="B189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89" s="64" t="s">
        <v>79</v>
      </c>
      <c r="D189" s="64" t="s">
        <v>80</v>
      </c>
      <c r="E189" s="64" t="s">
        <v>81</v>
      </c>
      <c r="F189" s="64" t="s">
        <v>82</v>
      </c>
      <c r="G189" s="64" t="s">
        <v>92</v>
      </c>
      <c r="H189" s="65" t="str">
        <f>VLOOKUP(Tabla6[[#This Row],[DIRECCIÓN]],DIRECCIÓN[#All],2,0)</f>
        <v>ADMINISTRACIÓN CENTRAL</v>
      </c>
      <c r="I189" s="66" t="s">
        <v>782</v>
      </c>
      <c r="J189" s="67">
        <v>1</v>
      </c>
      <c r="K189" s="68" t="str">
        <f>VLOOKUP(Tabla6[[#This Row],[DIRECCIÓN GENERAL / COORDINACIÓN / SUBDIRECCIÓN]],Tabla37[[#All],[Columna1]:[EOD]],2,0)</f>
        <v>266_0001</v>
      </c>
      <c r="L189" s="69">
        <f>VLOOKUP(Tabla6[[#This Row],[OBJETIVOS PND]],Listas!$A$1:$C$3,3,0)</f>
        <v>1</v>
      </c>
      <c r="M189" s="70">
        <f>VLOOKUP(Tabla6[[#This Row],[PG]],Listas2!$G$14:$K$16,5,0)</f>
        <v>0</v>
      </c>
      <c r="N189" s="71">
        <v>1</v>
      </c>
      <c r="O189" s="72">
        <v>1001</v>
      </c>
      <c r="P189" s="73" t="str">
        <f>VLOOKUP(Tabla6[[#This Row],[GEO]],Listas!$A$48:$B$77,2,0)</f>
        <v>IBARRA</v>
      </c>
      <c r="Q189" s="70">
        <f>VLOOKUP(Tabla6[[#This Row],[PG]],Listas2!$G$14:$K$16,3,0)</f>
        <v>1</v>
      </c>
      <c r="R189" s="73">
        <f>VLOOKUP(Tabla6[[#This Row],[PG]],Listas2!H194:'Listas2'!$G$14:$K$16,4,0)</f>
        <v>0</v>
      </c>
      <c r="S189" s="73">
        <f>VLOOKUP(Tabla6[[#This Row],[PG]],Listas2!$G$14:$K$16,2,0)</f>
        <v>0</v>
      </c>
      <c r="T189" s="66" t="s">
        <v>84</v>
      </c>
      <c r="U189" s="74">
        <v>53</v>
      </c>
      <c r="V189" s="66">
        <v>530104</v>
      </c>
      <c r="W189" s="63" t="str">
        <f>VLOOKUP(Tabla6[[#This Row],[ÍTEM PRESUPUESTARIO]],Tabla2[#All],2,0)</f>
        <v>ENERGÍA ELÉCTRICA</v>
      </c>
      <c r="X189" s="57">
        <v>6400</v>
      </c>
      <c r="Y189" s="57">
        <f>6400+6800+17500</f>
        <v>30700</v>
      </c>
      <c r="Z189" s="58">
        <v>0</v>
      </c>
      <c r="AA189" s="58">
        <v>1200</v>
      </c>
      <c r="AB189" s="58">
        <v>1200</v>
      </c>
      <c r="AC189" s="58">
        <v>1200</v>
      </c>
      <c r="AD189" s="58">
        <v>1200</v>
      </c>
      <c r="AE189" s="58">
        <v>1200</v>
      </c>
      <c r="AF189" s="58">
        <v>1200</v>
      </c>
      <c r="AG189" s="58">
        <v>1200</v>
      </c>
      <c r="AH189" s="58">
        <v>1200</v>
      </c>
      <c r="AI189" s="58">
        <v>1200</v>
      </c>
      <c r="AJ189" s="58">
        <v>1200</v>
      </c>
      <c r="AK189" s="58">
        <v>18700</v>
      </c>
      <c r="AL189" s="75">
        <f>+SUBTOTAL(9,Tabla6[[#This Row],[ENE]:[DIC]])</f>
        <v>30700</v>
      </c>
      <c r="AM189" s="76" t="str">
        <f t="shared" si="2"/>
        <v>OK</v>
      </c>
      <c r="AN189" s="60">
        <f>13200-3279.62+20779.62-17705.95+17705.95</f>
        <v>30700</v>
      </c>
      <c r="AO189" s="61">
        <f>+Tabla6[[#This Row],[PRESUPUESTO VIGENTE]]-Tabla6[[#This Row],[CERTIFICACIÓN PAPP]]</f>
        <v>0</v>
      </c>
      <c r="AP189" s="59">
        <v>0</v>
      </c>
    </row>
    <row r="190" spans="1:42" ht="93" customHeight="1" x14ac:dyDescent="0.25">
      <c r="A190" s="62" t="s">
        <v>78</v>
      </c>
      <c r="B190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90" s="64" t="s">
        <v>79</v>
      </c>
      <c r="D190" s="64" t="s">
        <v>80</v>
      </c>
      <c r="E190" s="64" t="s">
        <v>81</v>
      </c>
      <c r="F190" s="64" t="s">
        <v>82</v>
      </c>
      <c r="G190" s="64" t="s">
        <v>92</v>
      </c>
      <c r="H190" s="65" t="str">
        <f>VLOOKUP(Tabla6[[#This Row],[DIRECCIÓN]],DIRECCIÓN[#All],2,0)</f>
        <v>ADMINISTRACIÓN CENTRAL</v>
      </c>
      <c r="I190" s="66" t="s">
        <v>783</v>
      </c>
      <c r="J190" s="67">
        <v>1</v>
      </c>
      <c r="K190" s="68" t="str">
        <f>VLOOKUP(Tabla6[[#This Row],[DIRECCIÓN GENERAL / COORDINACIÓN / SUBDIRECCIÓN]],Tabla37[[#All],[Columna1]:[EOD]],2,0)</f>
        <v>266_0001</v>
      </c>
      <c r="L190" s="69">
        <f>VLOOKUP(Tabla6[[#This Row],[OBJETIVOS PND]],Listas!$A$1:$C$3,3,0)</f>
        <v>1</v>
      </c>
      <c r="M190" s="70">
        <f>VLOOKUP(Tabla6[[#This Row],[PG]],Listas2!$G$14:$K$16,5,0)</f>
        <v>0</v>
      </c>
      <c r="N190" s="71">
        <v>1</v>
      </c>
      <c r="O190" s="72">
        <v>1001</v>
      </c>
      <c r="P190" s="73" t="str">
        <f>VLOOKUP(Tabla6[[#This Row],[GEO]],Listas!$A$48:$B$77,2,0)</f>
        <v>IBARRA</v>
      </c>
      <c r="Q190" s="70">
        <f>VLOOKUP(Tabla6[[#This Row],[PG]],Listas2!$G$14:$K$16,3,0)</f>
        <v>1</v>
      </c>
      <c r="R190" s="73">
        <f>VLOOKUP(Tabla6[[#This Row],[PG]],Listas2!H195:'Listas2'!$G$14:$K$16,4,0)</f>
        <v>0</v>
      </c>
      <c r="S190" s="73">
        <f>VLOOKUP(Tabla6[[#This Row],[PG]],Listas2!$G$14:$K$16,2,0)</f>
        <v>0</v>
      </c>
      <c r="T190" s="66" t="s">
        <v>84</v>
      </c>
      <c r="U190" s="74">
        <v>53</v>
      </c>
      <c r="V190" s="66">
        <v>530106</v>
      </c>
      <c r="W190" s="63" t="str">
        <f>VLOOKUP(Tabla6[[#This Row],[ÍTEM PRESUPUESTARIO]],Tabla2[#All],2,0)</f>
        <v>SERVICIO DE CORREO</v>
      </c>
      <c r="X190" s="57">
        <v>100</v>
      </c>
      <c r="Y190" s="57">
        <f>100-91</f>
        <v>9</v>
      </c>
      <c r="Z190" s="58">
        <v>9</v>
      </c>
      <c r="AA190" s="58">
        <v>0</v>
      </c>
      <c r="AB190" s="58">
        <v>0</v>
      </c>
      <c r="AC190" s="58">
        <v>0</v>
      </c>
      <c r="AD190" s="58">
        <v>0</v>
      </c>
      <c r="AE190" s="58">
        <v>0</v>
      </c>
      <c r="AF190" s="58">
        <v>0</v>
      </c>
      <c r="AG190" s="58">
        <v>0</v>
      </c>
      <c r="AH190" s="58">
        <v>0</v>
      </c>
      <c r="AI190" s="58">
        <v>0</v>
      </c>
      <c r="AJ190" s="58">
        <v>0</v>
      </c>
      <c r="AK190" s="58">
        <v>0</v>
      </c>
      <c r="AL190" s="75">
        <f>+SUBTOTAL(9,Tabla6[[#This Row],[ENE]:[DIC]])</f>
        <v>9</v>
      </c>
      <c r="AM190" s="76" t="str">
        <f t="shared" si="2"/>
        <v>OK</v>
      </c>
      <c r="AN190" s="60">
        <v>9</v>
      </c>
      <c r="AO190" s="61">
        <f>+Tabla6[[#This Row],[PRESUPUESTO VIGENTE]]-Tabla6[[#This Row],[CERTIFICACIÓN PAPP]]</f>
        <v>0</v>
      </c>
      <c r="AP190" s="59">
        <v>0</v>
      </c>
    </row>
    <row r="191" spans="1:42" ht="93" customHeight="1" x14ac:dyDescent="0.25">
      <c r="A191" s="62" t="s">
        <v>78</v>
      </c>
      <c r="B191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91" s="64" t="s">
        <v>79</v>
      </c>
      <c r="D191" s="64" t="s">
        <v>80</v>
      </c>
      <c r="E191" s="64" t="s">
        <v>81</v>
      </c>
      <c r="F191" s="64" t="s">
        <v>82</v>
      </c>
      <c r="G191" s="64" t="s">
        <v>92</v>
      </c>
      <c r="H191" s="65" t="str">
        <f>VLOOKUP(Tabla6[[#This Row],[DIRECCIÓN]],DIRECCIÓN[#All],2,0)</f>
        <v>ADMINISTRACIÓN CENTRAL</v>
      </c>
      <c r="I191" s="66" t="s">
        <v>784</v>
      </c>
      <c r="J191" s="67">
        <v>1</v>
      </c>
      <c r="K191" s="68" t="str">
        <f>VLOOKUP(Tabla6[[#This Row],[DIRECCIÓN GENERAL / COORDINACIÓN / SUBDIRECCIÓN]],Tabla37[[#All],[Columna1]:[EOD]],2,0)</f>
        <v>266_0001</v>
      </c>
      <c r="L191" s="69">
        <f>VLOOKUP(Tabla6[[#This Row],[OBJETIVOS PND]],Listas!$A$1:$C$3,3,0)</f>
        <v>1</v>
      </c>
      <c r="M191" s="70">
        <f>VLOOKUP(Tabla6[[#This Row],[PG]],Listas2!$G$14:$K$16,5,0)</f>
        <v>0</v>
      </c>
      <c r="N191" s="71">
        <v>1</v>
      </c>
      <c r="O191" s="72">
        <v>1001</v>
      </c>
      <c r="P191" s="73" t="str">
        <f>VLOOKUP(Tabla6[[#This Row],[GEO]],Listas!$A$48:$B$77,2,0)</f>
        <v>IBARRA</v>
      </c>
      <c r="Q191" s="70">
        <f>VLOOKUP(Tabla6[[#This Row],[PG]],Listas2!$G$14:$K$16,3,0)</f>
        <v>1</v>
      </c>
      <c r="R191" s="73">
        <f>VLOOKUP(Tabla6[[#This Row],[PG]],Listas2!H196:'Listas2'!$G$14:$K$16,4,0)</f>
        <v>0</v>
      </c>
      <c r="S191" s="73">
        <f>VLOOKUP(Tabla6[[#This Row],[PG]],Listas2!$G$14:$K$16,2,0)</f>
        <v>0</v>
      </c>
      <c r="T191" s="66" t="s">
        <v>84</v>
      </c>
      <c r="U191" s="74">
        <v>53</v>
      </c>
      <c r="V191" s="66">
        <v>530106</v>
      </c>
      <c r="W191" s="63" t="str">
        <f>VLOOKUP(Tabla6[[#This Row],[ÍTEM PRESUPUESTARIO]],Tabla2[#All],2,0)</f>
        <v>SERVICIO DE CORREO</v>
      </c>
      <c r="X191" s="57">
        <v>500</v>
      </c>
      <c r="Y191" s="57">
        <f>500-250-138.9</f>
        <v>111.1</v>
      </c>
      <c r="Z191" s="58">
        <v>0</v>
      </c>
      <c r="AA191" s="58">
        <v>0</v>
      </c>
      <c r="AB191" s="58">
        <v>25</v>
      </c>
      <c r="AC191" s="58">
        <v>25</v>
      </c>
      <c r="AD191" s="58">
        <v>25</v>
      </c>
      <c r="AE191" s="58">
        <v>25</v>
      </c>
      <c r="AF191" s="58">
        <v>11.1</v>
      </c>
      <c r="AG191" s="58">
        <v>0</v>
      </c>
      <c r="AH191" s="58">
        <v>0</v>
      </c>
      <c r="AI191" s="58">
        <v>0</v>
      </c>
      <c r="AJ191" s="58">
        <v>0</v>
      </c>
      <c r="AK191" s="58">
        <v>0</v>
      </c>
      <c r="AL191" s="75">
        <f>+SUBTOTAL(9,Tabla6[[#This Row],[ENE]:[DIC]])</f>
        <v>111.1</v>
      </c>
      <c r="AM191" s="76" t="str">
        <f t="shared" si="2"/>
        <v>OK</v>
      </c>
      <c r="AN191" s="60">
        <v>111.1</v>
      </c>
      <c r="AO191" s="61">
        <f>+Tabla6[[#This Row],[PRESUPUESTO VIGENTE]]-Tabla6[[#This Row],[CERTIFICACIÓN PAPP]]</f>
        <v>0</v>
      </c>
      <c r="AP191" s="59">
        <v>0</v>
      </c>
    </row>
    <row r="192" spans="1:42" ht="93" customHeight="1" x14ac:dyDescent="0.25">
      <c r="A192" s="62" t="s">
        <v>78</v>
      </c>
      <c r="B192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92" s="64" t="s">
        <v>79</v>
      </c>
      <c r="D192" s="64" t="s">
        <v>80</v>
      </c>
      <c r="E192" s="64" t="s">
        <v>81</v>
      </c>
      <c r="F192" s="64" t="s">
        <v>82</v>
      </c>
      <c r="G192" s="64" t="s">
        <v>92</v>
      </c>
      <c r="H192" s="65" t="str">
        <f>VLOOKUP(Tabla6[[#This Row],[DIRECCIÓN]],DIRECCIÓN[#All],2,0)</f>
        <v>ADMINISTRACIÓN CENTRAL</v>
      </c>
      <c r="I192" s="66" t="s">
        <v>785</v>
      </c>
      <c r="J192" s="67">
        <v>1</v>
      </c>
      <c r="K192" s="68" t="str">
        <f>VLOOKUP(Tabla6[[#This Row],[DIRECCIÓN GENERAL / COORDINACIÓN / SUBDIRECCIÓN]],Tabla37[[#All],[Columna1]:[EOD]],2,0)</f>
        <v>266_0001</v>
      </c>
      <c r="L192" s="69">
        <f>VLOOKUP(Tabla6[[#This Row],[OBJETIVOS PND]],Listas!$A$1:$C$3,3,0)</f>
        <v>1</v>
      </c>
      <c r="M192" s="70">
        <f>VLOOKUP(Tabla6[[#This Row],[PG]],Listas2!$G$14:$K$16,5,0)</f>
        <v>0</v>
      </c>
      <c r="N192" s="71">
        <v>1</v>
      </c>
      <c r="O192" s="72">
        <v>1001</v>
      </c>
      <c r="P192" s="73" t="str">
        <f>VLOOKUP(Tabla6[[#This Row],[GEO]],Listas!$A$48:$B$77,2,0)</f>
        <v>IBARRA</v>
      </c>
      <c r="Q192" s="70">
        <f>VLOOKUP(Tabla6[[#This Row],[PG]],Listas2!$G$14:$K$16,3,0)</f>
        <v>1</v>
      </c>
      <c r="R192" s="73">
        <f>VLOOKUP(Tabla6[[#This Row],[PG]],Listas2!H197:'Listas2'!$G$14:$K$16,4,0)</f>
        <v>0</v>
      </c>
      <c r="S192" s="73">
        <f>VLOOKUP(Tabla6[[#This Row],[PG]],Listas2!$G$14:$K$16,2,0)</f>
        <v>0</v>
      </c>
      <c r="T192" s="66" t="s">
        <v>84</v>
      </c>
      <c r="U192" s="74">
        <v>53</v>
      </c>
      <c r="V192" s="66">
        <v>530201</v>
      </c>
      <c r="W192" s="63" t="str">
        <f>VLOOKUP(Tabla6[[#This Row],[ÍTEM PRESUPUESTARIO]],Tabla2[#All],2,0)</f>
        <v>TRANSPORTE DE PERSONAL</v>
      </c>
      <c r="X192" s="57">
        <v>6821</v>
      </c>
      <c r="Y192" s="57">
        <f>6821-0.63</f>
        <v>6820.37</v>
      </c>
      <c r="Z192" s="58">
        <v>6820.37</v>
      </c>
      <c r="AA192" s="58">
        <v>0</v>
      </c>
      <c r="AB192" s="58">
        <v>0</v>
      </c>
      <c r="AC192" s="58">
        <v>0</v>
      </c>
      <c r="AD192" s="58">
        <v>0</v>
      </c>
      <c r="AE192" s="58">
        <v>0</v>
      </c>
      <c r="AF192" s="58">
        <v>0</v>
      </c>
      <c r="AG192" s="58">
        <v>0</v>
      </c>
      <c r="AH192" s="58">
        <v>0</v>
      </c>
      <c r="AI192" s="58">
        <v>0</v>
      </c>
      <c r="AJ192" s="58">
        <v>0</v>
      </c>
      <c r="AK192" s="58">
        <v>0</v>
      </c>
      <c r="AL192" s="75">
        <f>+SUBTOTAL(9,Tabla6[[#This Row],[ENE]:[DIC]])</f>
        <v>6820.37</v>
      </c>
      <c r="AM192" s="76" t="str">
        <f t="shared" si="2"/>
        <v>OK</v>
      </c>
      <c r="AN192" s="60">
        <v>6820.37</v>
      </c>
      <c r="AO192" s="61">
        <f>+Tabla6[[#This Row],[PRESUPUESTO VIGENTE]]-Tabla6[[#This Row],[CERTIFICACIÓN PAPP]]</f>
        <v>0</v>
      </c>
      <c r="AP192" s="59">
        <v>0</v>
      </c>
    </row>
    <row r="193" spans="1:42" ht="93" customHeight="1" x14ac:dyDescent="0.25">
      <c r="A193" s="62" t="s">
        <v>78</v>
      </c>
      <c r="B193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93" s="64" t="s">
        <v>79</v>
      </c>
      <c r="D193" s="64" t="s">
        <v>80</v>
      </c>
      <c r="E193" s="64" t="s">
        <v>81</v>
      </c>
      <c r="F193" s="64" t="s">
        <v>82</v>
      </c>
      <c r="G193" s="64" t="s">
        <v>92</v>
      </c>
      <c r="H193" s="65" t="str">
        <f>VLOOKUP(Tabla6[[#This Row],[DIRECCIÓN]],DIRECCIÓN[#All],2,0)</f>
        <v>ADMINISTRACIÓN CENTRAL</v>
      </c>
      <c r="I193" s="66" t="s">
        <v>875</v>
      </c>
      <c r="J193" s="67">
        <v>1</v>
      </c>
      <c r="K193" s="68" t="str">
        <f>VLOOKUP(Tabla6[[#This Row],[DIRECCIÓN GENERAL / COORDINACIÓN / SUBDIRECCIÓN]],Tabla37[[#All],[Columna1]:[EOD]],2,0)</f>
        <v>266_0001</v>
      </c>
      <c r="L193" s="69">
        <f>VLOOKUP(Tabla6[[#This Row],[OBJETIVOS PND]],Listas!$A$1:$C$3,3,0)</f>
        <v>1</v>
      </c>
      <c r="M193" s="70">
        <f>VLOOKUP(Tabla6[[#This Row],[PG]],Listas2!$G$14:$K$16,5,0)</f>
        <v>0</v>
      </c>
      <c r="N193" s="71">
        <v>1</v>
      </c>
      <c r="O193" s="72">
        <v>1001</v>
      </c>
      <c r="P193" s="73" t="str">
        <f>VLOOKUP(Tabla6[[#This Row],[GEO]],Listas!$A$48:$B$77,2,0)</f>
        <v>IBARRA</v>
      </c>
      <c r="Q193" s="70">
        <f>VLOOKUP(Tabla6[[#This Row],[PG]],Listas2!$G$14:$K$16,3,0)</f>
        <v>1</v>
      </c>
      <c r="R193" s="73">
        <f>VLOOKUP(Tabla6[[#This Row],[PG]],Listas2!H198:'Listas2'!$G$14:$K$16,4,0)</f>
        <v>0</v>
      </c>
      <c r="S193" s="73">
        <f>VLOOKUP(Tabla6[[#This Row],[PG]],Listas2!$G$14:$K$16,2,0)</f>
        <v>0</v>
      </c>
      <c r="T193" s="66" t="s">
        <v>84</v>
      </c>
      <c r="U193" s="74">
        <v>53</v>
      </c>
      <c r="V193" s="66">
        <v>530201</v>
      </c>
      <c r="W193" s="63" t="str">
        <f>VLOOKUP(Tabla6[[#This Row],[ÍTEM PRESUPUESTARIO]],Tabla2[#All],2,0)</f>
        <v>TRANSPORTE DE PERSONAL</v>
      </c>
      <c r="X193" s="57">
        <v>72000</v>
      </c>
      <c r="Y193" s="57">
        <f>72000-6135-7000-18.95</f>
        <v>58846.05</v>
      </c>
      <c r="Z193" s="58">
        <v>0</v>
      </c>
      <c r="AA193" s="58">
        <v>5987.73</v>
      </c>
      <c r="AB193" s="58">
        <v>5987.73</v>
      </c>
      <c r="AC193" s="58">
        <v>5987.73</v>
      </c>
      <c r="AD193" s="58">
        <v>5987.73</v>
      </c>
      <c r="AE193" s="58">
        <v>5987.73</v>
      </c>
      <c r="AF193" s="58">
        <v>5987.73</v>
      </c>
      <c r="AG193" s="58">
        <v>5987.73</v>
      </c>
      <c r="AH193" s="58">
        <v>5987.73</v>
      </c>
      <c r="AI193" s="58">
        <v>5987.73</v>
      </c>
      <c r="AJ193" s="58">
        <v>4956.4799999999996</v>
      </c>
      <c r="AK193" s="58">
        <v>0</v>
      </c>
      <c r="AL193" s="75">
        <f>+SUBTOTAL(9,Tabla6[[#This Row],[ENE]:[DIC]])</f>
        <v>58846.049999999988</v>
      </c>
      <c r="AM193" s="76" t="str">
        <f t="shared" si="2"/>
        <v>OK</v>
      </c>
      <c r="AN193" s="60">
        <v>58846.05</v>
      </c>
      <c r="AO193" s="61">
        <f>+Tabla6[[#This Row],[PRESUPUESTO VIGENTE]]-Tabla6[[#This Row],[CERTIFICACIÓN PAPP]]</f>
        <v>0</v>
      </c>
      <c r="AP193" s="59">
        <v>0</v>
      </c>
    </row>
    <row r="194" spans="1:42" ht="93" customHeight="1" x14ac:dyDescent="0.25">
      <c r="A194" s="62" t="s">
        <v>78</v>
      </c>
      <c r="B194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94" s="64" t="s">
        <v>79</v>
      </c>
      <c r="D194" s="64" t="s">
        <v>80</v>
      </c>
      <c r="E194" s="64" t="s">
        <v>81</v>
      </c>
      <c r="F194" s="64" t="s">
        <v>82</v>
      </c>
      <c r="G194" s="64" t="s">
        <v>92</v>
      </c>
      <c r="H194" s="65" t="str">
        <f>VLOOKUP(Tabla6[[#This Row],[DIRECCIÓN]],DIRECCIÓN[#All],2,0)</f>
        <v>ADMINISTRACIÓN CENTRAL</v>
      </c>
      <c r="I194" s="66" t="s">
        <v>876</v>
      </c>
      <c r="J194" s="67">
        <v>2</v>
      </c>
      <c r="K194" s="68" t="str">
        <f>VLOOKUP(Tabla6[[#This Row],[DIRECCIÓN GENERAL / COORDINACIÓN / SUBDIRECCIÓN]],Tabla37[[#All],[Columna1]:[EOD]],2,0)</f>
        <v>266_0001</v>
      </c>
      <c r="L194" s="69">
        <f>VLOOKUP(Tabla6[[#This Row],[OBJETIVOS PND]],Listas!$A$1:$C$3,3,0)</f>
        <v>1</v>
      </c>
      <c r="M194" s="70">
        <f>VLOOKUP(Tabla6[[#This Row],[PG]],Listas2!$G$14:$K$16,5,0)</f>
        <v>0</v>
      </c>
      <c r="N194" s="71">
        <v>1</v>
      </c>
      <c r="O194" s="72">
        <v>1001</v>
      </c>
      <c r="P194" s="73" t="str">
        <f>VLOOKUP(Tabla6[[#This Row],[GEO]],Listas!$A$48:$B$77,2,0)</f>
        <v>IBARRA</v>
      </c>
      <c r="Q194" s="70">
        <f>VLOOKUP(Tabla6[[#This Row],[PG]],Listas2!$G$14:$K$16,3,0)</f>
        <v>1</v>
      </c>
      <c r="R194" s="73">
        <f>VLOOKUP(Tabla6[[#This Row],[PG]],Listas2!H199:'Listas2'!$G$14:$K$16,4,0)</f>
        <v>0</v>
      </c>
      <c r="S194" s="73">
        <f>VLOOKUP(Tabla6[[#This Row],[PG]],Listas2!$G$14:$K$16,2,0)</f>
        <v>0</v>
      </c>
      <c r="T194" s="66" t="s">
        <v>84</v>
      </c>
      <c r="U194" s="74">
        <v>53</v>
      </c>
      <c r="V194" s="66">
        <v>530202</v>
      </c>
      <c r="W194" s="63" t="str">
        <f>VLOOKUP(Tabla6[[#This Row],[ÍTEM PRESUPUESTARIO]],Tabla2[#All],2,0)</f>
        <v>FLETES Y MANIOBRAS</v>
      </c>
      <c r="X194" s="57">
        <v>100</v>
      </c>
      <c r="Y194" s="57">
        <f>100-100</f>
        <v>0</v>
      </c>
      <c r="Z194" s="58">
        <v>0</v>
      </c>
      <c r="AA194" s="58">
        <v>0</v>
      </c>
      <c r="AB194" s="58">
        <v>0</v>
      </c>
      <c r="AC194" s="58">
        <v>0</v>
      </c>
      <c r="AD194" s="58">
        <v>0</v>
      </c>
      <c r="AE194" s="58">
        <v>0</v>
      </c>
      <c r="AF194" s="58">
        <v>0</v>
      </c>
      <c r="AG194" s="58">
        <v>0</v>
      </c>
      <c r="AH194" s="58">
        <v>0</v>
      </c>
      <c r="AI194" s="58">
        <v>0</v>
      </c>
      <c r="AJ194" s="58">
        <v>0</v>
      </c>
      <c r="AK194" s="58">
        <v>0</v>
      </c>
      <c r="AL194" s="75">
        <f>+SUBTOTAL(9,Tabla6[[#This Row],[ENE]:[DIC]])</f>
        <v>0</v>
      </c>
      <c r="AM194" s="76" t="str">
        <f t="shared" si="2"/>
        <v>OK</v>
      </c>
      <c r="AN194" s="60">
        <v>0</v>
      </c>
      <c r="AO194" s="61">
        <f>+Tabla6[[#This Row],[PRESUPUESTO VIGENTE]]-Tabla6[[#This Row],[CERTIFICACIÓN PAPP]]</f>
        <v>0</v>
      </c>
      <c r="AP194" s="59">
        <v>0</v>
      </c>
    </row>
    <row r="195" spans="1:42" ht="93" customHeight="1" x14ac:dyDescent="0.25">
      <c r="A195" s="62" t="s">
        <v>78</v>
      </c>
      <c r="B195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95" s="64" t="s">
        <v>79</v>
      </c>
      <c r="D195" s="64" t="s">
        <v>80</v>
      </c>
      <c r="E195" s="64" t="s">
        <v>81</v>
      </c>
      <c r="F195" s="64" t="s">
        <v>82</v>
      </c>
      <c r="G195" s="64" t="s">
        <v>92</v>
      </c>
      <c r="H195" s="65" t="str">
        <f>VLOOKUP(Tabla6[[#This Row],[DIRECCIÓN]],DIRECCIÓN[#All],2,0)</f>
        <v>ADMINISTRACIÓN CENTRAL</v>
      </c>
      <c r="I195" s="66" t="s">
        <v>877</v>
      </c>
      <c r="J195" s="67">
        <v>2</v>
      </c>
      <c r="K195" s="68" t="str">
        <f>VLOOKUP(Tabla6[[#This Row],[DIRECCIÓN GENERAL / COORDINACIÓN / SUBDIRECCIÓN]],Tabla37[[#All],[Columna1]:[EOD]],2,0)</f>
        <v>266_0001</v>
      </c>
      <c r="L195" s="69">
        <f>VLOOKUP(Tabla6[[#This Row],[OBJETIVOS PND]],Listas!$A$1:$C$3,3,0)</f>
        <v>1</v>
      </c>
      <c r="M195" s="70">
        <f>VLOOKUP(Tabla6[[#This Row],[PG]],Listas2!$G$14:$K$16,5,0)</f>
        <v>0</v>
      </c>
      <c r="N195" s="71">
        <v>1</v>
      </c>
      <c r="O195" s="72">
        <v>1001</v>
      </c>
      <c r="P195" s="73" t="str">
        <f>VLOOKUP(Tabla6[[#This Row],[GEO]],Listas!$A$48:$B$77,2,0)</f>
        <v>IBARRA</v>
      </c>
      <c r="Q195" s="70">
        <f>VLOOKUP(Tabla6[[#This Row],[PG]],Listas2!$G$14:$K$16,3,0)</f>
        <v>1</v>
      </c>
      <c r="R195" s="73">
        <f>VLOOKUP(Tabla6[[#This Row],[PG]],Listas2!H200:'Listas2'!$G$14:$K$16,4,0)</f>
        <v>0</v>
      </c>
      <c r="S195" s="73">
        <f>VLOOKUP(Tabla6[[#This Row],[PG]],Listas2!$G$14:$K$16,2,0)</f>
        <v>0</v>
      </c>
      <c r="T195" s="66" t="s">
        <v>84</v>
      </c>
      <c r="U195" s="74">
        <v>53</v>
      </c>
      <c r="V195" s="66">
        <v>530202</v>
      </c>
      <c r="W195" s="63" t="str">
        <f>VLOOKUP(Tabla6[[#This Row],[ÍTEM PRESUPUESTARIO]],Tabla2[#All],2,0)</f>
        <v>FLETES Y MANIOBRAS</v>
      </c>
      <c r="X195" s="57">
        <v>0</v>
      </c>
      <c r="Y195" s="57">
        <f>450-450</f>
        <v>0</v>
      </c>
      <c r="Z195" s="58">
        <v>0</v>
      </c>
      <c r="AA195" s="58">
        <v>0</v>
      </c>
      <c r="AB195" s="58">
        <v>0</v>
      </c>
      <c r="AC195" s="58">
        <v>0</v>
      </c>
      <c r="AD195" s="58">
        <v>0</v>
      </c>
      <c r="AE195" s="58">
        <v>0</v>
      </c>
      <c r="AF195" s="58">
        <v>0</v>
      </c>
      <c r="AG195" s="58">
        <v>0</v>
      </c>
      <c r="AH195" s="58">
        <v>0</v>
      </c>
      <c r="AI195" s="58">
        <v>0</v>
      </c>
      <c r="AJ195" s="58">
        <v>0</v>
      </c>
      <c r="AK195" s="58">
        <v>0</v>
      </c>
      <c r="AL195" s="75">
        <f>+SUBTOTAL(9,Tabla6[[#This Row],[ENE]:[DIC]])</f>
        <v>0</v>
      </c>
      <c r="AM195" s="76" t="str">
        <f t="shared" si="2"/>
        <v>OK</v>
      </c>
      <c r="AN195" s="60">
        <v>0</v>
      </c>
      <c r="AO195" s="61">
        <f>+Tabla6[[#This Row],[PRESUPUESTO VIGENTE]]-Tabla6[[#This Row],[CERTIFICACIÓN PAPP]]</f>
        <v>0</v>
      </c>
      <c r="AP195" s="59">
        <v>0</v>
      </c>
    </row>
    <row r="196" spans="1:42" ht="93" customHeight="1" x14ac:dyDescent="0.25">
      <c r="A196" s="62" t="s">
        <v>78</v>
      </c>
      <c r="B196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96" s="64" t="s">
        <v>79</v>
      </c>
      <c r="D196" s="64" t="s">
        <v>80</v>
      </c>
      <c r="E196" s="64" t="s">
        <v>81</v>
      </c>
      <c r="F196" s="64" t="s">
        <v>82</v>
      </c>
      <c r="G196" s="64" t="s">
        <v>92</v>
      </c>
      <c r="H196" s="65" t="str">
        <f>VLOOKUP(Tabla6[[#This Row],[DIRECCIÓN]],DIRECCIÓN[#All],2,0)</f>
        <v>ADMINISTRACIÓN CENTRAL</v>
      </c>
      <c r="I196" s="66" t="s">
        <v>787</v>
      </c>
      <c r="J196" s="67">
        <v>1</v>
      </c>
      <c r="K196" s="68" t="str">
        <f>VLOOKUP(Tabla6[[#This Row],[DIRECCIÓN GENERAL / COORDINACIÓN / SUBDIRECCIÓN]],Tabla37[[#All],[Columna1]:[EOD]],2,0)</f>
        <v>266_0001</v>
      </c>
      <c r="L196" s="69">
        <f>VLOOKUP(Tabla6[[#This Row],[OBJETIVOS PND]],Listas!$A$1:$C$3,3,0)</f>
        <v>1</v>
      </c>
      <c r="M196" s="70">
        <f>VLOOKUP(Tabla6[[#This Row],[PG]],Listas2!$G$14:$K$16,5,0)</f>
        <v>0</v>
      </c>
      <c r="N196" s="71">
        <v>1</v>
      </c>
      <c r="O196" s="72">
        <v>1001</v>
      </c>
      <c r="P196" s="73" t="str">
        <f>VLOOKUP(Tabla6[[#This Row],[GEO]],Listas!$A$48:$B$77,2,0)</f>
        <v>IBARRA</v>
      </c>
      <c r="Q196" s="70">
        <f>VLOOKUP(Tabla6[[#This Row],[PG]],Listas2!$G$14:$K$16,3,0)</f>
        <v>1</v>
      </c>
      <c r="R196" s="73">
        <f>VLOOKUP(Tabla6[[#This Row],[PG]],Listas2!H201:'Listas2'!$G$14:$K$16,4,0)</f>
        <v>0</v>
      </c>
      <c r="S196" s="73">
        <f>VLOOKUP(Tabla6[[#This Row],[PG]],Listas2!$G$14:$K$16,2,0)</f>
        <v>0</v>
      </c>
      <c r="T196" s="66" t="s">
        <v>84</v>
      </c>
      <c r="U196" s="74">
        <v>53</v>
      </c>
      <c r="V196" s="66">
        <v>530203</v>
      </c>
      <c r="W196" s="63" t="str">
        <f>VLOOKUP(Tabla6[[#This Row],[ÍTEM PRESUPUESTARIO]],Tabla2[#All],2,0)</f>
        <v>ALMACENAMIENTO, EMBALAJE, DESEMBALAJE, ENVASE, DESENVASE Y RECARGA DE EXTINTORES</v>
      </c>
      <c r="X196" s="57">
        <v>300</v>
      </c>
      <c r="Y196" s="57">
        <f>300+200-246.46</f>
        <v>253.54</v>
      </c>
      <c r="Z196" s="58">
        <v>0</v>
      </c>
      <c r="AA196" s="58">
        <v>0</v>
      </c>
      <c r="AB196" s="58">
        <v>0</v>
      </c>
      <c r="AC196" s="58">
        <v>0</v>
      </c>
      <c r="AD196" s="58">
        <v>0</v>
      </c>
      <c r="AE196" s="58">
        <v>0</v>
      </c>
      <c r="AF196" s="58">
        <v>0</v>
      </c>
      <c r="AG196" s="58">
        <v>253.54</v>
      </c>
      <c r="AH196" s="58">
        <v>0</v>
      </c>
      <c r="AI196" s="58">
        <v>0</v>
      </c>
      <c r="AJ196" s="58">
        <v>0</v>
      </c>
      <c r="AK196" s="58">
        <v>0</v>
      </c>
      <c r="AL196" s="75">
        <f>+SUBTOTAL(9,Tabla6[[#This Row],[ENE]:[DIC]])</f>
        <v>253.54</v>
      </c>
      <c r="AM196" s="76" t="str">
        <f t="shared" si="2"/>
        <v>OK</v>
      </c>
      <c r="AN196" s="60">
        <v>253.54</v>
      </c>
      <c r="AO196" s="61">
        <f>+Tabla6[[#This Row],[PRESUPUESTO VIGENTE]]-Tabla6[[#This Row],[CERTIFICACIÓN PAPP]]</f>
        <v>0</v>
      </c>
      <c r="AP196" s="59">
        <v>0</v>
      </c>
    </row>
    <row r="197" spans="1:42" ht="93" customHeight="1" x14ac:dyDescent="0.25">
      <c r="A197" s="62" t="s">
        <v>78</v>
      </c>
      <c r="B197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97" s="64" t="s">
        <v>85</v>
      </c>
      <c r="D197" s="64" t="s">
        <v>80</v>
      </c>
      <c r="E197" s="64" t="s">
        <v>81</v>
      </c>
      <c r="F197" s="64" t="s">
        <v>82</v>
      </c>
      <c r="G197" s="64" t="s">
        <v>94</v>
      </c>
      <c r="H197" s="65" t="str">
        <f>VLOOKUP(Tabla6[[#This Row],[DIRECCIÓN]],DIRECCIÓN[#All],2,0)</f>
        <v>COMUNICACIÓN SOCIAL</v>
      </c>
      <c r="I197" s="66" t="s">
        <v>878</v>
      </c>
      <c r="J197" s="67">
        <v>2</v>
      </c>
      <c r="K197" s="68" t="str">
        <f>VLOOKUP(Tabla6[[#This Row],[DIRECCIÓN GENERAL / COORDINACIÓN / SUBDIRECCIÓN]],Tabla37[[#All],[Columna1]:[EOD]],2,0)</f>
        <v>266_0001</v>
      </c>
      <c r="L197" s="69">
        <f>VLOOKUP(Tabla6[[#This Row],[OBJETIVOS PND]],Listas!$A$1:$C$3,3,0)</f>
        <v>1</v>
      </c>
      <c r="M197" s="70">
        <f>VLOOKUP(Tabla6[[#This Row],[PG]],Listas2!$G$14:$K$16,5,0)</f>
        <v>0</v>
      </c>
      <c r="N197" s="71">
        <v>1</v>
      </c>
      <c r="O197" s="72">
        <v>1001</v>
      </c>
      <c r="P197" s="73" t="str">
        <f>VLOOKUP(Tabla6[[#This Row],[GEO]],Listas!$A$48:$B$77,2,0)</f>
        <v>IBARRA</v>
      </c>
      <c r="Q197" s="70">
        <f>VLOOKUP(Tabla6[[#This Row],[PG]],Listas2!$G$14:$K$16,3,0)</f>
        <v>1</v>
      </c>
      <c r="R197" s="73">
        <f>VLOOKUP(Tabla6[[#This Row],[PG]],Listas2!H202:'Listas2'!$G$14:$K$16,4,0)</f>
        <v>0</v>
      </c>
      <c r="S197" s="73">
        <f>VLOOKUP(Tabla6[[#This Row],[PG]],Listas2!$G$14:$K$16,2,0)</f>
        <v>0</v>
      </c>
      <c r="T197" s="66" t="s">
        <v>84</v>
      </c>
      <c r="U197" s="74">
        <v>53</v>
      </c>
      <c r="V197" s="66">
        <v>530204</v>
      </c>
      <c r="W197" s="63" t="str">
        <f>VLOOKUP(Tabla6[[#This Row],[ÍTEM PRESUPUESTARIO]],Tabla2[#All],2,0)</f>
        <v>EDICIÓN, IMPRESIÓN, REPRODUCCIÓN, PUBLICACIONES, SUSCRIPCIONES, FOTOCOPIADO, TRADUCCIÓN, EMPASTADO, ENMARCACIÓN, SERIGRAFÍA, FOTOGRAFÍA, CARNETIZACIÓN, FILMACIÓN E IMÁGENES SATELITALES</v>
      </c>
      <c r="X197" s="57">
        <v>100</v>
      </c>
      <c r="Y197" s="57">
        <f>100-100</f>
        <v>0</v>
      </c>
      <c r="Z197" s="58">
        <v>0</v>
      </c>
      <c r="AA197" s="58">
        <v>0</v>
      </c>
      <c r="AB197" s="58">
        <v>0</v>
      </c>
      <c r="AC197" s="58">
        <v>0</v>
      </c>
      <c r="AD197" s="58">
        <v>0</v>
      </c>
      <c r="AE197" s="58">
        <v>0</v>
      </c>
      <c r="AF197" s="58">
        <v>0</v>
      </c>
      <c r="AG197" s="58">
        <v>0</v>
      </c>
      <c r="AH197" s="58">
        <v>0</v>
      </c>
      <c r="AI197" s="58">
        <v>0</v>
      </c>
      <c r="AJ197" s="58">
        <v>0</v>
      </c>
      <c r="AK197" s="58">
        <v>0</v>
      </c>
      <c r="AL197" s="75">
        <f>+SUBTOTAL(9,Tabla6[[#This Row],[ENE]:[DIC]])</f>
        <v>0</v>
      </c>
      <c r="AM197" s="76" t="str">
        <f t="shared" si="2"/>
        <v>OK</v>
      </c>
      <c r="AN197" s="60">
        <v>0</v>
      </c>
      <c r="AO197" s="61">
        <f>+Tabla6[[#This Row],[PRESUPUESTO VIGENTE]]-Tabla6[[#This Row],[CERTIFICACIÓN PAPP]]</f>
        <v>0</v>
      </c>
      <c r="AP197" s="59">
        <v>0</v>
      </c>
    </row>
    <row r="198" spans="1:42" ht="93" customHeight="1" x14ac:dyDescent="0.25">
      <c r="A198" s="62" t="s">
        <v>78</v>
      </c>
      <c r="B198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98" s="64" t="s">
        <v>85</v>
      </c>
      <c r="D198" s="64" t="s">
        <v>80</v>
      </c>
      <c r="E198" s="64" t="s">
        <v>81</v>
      </c>
      <c r="F198" s="64" t="s">
        <v>82</v>
      </c>
      <c r="G198" s="64" t="s">
        <v>94</v>
      </c>
      <c r="H198" s="65" t="str">
        <f>VLOOKUP(Tabla6[[#This Row],[DIRECCIÓN]],DIRECCIÓN[#All],2,0)</f>
        <v>COMUNICACIÓN SOCIAL</v>
      </c>
      <c r="I198" s="66" t="s">
        <v>879</v>
      </c>
      <c r="J198" s="67">
        <v>2</v>
      </c>
      <c r="K198" s="68" t="str">
        <f>VLOOKUP(Tabla6[[#This Row],[DIRECCIÓN GENERAL / COORDINACIÓN / SUBDIRECCIÓN]],Tabla37[[#All],[Columna1]:[EOD]],2,0)</f>
        <v>266_0001</v>
      </c>
      <c r="L198" s="69">
        <f>VLOOKUP(Tabla6[[#This Row],[OBJETIVOS PND]],Listas!$A$1:$C$3,3,0)</f>
        <v>1</v>
      </c>
      <c r="M198" s="70">
        <f>VLOOKUP(Tabla6[[#This Row],[PG]],Listas2!$G$14:$K$16,5,0)</f>
        <v>0</v>
      </c>
      <c r="N198" s="71">
        <v>1</v>
      </c>
      <c r="O198" s="72">
        <v>1001</v>
      </c>
      <c r="P198" s="73" t="str">
        <f>VLOOKUP(Tabla6[[#This Row],[GEO]],Listas!$A$48:$B$77,2,0)</f>
        <v>IBARRA</v>
      </c>
      <c r="Q198" s="70">
        <f>VLOOKUP(Tabla6[[#This Row],[PG]],Listas2!$G$14:$K$16,3,0)</f>
        <v>1</v>
      </c>
      <c r="R198" s="73">
        <f>VLOOKUP(Tabla6[[#This Row],[PG]],Listas2!H203:'Listas2'!$G$14:$K$16,4,0)</f>
        <v>0</v>
      </c>
      <c r="S198" s="73">
        <f>VLOOKUP(Tabla6[[#This Row],[PG]],Listas2!$G$14:$K$16,2,0)</f>
        <v>0</v>
      </c>
      <c r="T198" s="66" t="s">
        <v>84</v>
      </c>
      <c r="U198" s="74">
        <v>53</v>
      </c>
      <c r="V198" s="66">
        <v>530204</v>
      </c>
      <c r="W198" s="63" t="str">
        <f>VLOOKUP(Tabla6[[#This Row],[ÍTEM PRESUPUESTARIO]],Tabla2[#All],2,0)</f>
        <v>EDICIÓN, IMPRESIÓN, REPRODUCCIÓN, PUBLICACIONES, SUSCRIPCIONES, FOTOCOPIADO, TRADUCCIÓN, EMPASTADO, ENMARCACIÓN, SERIGRAFÍA, FOTOGRAFÍA, CARNETIZACIÓN, FILMACIÓN E IMÁGENES SATELITALES</v>
      </c>
      <c r="X198" s="57">
        <v>1960</v>
      </c>
      <c r="Y198" s="57">
        <f>1960-1960</f>
        <v>0</v>
      </c>
      <c r="Z198" s="58">
        <v>0</v>
      </c>
      <c r="AA198" s="58">
        <v>0</v>
      </c>
      <c r="AB198" s="58">
        <v>0</v>
      </c>
      <c r="AC198" s="58">
        <v>0</v>
      </c>
      <c r="AD198" s="58">
        <v>0</v>
      </c>
      <c r="AE198" s="58">
        <v>0</v>
      </c>
      <c r="AF198" s="58">
        <v>0</v>
      </c>
      <c r="AG198" s="58">
        <v>0</v>
      </c>
      <c r="AH198" s="58">
        <v>0</v>
      </c>
      <c r="AI198" s="58">
        <v>0</v>
      </c>
      <c r="AJ198" s="58">
        <v>0</v>
      </c>
      <c r="AK198" s="58">
        <v>0</v>
      </c>
      <c r="AL198" s="75">
        <f>+SUBTOTAL(9,Tabla6[[#This Row],[ENE]:[DIC]])</f>
        <v>0</v>
      </c>
      <c r="AM198" s="76" t="str">
        <f t="shared" si="2"/>
        <v>OK</v>
      </c>
      <c r="AN198" s="60">
        <v>0</v>
      </c>
      <c r="AO198" s="61">
        <f>+Tabla6[[#This Row],[PRESUPUESTO VIGENTE]]-Tabla6[[#This Row],[CERTIFICACIÓN PAPP]]</f>
        <v>0</v>
      </c>
      <c r="AP198" s="59">
        <v>0</v>
      </c>
    </row>
    <row r="199" spans="1:42" ht="93" customHeight="1" x14ac:dyDescent="0.25">
      <c r="A199" s="62" t="s">
        <v>78</v>
      </c>
      <c r="B199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99" s="64" t="s">
        <v>79</v>
      </c>
      <c r="D199" s="64" t="s">
        <v>80</v>
      </c>
      <c r="E199" s="64" t="s">
        <v>81</v>
      </c>
      <c r="F199" s="64" t="s">
        <v>82</v>
      </c>
      <c r="G199" s="64" t="s">
        <v>92</v>
      </c>
      <c r="H199" s="65" t="str">
        <f>VLOOKUP(Tabla6[[#This Row],[DIRECCIÓN]],DIRECCIÓN[#All],2,0)</f>
        <v>ADMINISTRACIÓN CENTRAL</v>
      </c>
      <c r="I199" s="66" t="s">
        <v>792</v>
      </c>
      <c r="J199" s="67">
        <v>2</v>
      </c>
      <c r="K199" s="68" t="str">
        <f>VLOOKUP(Tabla6[[#This Row],[DIRECCIÓN GENERAL / COORDINACIÓN / SUBDIRECCIÓN]],Tabla37[[#All],[Columna1]:[EOD]],2,0)</f>
        <v>266_0001</v>
      </c>
      <c r="L199" s="69">
        <f>VLOOKUP(Tabla6[[#This Row],[OBJETIVOS PND]],Listas!$A$1:$C$3,3,0)</f>
        <v>1</v>
      </c>
      <c r="M199" s="70">
        <f>VLOOKUP(Tabla6[[#This Row],[PG]],Listas2!$G$14:$K$16,5,0)</f>
        <v>0</v>
      </c>
      <c r="N199" s="71">
        <v>1</v>
      </c>
      <c r="O199" s="72">
        <v>1001</v>
      </c>
      <c r="P199" s="73" t="str">
        <f>VLOOKUP(Tabla6[[#This Row],[GEO]],Listas!$A$48:$B$77,2,0)</f>
        <v>IBARRA</v>
      </c>
      <c r="Q199" s="70">
        <f>VLOOKUP(Tabla6[[#This Row],[PG]],Listas2!$G$14:$K$16,3,0)</f>
        <v>1</v>
      </c>
      <c r="R199" s="73">
        <f>VLOOKUP(Tabla6[[#This Row],[PG]],Listas2!H204:'Listas2'!$G$14:$K$16,4,0)</f>
        <v>0</v>
      </c>
      <c r="S199" s="73">
        <f>VLOOKUP(Tabla6[[#This Row],[PG]],Listas2!$G$14:$K$16,2,0)</f>
        <v>0</v>
      </c>
      <c r="T199" s="66" t="s">
        <v>84</v>
      </c>
      <c r="U199" s="74">
        <v>53</v>
      </c>
      <c r="V199" s="66">
        <v>530204</v>
      </c>
      <c r="W199" s="63" t="str">
        <f>VLOOKUP(Tabla6[[#This Row],[ÍTEM PRESUPUESTARIO]],Tabla2[#All],2,0)</f>
        <v>EDICIÓN, IMPRESIÓN, REPRODUCCIÓN, PUBLICACIONES, SUSCRIPCIONES, FOTOCOPIADO, TRADUCCIÓN, EMPASTADO, ENMARCACIÓN, SERIGRAFÍA, FOTOGRAFÍA, CARNETIZACIÓN, FILMACIÓN E IMÁGENES SATELITALES</v>
      </c>
      <c r="X199" s="57">
        <v>100</v>
      </c>
      <c r="Y199" s="57">
        <f>100-50-25+25-50</f>
        <v>0</v>
      </c>
      <c r="Z199" s="58">
        <v>0</v>
      </c>
      <c r="AA199" s="58">
        <v>0</v>
      </c>
      <c r="AB199" s="58">
        <v>0</v>
      </c>
      <c r="AC199" s="58">
        <v>0</v>
      </c>
      <c r="AD199" s="58">
        <v>0</v>
      </c>
      <c r="AE199" s="58">
        <v>0</v>
      </c>
      <c r="AF199" s="58">
        <v>0</v>
      </c>
      <c r="AG199" s="58">
        <v>0</v>
      </c>
      <c r="AH199" s="58">
        <v>0</v>
      </c>
      <c r="AI199" s="58">
        <v>0</v>
      </c>
      <c r="AJ199" s="58">
        <v>0</v>
      </c>
      <c r="AK199" s="58">
        <v>0</v>
      </c>
      <c r="AL199" s="75">
        <f>+SUBTOTAL(9,Tabla6[[#This Row],[ENE]:[DIC]])</f>
        <v>0</v>
      </c>
      <c r="AM199" s="76" t="str">
        <f t="shared" si="2"/>
        <v>OK</v>
      </c>
      <c r="AN199" s="60">
        <v>0</v>
      </c>
      <c r="AO199" s="61">
        <f>+Tabla6[[#This Row],[PRESUPUESTO VIGENTE]]-Tabla6[[#This Row],[CERTIFICACIÓN PAPP]]</f>
        <v>0</v>
      </c>
      <c r="AP199" s="59" t="s">
        <v>87</v>
      </c>
    </row>
    <row r="200" spans="1:42" ht="93" customHeight="1" x14ac:dyDescent="0.25">
      <c r="A200" s="62" t="s">
        <v>78</v>
      </c>
      <c r="B200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200" s="64" t="s">
        <v>79</v>
      </c>
      <c r="D200" s="64" t="s">
        <v>80</v>
      </c>
      <c r="E200" s="64" t="s">
        <v>81</v>
      </c>
      <c r="F200" s="64" t="s">
        <v>82</v>
      </c>
      <c r="G200" s="64" t="s">
        <v>92</v>
      </c>
      <c r="H200" s="65" t="str">
        <f>VLOOKUP(Tabla6[[#This Row],[DIRECCIÓN]],DIRECCIÓN[#All],2,0)</f>
        <v>ADMINISTRACIÓN CENTRAL</v>
      </c>
      <c r="I200" s="66" t="s">
        <v>880</v>
      </c>
      <c r="J200" s="67">
        <v>1</v>
      </c>
      <c r="K200" s="68" t="str">
        <f>VLOOKUP(Tabla6[[#This Row],[DIRECCIÓN GENERAL / COORDINACIÓN / SUBDIRECCIÓN]],Tabla37[[#All],[Columna1]:[EOD]],2,0)</f>
        <v>266_0001</v>
      </c>
      <c r="L200" s="69">
        <f>VLOOKUP(Tabla6[[#This Row],[OBJETIVOS PND]],Listas!$A$1:$C$3,3,0)</f>
        <v>1</v>
      </c>
      <c r="M200" s="70">
        <f>VLOOKUP(Tabla6[[#This Row],[PG]],Listas2!$G$14:$K$16,5,0)</f>
        <v>0</v>
      </c>
      <c r="N200" s="71">
        <v>1</v>
      </c>
      <c r="O200" s="72">
        <v>1001</v>
      </c>
      <c r="P200" s="73" t="str">
        <f>VLOOKUP(Tabla6[[#This Row],[GEO]],Listas!$A$48:$B$77,2,0)</f>
        <v>IBARRA</v>
      </c>
      <c r="Q200" s="70">
        <f>VLOOKUP(Tabla6[[#This Row],[PG]],Listas2!$G$14:$K$16,3,0)</f>
        <v>1</v>
      </c>
      <c r="R200" s="73">
        <f>VLOOKUP(Tabla6[[#This Row],[PG]],Listas2!H205:'Listas2'!$G$14:$K$16,4,0)</f>
        <v>0</v>
      </c>
      <c r="S200" s="73">
        <f>VLOOKUP(Tabla6[[#This Row],[PG]],Listas2!$G$14:$K$16,2,0)</f>
        <v>0</v>
      </c>
      <c r="T200" s="66" t="s">
        <v>84</v>
      </c>
      <c r="U200" s="74">
        <v>53</v>
      </c>
      <c r="V200" s="66">
        <v>530208</v>
      </c>
      <c r="W200" s="63" t="str">
        <f>VLOOKUP(Tabla6[[#This Row],[ÍTEM PRESUPUESTARIO]],Tabla2[#All],2,0)</f>
        <v>SERVICIO DE SEGURIDAD Y VIGILANCIA</v>
      </c>
      <c r="X200" s="57">
        <v>23126</v>
      </c>
      <c r="Y200" s="57">
        <v>23125.7</v>
      </c>
      <c r="Z200" s="58">
        <v>23125.7</v>
      </c>
      <c r="AA200" s="58">
        <v>0</v>
      </c>
      <c r="AB200" s="58">
        <v>0</v>
      </c>
      <c r="AC200" s="58">
        <v>0</v>
      </c>
      <c r="AD200" s="58">
        <v>0</v>
      </c>
      <c r="AE200" s="58">
        <v>0</v>
      </c>
      <c r="AF200" s="58">
        <v>0</v>
      </c>
      <c r="AG200" s="58">
        <v>0</v>
      </c>
      <c r="AH200" s="58">
        <v>0</v>
      </c>
      <c r="AI200" s="58">
        <v>0</v>
      </c>
      <c r="AJ200" s="58">
        <v>0</v>
      </c>
      <c r="AK200" s="58">
        <v>0</v>
      </c>
      <c r="AL200" s="75">
        <f>+SUBTOTAL(9,Tabla6[[#This Row],[ENE]:[DIC]])</f>
        <v>23125.7</v>
      </c>
      <c r="AM200" s="76" t="str">
        <f t="shared" si="2"/>
        <v>OK</v>
      </c>
      <c r="AN200" s="60">
        <v>23125.7</v>
      </c>
      <c r="AO200" s="61">
        <f>+Tabla6[[#This Row],[PRESUPUESTO VIGENTE]]-Tabla6[[#This Row],[CERTIFICACIÓN PAPP]]</f>
        <v>0</v>
      </c>
      <c r="AP200" s="59">
        <v>0</v>
      </c>
    </row>
    <row r="201" spans="1:42" ht="93" customHeight="1" x14ac:dyDescent="0.25">
      <c r="A201" s="62" t="s">
        <v>78</v>
      </c>
      <c r="B201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201" s="64" t="s">
        <v>79</v>
      </c>
      <c r="D201" s="64" t="s">
        <v>80</v>
      </c>
      <c r="E201" s="64" t="s">
        <v>81</v>
      </c>
      <c r="F201" s="64" t="s">
        <v>82</v>
      </c>
      <c r="G201" s="64" t="s">
        <v>92</v>
      </c>
      <c r="H201" s="65" t="str">
        <f>VLOOKUP(Tabla6[[#This Row],[DIRECCIÓN]],DIRECCIÓN[#All],2,0)</f>
        <v>ADMINISTRACIÓN CENTRAL</v>
      </c>
      <c r="I201" s="66" t="s">
        <v>881</v>
      </c>
      <c r="J201" s="67">
        <v>1</v>
      </c>
      <c r="K201" s="68" t="str">
        <f>VLOOKUP(Tabla6[[#This Row],[DIRECCIÓN GENERAL / COORDINACIÓN / SUBDIRECCIÓN]],Tabla37[[#All],[Columna1]:[EOD]],2,0)</f>
        <v>266_0001</v>
      </c>
      <c r="L201" s="69">
        <f>VLOOKUP(Tabla6[[#This Row],[OBJETIVOS PND]],Listas!$A$1:$C$3,3,0)</f>
        <v>1</v>
      </c>
      <c r="M201" s="70">
        <f>VLOOKUP(Tabla6[[#This Row],[PG]],Listas2!$G$14:$K$16,5,0)</f>
        <v>0</v>
      </c>
      <c r="N201" s="71">
        <v>1</v>
      </c>
      <c r="O201" s="72">
        <v>1001</v>
      </c>
      <c r="P201" s="73" t="str">
        <f>VLOOKUP(Tabla6[[#This Row],[GEO]],Listas!$A$48:$B$77,2,0)</f>
        <v>IBARRA</v>
      </c>
      <c r="Q201" s="70">
        <f>VLOOKUP(Tabla6[[#This Row],[PG]],Listas2!$G$14:$K$16,3,0)</f>
        <v>1</v>
      </c>
      <c r="R201" s="73">
        <f>VLOOKUP(Tabla6[[#This Row],[PG]],Listas2!H206:'Listas2'!$G$14:$K$16,4,0)</f>
        <v>0</v>
      </c>
      <c r="S201" s="73">
        <f>VLOOKUP(Tabla6[[#This Row],[PG]],Listas2!$G$14:$K$16,2,0)</f>
        <v>0</v>
      </c>
      <c r="T201" s="66" t="s">
        <v>84</v>
      </c>
      <c r="U201" s="74">
        <v>53</v>
      </c>
      <c r="V201" s="66">
        <v>530208</v>
      </c>
      <c r="W201" s="63" t="str">
        <f>VLOOKUP(Tabla6[[#This Row],[ÍTEM PRESUPUESTARIO]],Tabla2[#All],2,0)</f>
        <v>SERVICIO DE SEGURIDAD Y VIGILANCIA</v>
      </c>
      <c r="X201" s="57">
        <v>343000</v>
      </c>
      <c r="Y201" s="57">
        <f>343000+575.36-28000-631.28</f>
        <v>314944.07999999996</v>
      </c>
      <c r="Z201" s="58">
        <v>0</v>
      </c>
      <c r="AA201" s="58">
        <v>31234.12</v>
      </c>
      <c r="AB201" s="58">
        <v>31234.12</v>
      </c>
      <c r="AC201" s="58">
        <v>31234.12</v>
      </c>
      <c r="AD201" s="58">
        <v>31234.12</v>
      </c>
      <c r="AE201" s="58">
        <v>31234.12</v>
      </c>
      <c r="AF201" s="58">
        <v>31234.12</v>
      </c>
      <c r="AG201" s="58">
        <v>31234.12</v>
      </c>
      <c r="AH201" s="58">
        <v>31234.12</v>
      </c>
      <c r="AI201" s="58">
        <v>31234.12</v>
      </c>
      <c r="AJ201" s="58">
        <v>31234.12</v>
      </c>
      <c r="AK201" s="58">
        <v>2602.8799999999464</v>
      </c>
      <c r="AL201" s="75">
        <f>+SUBTOTAL(9,Tabla6[[#This Row],[ENE]:[DIC]])</f>
        <v>314944.07999999996</v>
      </c>
      <c r="AM201" s="76" t="str">
        <f t="shared" ref="AM201:AM264" si="3">IF(AL201=Y201,"OK",Y201-AL201)</f>
        <v>OK</v>
      </c>
      <c r="AN201" s="60">
        <v>314944.08</v>
      </c>
      <c r="AO201" s="61">
        <f>+Tabla6[[#This Row],[PRESUPUESTO VIGENTE]]-Tabla6[[#This Row],[CERTIFICACIÓN PAPP]]</f>
        <v>0</v>
      </c>
      <c r="AP201" s="59">
        <v>0</v>
      </c>
    </row>
    <row r="202" spans="1:42" ht="93" customHeight="1" x14ac:dyDescent="0.25">
      <c r="A202" s="62" t="s">
        <v>78</v>
      </c>
      <c r="B202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202" s="64" t="s">
        <v>79</v>
      </c>
      <c r="D202" s="64" t="s">
        <v>80</v>
      </c>
      <c r="E202" s="64" t="s">
        <v>81</v>
      </c>
      <c r="F202" s="64" t="s">
        <v>82</v>
      </c>
      <c r="G202" s="64" t="s">
        <v>92</v>
      </c>
      <c r="H202" s="65" t="str">
        <f>VLOOKUP(Tabla6[[#This Row],[DIRECCIÓN]],DIRECCIÓN[#All],2,0)</f>
        <v>ADMINISTRACIÓN CENTRAL</v>
      </c>
      <c r="I202" s="66" t="s">
        <v>882</v>
      </c>
      <c r="J202" s="67">
        <v>1</v>
      </c>
      <c r="K202" s="68" t="str">
        <f>VLOOKUP(Tabla6[[#This Row],[DIRECCIÓN GENERAL / COORDINACIÓN / SUBDIRECCIÓN]],Tabla37[[#All],[Columna1]:[EOD]],2,0)</f>
        <v>266_0001</v>
      </c>
      <c r="L202" s="69">
        <f>VLOOKUP(Tabla6[[#This Row],[OBJETIVOS PND]],Listas!$A$1:$C$3,3,0)</f>
        <v>1</v>
      </c>
      <c r="M202" s="70">
        <f>VLOOKUP(Tabla6[[#This Row],[PG]],Listas2!$G$14:$K$16,5,0)</f>
        <v>0</v>
      </c>
      <c r="N202" s="71">
        <v>1</v>
      </c>
      <c r="O202" s="72">
        <v>1001</v>
      </c>
      <c r="P202" s="73" t="str">
        <f>VLOOKUP(Tabla6[[#This Row],[GEO]],Listas!$A$48:$B$77,2,0)</f>
        <v>IBARRA</v>
      </c>
      <c r="Q202" s="70">
        <f>VLOOKUP(Tabla6[[#This Row],[PG]],Listas2!$G$14:$K$16,3,0)</f>
        <v>1</v>
      </c>
      <c r="R202" s="73">
        <f>VLOOKUP(Tabla6[[#This Row],[PG]],Listas2!H207:'Listas2'!$G$14:$K$16,4,0)</f>
        <v>0</v>
      </c>
      <c r="S202" s="73">
        <f>VLOOKUP(Tabla6[[#This Row],[PG]],Listas2!$G$14:$K$16,2,0)</f>
        <v>0</v>
      </c>
      <c r="T202" s="66" t="s">
        <v>84</v>
      </c>
      <c r="U202" s="74">
        <v>53</v>
      </c>
      <c r="V202" s="66">
        <v>530209</v>
      </c>
      <c r="W202" s="63" t="str">
        <f>VLOOKUP(Tabla6[[#This Row],[ÍTEM PRESUPUESTARIO]],Tabla2[#All],2,0)</f>
        <v>SERVICIOS DE ASEO, LAVADO DE VESTIMENTA DE TRABAJO, FUMIGACIÓN, DESINFECCIÓN, LIMPIEZA DE INSTALACIONES, MANEJO DE DESECHOS CONTAMINADOS, RECUPERACIÓN Y CLASIFICACIÓN DE MATERIALES RECICLABLES</v>
      </c>
      <c r="X202" s="57">
        <v>2967</v>
      </c>
      <c r="Y202" s="57">
        <f>2967-2967</f>
        <v>0</v>
      </c>
      <c r="Z202" s="58">
        <v>0</v>
      </c>
      <c r="AA202" s="58">
        <v>0</v>
      </c>
      <c r="AB202" s="58">
        <v>0</v>
      </c>
      <c r="AC202" s="58">
        <v>0</v>
      </c>
      <c r="AD202" s="58">
        <v>0</v>
      </c>
      <c r="AE202" s="58">
        <v>0</v>
      </c>
      <c r="AF202" s="58">
        <v>0</v>
      </c>
      <c r="AG202" s="58">
        <v>0</v>
      </c>
      <c r="AH202" s="58">
        <v>0</v>
      </c>
      <c r="AI202" s="58">
        <v>0</v>
      </c>
      <c r="AJ202" s="58">
        <v>0</v>
      </c>
      <c r="AK202" s="58">
        <v>0</v>
      </c>
      <c r="AL202" s="75">
        <f>+SUBTOTAL(9,Tabla6[[#This Row],[ENE]:[DIC]])</f>
        <v>0</v>
      </c>
      <c r="AM202" s="76" t="str">
        <f t="shared" si="3"/>
        <v>OK</v>
      </c>
      <c r="AN202" s="60">
        <v>0</v>
      </c>
      <c r="AO202" s="61">
        <f>+Tabla6[[#This Row],[PRESUPUESTO VIGENTE]]-Tabla6[[#This Row],[CERTIFICACIÓN PAPP]]</f>
        <v>0</v>
      </c>
      <c r="AP202" s="59">
        <v>0</v>
      </c>
    </row>
    <row r="203" spans="1:42" ht="93" customHeight="1" x14ac:dyDescent="0.25">
      <c r="A203" s="62" t="s">
        <v>78</v>
      </c>
      <c r="B203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203" s="64" t="s">
        <v>79</v>
      </c>
      <c r="D203" s="64" t="s">
        <v>80</v>
      </c>
      <c r="E203" s="64" t="s">
        <v>81</v>
      </c>
      <c r="F203" s="64" t="s">
        <v>82</v>
      </c>
      <c r="G203" s="64" t="s">
        <v>92</v>
      </c>
      <c r="H203" s="65" t="str">
        <f>VLOOKUP(Tabla6[[#This Row],[DIRECCIÓN]],DIRECCIÓN[#All],2,0)</f>
        <v>ADMINISTRACIÓN CENTRAL</v>
      </c>
      <c r="I203" s="66" t="s">
        <v>883</v>
      </c>
      <c r="J203" s="67">
        <v>1</v>
      </c>
      <c r="K203" s="68" t="str">
        <f>VLOOKUP(Tabla6[[#This Row],[DIRECCIÓN GENERAL / COORDINACIÓN / SUBDIRECCIÓN]],Tabla37[[#All],[Columna1]:[EOD]],2,0)</f>
        <v>266_0001</v>
      </c>
      <c r="L203" s="69">
        <f>VLOOKUP(Tabla6[[#This Row],[OBJETIVOS PND]],Listas!$A$1:$C$3,3,0)</f>
        <v>1</v>
      </c>
      <c r="M203" s="70">
        <f>VLOOKUP(Tabla6[[#This Row],[PG]],Listas2!$G$14:$K$16,5,0)</f>
        <v>0</v>
      </c>
      <c r="N203" s="71">
        <v>1</v>
      </c>
      <c r="O203" s="72">
        <v>1001</v>
      </c>
      <c r="P203" s="73" t="str">
        <f>VLOOKUP(Tabla6[[#This Row],[GEO]],Listas!$A$48:$B$77,2,0)</f>
        <v>IBARRA</v>
      </c>
      <c r="Q203" s="70">
        <f>VLOOKUP(Tabla6[[#This Row],[PG]],Listas2!$G$14:$K$16,3,0)</f>
        <v>1</v>
      </c>
      <c r="R203" s="73">
        <f>VLOOKUP(Tabla6[[#This Row],[PG]],Listas2!H208:'Listas2'!$G$14:$K$16,4,0)</f>
        <v>0</v>
      </c>
      <c r="S203" s="73">
        <f>VLOOKUP(Tabla6[[#This Row],[PG]],Listas2!$G$14:$K$16,2,0)</f>
        <v>0</v>
      </c>
      <c r="T203" s="66" t="s">
        <v>84</v>
      </c>
      <c r="U203" s="74">
        <v>53</v>
      </c>
      <c r="V203" s="66">
        <v>530209</v>
      </c>
      <c r="W203" s="63" t="str">
        <f>VLOOKUP(Tabla6[[#This Row],[ÍTEM PRESUPUESTARIO]],Tabla2[#All],2,0)</f>
        <v>SERVICIOS DE ASEO, LAVADO DE VESTIMENTA DE TRABAJO, FUMIGACIÓN, DESINFECCIÓN, LIMPIEZA DE INSTALACIONES, MANEJO DE DESECHOS CONTAMINADOS, RECUPERACIÓN Y CLASIFICACIÓN DE MATERIALES RECICLABLES</v>
      </c>
      <c r="X203" s="57">
        <v>14835</v>
      </c>
      <c r="Y203" s="57">
        <f>14835+20769</f>
        <v>35604</v>
      </c>
      <c r="Z203" s="58">
        <v>0</v>
      </c>
      <c r="AA203" s="58">
        <v>3236.73</v>
      </c>
      <c r="AB203" s="58">
        <v>3236.73</v>
      </c>
      <c r="AC203" s="58">
        <v>3236.73</v>
      </c>
      <c r="AD203" s="58">
        <v>3236.73</v>
      </c>
      <c r="AE203" s="58">
        <v>3236.73</v>
      </c>
      <c r="AF203" s="58">
        <v>3236.73</v>
      </c>
      <c r="AG203" s="58">
        <v>3236.73</v>
      </c>
      <c r="AH203" s="58">
        <v>3236.73</v>
      </c>
      <c r="AI203" s="58">
        <v>3236.73</v>
      </c>
      <c r="AJ203" s="58">
        <v>3236.73</v>
      </c>
      <c r="AK203" s="58">
        <v>3236.7000000000007</v>
      </c>
      <c r="AL203" s="75">
        <f>+SUBTOTAL(9,Tabla6[[#This Row],[ENE]:[DIC]])</f>
        <v>35604</v>
      </c>
      <c r="AM203" s="76" t="str">
        <f t="shared" si="3"/>
        <v>OK</v>
      </c>
      <c r="AN203" s="60">
        <f>17802+17802</f>
        <v>35604</v>
      </c>
      <c r="AO203" s="61">
        <f>+Tabla6[[#This Row],[PRESUPUESTO VIGENTE]]-Tabla6[[#This Row],[CERTIFICACIÓN PAPP]]</f>
        <v>0</v>
      </c>
      <c r="AP203" s="59">
        <v>0</v>
      </c>
    </row>
    <row r="204" spans="1:42" ht="93" customHeight="1" x14ac:dyDescent="0.25">
      <c r="A204" s="62" t="s">
        <v>78</v>
      </c>
      <c r="B204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204" s="64" t="s">
        <v>79</v>
      </c>
      <c r="D204" s="64" t="s">
        <v>80</v>
      </c>
      <c r="E204" s="64" t="s">
        <v>81</v>
      </c>
      <c r="F204" s="64" t="s">
        <v>82</v>
      </c>
      <c r="G204" s="64" t="s">
        <v>92</v>
      </c>
      <c r="H204" s="65" t="str">
        <f>VLOOKUP(Tabla6[[#This Row],[DIRECCIÓN]],DIRECCIÓN[#All],2,0)</f>
        <v>ADMINISTRACIÓN CENTRAL</v>
      </c>
      <c r="I204" s="66" t="s">
        <v>884</v>
      </c>
      <c r="J204" s="67">
        <v>2</v>
      </c>
      <c r="K204" s="68" t="str">
        <f>VLOOKUP(Tabla6[[#This Row],[DIRECCIÓN GENERAL / COORDINACIÓN / SUBDIRECCIÓN]],Tabla37[[#All],[Columna1]:[EOD]],2,0)</f>
        <v>266_0001</v>
      </c>
      <c r="L204" s="69">
        <f>VLOOKUP(Tabla6[[#This Row],[OBJETIVOS PND]],Listas!$A$1:$C$3,3,0)</f>
        <v>1</v>
      </c>
      <c r="M204" s="70">
        <f>VLOOKUP(Tabla6[[#This Row],[PG]],Listas2!$G$14:$K$16,5,0)</f>
        <v>0</v>
      </c>
      <c r="N204" s="71">
        <v>1</v>
      </c>
      <c r="O204" s="72">
        <v>1001</v>
      </c>
      <c r="P204" s="73" t="str">
        <f>VLOOKUP(Tabla6[[#This Row],[GEO]],Listas!$A$48:$B$77,2,0)</f>
        <v>IBARRA</v>
      </c>
      <c r="Q204" s="70">
        <f>VLOOKUP(Tabla6[[#This Row],[PG]],Listas2!$G$14:$K$16,3,0)</f>
        <v>1</v>
      </c>
      <c r="R204" s="73">
        <f>VLOOKUP(Tabla6[[#This Row],[PG]],Listas2!H209:'Listas2'!$G$14:$K$16,4,0)</f>
        <v>0</v>
      </c>
      <c r="S204" s="73">
        <f>VLOOKUP(Tabla6[[#This Row],[PG]],Listas2!$G$14:$K$16,2,0)</f>
        <v>0</v>
      </c>
      <c r="T204" s="66" t="s">
        <v>84</v>
      </c>
      <c r="U204" s="74">
        <v>53</v>
      </c>
      <c r="V204" s="66">
        <v>530210</v>
      </c>
      <c r="W204" s="63" t="str">
        <f>VLOOKUP(Tabla6[[#This Row],[ÍTEM PRESUPUESTARIO]],Tabla2[#All],2,0)</f>
        <v>SERVICIO DE GUARDERÍA</v>
      </c>
      <c r="X204" s="57">
        <v>0</v>
      </c>
      <c r="Y204" s="57">
        <f>3162-3162</f>
        <v>0</v>
      </c>
      <c r="Z204" s="58">
        <v>0</v>
      </c>
      <c r="AA204" s="58">
        <v>0</v>
      </c>
      <c r="AB204" s="58">
        <v>0</v>
      </c>
      <c r="AC204" s="58">
        <v>0</v>
      </c>
      <c r="AD204" s="58">
        <v>0</v>
      </c>
      <c r="AE204" s="58">
        <v>0</v>
      </c>
      <c r="AF204" s="58">
        <v>0</v>
      </c>
      <c r="AG204" s="58">
        <v>0</v>
      </c>
      <c r="AH204" s="58">
        <v>0</v>
      </c>
      <c r="AI204" s="58">
        <v>0</v>
      </c>
      <c r="AJ204" s="58">
        <v>0</v>
      </c>
      <c r="AK204" s="58">
        <v>0</v>
      </c>
      <c r="AL204" s="75">
        <f>+SUBTOTAL(9,Tabla6[[#This Row],[ENE]:[DIC]])</f>
        <v>0</v>
      </c>
      <c r="AM204" s="76" t="str">
        <f t="shared" si="3"/>
        <v>OK</v>
      </c>
      <c r="AN204" s="60">
        <v>0</v>
      </c>
      <c r="AO204" s="61">
        <f>+Tabla6[[#This Row],[PRESUPUESTO VIGENTE]]-Tabla6[[#This Row],[CERTIFICACIÓN PAPP]]</f>
        <v>0</v>
      </c>
      <c r="AP204" s="59">
        <v>0</v>
      </c>
    </row>
    <row r="205" spans="1:42" ht="93" customHeight="1" x14ac:dyDescent="0.25">
      <c r="A205" s="62" t="s">
        <v>78</v>
      </c>
      <c r="B205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205" s="64" t="s">
        <v>79</v>
      </c>
      <c r="D205" s="64" t="s">
        <v>80</v>
      </c>
      <c r="E205" s="64" t="s">
        <v>81</v>
      </c>
      <c r="F205" s="64" t="s">
        <v>82</v>
      </c>
      <c r="G205" s="64" t="s">
        <v>92</v>
      </c>
      <c r="H205" s="65" t="str">
        <f>VLOOKUP(Tabla6[[#This Row],[DIRECCIÓN]],DIRECCIÓN[#All],2,0)</f>
        <v>ADMINISTRACIÓN CENTRAL</v>
      </c>
      <c r="I205" s="66" t="s">
        <v>885</v>
      </c>
      <c r="J205" s="67">
        <v>2</v>
      </c>
      <c r="K205" s="68" t="str">
        <f>VLOOKUP(Tabla6[[#This Row],[DIRECCIÓN GENERAL / COORDINACIÓN / SUBDIRECCIÓN]],Tabla37[[#All],[Columna1]:[EOD]],2,0)</f>
        <v>266_0001</v>
      </c>
      <c r="L205" s="69">
        <f>VLOOKUP(Tabla6[[#This Row],[OBJETIVOS PND]],Listas!$A$1:$C$3,3,0)</f>
        <v>1</v>
      </c>
      <c r="M205" s="70">
        <f>VLOOKUP(Tabla6[[#This Row],[PG]],Listas2!$G$14:$K$16,5,0)</f>
        <v>0</v>
      </c>
      <c r="N205" s="71">
        <v>1</v>
      </c>
      <c r="O205" s="72">
        <v>1001</v>
      </c>
      <c r="P205" s="73" t="str">
        <f>VLOOKUP(Tabla6[[#This Row],[GEO]],Listas!$A$48:$B$77,2,0)</f>
        <v>IBARRA</v>
      </c>
      <c r="Q205" s="70">
        <f>VLOOKUP(Tabla6[[#This Row],[PG]],Listas2!$G$14:$K$16,3,0)</f>
        <v>1</v>
      </c>
      <c r="R205" s="73">
        <f>VLOOKUP(Tabla6[[#This Row],[PG]],Listas2!H210:'Listas2'!$G$14:$K$16,4,0)</f>
        <v>0</v>
      </c>
      <c r="S205" s="73">
        <f>VLOOKUP(Tabla6[[#This Row],[PG]],Listas2!$G$14:$K$16,2,0)</f>
        <v>0</v>
      </c>
      <c r="T205" s="66" t="s">
        <v>84</v>
      </c>
      <c r="U205" s="74" t="s">
        <v>91</v>
      </c>
      <c r="V205" s="66">
        <v>530228</v>
      </c>
      <c r="W205" s="63" t="str">
        <f>VLOOKUP(Tabla6[[#This Row],[ÍTEM PRESUPUESTARIO]],Tabla2[#All],2,0)</f>
        <v>SERVICIOS DE PROVISIÓN DE DISPOSITIVOS ELECTRONICOS Y CERTIFICACION PARA REGISTRO DE FIRMAS DIGITALES</v>
      </c>
      <c r="X205" s="57">
        <v>0</v>
      </c>
      <c r="Y205" s="57">
        <f>40.32-20.16+20.16-20.16</f>
        <v>20.16</v>
      </c>
      <c r="Z205" s="58">
        <v>0</v>
      </c>
      <c r="AA205" s="58">
        <v>0</v>
      </c>
      <c r="AB205" s="58">
        <v>0</v>
      </c>
      <c r="AC205" s="58">
        <v>0</v>
      </c>
      <c r="AD205" s="58">
        <v>0</v>
      </c>
      <c r="AE205" s="58">
        <v>0</v>
      </c>
      <c r="AF205" s="58">
        <v>0</v>
      </c>
      <c r="AG205" s="58">
        <v>0</v>
      </c>
      <c r="AH205" s="58">
        <v>0</v>
      </c>
      <c r="AI205" s="58">
        <v>0</v>
      </c>
      <c r="AJ205" s="58">
        <v>0</v>
      </c>
      <c r="AK205" s="58">
        <v>20.16</v>
      </c>
      <c r="AL205" s="75">
        <f>+SUBTOTAL(9,Tabla6[[#This Row],[ENE]:[DIC]])</f>
        <v>20.16</v>
      </c>
      <c r="AM205" s="76" t="str">
        <f t="shared" si="3"/>
        <v>OK</v>
      </c>
      <c r="AN205" s="60">
        <v>20.16</v>
      </c>
      <c r="AO205" s="61">
        <f>+Tabla6[[#This Row],[PRESUPUESTO VIGENTE]]-Tabla6[[#This Row],[CERTIFICACIÓN PAPP]]</f>
        <v>0</v>
      </c>
      <c r="AP205" s="59">
        <v>0</v>
      </c>
    </row>
    <row r="206" spans="1:42" ht="93" customHeight="1" x14ac:dyDescent="0.25">
      <c r="A206" s="62" t="s">
        <v>78</v>
      </c>
      <c r="B206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206" s="64" t="s">
        <v>79</v>
      </c>
      <c r="D206" s="64" t="s">
        <v>80</v>
      </c>
      <c r="E206" s="64" t="s">
        <v>81</v>
      </c>
      <c r="F206" s="64" t="s">
        <v>82</v>
      </c>
      <c r="G206" s="64" t="s">
        <v>92</v>
      </c>
      <c r="H206" s="65" t="str">
        <f>VLOOKUP(Tabla6[[#This Row],[DIRECCIÓN]],DIRECCIÓN[#All],2,0)</f>
        <v>ADMINISTRACIÓN CENTRAL</v>
      </c>
      <c r="I206" s="66" t="s">
        <v>886</v>
      </c>
      <c r="J206" s="67">
        <v>2</v>
      </c>
      <c r="K206" s="68" t="str">
        <f>VLOOKUP(Tabla6[[#This Row],[DIRECCIÓN GENERAL / COORDINACIÓN / SUBDIRECCIÓN]],Tabla37[[#All],[Columna1]:[EOD]],2,0)</f>
        <v>266_0001</v>
      </c>
      <c r="L206" s="69">
        <f>VLOOKUP(Tabla6[[#This Row],[OBJETIVOS PND]],Listas!$A$1:$C$3,3,0)</f>
        <v>1</v>
      </c>
      <c r="M206" s="70">
        <f>VLOOKUP(Tabla6[[#This Row],[PG]],Listas2!$G$14:$K$16,5,0)</f>
        <v>0</v>
      </c>
      <c r="N206" s="71">
        <v>1</v>
      </c>
      <c r="O206" s="72">
        <v>1001</v>
      </c>
      <c r="P206" s="73" t="str">
        <f>VLOOKUP(Tabla6[[#This Row],[GEO]],Listas!$A$48:$B$77,2,0)</f>
        <v>IBARRA</v>
      </c>
      <c r="Q206" s="70">
        <f>VLOOKUP(Tabla6[[#This Row],[PG]],Listas2!$G$14:$K$16,3,0)</f>
        <v>1</v>
      </c>
      <c r="R206" s="73">
        <f>VLOOKUP(Tabla6[[#This Row],[PG]],Listas2!H211:'Listas2'!$G$14:$K$16,4,0)</f>
        <v>0</v>
      </c>
      <c r="S206" s="73">
        <f>VLOOKUP(Tabla6[[#This Row],[PG]],Listas2!$G$14:$K$16,2,0)</f>
        <v>0</v>
      </c>
      <c r="T206" s="66" t="s">
        <v>84</v>
      </c>
      <c r="U206" s="74">
        <v>53</v>
      </c>
      <c r="V206" s="66">
        <v>530246</v>
      </c>
      <c r="W206" s="63" t="str">
        <f>VLOOKUP(Tabla6[[#This Row],[ÍTEM PRESUPUESTARIO]],Tabla2[#All],2,0)</f>
        <v>SERVICIOS DE IDENTIFICACIÓN, MARCACIÓN, AUTENTIFICACIÓN, RASTREO, MONITOREO, SEGUIMIENTO Y/O TRAZABILIDAD</v>
      </c>
      <c r="X206" s="57">
        <v>0</v>
      </c>
      <c r="Y206" s="57">
        <f>1500-1020-103.92</f>
        <v>376.08</v>
      </c>
      <c r="Z206" s="58">
        <v>0</v>
      </c>
      <c r="AA206" s="58">
        <v>0</v>
      </c>
      <c r="AB206" s="58">
        <v>0</v>
      </c>
      <c r="AC206" s="58">
        <v>0</v>
      </c>
      <c r="AD206" s="58">
        <v>376.08</v>
      </c>
      <c r="AE206" s="58">
        <v>0</v>
      </c>
      <c r="AF206" s="58">
        <v>0</v>
      </c>
      <c r="AG206" s="58">
        <v>0</v>
      </c>
      <c r="AH206" s="58">
        <v>0</v>
      </c>
      <c r="AI206" s="58">
        <v>0</v>
      </c>
      <c r="AJ206" s="58">
        <v>0</v>
      </c>
      <c r="AK206" s="58">
        <v>0</v>
      </c>
      <c r="AL206" s="75">
        <f>+SUBTOTAL(9,Tabla6[[#This Row],[ENE]:[DIC]])</f>
        <v>376.08</v>
      </c>
      <c r="AM206" s="76" t="str">
        <f t="shared" si="3"/>
        <v>OK</v>
      </c>
      <c r="AN206" s="60">
        <f>480-103.92</f>
        <v>376.08</v>
      </c>
      <c r="AO206" s="61">
        <f>+Tabla6[[#This Row],[PRESUPUESTO VIGENTE]]-Tabla6[[#This Row],[CERTIFICACIÓN PAPP]]</f>
        <v>0</v>
      </c>
      <c r="AP206" s="59" t="s">
        <v>87</v>
      </c>
    </row>
    <row r="207" spans="1:42" ht="93" customHeight="1" x14ac:dyDescent="0.25">
      <c r="A207" s="62" t="s">
        <v>78</v>
      </c>
      <c r="B207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207" s="64" t="s">
        <v>79</v>
      </c>
      <c r="D207" s="64" t="s">
        <v>80</v>
      </c>
      <c r="E207" s="64" t="s">
        <v>81</v>
      </c>
      <c r="F207" s="64" t="s">
        <v>82</v>
      </c>
      <c r="G207" s="64" t="s">
        <v>92</v>
      </c>
      <c r="H207" s="65" t="str">
        <f>VLOOKUP(Tabla6[[#This Row],[DIRECCIÓN]],DIRECCIÓN[#All],2,0)</f>
        <v>ADMINISTRACIÓN CENTRAL</v>
      </c>
      <c r="I207" s="66" t="s">
        <v>887</v>
      </c>
      <c r="J207" s="67">
        <v>1</v>
      </c>
      <c r="K207" s="68" t="str">
        <f>VLOOKUP(Tabla6[[#This Row],[DIRECCIÓN GENERAL / COORDINACIÓN / SUBDIRECCIÓN]],Tabla37[[#All],[Columna1]:[EOD]],2,0)</f>
        <v>266_0001</v>
      </c>
      <c r="L207" s="69">
        <f>VLOOKUP(Tabla6[[#This Row],[OBJETIVOS PND]],Listas!$A$1:$C$3,3,0)</f>
        <v>1</v>
      </c>
      <c r="M207" s="70">
        <f>VLOOKUP(Tabla6[[#This Row],[PG]],Listas2!$G$14:$K$16,5,0)</f>
        <v>0</v>
      </c>
      <c r="N207" s="71">
        <v>1</v>
      </c>
      <c r="O207" s="72">
        <v>1001</v>
      </c>
      <c r="P207" s="73" t="str">
        <f>VLOOKUP(Tabla6[[#This Row],[GEO]],Listas!$A$48:$B$77,2,0)</f>
        <v>IBARRA</v>
      </c>
      <c r="Q207" s="70">
        <f>VLOOKUP(Tabla6[[#This Row],[PG]],Listas2!$G$14:$K$16,3,0)</f>
        <v>1</v>
      </c>
      <c r="R207" s="73">
        <f>VLOOKUP(Tabla6[[#This Row],[PG]],Listas2!H212:'Listas2'!$G$14:$K$16,4,0)</f>
        <v>0</v>
      </c>
      <c r="S207" s="73">
        <f>VLOOKUP(Tabla6[[#This Row],[PG]],Listas2!$G$14:$K$16,2,0)</f>
        <v>0</v>
      </c>
      <c r="T207" s="66" t="s">
        <v>84</v>
      </c>
      <c r="U207" s="74">
        <v>53</v>
      </c>
      <c r="V207" s="66">
        <v>530255</v>
      </c>
      <c r="W207" s="63" t="str">
        <f>VLOOKUP(Tabla6[[#This Row],[ÍTEM PRESUPUESTARIO]],Tabla2[#All],2,0)</f>
        <v>COMBUSTIBLES</v>
      </c>
      <c r="X207" s="57">
        <v>0</v>
      </c>
      <c r="Y207" s="57">
        <v>196.46</v>
      </c>
      <c r="Z207" s="58">
        <v>196.46</v>
      </c>
      <c r="AA207" s="58">
        <v>0</v>
      </c>
      <c r="AB207" s="58">
        <v>0</v>
      </c>
      <c r="AC207" s="58">
        <v>0</v>
      </c>
      <c r="AD207" s="58">
        <v>0</v>
      </c>
      <c r="AE207" s="58">
        <v>0</v>
      </c>
      <c r="AF207" s="58">
        <v>0</v>
      </c>
      <c r="AG207" s="58">
        <v>0</v>
      </c>
      <c r="AH207" s="58">
        <v>0</v>
      </c>
      <c r="AI207" s="58">
        <v>0</v>
      </c>
      <c r="AJ207" s="58">
        <v>0</v>
      </c>
      <c r="AK207" s="58">
        <v>0</v>
      </c>
      <c r="AL207" s="75">
        <f>+SUBTOTAL(9,Tabla6[[#This Row],[ENE]:[DIC]])</f>
        <v>196.46</v>
      </c>
      <c r="AM207" s="76" t="str">
        <f t="shared" si="3"/>
        <v>OK</v>
      </c>
      <c r="AN207" s="60">
        <v>196.46</v>
      </c>
      <c r="AO207" s="61">
        <f>+Tabla6[[#This Row],[PRESUPUESTO VIGENTE]]-Tabla6[[#This Row],[CERTIFICACIÓN PAPP]]</f>
        <v>0</v>
      </c>
      <c r="AP207" s="59">
        <v>0</v>
      </c>
    </row>
    <row r="208" spans="1:42" ht="93" customHeight="1" x14ac:dyDescent="0.25">
      <c r="A208" s="62" t="s">
        <v>78</v>
      </c>
      <c r="B208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208" s="64" t="s">
        <v>79</v>
      </c>
      <c r="D208" s="64" t="s">
        <v>80</v>
      </c>
      <c r="E208" s="64" t="s">
        <v>81</v>
      </c>
      <c r="F208" s="64" t="s">
        <v>82</v>
      </c>
      <c r="G208" s="64" t="s">
        <v>92</v>
      </c>
      <c r="H208" s="65" t="str">
        <f>VLOOKUP(Tabla6[[#This Row],[DIRECCIÓN]],DIRECCIÓN[#All],2,0)</f>
        <v>ADMINISTRACIÓN CENTRAL</v>
      </c>
      <c r="I208" s="66" t="s">
        <v>888</v>
      </c>
      <c r="J208" s="67">
        <v>1</v>
      </c>
      <c r="K208" s="68" t="str">
        <f>VLOOKUP(Tabla6[[#This Row],[DIRECCIÓN GENERAL / COORDINACIÓN / SUBDIRECCIÓN]],Tabla37[[#All],[Columna1]:[EOD]],2,0)</f>
        <v>266_0001</v>
      </c>
      <c r="L208" s="69">
        <f>VLOOKUP(Tabla6[[#This Row],[OBJETIVOS PND]],Listas!$A$1:$C$3,3,0)</f>
        <v>1</v>
      </c>
      <c r="M208" s="70">
        <f>VLOOKUP(Tabla6[[#This Row],[PG]],Listas2!$G$14:$K$16,5,0)</f>
        <v>0</v>
      </c>
      <c r="N208" s="71">
        <v>1</v>
      </c>
      <c r="O208" s="72">
        <v>1001</v>
      </c>
      <c r="P208" s="73" t="str">
        <f>VLOOKUP(Tabla6[[#This Row],[GEO]],Listas!$A$48:$B$77,2,0)</f>
        <v>IBARRA</v>
      </c>
      <c r="Q208" s="70">
        <f>VLOOKUP(Tabla6[[#This Row],[PG]],Listas2!$G$14:$K$16,3,0)</f>
        <v>1</v>
      </c>
      <c r="R208" s="73">
        <f>VLOOKUP(Tabla6[[#This Row],[PG]],Listas2!H213:'Listas2'!$G$14:$K$16,4,0)</f>
        <v>0</v>
      </c>
      <c r="S208" s="73">
        <f>VLOOKUP(Tabla6[[#This Row],[PG]],Listas2!$G$14:$K$16,2,0)</f>
        <v>0</v>
      </c>
      <c r="T208" s="66" t="s">
        <v>84</v>
      </c>
      <c r="U208" s="74">
        <v>53</v>
      </c>
      <c r="V208" s="66">
        <v>530255</v>
      </c>
      <c r="W208" s="63" t="str">
        <f>VLOOKUP(Tabla6[[#This Row],[ÍTEM PRESUPUESTARIO]],Tabla2[#All],2,0)</f>
        <v>COMBUSTIBLES</v>
      </c>
      <c r="X208" s="57">
        <v>0</v>
      </c>
      <c r="Y208" s="57">
        <f>2243.33-979.9</f>
        <v>1263.4299999999998</v>
      </c>
      <c r="Z208" s="58">
        <v>0</v>
      </c>
      <c r="AA208" s="58">
        <v>203.94</v>
      </c>
      <c r="AB208" s="58">
        <v>203.94</v>
      </c>
      <c r="AC208" s="58">
        <v>203.94</v>
      </c>
      <c r="AD208" s="58">
        <v>203.94</v>
      </c>
      <c r="AE208" s="58">
        <v>203.94</v>
      </c>
      <c r="AF208" s="58">
        <v>203.94</v>
      </c>
      <c r="AG208" s="58">
        <v>39.79</v>
      </c>
      <c r="AH208" s="58">
        <v>0</v>
      </c>
      <c r="AI208" s="58">
        <v>0</v>
      </c>
      <c r="AJ208" s="58">
        <v>0</v>
      </c>
      <c r="AK208" s="58">
        <v>0</v>
      </c>
      <c r="AL208" s="75">
        <f>+SUBTOTAL(9,Tabla6[[#This Row],[ENE]:[DIC]])</f>
        <v>1263.43</v>
      </c>
      <c r="AM208" s="76" t="str">
        <f t="shared" si="3"/>
        <v>OK</v>
      </c>
      <c r="AN208" s="60">
        <v>1263.43</v>
      </c>
      <c r="AO208" s="61">
        <f>+Tabla6[[#This Row],[PRESUPUESTO VIGENTE]]-Tabla6[[#This Row],[CERTIFICACIÓN PAPP]]</f>
        <v>0</v>
      </c>
      <c r="AP208" s="59">
        <v>0</v>
      </c>
    </row>
    <row r="209" spans="1:42" ht="93" customHeight="1" x14ac:dyDescent="0.25">
      <c r="A209" s="62" t="s">
        <v>78</v>
      </c>
      <c r="B209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209" s="64" t="s">
        <v>79</v>
      </c>
      <c r="D209" s="64" t="s">
        <v>80</v>
      </c>
      <c r="E209" s="64" t="s">
        <v>81</v>
      </c>
      <c r="F209" s="64" t="s">
        <v>82</v>
      </c>
      <c r="G209" s="64" t="s">
        <v>92</v>
      </c>
      <c r="H209" s="65" t="str">
        <f>VLOOKUP(Tabla6[[#This Row],[DIRECCIÓN]],DIRECCIÓN[#All],2,0)</f>
        <v>ADMINISTRACIÓN CENTRAL</v>
      </c>
      <c r="I209" s="66" t="s">
        <v>889</v>
      </c>
      <c r="J209" s="67">
        <v>1</v>
      </c>
      <c r="K209" s="68" t="str">
        <f>VLOOKUP(Tabla6[[#This Row],[DIRECCIÓN GENERAL / COORDINACIÓN / SUBDIRECCIÓN]],Tabla37[[#All],[Columna1]:[EOD]],2,0)</f>
        <v>266_0001</v>
      </c>
      <c r="L209" s="69">
        <f>VLOOKUP(Tabla6[[#This Row],[OBJETIVOS PND]],Listas!$A$1:$C$3,3,0)</f>
        <v>1</v>
      </c>
      <c r="M209" s="70">
        <f>VLOOKUP(Tabla6[[#This Row],[PG]],Listas2!$G$14:$K$16,5,0)</f>
        <v>0</v>
      </c>
      <c r="N209" s="71">
        <v>1</v>
      </c>
      <c r="O209" s="72">
        <v>1001</v>
      </c>
      <c r="P209" s="73" t="str">
        <f>VLOOKUP(Tabla6[[#This Row],[GEO]],Listas!$A$48:$B$77,2,0)</f>
        <v>IBARRA</v>
      </c>
      <c r="Q209" s="70">
        <f>VLOOKUP(Tabla6[[#This Row],[PG]],Listas2!$G$14:$K$16,3,0)</f>
        <v>1</v>
      </c>
      <c r="R209" s="73">
        <f>VLOOKUP(Tabla6[[#This Row],[PG]],Listas2!H214:'Listas2'!$G$14:$K$16,4,0)</f>
        <v>0</v>
      </c>
      <c r="S209" s="73">
        <f>VLOOKUP(Tabla6[[#This Row],[PG]],Listas2!$G$14:$K$16,2,0)</f>
        <v>0</v>
      </c>
      <c r="T209" s="66" t="s">
        <v>84</v>
      </c>
      <c r="U209" s="74">
        <v>53</v>
      </c>
      <c r="V209" s="66">
        <v>530255</v>
      </c>
      <c r="W209" s="63" t="str">
        <f>VLOOKUP(Tabla6[[#This Row],[ÍTEM PRESUPUESTARIO]],Tabla2[#All],2,0)</f>
        <v>COMBUSTIBLES</v>
      </c>
      <c r="X209" s="57">
        <v>0</v>
      </c>
      <c r="Y209" s="57">
        <f>100+300</f>
        <v>400</v>
      </c>
      <c r="Z209" s="58">
        <v>0</v>
      </c>
      <c r="AA209" s="58">
        <v>0</v>
      </c>
      <c r="AB209" s="58">
        <v>0</v>
      </c>
      <c r="AC209" s="58">
        <v>0</v>
      </c>
      <c r="AD209" s="58">
        <v>0</v>
      </c>
      <c r="AE209" s="58">
        <v>0</v>
      </c>
      <c r="AF209" s="58">
        <v>0</v>
      </c>
      <c r="AG209" s="58">
        <v>0</v>
      </c>
      <c r="AH209" s="58">
        <v>0</v>
      </c>
      <c r="AI209" s="58">
        <v>0</v>
      </c>
      <c r="AJ209" s="58">
        <v>0</v>
      </c>
      <c r="AK209" s="58">
        <v>400</v>
      </c>
      <c r="AL209" s="75">
        <f>+SUBTOTAL(9,Tabla6[[#This Row],[ENE]:[DIC]])</f>
        <v>400</v>
      </c>
      <c r="AM209" s="76" t="str">
        <f t="shared" si="3"/>
        <v>OK</v>
      </c>
      <c r="AN209" s="60">
        <v>400</v>
      </c>
      <c r="AO209" s="61">
        <f>+Tabla6[[#This Row],[PRESUPUESTO VIGENTE]]-Tabla6[[#This Row],[CERTIFICACIÓN PAPP]]</f>
        <v>0</v>
      </c>
      <c r="AP209" s="59" t="s">
        <v>87</v>
      </c>
    </row>
    <row r="210" spans="1:42" ht="93" customHeight="1" x14ac:dyDescent="0.25">
      <c r="A210" s="62" t="s">
        <v>78</v>
      </c>
      <c r="B210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210" s="64" t="s">
        <v>79</v>
      </c>
      <c r="D210" s="64" t="s">
        <v>80</v>
      </c>
      <c r="E210" s="64" t="s">
        <v>81</v>
      </c>
      <c r="F210" s="64" t="s">
        <v>82</v>
      </c>
      <c r="G210" s="64" t="s">
        <v>92</v>
      </c>
      <c r="H210" s="65" t="str">
        <f>VLOOKUP(Tabla6[[#This Row],[DIRECCIÓN]],DIRECCIÓN[#All],2,0)</f>
        <v>ADMINISTRACIÓN CENTRAL</v>
      </c>
      <c r="I210" s="66" t="s">
        <v>890</v>
      </c>
      <c r="J210" s="67">
        <v>2</v>
      </c>
      <c r="K210" s="68" t="str">
        <f>VLOOKUP(Tabla6[[#This Row],[DIRECCIÓN GENERAL / COORDINACIÓN / SUBDIRECCIÓN]],Tabla37[[#All],[Columna1]:[EOD]],2,0)</f>
        <v>266_0001</v>
      </c>
      <c r="L210" s="69">
        <f>VLOOKUP(Tabla6[[#This Row],[OBJETIVOS PND]],Listas!$A$1:$C$3,3,0)</f>
        <v>1</v>
      </c>
      <c r="M210" s="70">
        <f>VLOOKUP(Tabla6[[#This Row],[PG]],Listas2!$G$14:$K$16,5,0)</f>
        <v>0</v>
      </c>
      <c r="N210" s="71">
        <v>1</v>
      </c>
      <c r="O210" s="72">
        <v>1001</v>
      </c>
      <c r="P210" s="73" t="str">
        <f>VLOOKUP(Tabla6[[#This Row],[GEO]],Listas!$A$48:$B$77,2,0)</f>
        <v>IBARRA</v>
      </c>
      <c r="Q210" s="70">
        <f>VLOOKUP(Tabla6[[#This Row],[PG]],Listas2!$G$14:$K$16,3,0)</f>
        <v>1</v>
      </c>
      <c r="R210" s="73">
        <f>VLOOKUP(Tabla6[[#This Row],[PG]],Listas2!H215:'Listas2'!$G$14:$K$16,4,0)</f>
        <v>0</v>
      </c>
      <c r="S210" s="73">
        <f>VLOOKUP(Tabla6[[#This Row],[PG]],Listas2!$G$14:$K$16,2,0)</f>
        <v>0</v>
      </c>
      <c r="T210" s="66" t="s">
        <v>84</v>
      </c>
      <c r="U210" s="74">
        <v>53</v>
      </c>
      <c r="V210" s="66">
        <v>530255</v>
      </c>
      <c r="W210" s="63" t="str">
        <f>VLOOKUP(Tabla6[[#This Row],[ÍTEM PRESUPUESTARIO]],Tabla2[#All],2,0)</f>
        <v>COMBUSTIBLES</v>
      </c>
      <c r="X210" s="57">
        <v>0</v>
      </c>
      <c r="Y210" s="57">
        <f>9500-9000</f>
        <v>500</v>
      </c>
      <c r="Z210" s="58">
        <v>0</v>
      </c>
      <c r="AA210" s="58">
        <v>0</v>
      </c>
      <c r="AB210" s="58">
        <v>0</v>
      </c>
      <c r="AC210" s="58">
        <v>0</v>
      </c>
      <c r="AD210" s="58">
        <v>0</v>
      </c>
      <c r="AE210" s="58">
        <v>0</v>
      </c>
      <c r="AF210" s="58">
        <v>0</v>
      </c>
      <c r="AG210" s="58">
        <v>0</v>
      </c>
      <c r="AH210" s="58">
        <v>0</v>
      </c>
      <c r="AI210" s="58">
        <v>0</v>
      </c>
      <c r="AJ210" s="58">
        <v>0</v>
      </c>
      <c r="AK210" s="58">
        <v>500</v>
      </c>
      <c r="AL210" s="75">
        <f>+SUBTOTAL(9,Tabla6[[#This Row],[ENE]:[DIC]])</f>
        <v>500</v>
      </c>
      <c r="AM210" s="76" t="str">
        <f t="shared" si="3"/>
        <v>OK</v>
      </c>
      <c r="AN210" s="60">
        <v>500</v>
      </c>
      <c r="AO210" s="61">
        <f>+Tabla6[[#This Row],[PRESUPUESTO VIGENTE]]-Tabla6[[#This Row],[CERTIFICACIÓN PAPP]]</f>
        <v>0</v>
      </c>
      <c r="AP210" s="59">
        <v>0</v>
      </c>
    </row>
    <row r="211" spans="1:42" ht="93" customHeight="1" x14ac:dyDescent="0.25">
      <c r="A211" s="62" t="s">
        <v>78</v>
      </c>
      <c r="B211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211" s="64" t="s">
        <v>79</v>
      </c>
      <c r="D211" s="64" t="s">
        <v>80</v>
      </c>
      <c r="E211" s="64" t="s">
        <v>81</v>
      </c>
      <c r="F211" s="64" t="s">
        <v>82</v>
      </c>
      <c r="G211" s="64" t="s">
        <v>92</v>
      </c>
      <c r="H211" s="65" t="str">
        <f>VLOOKUP(Tabla6[[#This Row],[DIRECCIÓN]],DIRECCIÓN[#All],2,0)</f>
        <v>ADMINISTRACIÓN CENTRAL</v>
      </c>
      <c r="I211" s="66" t="s">
        <v>799</v>
      </c>
      <c r="J211" s="67">
        <v>1</v>
      </c>
      <c r="K211" s="68" t="str">
        <f>VLOOKUP(Tabla6[[#This Row],[DIRECCIÓN GENERAL / COORDINACIÓN / SUBDIRECCIÓN]],Tabla37[[#All],[Columna1]:[EOD]],2,0)</f>
        <v>266_0001</v>
      </c>
      <c r="L211" s="69">
        <f>VLOOKUP(Tabla6[[#This Row],[OBJETIVOS PND]],Listas!$A$1:$C$3,3,0)</f>
        <v>1</v>
      </c>
      <c r="M211" s="70">
        <f>VLOOKUP(Tabla6[[#This Row],[PG]],Listas2!$G$14:$K$16,5,0)</f>
        <v>0</v>
      </c>
      <c r="N211" s="71">
        <v>1</v>
      </c>
      <c r="O211" s="72">
        <v>1001</v>
      </c>
      <c r="P211" s="73" t="str">
        <f>VLOOKUP(Tabla6[[#This Row],[GEO]],Listas!$A$48:$B$77,2,0)</f>
        <v>IBARRA</v>
      </c>
      <c r="Q211" s="70">
        <f>VLOOKUP(Tabla6[[#This Row],[PG]],Listas2!$G$14:$K$16,3,0)</f>
        <v>1</v>
      </c>
      <c r="R211" s="73">
        <f>VLOOKUP(Tabla6[[#This Row],[PG]],Listas2!H216:'Listas2'!$G$14:$K$16,4,0)</f>
        <v>0</v>
      </c>
      <c r="S211" s="73">
        <f>VLOOKUP(Tabla6[[#This Row],[PG]],Listas2!$G$14:$K$16,2,0)</f>
        <v>0</v>
      </c>
      <c r="T211" s="66" t="s">
        <v>84</v>
      </c>
      <c r="U211" s="74">
        <v>53</v>
      </c>
      <c r="V211" s="66">
        <v>530301</v>
      </c>
      <c r="W211" s="63" t="str">
        <f>VLOOKUP(Tabla6[[#This Row],[ÍTEM PRESUPUESTARIO]],Tabla2[#All],2,0)</f>
        <v>PASAJES AL INTERIOR</v>
      </c>
      <c r="X211" s="57">
        <v>100</v>
      </c>
      <c r="Y211" s="57">
        <f>100+1000-1070</f>
        <v>30</v>
      </c>
      <c r="Z211" s="58">
        <v>0</v>
      </c>
      <c r="AA211" s="58">
        <v>0</v>
      </c>
      <c r="AB211" s="58">
        <v>0</v>
      </c>
      <c r="AC211" s="58">
        <v>0</v>
      </c>
      <c r="AD211" s="58">
        <v>0</v>
      </c>
      <c r="AE211" s="58">
        <v>0</v>
      </c>
      <c r="AF211" s="58">
        <v>0</v>
      </c>
      <c r="AG211" s="58">
        <v>0</v>
      </c>
      <c r="AH211" s="58">
        <v>0</v>
      </c>
      <c r="AI211" s="58">
        <v>0</v>
      </c>
      <c r="AJ211" s="58">
        <v>0</v>
      </c>
      <c r="AK211" s="58">
        <v>30</v>
      </c>
      <c r="AL211" s="75">
        <f>+SUBTOTAL(9,Tabla6[[#This Row],[ENE]:[DIC]])</f>
        <v>30</v>
      </c>
      <c r="AM211" s="76" t="str">
        <f t="shared" si="3"/>
        <v>OK</v>
      </c>
      <c r="AN211" s="60">
        <f>100-70+1070-1070+1070-1070</f>
        <v>30</v>
      </c>
      <c r="AO211" s="61">
        <f>+Tabla6[[#This Row],[PRESUPUESTO VIGENTE]]-Tabla6[[#This Row],[CERTIFICACIÓN PAPP]]</f>
        <v>0</v>
      </c>
      <c r="AP211" s="59" t="s">
        <v>87</v>
      </c>
    </row>
    <row r="212" spans="1:42" ht="93" customHeight="1" x14ac:dyDescent="0.25">
      <c r="A212" s="62" t="s">
        <v>78</v>
      </c>
      <c r="B212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212" s="64" t="s">
        <v>79</v>
      </c>
      <c r="D212" s="64" t="s">
        <v>80</v>
      </c>
      <c r="E212" s="64" t="s">
        <v>81</v>
      </c>
      <c r="F212" s="64" t="s">
        <v>82</v>
      </c>
      <c r="G212" s="64" t="s">
        <v>92</v>
      </c>
      <c r="H212" s="65" t="str">
        <f>VLOOKUP(Tabla6[[#This Row],[DIRECCIÓN]],DIRECCIÓN[#All],2,0)</f>
        <v>ADMINISTRACIÓN CENTRAL</v>
      </c>
      <c r="I212" s="66" t="s">
        <v>891</v>
      </c>
      <c r="J212" s="67">
        <v>1</v>
      </c>
      <c r="K212" s="68" t="str">
        <f>VLOOKUP(Tabla6[[#This Row],[DIRECCIÓN GENERAL / COORDINACIÓN / SUBDIRECCIÓN]],Tabla37[[#All],[Columna1]:[EOD]],2,0)</f>
        <v>266_0001</v>
      </c>
      <c r="L212" s="69">
        <f>VLOOKUP(Tabla6[[#This Row],[OBJETIVOS PND]],Listas!$A$1:$C$3,3,0)</f>
        <v>1</v>
      </c>
      <c r="M212" s="70">
        <f>VLOOKUP(Tabla6[[#This Row],[PG]],Listas2!$G$14:$K$16,5,0)</f>
        <v>0</v>
      </c>
      <c r="N212" s="71">
        <v>1</v>
      </c>
      <c r="O212" s="72">
        <v>1001</v>
      </c>
      <c r="P212" s="73" t="str">
        <f>VLOOKUP(Tabla6[[#This Row],[GEO]],Listas!$A$48:$B$77,2,0)</f>
        <v>IBARRA</v>
      </c>
      <c r="Q212" s="70">
        <f>VLOOKUP(Tabla6[[#This Row],[PG]],Listas2!$G$14:$K$16,3,0)</f>
        <v>1</v>
      </c>
      <c r="R212" s="73">
        <f>VLOOKUP(Tabla6[[#This Row],[PG]],Listas2!H217:'Listas2'!$G$14:$K$16,4,0)</f>
        <v>0</v>
      </c>
      <c r="S212" s="73">
        <f>VLOOKUP(Tabla6[[#This Row],[PG]],Listas2!$G$14:$K$16,2,0)</f>
        <v>0</v>
      </c>
      <c r="T212" s="66" t="s">
        <v>84</v>
      </c>
      <c r="U212" s="74">
        <v>53</v>
      </c>
      <c r="V212" s="66">
        <v>530303</v>
      </c>
      <c r="W212" s="63" t="str">
        <f>VLOOKUP(Tabla6[[#This Row],[ÍTEM PRESUPUESTARIO]],Tabla2[#All],2,0)</f>
        <v>VIÁTICOS Y SUBSISTENCIAS EN EL INTERIOR</v>
      </c>
      <c r="X212" s="57">
        <v>4000</v>
      </c>
      <c r="Y212" s="57">
        <f>4000+2000+1500+1500-1130+3500+267.27</f>
        <v>11637.27</v>
      </c>
      <c r="Z212" s="58">
        <v>0</v>
      </c>
      <c r="AA212" s="58">
        <v>0</v>
      </c>
      <c r="AB212" s="58">
        <v>0</v>
      </c>
      <c r="AC212" s="58">
        <v>0</v>
      </c>
      <c r="AD212" s="58">
        <v>0</v>
      </c>
      <c r="AE212" s="58">
        <v>0</v>
      </c>
      <c r="AF212" s="58">
        <v>0</v>
      </c>
      <c r="AG212" s="58">
        <v>0</v>
      </c>
      <c r="AH212" s="58">
        <v>0</v>
      </c>
      <c r="AI212" s="58">
        <v>0</v>
      </c>
      <c r="AJ212" s="58">
        <v>0</v>
      </c>
      <c r="AK212" s="58">
        <v>11637.27</v>
      </c>
      <c r="AL212" s="75">
        <f>+SUBTOTAL(9,Tabla6[[#This Row],[ENE]:[DIC]])</f>
        <v>11637.27</v>
      </c>
      <c r="AM212" s="76" t="str">
        <f t="shared" si="3"/>
        <v>OK</v>
      </c>
      <c r="AN212" s="60">
        <v>11637.27</v>
      </c>
      <c r="AO212" s="61">
        <f>+Tabla6[[#This Row],[PRESUPUESTO VIGENTE]]-Tabla6[[#This Row],[CERTIFICACIÓN PAPP]]</f>
        <v>0</v>
      </c>
      <c r="AP212" s="59" t="s">
        <v>87</v>
      </c>
    </row>
    <row r="213" spans="1:42" ht="93" customHeight="1" x14ac:dyDescent="0.25">
      <c r="A213" s="62" t="s">
        <v>78</v>
      </c>
      <c r="B213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213" s="64" t="s">
        <v>79</v>
      </c>
      <c r="D213" s="64" t="s">
        <v>80</v>
      </c>
      <c r="E213" s="64" t="s">
        <v>81</v>
      </c>
      <c r="F213" s="64" t="s">
        <v>82</v>
      </c>
      <c r="G213" s="64" t="s">
        <v>92</v>
      </c>
      <c r="H213" s="65" t="str">
        <f>VLOOKUP(Tabla6[[#This Row],[DIRECCIÓN]],DIRECCIÓN[#All],2,0)</f>
        <v>ADMINISTRACIÓN CENTRAL</v>
      </c>
      <c r="I213" s="66" t="s">
        <v>892</v>
      </c>
      <c r="J213" s="67">
        <v>2</v>
      </c>
      <c r="K213" s="68" t="str">
        <f>VLOOKUP(Tabla6[[#This Row],[DIRECCIÓN GENERAL / COORDINACIÓN / SUBDIRECCIÓN]],Tabla37[[#All],[Columna1]:[EOD]],2,0)</f>
        <v>266_0001</v>
      </c>
      <c r="L213" s="69">
        <f>VLOOKUP(Tabla6[[#This Row],[OBJETIVOS PND]],Listas!$A$1:$C$3,3,0)</f>
        <v>1</v>
      </c>
      <c r="M213" s="70">
        <f>VLOOKUP(Tabla6[[#This Row],[PG]],Listas2!$G$14:$K$16,5,0)</f>
        <v>0</v>
      </c>
      <c r="N213" s="71">
        <v>1</v>
      </c>
      <c r="O213" s="72">
        <v>1001</v>
      </c>
      <c r="P213" s="73" t="str">
        <f>VLOOKUP(Tabla6[[#This Row],[GEO]],Listas!$A$48:$B$77,2,0)</f>
        <v>IBARRA</v>
      </c>
      <c r="Q213" s="70">
        <f>VLOOKUP(Tabla6[[#This Row],[PG]],Listas2!$G$14:$K$16,3,0)</f>
        <v>1</v>
      </c>
      <c r="R213" s="73">
        <f>VLOOKUP(Tabla6[[#This Row],[PG]],Listas2!H218:'Listas2'!$G$14:$K$16,4,0)</f>
        <v>0</v>
      </c>
      <c r="S213" s="73">
        <f>VLOOKUP(Tabla6[[#This Row],[PG]],Listas2!$G$14:$K$16,2,0)</f>
        <v>0</v>
      </c>
      <c r="T213" s="66" t="s">
        <v>84</v>
      </c>
      <c r="U213" s="74">
        <v>53</v>
      </c>
      <c r="V213" s="66">
        <v>530402</v>
      </c>
      <c r="W213" s="63" t="str">
        <f>VLOOKUP(Tabla6[[#This Row],[ÍTEM PRESUPUESTARIO]],Tabla2[#All],2,0)</f>
        <v>EDIFICIOS, LOCALES, RESIDENCIAS Y CABLEADO ESTRUCTURADO (INSTALACIÓN, MANTENIMIENTO Y REPARACIÓN)</v>
      </c>
      <c r="X213" s="57">
        <v>1000</v>
      </c>
      <c r="Y213" s="57">
        <f>1000+5300+136559.45-71429.72-37168.91-350+920-15603.7-14000-332.12</f>
        <v>4895.0000000000064</v>
      </c>
      <c r="Z213" s="58">
        <v>0</v>
      </c>
      <c r="AA213" s="58">
        <v>0</v>
      </c>
      <c r="AB213" s="58">
        <v>0</v>
      </c>
      <c r="AC213" s="58">
        <v>0</v>
      </c>
      <c r="AD213" s="58">
        <v>0</v>
      </c>
      <c r="AE213" s="58">
        <v>0</v>
      </c>
      <c r="AF213" s="58">
        <v>0</v>
      </c>
      <c r="AG213" s="58">
        <v>0</v>
      </c>
      <c r="AH213" s="58">
        <v>4895.0000000000064</v>
      </c>
      <c r="AI213" s="58">
        <v>0</v>
      </c>
      <c r="AJ213" s="58">
        <v>0</v>
      </c>
      <c r="AK213" s="58">
        <v>0</v>
      </c>
      <c r="AL213" s="75">
        <f>+SUBTOTAL(9,Tabla6[[#This Row],[ENE]:[DIC]])</f>
        <v>4895.0000000000064</v>
      </c>
      <c r="AM213" s="76" t="str">
        <f t="shared" si="3"/>
        <v>OK</v>
      </c>
      <c r="AN213" s="60">
        <v>4895</v>
      </c>
      <c r="AO213" s="61">
        <f>+Tabla6[[#This Row],[PRESUPUESTO VIGENTE]]-Tabla6[[#This Row],[CERTIFICACIÓN PAPP]]</f>
        <v>0</v>
      </c>
      <c r="AP213" s="59" t="s">
        <v>87</v>
      </c>
    </row>
    <row r="214" spans="1:42" ht="93" customHeight="1" x14ac:dyDescent="0.25">
      <c r="A214" s="62" t="s">
        <v>78</v>
      </c>
      <c r="B214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214" s="64" t="s">
        <v>79</v>
      </c>
      <c r="D214" s="64" t="s">
        <v>80</v>
      </c>
      <c r="E214" s="64" t="s">
        <v>81</v>
      </c>
      <c r="F214" s="64" t="s">
        <v>82</v>
      </c>
      <c r="G214" s="64" t="s">
        <v>92</v>
      </c>
      <c r="H214" s="65" t="str">
        <f>VLOOKUP(Tabla6[[#This Row],[DIRECCIÓN]],DIRECCIÓN[#All],2,0)</f>
        <v>ADMINISTRACIÓN CENTRAL</v>
      </c>
      <c r="I214" s="66" t="s">
        <v>893</v>
      </c>
      <c r="J214" s="67">
        <v>1</v>
      </c>
      <c r="K214" s="68" t="str">
        <f>VLOOKUP(Tabla6[[#This Row],[DIRECCIÓN GENERAL / COORDINACIÓN / SUBDIRECCIÓN]],Tabla37[[#All],[Columna1]:[EOD]],2,0)</f>
        <v>266_0001</v>
      </c>
      <c r="L214" s="69">
        <f>VLOOKUP(Tabla6[[#This Row],[OBJETIVOS PND]],Listas!$A$1:$C$3,3,0)</f>
        <v>1</v>
      </c>
      <c r="M214" s="70">
        <f>VLOOKUP(Tabla6[[#This Row],[PG]],Listas2!$G$14:$K$16,5,0)</f>
        <v>0</v>
      </c>
      <c r="N214" s="71">
        <v>1</v>
      </c>
      <c r="O214" s="72">
        <v>1001</v>
      </c>
      <c r="P214" s="73" t="str">
        <f>VLOOKUP(Tabla6[[#This Row],[GEO]],Listas!$A$48:$B$77,2,0)</f>
        <v>IBARRA</v>
      </c>
      <c r="Q214" s="70">
        <f>VLOOKUP(Tabla6[[#This Row],[PG]],Listas2!$G$14:$K$16,3,0)</f>
        <v>1</v>
      </c>
      <c r="R214" s="73">
        <f>VLOOKUP(Tabla6[[#This Row],[PG]],Listas2!H219:'Listas2'!$G$14:$K$16,4,0)</f>
        <v>0</v>
      </c>
      <c r="S214" s="73">
        <f>VLOOKUP(Tabla6[[#This Row],[PG]],Listas2!$G$14:$K$16,2,0)</f>
        <v>0</v>
      </c>
      <c r="T214" s="66" t="s">
        <v>84</v>
      </c>
      <c r="U214" s="74">
        <v>53</v>
      </c>
      <c r="V214" s="66">
        <v>530402</v>
      </c>
      <c r="W214" s="63" t="str">
        <f>VLOOKUP(Tabla6[[#This Row],[ÍTEM PRESUPUESTARIO]],Tabla2[#All],2,0)</f>
        <v>EDIFICIOS, LOCALES, RESIDENCIAS Y CABLEADO ESTRUCTURADO (INSTALACIÓN, MANTENIMIENTO Y REPARACIÓN)</v>
      </c>
      <c r="X214" s="57">
        <v>175000</v>
      </c>
      <c r="Y214" s="57">
        <f>175000+83880.51+22973.39-181145.97</f>
        <v>100707.93000000002</v>
      </c>
      <c r="Z214" s="58">
        <v>0</v>
      </c>
      <c r="AA214" s="58">
        <v>0</v>
      </c>
      <c r="AB214" s="58">
        <v>0</v>
      </c>
      <c r="AC214" s="58">
        <v>0</v>
      </c>
      <c r="AD214" s="58">
        <v>0</v>
      </c>
      <c r="AE214" s="58">
        <v>16784.66</v>
      </c>
      <c r="AF214" s="58">
        <v>16784.66</v>
      </c>
      <c r="AG214" s="58">
        <v>16784.66</v>
      </c>
      <c r="AH214" s="58">
        <v>16784.66</v>
      </c>
      <c r="AI214" s="58">
        <v>16784.66</v>
      </c>
      <c r="AJ214" s="58">
        <v>16784.63</v>
      </c>
      <c r="AK214" s="58">
        <v>0</v>
      </c>
      <c r="AL214" s="75">
        <f>+SUBTOTAL(9,Tabla6[[#This Row],[ENE]:[DIC]])</f>
        <v>100707.93000000001</v>
      </c>
      <c r="AM214" s="76" t="str">
        <f t="shared" si="3"/>
        <v>OK</v>
      </c>
      <c r="AN214" s="60">
        <v>100707.93000000001</v>
      </c>
      <c r="AO214" s="61">
        <f>+Tabla6[[#This Row],[PRESUPUESTO VIGENTE]]-Tabla6[[#This Row],[CERTIFICACIÓN PAPP]]</f>
        <v>0</v>
      </c>
      <c r="AP214" s="59" t="s">
        <v>87</v>
      </c>
    </row>
    <row r="215" spans="1:42" ht="93" customHeight="1" x14ac:dyDescent="0.25">
      <c r="A215" s="62" t="s">
        <v>78</v>
      </c>
      <c r="B215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215" s="64" t="s">
        <v>79</v>
      </c>
      <c r="D215" s="64" t="s">
        <v>80</v>
      </c>
      <c r="E215" s="64" t="s">
        <v>81</v>
      </c>
      <c r="F215" s="64" t="s">
        <v>82</v>
      </c>
      <c r="G215" s="64" t="s">
        <v>92</v>
      </c>
      <c r="H215" s="65" t="str">
        <f>VLOOKUP(Tabla6[[#This Row],[DIRECCIÓN]],DIRECCIÓN[#All],2,0)</f>
        <v>ADMINISTRACIÓN CENTRAL</v>
      </c>
      <c r="I215" s="66" t="s">
        <v>894</v>
      </c>
      <c r="J215" s="67">
        <v>1</v>
      </c>
      <c r="K215" s="68" t="str">
        <f>VLOOKUP(Tabla6[[#This Row],[DIRECCIÓN GENERAL / COORDINACIÓN / SUBDIRECCIÓN]],Tabla37[[#All],[Columna1]:[EOD]],2,0)</f>
        <v>266_0001</v>
      </c>
      <c r="L215" s="69">
        <f>VLOOKUP(Tabla6[[#This Row],[OBJETIVOS PND]],Listas!$A$1:$C$3,3,0)</f>
        <v>1</v>
      </c>
      <c r="M215" s="70">
        <f>VLOOKUP(Tabla6[[#This Row],[PG]],Listas2!$G$14:$K$16,5,0)</f>
        <v>0</v>
      </c>
      <c r="N215" s="71">
        <v>1</v>
      </c>
      <c r="O215" s="72">
        <v>1001</v>
      </c>
      <c r="P215" s="73" t="str">
        <f>VLOOKUP(Tabla6[[#This Row],[GEO]],Listas!$A$48:$B$77,2,0)</f>
        <v>IBARRA</v>
      </c>
      <c r="Q215" s="70">
        <f>VLOOKUP(Tabla6[[#This Row],[PG]],Listas2!$G$14:$K$16,3,0)</f>
        <v>1</v>
      </c>
      <c r="R215" s="73">
        <f>VLOOKUP(Tabla6[[#This Row],[PG]],Listas2!H220:'Listas2'!$G$14:$K$16,4,0)</f>
        <v>0</v>
      </c>
      <c r="S215" s="73">
        <f>VLOOKUP(Tabla6[[#This Row],[PG]],Listas2!$G$14:$K$16,2,0)</f>
        <v>0</v>
      </c>
      <c r="T215" s="66" t="s">
        <v>84</v>
      </c>
      <c r="U215" s="74">
        <v>53</v>
      </c>
      <c r="V215" s="66">
        <v>530402</v>
      </c>
      <c r="W215" s="63" t="str">
        <f>VLOOKUP(Tabla6[[#This Row],[ÍTEM PRESUPUESTARIO]],Tabla2[#All],2,0)</f>
        <v>EDIFICIOS, LOCALES, RESIDENCIAS Y CABLEADO ESTRUCTURADO (INSTALACIÓN, MANTENIMIENTO Y REPARACIÓN)</v>
      </c>
      <c r="X215" s="57">
        <v>40038</v>
      </c>
      <c r="Y215" s="57">
        <f>40038+3179.14+6827.34+10795.45+143080.16+941.06+3655.13+25658.72-147450.18</f>
        <v>86724.82</v>
      </c>
      <c r="Z215" s="58">
        <v>0</v>
      </c>
      <c r="AA215" s="58">
        <v>0</v>
      </c>
      <c r="AB215" s="58">
        <v>0</v>
      </c>
      <c r="AC215" s="58">
        <v>0</v>
      </c>
      <c r="AD215" s="58">
        <v>0</v>
      </c>
      <c r="AE215" s="58">
        <v>0</v>
      </c>
      <c r="AF215" s="58">
        <v>0</v>
      </c>
      <c r="AG215" s="58">
        <v>86724.82</v>
      </c>
      <c r="AH215" s="58">
        <v>0</v>
      </c>
      <c r="AI215" s="58">
        <v>0</v>
      </c>
      <c r="AJ215" s="58">
        <v>0</v>
      </c>
      <c r="AK215" s="58">
        <v>0</v>
      </c>
      <c r="AL215" s="75">
        <f>+SUBTOTAL(9,Tabla6[[#This Row],[ENE]:[DIC]])</f>
        <v>86724.82</v>
      </c>
      <c r="AM215" s="76" t="str">
        <f t="shared" si="3"/>
        <v>OK</v>
      </c>
      <c r="AN215" s="60">
        <v>86724.82</v>
      </c>
      <c r="AO215" s="61">
        <f>+Tabla6[[#This Row],[PRESUPUESTO VIGENTE]]-Tabla6[[#This Row],[CERTIFICACIÓN PAPP]]</f>
        <v>0</v>
      </c>
      <c r="AP215" s="59" t="s">
        <v>87</v>
      </c>
    </row>
    <row r="216" spans="1:42" ht="93" customHeight="1" x14ac:dyDescent="0.25">
      <c r="A216" s="62" t="s">
        <v>78</v>
      </c>
      <c r="B216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216" s="64" t="s">
        <v>79</v>
      </c>
      <c r="D216" s="64" t="s">
        <v>80</v>
      </c>
      <c r="E216" s="64" t="s">
        <v>81</v>
      </c>
      <c r="F216" s="64" t="s">
        <v>82</v>
      </c>
      <c r="G216" s="64" t="s">
        <v>92</v>
      </c>
      <c r="H216" s="65" t="str">
        <f>VLOOKUP(Tabla6[[#This Row],[DIRECCIÓN]],DIRECCIÓN[#All],2,0)</f>
        <v>ADMINISTRACIÓN CENTRAL</v>
      </c>
      <c r="I216" s="66" t="s">
        <v>895</v>
      </c>
      <c r="J216" s="67">
        <v>2</v>
      </c>
      <c r="K216" s="68" t="str">
        <f>VLOOKUP(Tabla6[[#This Row],[DIRECCIÓN GENERAL / COORDINACIÓN / SUBDIRECCIÓN]],Tabla37[[#All],[Columna1]:[EOD]],2,0)</f>
        <v>266_0001</v>
      </c>
      <c r="L216" s="69">
        <f>VLOOKUP(Tabla6[[#This Row],[OBJETIVOS PND]],Listas!$A$1:$C$3,3,0)</f>
        <v>1</v>
      </c>
      <c r="M216" s="70">
        <f>VLOOKUP(Tabla6[[#This Row],[PG]],Listas2!$G$14:$K$16,5,0)</f>
        <v>0</v>
      </c>
      <c r="N216" s="71">
        <v>1</v>
      </c>
      <c r="O216" s="72">
        <v>1001</v>
      </c>
      <c r="P216" s="73" t="str">
        <f>VLOOKUP(Tabla6[[#This Row],[GEO]],Listas!$A$48:$B$77,2,0)</f>
        <v>IBARRA</v>
      </c>
      <c r="Q216" s="70">
        <f>VLOOKUP(Tabla6[[#This Row],[PG]],Listas2!$G$14:$K$16,3,0)</f>
        <v>1</v>
      </c>
      <c r="R216" s="73">
        <f>VLOOKUP(Tabla6[[#This Row],[PG]],Listas2!H221:'Listas2'!$G$14:$K$16,4,0)</f>
        <v>0</v>
      </c>
      <c r="S216" s="73">
        <f>VLOOKUP(Tabla6[[#This Row],[PG]],Listas2!$G$14:$K$16,2,0)</f>
        <v>0</v>
      </c>
      <c r="T216" s="66" t="s">
        <v>84</v>
      </c>
      <c r="U216" s="74">
        <v>53</v>
      </c>
      <c r="V216" s="66">
        <v>530403</v>
      </c>
      <c r="W216" s="63" t="str">
        <f>VLOOKUP(Tabla6[[#This Row],[ÍTEM PRESUPUESTARIO]],Tabla2[#All],2,0)</f>
        <v>MOBILIARIOS (INSTALACIÓN, MANTENIMIENTO Y REPARACIÓN)</v>
      </c>
      <c r="X216" s="57">
        <v>2000</v>
      </c>
      <c r="Y216" s="57">
        <f>2000+2000+2300-3015.25</f>
        <v>3284.75</v>
      </c>
      <c r="Z216" s="58">
        <v>0</v>
      </c>
      <c r="AA216" s="58">
        <v>0</v>
      </c>
      <c r="AB216" s="58">
        <v>0</v>
      </c>
      <c r="AC216" s="58">
        <v>0</v>
      </c>
      <c r="AD216" s="58">
        <v>0</v>
      </c>
      <c r="AE216" s="58">
        <v>0</v>
      </c>
      <c r="AF216" s="58">
        <v>0</v>
      </c>
      <c r="AG216" s="58">
        <v>0</v>
      </c>
      <c r="AH216" s="58">
        <v>3284.75</v>
      </c>
      <c r="AI216" s="58">
        <v>0</v>
      </c>
      <c r="AJ216" s="58">
        <v>0</v>
      </c>
      <c r="AK216" s="58">
        <v>0</v>
      </c>
      <c r="AL216" s="75">
        <f>+SUBTOTAL(9,Tabla6[[#This Row],[ENE]:[DIC]])</f>
        <v>3284.75</v>
      </c>
      <c r="AM216" s="76" t="str">
        <f t="shared" si="3"/>
        <v>OK</v>
      </c>
      <c r="AN216" s="60">
        <v>3284.75</v>
      </c>
      <c r="AO216" s="61">
        <f>+Tabla6[[#This Row],[PRESUPUESTO VIGENTE]]-Tabla6[[#This Row],[CERTIFICACIÓN PAPP]]</f>
        <v>0</v>
      </c>
      <c r="AP216" s="59" t="s">
        <v>87</v>
      </c>
    </row>
    <row r="217" spans="1:42" ht="93" customHeight="1" x14ac:dyDescent="0.25">
      <c r="A217" s="62" t="s">
        <v>78</v>
      </c>
      <c r="B217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217" s="64" t="s">
        <v>79</v>
      </c>
      <c r="D217" s="64" t="s">
        <v>80</v>
      </c>
      <c r="E217" s="64" t="s">
        <v>81</v>
      </c>
      <c r="F217" s="64" t="s">
        <v>82</v>
      </c>
      <c r="G217" s="64" t="s">
        <v>92</v>
      </c>
      <c r="H217" s="65" t="str">
        <f>VLOOKUP(Tabla6[[#This Row],[DIRECCIÓN]],DIRECCIÓN[#All],2,0)</f>
        <v>ADMINISTRACIÓN CENTRAL</v>
      </c>
      <c r="I217" s="66" t="s">
        <v>896</v>
      </c>
      <c r="J217" s="67">
        <v>1</v>
      </c>
      <c r="K217" s="68" t="str">
        <f>VLOOKUP(Tabla6[[#This Row],[DIRECCIÓN GENERAL / COORDINACIÓN / SUBDIRECCIÓN]],Tabla37[[#All],[Columna1]:[EOD]],2,0)</f>
        <v>266_0001</v>
      </c>
      <c r="L217" s="69">
        <f>VLOOKUP(Tabla6[[#This Row],[OBJETIVOS PND]],Listas!$A$1:$C$3,3,0)</f>
        <v>1</v>
      </c>
      <c r="M217" s="70">
        <f>VLOOKUP(Tabla6[[#This Row],[PG]],Listas2!$G$14:$K$16,5,0)</f>
        <v>0</v>
      </c>
      <c r="N217" s="71">
        <v>1</v>
      </c>
      <c r="O217" s="72">
        <v>1001</v>
      </c>
      <c r="P217" s="73" t="str">
        <f>VLOOKUP(Tabla6[[#This Row],[GEO]],Listas!$A$48:$B$77,2,0)</f>
        <v>IBARRA</v>
      </c>
      <c r="Q217" s="70">
        <f>VLOOKUP(Tabla6[[#This Row],[PG]],Listas2!$G$14:$K$16,3,0)</f>
        <v>1</v>
      </c>
      <c r="R217" s="73">
        <f>VLOOKUP(Tabla6[[#This Row],[PG]],Listas2!H222:'Listas2'!$G$14:$K$16,4,0)</f>
        <v>0</v>
      </c>
      <c r="S217" s="73">
        <f>VLOOKUP(Tabla6[[#This Row],[PG]],Listas2!$G$14:$K$16,2,0)</f>
        <v>0</v>
      </c>
      <c r="T217" s="66" t="s">
        <v>84</v>
      </c>
      <c r="U217" s="74">
        <v>53</v>
      </c>
      <c r="V217" s="66">
        <v>530404</v>
      </c>
      <c r="W217" s="63" t="str">
        <f>VLOOKUP(Tabla6[[#This Row],[ÍTEM PRESUPUESTARIO]],Tabla2[#All],2,0)</f>
        <v>MAQUINARIAS Y EQUIPOS (INSTALACIÓN, MANTENIMIENTO Y REPARACIÓN)</v>
      </c>
      <c r="X217" s="57">
        <v>160000</v>
      </c>
      <c r="Y217" s="57">
        <f>160000-63000-187.49</f>
        <v>96812.51</v>
      </c>
      <c r="Z217" s="58">
        <v>0</v>
      </c>
      <c r="AA217" s="58">
        <v>8818.18</v>
      </c>
      <c r="AB217" s="58">
        <v>8818.18</v>
      </c>
      <c r="AC217" s="58">
        <v>8818.18</v>
      </c>
      <c r="AD217" s="58">
        <v>8818.18</v>
      </c>
      <c r="AE217" s="58">
        <v>8818.18</v>
      </c>
      <c r="AF217" s="58">
        <v>8818.18</v>
      </c>
      <c r="AG217" s="58">
        <v>8818.18</v>
      </c>
      <c r="AH217" s="58">
        <v>8818.18</v>
      </c>
      <c r="AI217" s="58">
        <v>8818.18</v>
      </c>
      <c r="AJ217" s="58">
        <v>8818.18</v>
      </c>
      <c r="AK217" s="58">
        <v>8630.7100000000064</v>
      </c>
      <c r="AL217" s="75">
        <f>+SUBTOTAL(9,Tabla6[[#This Row],[ENE]:[DIC]])</f>
        <v>96812.51</v>
      </c>
      <c r="AM217" s="76" t="str">
        <f t="shared" si="3"/>
        <v>OK</v>
      </c>
      <c r="AN217" s="60">
        <v>96812.51</v>
      </c>
      <c r="AO217" s="61">
        <f>+Tabla6[[#This Row],[PRESUPUESTO VIGENTE]]-Tabla6[[#This Row],[CERTIFICACIÓN PAPP]]</f>
        <v>0</v>
      </c>
      <c r="AP217" s="59">
        <v>0</v>
      </c>
    </row>
    <row r="218" spans="1:42" ht="93" customHeight="1" x14ac:dyDescent="0.25">
      <c r="A218" s="62" t="s">
        <v>78</v>
      </c>
      <c r="B218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218" s="64" t="s">
        <v>79</v>
      </c>
      <c r="D218" s="64" t="s">
        <v>80</v>
      </c>
      <c r="E218" s="64" t="s">
        <v>81</v>
      </c>
      <c r="F218" s="64" t="s">
        <v>82</v>
      </c>
      <c r="G218" s="64" t="s">
        <v>92</v>
      </c>
      <c r="H218" s="65" t="str">
        <f>VLOOKUP(Tabla6[[#This Row],[DIRECCIÓN]],DIRECCIÓN[#All],2,0)</f>
        <v>ADMINISTRACIÓN CENTRAL</v>
      </c>
      <c r="I218" s="66" t="s">
        <v>804</v>
      </c>
      <c r="J218" s="67">
        <v>2</v>
      </c>
      <c r="K218" s="68" t="str">
        <f>VLOOKUP(Tabla6[[#This Row],[DIRECCIÓN GENERAL / COORDINACIÓN / SUBDIRECCIÓN]],Tabla37[[#All],[Columna1]:[EOD]],2,0)</f>
        <v>266_0001</v>
      </c>
      <c r="L218" s="69">
        <f>VLOOKUP(Tabla6[[#This Row],[OBJETIVOS PND]],Listas!$A$1:$C$3,3,0)</f>
        <v>1</v>
      </c>
      <c r="M218" s="70">
        <f>VLOOKUP(Tabla6[[#This Row],[PG]],Listas2!$G$14:$K$16,5,0)</f>
        <v>0</v>
      </c>
      <c r="N218" s="71">
        <v>1</v>
      </c>
      <c r="O218" s="72">
        <v>1001</v>
      </c>
      <c r="P218" s="73" t="str">
        <f>VLOOKUP(Tabla6[[#This Row],[GEO]],Listas!$A$48:$B$77,2,0)</f>
        <v>IBARRA</v>
      </c>
      <c r="Q218" s="70">
        <f>VLOOKUP(Tabla6[[#This Row],[PG]],Listas2!$G$14:$K$16,3,0)</f>
        <v>1</v>
      </c>
      <c r="R218" s="73">
        <f>VLOOKUP(Tabla6[[#This Row],[PG]],Listas2!H223:'Listas2'!$G$14:$K$16,4,0)</f>
        <v>0</v>
      </c>
      <c r="S218" s="73">
        <f>VLOOKUP(Tabla6[[#This Row],[PG]],Listas2!$G$14:$K$16,2,0)</f>
        <v>0</v>
      </c>
      <c r="T218" s="66" t="s">
        <v>84</v>
      </c>
      <c r="U218" s="74">
        <v>53</v>
      </c>
      <c r="V218" s="66">
        <v>530404</v>
      </c>
      <c r="W218" s="63" t="str">
        <f>VLOOKUP(Tabla6[[#This Row],[ÍTEM PRESUPUESTARIO]],Tabla2[#All],2,0)</f>
        <v>MAQUINARIAS Y EQUIPOS (INSTALACIÓN, MANTENIMIENTO Y REPARACIÓN)</v>
      </c>
      <c r="X218" s="57">
        <v>2160</v>
      </c>
      <c r="Y218" s="57">
        <f>2160+840-1072.25</f>
        <v>1927.75</v>
      </c>
      <c r="Z218" s="58">
        <v>0</v>
      </c>
      <c r="AA218" s="58">
        <v>0</v>
      </c>
      <c r="AB218" s="58">
        <v>192.78</v>
      </c>
      <c r="AC218" s="58">
        <v>192.78</v>
      </c>
      <c r="AD218" s="58">
        <v>192.78</v>
      </c>
      <c r="AE218" s="58">
        <v>192.78</v>
      </c>
      <c r="AF218" s="58">
        <v>192.78</v>
      </c>
      <c r="AG218" s="58">
        <v>192.78</v>
      </c>
      <c r="AH218" s="58">
        <v>192.78</v>
      </c>
      <c r="AI218" s="58">
        <v>192.78</v>
      </c>
      <c r="AJ218" s="58">
        <v>192.78</v>
      </c>
      <c r="AK218" s="58">
        <v>192.73</v>
      </c>
      <c r="AL218" s="75">
        <f>+SUBTOTAL(9,Tabla6[[#This Row],[ENE]:[DIC]])</f>
        <v>1927.75</v>
      </c>
      <c r="AM218" s="76" t="str">
        <f t="shared" si="3"/>
        <v>OK</v>
      </c>
      <c r="AN218" s="60">
        <v>1927.75</v>
      </c>
      <c r="AO218" s="61">
        <f>+Tabla6[[#This Row],[PRESUPUESTO VIGENTE]]-Tabla6[[#This Row],[CERTIFICACIÓN PAPP]]</f>
        <v>0</v>
      </c>
      <c r="AP218" s="59">
        <v>0</v>
      </c>
    </row>
    <row r="219" spans="1:42" ht="93" customHeight="1" x14ac:dyDescent="0.25">
      <c r="A219" s="62" t="s">
        <v>78</v>
      </c>
      <c r="B219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219" s="64" t="s">
        <v>79</v>
      </c>
      <c r="D219" s="64" t="s">
        <v>80</v>
      </c>
      <c r="E219" s="64" t="s">
        <v>81</v>
      </c>
      <c r="F219" s="64" t="s">
        <v>82</v>
      </c>
      <c r="G219" s="64" t="s">
        <v>92</v>
      </c>
      <c r="H219" s="65" t="str">
        <f>VLOOKUP(Tabla6[[#This Row],[DIRECCIÓN]],DIRECCIÓN[#All],2,0)</f>
        <v>ADMINISTRACIÓN CENTRAL</v>
      </c>
      <c r="I219" s="66" t="s">
        <v>897</v>
      </c>
      <c r="J219" s="67">
        <v>3</v>
      </c>
      <c r="K219" s="68" t="str">
        <f>VLOOKUP(Tabla6[[#This Row],[DIRECCIÓN GENERAL / COORDINACIÓN / SUBDIRECCIÓN]],Tabla37[[#All],[Columna1]:[EOD]],2,0)</f>
        <v>266_0001</v>
      </c>
      <c r="L219" s="69">
        <f>VLOOKUP(Tabla6[[#This Row],[OBJETIVOS PND]],Listas!$A$1:$C$3,3,0)</f>
        <v>1</v>
      </c>
      <c r="M219" s="70">
        <f>VLOOKUP(Tabla6[[#This Row],[PG]],Listas2!$G$14:$K$16,5,0)</f>
        <v>0</v>
      </c>
      <c r="N219" s="71">
        <v>1</v>
      </c>
      <c r="O219" s="72">
        <v>1001</v>
      </c>
      <c r="P219" s="73" t="str">
        <f>VLOOKUP(Tabla6[[#This Row],[GEO]],Listas!$A$48:$B$77,2,0)</f>
        <v>IBARRA</v>
      </c>
      <c r="Q219" s="70">
        <f>VLOOKUP(Tabla6[[#This Row],[PG]],Listas2!$G$14:$K$16,3,0)</f>
        <v>1</v>
      </c>
      <c r="R219" s="73">
        <f>VLOOKUP(Tabla6[[#This Row],[PG]],Listas2!H224:'Listas2'!$G$14:$K$16,4,0)</f>
        <v>0</v>
      </c>
      <c r="S219" s="73">
        <f>VLOOKUP(Tabla6[[#This Row],[PG]],Listas2!$G$14:$K$16,2,0)</f>
        <v>0</v>
      </c>
      <c r="T219" s="66" t="s">
        <v>84</v>
      </c>
      <c r="U219" s="74">
        <v>53</v>
      </c>
      <c r="V219" s="66">
        <v>530404</v>
      </c>
      <c r="W219" s="63" t="str">
        <f>VLOOKUP(Tabla6[[#This Row],[ÍTEM PRESUPUESTARIO]],Tabla2[#All],2,0)</f>
        <v>MAQUINARIAS Y EQUIPOS (INSTALACIÓN, MANTENIMIENTO Y REPARACIÓN)</v>
      </c>
      <c r="X219" s="57">
        <v>1000</v>
      </c>
      <c r="Y219" s="57">
        <f>1000-317.5</f>
        <v>682.5</v>
      </c>
      <c r="Z219" s="58">
        <v>0</v>
      </c>
      <c r="AA219" s="58">
        <v>0</v>
      </c>
      <c r="AB219" s="58">
        <v>0</v>
      </c>
      <c r="AC219" s="58">
        <v>0</v>
      </c>
      <c r="AD219" s="58">
        <v>0</v>
      </c>
      <c r="AE219" s="58">
        <v>500</v>
      </c>
      <c r="AF219" s="58">
        <v>0</v>
      </c>
      <c r="AG219" s="58">
        <v>0</v>
      </c>
      <c r="AH219" s="58">
        <v>182.5</v>
      </c>
      <c r="AI219" s="58">
        <v>0</v>
      </c>
      <c r="AJ219" s="58">
        <v>0</v>
      </c>
      <c r="AK219" s="58">
        <v>0</v>
      </c>
      <c r="AL219" s="75">
        <f>+SUBTOTAL(9,Tabla6[[#This Row],[ENE]:[DIC]])</f>
        <v>682.5</v>
      </c>
      <c r="AM219" s="76" t="str">
        <f t="shared" si="3"/>
        <v>OK</v>
      </c>
      <c r="AN219" s="60">
        <v>682.5</v>
      </c>
      <c r="AO219" s="61">
        <f>+Tabla6[[#This Row],[PRESUPUESTO VIGENTE]]-Tabla6[[#This Row],[CERTIFICACIÓN PAPP]]</f>
        <v>0</v>
      </c>
      <c r="AP219" s="59">
        <v>0</v>
      </c>
    </row>
    <row r="220" spans="1:42" ht="93" customHeight="1" x14ac:dyDescent="0.25">
      <c r="A220" s="62" t="s">
        <v>78</v>
      </c>
      <c r="B220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220" s="64" t="s">
        <v>79</v>
      </c>
      <c r="D220" s="64" t="s">
        <v>80</v>
      </c>
      <c r="E220" s="64" t="s">
        <v>81</v>
      </c>
      <c r="F220" s="64" t="s">
        <v>82</v>
      </c>
      <c r="G220" s="64" t="s">
        <v>92</v>
      </c>
      <c r="H220" s="65" t="str">
        <f>VLOOKUP(Tabla6[[#This Row],[DIRECCIÓN]],DIRECCIÓN[#All],2,0)</f>
        <v>ADMINISTRACIÓN CENTRAL</v>
      </c>
      <c r="I220" s="66" t="s">
        <v>898</v>
      </c>
      <c r="J220" s="67">
        <v>3</v>
      </c>
      <c r="K220" s="68" t="str">
        <f>VLOOKUP(Tabla6[[#This Row],[DIRECCIÓN GENERAL / COORDINACIÓN / SUBDIRECCIÓN]],Tabla37[[#All],[Columna1]:[EOD]],2,0)</f>
        <v>266_0001</v>
      </c>
      <c r="L220" s="69">
        <f>VLOOKUP(Tabla6[[#This Row],[OBJETIVOS PND]],Listas!$A$1:$C$3,3,0)</f>
        <v>1</v>
      </c>
      <c r="M220" s="70">
        <f>VLOOKUP(Tabla6[[#This Row],[PG]],Listas2!$G$14:$K$16,5,0)</f>
        <v>0</v>
      </c>
      <c r="N220" s="71">
        <v>1</v>
      </c>
      <c r="O220" s="72">
        <v>1001</v>
      </c>
      <c r="P220" s="73" t="str">
        <f>VLOOKUP(Tabla6[[#This Row],[GEO]],Listas!$A$48:$B$77,2,0)</f>
        <v>IBARRA</v>
      </c>
      <c r="Q220" s="70">
        <f>VLOOKUP(Tabla6[[#This Row],[PG]],Listas2!$G$14:$K$16,3,0)</f>
        <v>1</v>
      </c>
      <c r="R220" s="73">
        <f>VLOOKUP(Tabla6[[#This Row],[PG]],Listas2!H225:'Listas2'!$G$14:$K$16,4,0)</f>
        <v>0</v>
      </c>
      <c r="S220" s="73">
        <f>VLOOKUP(Tabla6[[#This Row],[PG]],Listas2!$G$14:$K$16,2,0)</f>
        <v>0</v>
      </c>
      <c r="T220" s="66" t="s">
        <v>84</v>
      </c>
      <c r="U220" s="74">
        <v>53</v>
      </c>
      <c r="V220" s="66">
        <v>530404</v>
      </c>
      <c r="W220" s="63" t="str">
        <f>VLOOKUP(Tabla6[[#This Row],[ÍTEM PRESUPUESTARIO]],Tabla2[#All],2,0)</f>
        <v>MAQUINARIAS Y EQUIPOS (INSTALACIÓN, MANTENIMIENTO Y REPARACIÓN)</v>
      </c>
      <c r="X220" s="57">
        <v>1000</v>
      </c>
      <c r="Y220" s="57">
        <f>1000-710</f>
        <v>290</v>
      </c>
      <c r="Z220" s="58">
        <v>0</v>
      </c>
      <c r="AA220" s="58">
        <v>0</v>
      </c>
      <c r="AB220" s="58">
        <v>0</v>
      </c>
      <c r="AC220" s="58">
        <v>290</v>
      </c>
      <c r="AD220" s="58">
        <v>0</v>
      </c>
      <c r="AE220" s="58">
        <v>0</v>
      </c>
      <c r="AF220" s="58">
        <v>0</v>
      </c>
      <c r="AG220" s="58">
        <v>0</v>
      </c>
      <c r="AH220" s="58">
        <v>0</v>
      </c>
      <c r="AI220" s="58">
        <v>0</v>
      </c>
      <c r="AJ220" s="58">
        <v>0</v>
      </c>
      <c r="AK220" s="58">
        <v>0</v>
      </c>
      <c r="AL220" s="75">
        <f>+SUBTOTAL(9,Tabla6[[#This Row],[ENE]:[DIC]])</f>
        <v>290</v>
      </c>
      <c r="AM220" s="76" t="str">
        <f t="shared" si="3"/>
        <v>OK</v>
      </c>
      <c r="AN220" s="60">
        <v>290</v>
      </c>
      <c r="AO220" s="61">
        <f>+Tabla6[[#This Row],[PRESUPUESTO VIGENTE]]-Tabla6[[#This Row],[CERTIFICACIÓN PAPP]]</f>
        <v>0</v>
      </c>
      <c r="AP220" s="59">
        <v>0</v>
      </c>
    </row>
    <row r="221" spans="1:42" ht="93" customHeight="1" x14ac:dyDescent="0.25">
      <c r="A221" s="62" t="s">
        <v>78</v>
      </c>
      <c r="B221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221" s="64" t="s">
        <v>79</v>
      </c>
      <c r="D221" s="64" t="s">
        <v>80</v>
      </c>
      <c r="E221" s="64" t="s">
        <v>81</v>
      </c>
      <c r="F221" s="64" t="s">
        <v>82</v>
      </c>
      <c r="G221" s="64" t="s">
        <v>92</v>
      </c>
      <c r="H221" s="65" t="str">
        <f>VLOOKUP(Tabla6[[#This Row],[DIRECCIÓN]],DIRECCIÓN[#All],2,0)</f>
        <v>ADMINISTRACIÓN CENTRAL</v>
      </c>
      <c r="I221" s="66" t="s">
        <v>792</v>
      </c>
      <c r="J221" s="67">
        <v>2</v>
      </c>
      <c r="K221" s="68" t="str">
        <f>VLOOKUP(Tabla6[[#This Row],[DIRECCIÓN GENERAL / COORDINACIÓN / SUBDIRECCIÓN]],Tabla37[[#All],[Columna1]:[EOD]],2,0)</f>
        <v>266_0001</v>
      </c>
      <c r="L221" s="69">
        <f>VLOOKUP(Tabla6[[#This Row],[OBJETIVOS PND]],Listas!$A$1:$C$3,3,0)</f>
        <v>1</v>
      </c>
      <c r="M221" s="70">
        <f>VLOOKUP(Tabla6[[#This Row],[PG]],Listas2!$G$14:$K$16,5,0)</f>
        <v>0</v>
      </c>
      <c r="N221" s="71">
        <v>1</v>
      </c>
      <c r="O221" s="72">
        <v>1001</v>
      </c>
      <c r="P221" s="73" t="str">
        <f>VLOOKUP(Tabla6[[#This Row],[GEO]],Listas!$A$48:$B$77,2,0)</f>
        <v>IBARRA</v>
      </c>
      <c r="Q221" s="70">
        <f>VLOOKUP(Tabla6[[#This Row],[PG]],Listas2!$G$14:$K$16,3,0)</f>
        <v>1</v>
      </c>
      <c r="R221" s="73">
        <f>VLOOKUP(Tabla6[[#This Row],[PG]],Listas2!H226:'Listas2'!$G$14:$K$16,4,0)</f>
        <v>0</v>
      </c>
      <c r="S221" s="73">
        <f>VLOOKUP(Tabla6[[#This Row],[PG]],Listas2!$G$14:$K$16,2,0)</f>
        <v>0</v>
      </c>
      <c r="T221" s="66" t="s">
        <v>84</v>
      </c>
      <c r="U221" s="74">
        <v>53</v>
      </c>
      <c r="V221" s="66">
        <v>530404</v>
      </c>
      <c r="W221" s="63" t="str">
        <f>VLOOKUP(Tabla6[[#This Row],[ÍTEM PRESUPUESTARIO]],Tabla2[#All],2,0)</f>
        <v>MAQUINARIAS Y EQUIPOS (INSTALACIÓN, MANTENIMIENTO Y REPARACIÓN)</v>
      </c>
      <c r="X221" s="57">
        <v>100</v>
      </c>
      <c r="Y221" s="57">
        <v>100</v>
      </c>
      <c r="Z221" s="58">
        <v>0</v>
      </c>
      <c r="AA221" s="58">
        <v>0</v>
      </c>
      <c r="AB221" s="58">
        <v>0</v>
      </c>
      <c r="AC221" s="58">
        <v>0</v>
      </c>
      <c r="AD221" s="58">
        <v>0</v>
      </c>
      <c r="AE221" s="58">
        <v>0</v>
      </c>
      <c r="AF221" s="58">
        <v>0</v>
      </c>
      <c r="AG221" s="58">
        <v>0</v>
      </c>
      <c r="AH221" s="58">
        <v>0</v>
      </c>
      <c r="AI221" s="58">
        <v>0</v>
      </c>
      <c r="AJ221" s="58">
        <v>0</v>
      </c>
      <c r="AK221" s="58">
        <v>100</v>
      </c>
      <c r="AL221" s="75">
        <f>+SUBTOTAL(9,Tabla6[[#This Row],[ENE]:[DIC]])</f>
        <v>100</v>
      </c>
      <c r="AM221" s="76" t="str">
        <f t="shared" si="3"/>
        <v>OK</v>
      </c>
      <c r="AN221" s="60">
        <v>100</v>
      </c>
      <c r="AO221" s="61">
        <f>+Tabla6[[#This Row],[PRESUPUESTO VIGENTE]]-Tabla6[[#This Row],[CERTIFICACIÓN PAPP]]</f>
        <v>0</v>
      </c>
      <c r="AP221" s="59" t="s">
        <v>87</v>
      </c>
    </row>
    <row r="222" spans="1:42" ht="93" customHeight="1" x14ac:dyDescent="0.25">
      <c r="A222" s="62" t="s">
        <v>78</v>
      </c>
      <c r="B222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222" s="64" t="s">
        <v>79</v>
      </c>
      <c r="D222" s="64" t="s">
        <v>80</v>
      </c>
      <c r="E222" s="64" t="s">
        <v>81</v>
      </c>
      <c r="F222" s="64" t="s">
        <v>82</v>
      </c>
      <c r="G222" s="64" t="s">
        <v>92</v>
      </c>
      <c r="H222" s="65" t="str">
        <f>VLOOKUP(Tabla6[[#This Row],[DIRECCIÓN]],DIRECCIÓN[#All],2,0)</f>
        <v>ADMINISTRACIÓN CENTRAL</v>
      </c>
      <c r="I222" s="66" t="s">
        <v>899</v>
      </c>
      <c r="J222" s="67">
        <v>1</v>
      </c>
      <c r="K222" s="68" t="str">
        <f>VLOOKUP(Tabla6[[#This Row],[DIRECCIÓN GENERAL / COORDINACIÓN / SUBDIRECCIÓN]],Tabla37[[#All],[Columna1]:[EOD]],2,0)</f>
        <v>266_0001</v>
      </c>
      <c r="L222" s="69">
        <f>VLOOKUP(Tabla6[[#This Row],[OBJETIVOS PND]],Listas!$A$1:$C$3,3,0)</f>
        <v>1</v>
      </c>
      <c r="M222" s="70">
        <f>VLOOKUP(Tabla6[[#This Row],[PG]],Listas2!$G$14:$K$16,5,0)</f>
        <v>0</v>
      </c>
      <c r="N222" s="71">
        <v>1</v>
      </c>
      <c r="O222" s="72">
        <v>1001</v>
      </c>
      <c r="P222" s="73" t="str">
        <f>VLOOKUP(Tabla6[[#This Row],[GEO]],Listas!$A$48:$B$77,2,0)</f>
        <v>IBARRA</v>
      </c>
      <c r="Q222" s="70">
        <f>VLOOKUP(Tabla6[[#This Row],[PG]],Listas2!$G$14:$K$16,3,0)</f>
        <v>1</v>
      </c>
      <c r="R222" s="73">
        <f>VLOOKUP(Tabla6[[#This Row],[PG]],Listas2!H227:'Listas2'!$G$14:$K$16,4,0)</f>
        <v>0</v>
      </c>
      <c r="S222" s="73">
        <f>VLOOKUP(Tabla6[[#This Row],[PG]],Listas2!$G$14:$K$16,2,0)</f>
        <v>0</v>
      </c>
      <c r="T222" s="66" t="s">
        <v>84</v>
      </c>
      <c r="U222" s="74">
        <v>53</v>
      </c>
      <c r="V222" s="66">
        <v>530405</v>
      </c>
      <c r="W222" s="63" t="str">
        <f>VLOOKUP(Tabla6[[#This Row],[ÍTEM PRESUPUESTARIO]],Tabla2[#All],2,0)</f>
        <v>VEHÍCULOS (SERVICIO PARA MANTENIMIENTO Y REPARACIÓN)</v>
      </c>
      <c r="X222" s="57">
        <v>2580</v>
      </c>
      <c r="Y222" s="57">
        <f>2580-1113</f>
        <v>1467</v>
      </c>
      <c r="Z222" s="58">
        <v>0</v>
      </c>
      <c r="AA222" s="58">
        <v>0</v>
      </c>
      <c r="AB222" s="58">
        <v>0</v>
      </c>
      <c r="AC222" s="58">
        <v>500</v>
      </c>
      <c r="AD222" s="58">
        <v>0</v>
      </c>
      <c r="AE222" s="58">
        <v>800</v>
      </c>
      <c r="AF222" s="58">
        <v>0</v>
      </c>
      <c r="AG222" s="58">
        <v>167</v>
      </c>
      <c r="AH222" s="58">
        <v>0</v>
      </c>
      <c r="AI222" s="58">
        <v>0</v>
      </c>
      <c r="AJ222" s="58">
        <v>0</v>
      </c>
      <c r="AK222" s="58">
        <v>0</v>
      </c>
      <c r="AL222" s="75">
        <f>+SUBTOTAL(9,Tabla6[[#This Row],[ENE]:[DIC]])</f>
        <v>1467</v>
      </c>
      <c r="AM222" s="76" t="str">
        <f t="shared" si="3"/>
        <v>OK</v>
      </c>
      <c r="AN222" s="60">
        <v>1467</v>
      </c>
      <c r="AO222" s="61">
        <f>+Tabla6[[#This Row],[PRESUPUESTO VIGENTE]]-Tabla6[[#This Row],[CERTIFICACIÓN PAPP]]</f>
        <v>0</v>
      </c>
      <c r="AP222" s="59" t="s">
        <v>87</v>
      </c>
    </row>
    <row r="223" spans="1:42" ht="93" customHeight="1" x14ac:dyDescent="0.25">
      <c r="A223" s="62" t="s">
        <v>78</v>
      </c>
      <c r="B223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223" s="64" t="s">
        <v>79</v>
      </c>
      <c r="D223" s="64" t="s">
        <v>80</v>
      </c>
      <c r="E223" s="64" t="s">
        <v>81</v>
      </c>
      <c r="F223" s="64" t="s">
        <v>82</v>
      </c>
      <c r="G223" s="64" t="s">
        <v>92</v>
      </c>
      <c r="H223" s="65" t="str">
        <f>VLOOKUP(Tabla6[[#This Row],[DIRECCIÓN]],DIRECCIÓN[#All],2,0)</f>
        <v>ADMINISTRACIÓN CENTRAL</v>
      </c>
      <c r="I223" s="66" t="s">
        <v>900</v>
      </c>
      <c r="J223" s="67">
        <v>1</v>
      </c>
      <c r="K223" s="68" t="str">
        <f>VLOOKUP(Tabla6[[#This Row],[DIRECCIÓN GENERAL / COORDINACIÓN / SUBDIRECCIÓN]],Tabla37[[#All],[Columna1]:[EOD]],2,0)</f>
        <v>266_0001</v>
      </c>
      <c r="L223" s="69">
        <f>VLOOKUP(Tabla6[[#This Row],[OBJETIVOS PND]],Listas!$A$1:$C$3,3,0)</f>
        <v>1</v>
      </c>
      <c r="M223" s="70">
        <f>VLOOKUP(Tabla6[[#This Row],[PG]],Listas2!$G$14:$K$16,5,0)</f>
        <v>0</v>
      </c>
      <c r="N223" s="71">
        <v>1</v>
      </c>
      <c r="O223" s="72">
        <v>1001</v>
      </c>
      <c r="P223" s="73" t="str">
        <f>VLOOKUP(Tabla6[[#This Row],[GEO]],Listas!$A$48:$B$77,2,0)</f>
        <v>IBARRA</v>
      </c>
      <c r="Q223" s="70">
        <f>VLOOKUP(Tabla6[[#This Row],[PG]],Listas2!$G$14:$K$16,3,0)</f>
        <v>1</v>
      </c>
      <c r="R223" s="73">
        <f>VLOOKUP(Tabla6[[#This Row],[PG]],Listas2!H228:'Listas2'!$G$14:$K$16,4,0)</f>
        <v>0</v>
      </c>
      <c r="S223" s="73">
        <f>VLOOKUP(Tabla6[[#This Row],[PG]],Listas2!$G$14:$K$16,2,0)</f>
        <v>0</v>
      </c>
      <c r="T223" s="66" t="s">
        <v>84</v>
      </c>
      <c r="U223" s="74">
        <v>53</v>
      </c>
      <c r="V223" s="66">
        <v>530405</v>
      </c>
      <c r="W223" s="63" t="str">
        <f>VLOOKUP(Tabla6[[#This Row],[ÍTEM PRESUPUESTARIO]],Tabla2[#All],2,0)</f>
        <v>VEHÍCULOS (SERVICIO PARA MANTENIMIENTO Y REPARACIÓN)</v>
      </c>
      <c r="X223" s="57">
        <v>800</v>
      </c>
      <c r="Y223" s="57">
        <f>800-800</f>
        <v>0</v>
      </c>
      <c r="Z223" s="58">
        <v>0</v>
      </c>
      <c r="AA223" s="58">
        <v>0</v>
      </c>
      <c r="AB223" s="58">
        <v>0</v>
      </c>
      <c r="AC223" s="58">
        <v>0</v>
      </c>
      <c r="AD223" s="58">
        <v>0</v>
      </c>
      <c r="AE223" s="58">
        <v>0</v>
      </c>
      <c r="AF223" s="58">
        <v>0</v>
      </c>
      <c r="AG223" s="58">
        <v>0</v>
      </c>
      <c r="AH223" s="58">
        <v>0</v>
      </c>
      <c r="AI223" s="58">
        <v>0</v>
      </c>
      <c r="AJ223" s="58">
        <v>0</v>
      </c>
      <c r="AK223" s="58">
        <v>0</v>
      </c>
      <c r="AL223" s="75">
        <f>+SUBTOTAL(9,Tabla6[[#This Row],[ENE]:[DIC]])</f>
        <v>0</v>
      </c>
      <c r="AM223" s="76" t="str">
        <f t="shared" si="3"/>
        <v>OK</v>
      </c>
      <c r="AN223" s="60">
        <v>0</v>
      </c>
      <c r="AO223" s="61">
        <f>+Tabla6[[#This Row],[PRESUPUESTO VIGENTE]]-Tabla6[[#This Row],[CERTIFICACIÓN PAPP]]</f>
        <v>0</v>
      </c>
      <c r="AP223" s="59">
        <v>0</v>
      </c>
    </row>
    <row r="224" spans="1:42" ht="93" customHeight="1" x14ac:dyDescent="0.25">
      <c r="A224" s="62" t="s">
        <v>78</v>
      </c>
      <c r="B224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224" s="64" t="s">
        <v>79</v>
      </c>
      <c r="D224" s="64" t="s">
        <v>80</v>
      </c>
      <c r="E224" s="64" t="s">
        <v>81</v>
      </c>
      <c r="F224" s="64" t="s">
        <v>82</v>
      </c>
      <c r="G224" s="64" t="s">
        <v>92</v>
      </c>
      <c r="H224" s="65" t="str">
        <f>VLOOKUP(Tabla6[[#This Row],[DIRECCIÓN]],DIRECCIÓN[#All],2,0)</f>
        <v>ADMINISTRACIÓN CENTRAL</v>
      </c>
      <c r="I224" s="66" t="s">
        <v>792</v>
      </c>
      <c r="J224" s="67">
        <v>2</v>
      </c>
      <c r="K224" s="68" t="str">
        <f>VLOOKUP(Tabla6[[#This Row],[DIRECCIÓN GENERAL / COORDINACIÓN / SUBDIRECCIÓN]],Tabla37[[#All],[Columna1]:[EOD]],2,0)</f>
        <v>266_0001</v>
      </c>
      <c r="L224" s="69">
        <f>VLOOKUP(Tabla6[[#This Row],[OBJETIVOS PND]],Listas!$A$1:$C$3,3,0)</f>
        <v>1</v>
      </c>
      <c r="M224" s="70">
        <f>VLOOKUP(Tabla6[[#This Row],[PG]],Listas2!$G$14:$K$16,5,0)</f>
        <v>0</v>
      </c>
      <c r="N224" s="71">
        <v>1</v>
      </c>
      <c r="O224" s="72">
        <v>1001</v>
      </c>
      <c r="P224" s="73" t="str">
        <f>VLOOKUP(Tabla6[[#This Row],[GEO]],Listas!$A$48:$B$77,2,0)</f>
        <v>IBARRA</v>
      </c>
      <c r="Q224" s="70">
        <f>VLOOKUP(Tabla6[[#This Row],[PG]],Listas2!$G$14:$K$16,3,0)</f>
        <v>1</v>
      </c>
      <c r="R224" s="73">
        <f>VLOOKUP(Tabla6[[#This Row],[PG]],Listas2!H229:'Listas2'!$G$14:$K$16,4,0)</f>
        <v>0</v>
      </c>
      <c r="S224" s="73">
        <f>VLOOKUP(Tabla6[[#This Row],[PG]],Listas2!$G$14:$K$16,2,0)</f>
        <v>0</v>
      </c>
      <c r="T224" s="66" t="s">
        <v>84</v>
      </c>
      <c r="U224" s="74">
        <v>53</v>
      </c>
      <c r="V224" s="66">
        <v>530405</v>
      </c>
      <c r="W224" s="63" t="str">
        <f>VLOOKUP(Tabla6[[#This Row],[ÍTEM PRESUPUESTARIO]],Tabla2[#All],2,0)</f>
        <v>VEHÍCULOS (SERVICIO PARA MANTENIMIENTO Y REPARACIÓN)</v>
      </c>
      <c r="X224" s="57">
        <v>100</v>
      </c>
      <c r="Y224" s="57">
        <f>100-50-25+25-50</f>
        <v>0</v>
      </c>
      <c r="Z224" s="58">
        <v>0</v>
      </c>
      <c r="AA224" s="58">
        <v>0</v>
      </c>
      <c r="AB224" s="58">
        <v>0</v>
      </c>
      <c r="AC224" s="58">
        <v>0</v>
      </c>
      <c r="AD224" s="58">
        <v>0</v>
      </c>
      <c r="AE224" s="58">
        <v>0</v>
      </c>
      <c r="AF224" s="58">
        <v>0</v>
      </c>
      <c r="AG224" s="58">
        <v>0</v>
      </c>
      <c r="AH224" s="58">
        <v>0</v>
      </c>
      <c r="AI224" s="58">
        <v>0</v>
      </c>
      <c r="AJ224" s="58">
        <v>0</v>
      </c>
      <c r="AK224" s="58">
        <v>0</v>
      </c>
      <c r="AL224" s="75">
        <f>+SUBTOTAL(9,Tabla6[[#This Row],[ENE]:[DIC]])</f>
        <v>0</v>
      </c>
      <c r="AM224" s="76" t="str">
        <f t="shared" si="3"/>
        <v>OK</v>
      </c>
      <c r="AN224" s="60">
        <v>0</v>
      </c>
      <c r="AO224" s="61">
        <f>+Tabla6[[#This Row],[PRESUPUESTO VIGENTE]]-Tabla6[[#This Row],[CERTIFICACIÓN PAPP]]</f>
        <v>0</v>
      </c>
      <c r="AP224" s="59" t="s">
        <v>87</v>
      </c>
    </row>
    <row r="225" spans="1:42" ht="93" customHeight="1" x14ac:dyDescent="0.25">
      <c r="A225" s="62" t="s">
        <v>78</v>
      </c>
      <c r="B225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225" s="64" t="s">
        <v>79</v>
      </c>
      <c r="D225" s="64" t="s">
        <v>80</v>
      </c>
      <c r="E225" s="64" t="s">
        <v>81</v>
      </c>
      <c r="F225" s="64" t="s">
        <v>82</v>
      </c>
      <c r="G225" s="64" t="s">
        <v>92</v>
      </c>
      <c r="H225" s="65" t="str">
        <f>VLOOKUP(Tabla6[[#This Row],[DIRECCIÓN]],DIRECCIÓN[#All],2,0)</f>
        <v>ADMINISTRACIÓN CENTRAL</v>
      </c>
      <c r="I225" s="66" t="s">
        <v>901</v>
      </c>
      <c r="J225" s="67">
        <v>2</v>
      </c>
      <c r="K225" s="68" t="str">
        <f>VLOOKUP(Tabla6[[#This Row],[DIRECCIÓN GENERAL / COORDINACIÓN / SUBDIRECCIÓN]],Tabla37[[#All],[Columna1]:[EOD]],2,0)</f>
        <v>266_0001</v>
      </c>
      <c r="L225" s="69">
        <f>VLOOKUP(Tabla6[[#This Row],[OBJETIVOS PND]],Listas!$A$1:$C$3,3,0)</f>
        <v>1</v>
      </c>
      <c r="M225" s="70">
        <f>VLOOKUP(Tabla6[[#This Row],[PG]],Listas2!$G$14:$K$16,5,0)</f>
        <v>0</v>
      </c>
      <c r="N225" s="71">
        <v>1</v>
      </c>
      <c r="O225" s="72">
        <v>1001</v>
      </c>
      <c r="P225" s="73" t="str">
        <f>VLOOKUP(Tabla6[[#This Row],[GEO]],Listas!$A$48:$B$77,2,0)</f>
        <v>IBARRA</v>
      </c>
      <c r="Q225" s="70">
        <f>VLOOKUP(Tabla6[[#This Row],[PG]],Listas2!$G$14:$K$16,3,0)</f>
        <v>1</v>
      </c>
      <c r="R225" s="73">
        <f>VLOOKUP(Tabla6[[#This Row],[PG]],Listas2!H230:'Listas2'!$G$14:$K$16,4,0)</f>
        <v>0</v>
      </c>
      <c r="S225" s="73">
        <f>VLOOKUP(Tabla6[[#This Row],[PG]],Listas2!$G$14:$K$16,2,0)</f>
        <v>0</v>
      </c>
      <c r="T225" s="66" t="s">
        <v>84</v>
      </c>
      <c r="U225" s="74">
        <v>53</v>
      </c>
      <c r="V225" s="66">
        <v>530704</v>
      </c>
      <c r="W225" s="63" t="str">
        <f>VLOOKUP(Tabla6[[#This Row],[ÍTEM PRESUPUESTARIO]],Tabla2[#All],2,0)</f>
        <v xml:space="preserve">MANTENIMIENTO Y REPARACIÓN DE EQUIPOS Y SISTEMAS INFORMÁTICOS </v>
      </c>
      <c r="X225" s="57">
        <v>800</v>
      </c>
      <c r="Y225" s="57">
        <f>800-692.87</f>
        <v>107.13</v>
      </c>
      <c r="Z225" s="58">
        <v>0</v>
      </c>
      <c r="AA225" s="58">
        <v>0</v>
      </c>
      <c r="AB225" s="58">
        <v>0</v>
      </c>
      <c r="AC225" s="58">
        <v>0</v>
      </c>
      <c r="AD225" s="58">
        <v>107.13</v>
      </c>
      <c r="AE225" s="58">
        <v>0</v>
      </c>
      <c r="AF225" s="58">
        <v>0</v>
      </c>
      <c r="AG225" s="58">
        <v>0</v>
      </c>
      <c r="AH225" s="58">
        <v>0</v>
      </c>
      <c r="AI225" s="58">
        <v>0</v>
      </c>
      <c r="AJ225" s="58">
        <v>0</v>
      </c>
      <c r="AK225" s="58">
        <v>0</v>
      </c>
      <c r="AL225" s="75">
        <f>+SUBTOTAL(9,Tabla6[[#This Row],[ENE]:[DIC]])</f>
        <v>107.13</v>
      </c>
      <c r="AM225" s="76" t="str">
        <f t="shared" si="3"/>
        <v>OK</v>
      </c>
      <c r="AN225" s="60">
        <v>107.13</v>
      </c>
      <c r="AO225" s="61">
        <f>+Tabla6[[#This Row],[PRESUPUESTO VIGENTE]]-Tabla6[[#This Row],[CERTIFICACIÓN PAPP]]</f>
        <v>0</v>
      </c>
      <c r="AP225" s="59" t="s">
        <v>87</v>
      </c>
    </row>
    <row r="226" spans="1:42" ht="93" customHeight="1" x14ac:dyDescent="0.25">
      <c r="A226" s="62" t="s">
        <v>78</v>
      </c>
      <c r="B226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226" s="64" t="s">
        <v>79</v>
      </c>
      <c r="D226" s="64" t="s">
        <v>80</v>
      </c>
      <c r="E226" s="64" t="s">
        <v>81</v>
      </c>
      <c r="F226" s="64" t="s">
        <v>82</v>
      </c>
      <c r="G226" s="64" t="s">
        <v>92</v>
      </c>
      <c r="H226" s="65" t="str">
        <f>VLOOKUP(Tabla6[[#This Row],[DIRECCIÓN]],DIRECCIÓN[#All],2,0)</f>
        <v>ADMINISTRACIÓN CENTRAL</v>
      </c>
      <c r="I226" s="66" t="s">
        <v>808</v>
      </c>
      <c r="J226" s="67">
        <v>1</v>
      </c>
      <c r="K226" s="68" t="str">
        <f>VLOOKUP(Tabla6[[#This Row],[DIRECCIÓN GENERAL / COORDINACIÓN / SUBDIRECCIÓN]],Tabla37[[#All],[Columna1]:[EOD]],2,0)</f>
        <v>266_0001</v>
      </c>
      <c r="L226" s="69">
        <f>VLOOKUP(Tabla6[[#This Row],[OBJETIVOS PND]],Listas!$A$1:$C$3,3,0)</f>
        <v>1</v>
      </c>
      <c r="M226" s="70">
        <f>VLOOKUP(Tabla6[[#This Row],[PG]],Listas2!$G$14:$K$16,5,0)</f>
        <v>0</v>
      </c>
      <c r="N226" s="71">
        <v>1</v>
      </c>
      <c r="O226" s="72">
        <v>1001</v>
      </c>
      <c r="P226" s="73" t="str">
        <f>VLOOKUP(Tabla6[[#This Row],[GEO]],Listas!$A$48:$B$77,2,0)</f>
        <v>IBARRA</v>
      </c>
      <c r="Q226" s="70">
        <f>VLOOKUP(Tabla6[[#This Row],[PG]],Listas2!$G$14:$K$16,3,0)</f>
        <v>1</v>
      </c>
      <c r="R226" s="73">
        <f>VLOOKUP(Tabla6[[#This Row],[PG]],Listas2!H231:'Listas2'!$G$14:$K$16,4,0)</f>
        <v>0</v>
      </c>
      <c r="S226" s="73">
        <f>VLOOKUP(Tabla6[[#This Row],[PG]],Listas2!$G$14:$K$16,2,0)</f>
        <v>0</v>
      </c>
      <c r="T226" s="66" t="s">
        <v>84</v>
      </c>
      <c r="U226" s="74">
        <v>53</v>
      </c>
      <c r="V226" s="66">
        <v>530802</v>
      </c>
      <c r="W226" s="63" t="str">
        <f>VLOOKUP(Tabla6[[#This Row],[ÍTEM PRESUPUESTARIO]],Tabla2[#All],2,0)</f>
        <v>VESTUARIO, LENCERÍA, PRENDAS DE PROTECCIÓN Y ACCESORIOS PARA UNIFORMES DEL PERSONAL DE PROTECCIÓN, VIGILANCIA Y SEGURIDAD</v>
      </c>
      <c r="X226" s="57">
        <v>1362</v>
      </c>
      <c r="Y226" s="57">
        <f>1362-115.79-127.45</f>
        <v>1118.76</v>
      </c>
      <c r="Z226" s="58">
        <v>0</v>
      </c>
      <c r="AA226" s="58">
        <v>0</v>
      </c>
      <c r="AB226" s="58">
        <v>0</v>
      </c>
      <c r="AC226" s="58">
        <v>0</v>
      </c>
      <c r="AD226" s="58">
        <v>0</v>
      </c>
      <c r="AE226" s="58">
        <v>0</v>
      </c>
      <c r="AF226" s="58">
        <v>0</v>
      </c>
      <c r="AG226" s="58">
        <v>1118.76</v>
      </c>
      <c r="AH226" s="58">
        <v>0</v>
      </c>
      <c r="AI226" s="58">
        <v>0</v>
      </c>
      <c r="AJ226" s="58">
        <v>0</v>
      </c>
      <c r="AK226" s="58">
        <v>0</v>
      </c>
      <c r="AL226" s="75">
        <f>+SUBTOTAL(9,Tabla6[[#This Row],[ENE]:[DIC]])</f>
        <v>1118.76</v>
      </c>
      <c r="AM226" s="76" t="str">
        <f t="shared" si="3"/>
        <v>OK</v>
      </c>
      <c r="AN226" s="60">
        <v>1118.76</v>
      </c>
      <c r="AO226" s="61">
        <f>+Tabla6[[#This Row],[PRESUPUESTO VIGENTE]]-Tabla6[[#This Row],[CERTIFICACIÓN PAPP]]</f>
        <v>0</v>
      </c>
      <c r="AP226" s="59">
        <v>0</v>
      </c>
    </row>
    <row r="227" spans="1:42" ht="93" customHeight="1" x14ac:dyDescent="0.25">
      <c r="A227" s="62" t="s">
        <v>78</v>
      </c>
      <c r="B227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227" s="64" t="s">
        <v>79</v>
      </c>
      <c r="D227" s="64" t="s">
        <v>80</v>
      </c>
      <c r="E227" s="64" t="s">
        <v>81</v>
      </c>
      <c r="F227" s="64" t="s">
        <v>82</v>
      </c>
      <c r="G227" s="64" t="s">
        <v>92</v>
      </c>
      <c r="H227" s="65" t="str">
        <f>VLOOKUP(Tabla6[[#This Row],[DIRECCIÓN]],DIRECCIÓN[#All],2,0)</f>
        <v>ADMINISTRACIÓN CENTRAL</v>
      </c>
      <c r="I227" s="66" t="s">
        <v>902</v>
      </c>
      <c r="J227" s="67">
        <v>1</v>
      </c>
      <c r="K227" s="68" t="str">
        <f>VLOOKUP(Tabla6[[#This Row],[DIRECCIÓN GENERAL / COORDINACIÓN / SUBDIRECCIÓN]],Tabla37[[#All],[Columna1]:[EOD]],2,0)</f>
        <v>266_0001</v>
      </c>
      <c r="L227" s="69">
        <f>VLOOKUP(Tabla6[[#This Row],[OBJETIVOS PND]],Listas!$A$1:$C$3,3,0)</f>
        <v>1</v>
      </c>
      <c r="M227" s="70">
        <f>VLOOKUP(Tabla6[[#This Row],[PG]],Listas2!$G$14:$K$16,5,0)</f>
        <v>0</v>
      </c>
      <c r="N227" s="71">
        <v>1</v>
      </c>
      <c r="O227" s="72">
        <v>1001</v>
      </c>
      <c r="P227" s="73" t="str">
        <f>VLOOKUP(Tabla6[[#This Row],[GEO]],Listas!$A$48:$B$77,2,0)</f>
        <v>IBARRA</v>
      </c>
      <c r="Q227" s="70">
        <f>VLOOKUP(Tabla6[[#This Row],[PG]],Listas2!$G$14:$K$16,3,0)</f>
        <v>1</v>
      </c>
      <c r="R227" s="73">
        <f>VLOOKUP(Tabla6[[#This Row],[PG]],Listas2!H232:'Listas2'!$G$14:$K$16,4,0)</f>
        <v>0</v>
      </c>
      <c r="S227" s="73">
        <f>VLOOKUP(Tabla6[[#This Row],[PG]],Listas2!$G$14:$K$16,2,0)</f>
        <v>0</v>
      </c>
      <c r="T227" s="66" t="s">
        <v>84</v>
      </c>
      <c r="U227" s="74">
        <v>53</v>
      </c>
      <c r="V227" s="66">
        <v>530803</v>
      </c>
      <c r="W227" s="63" t="str">
        <f>VLOOKUP(Tabla6[[#This Row],[ÍTEM PRESUPUESTARIO]],Tabla2[#All],2,0)</f>
        <v>LUBRICANTES</v>
      </c>
      <c r="X227" s="57">
        <v>1200</v>
      </c>
      <c r="Y227" s="57">
        <f>1200-298</f>
        <v>902</v>
      </c>
      <c r="Z227" s="58">
        <v>0</v>
      </c>
      <c r="AA227" s="58">
        <v>0</v>
      </c>
      <c r="AB227" s="58">
        <v>0</v>
      </c>
      <c r="AC227" s="58">
        <v>100</v>
      </c>
      <c r="AD227" s="58">
        <v>0</v>
      </c>
      <c r="AE227" s="58">
        <v>250</v>
      </c>
      <c r="AF227" s="58">
        <v>0</v>
      </c>
      <c r="AG227" s="58">
        <v>300</v>
      </c>
      <c r="AH227" s="58">
        <v>0</v>
      </c>
      <c r="AI227" s="58">
        <v>100</v>
      </c>
      <c r="AJ227" s="58">
        <v>0</v>
      </c>
      <c r="AK227" s="58">
        <v>152</v>
      </c>
      <c r="AL227" s="75">
        <f>+SUBTOTAL(9,Tabla6[[#This Row],[ENE]:[DIC]])</f>
        <v>902</v>
      </c>
      <c r="AM227" s="76" t="str">
        <f t="shared" si="3"/>
        <v>OK</v>
      </c>
      <c r="AN227" s="60">
        <v>902</v>
      </c>
      <c r="AO227" s="61">
        <f>+Tabla6[[#This Row],[PRESUPUESTO VIGENTE]]-Tabla6[[#This Row],[CERTIFICACIÓN PAPP]]</f>
        <v>0</v>
      </c>
      <c r="AP227" s="59" t="s">
        <v>87</v>
      </c>
    </row>
    <row r="228" spans="1:42" ht="93" customHeight="1" x14ac:dyDescent="0.25">
      <c r="A228" s="62" t="s">
        <v>78</v>
      </c>
      <c r="B228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228" s="64" t="s">
        <v>79</v>
      </c>
      <c r="D228" s="64" t="s">
        <v>80</v>
      </c>
      <c r="E228" s="64" t="s">
        <v>81</v>
      </c>
      <c r="F228" s="64" t="s">
        <v>82</v>
      </c>
      <c r="G228" s="64" t="s">
        <v>92</v>
      </c>
      <c r="H228" s="65" t="str">
        <f>VLOOKUP(Tabla6[[#This Row],[DIRECCIÓN]],DIRECCIÓN[#All],2,0)</f>
        <v>ADMINISTRACIÓN CENTRAL</v>
      </c>
      <c r="I228" s="66" t="s">
        <v>887</v>
      </c>
      <c r="J228" s="67">
        <v>1</v>
      </c>
      <c r="K228" s="68" t="str">
        <f>VLOOKUP(Tabla6[[#This Row],[DIRECCIÓN GENERAL / COORDINACIÓN / SUBDIRECCIÓN]],Tabla37[[#All],[Columna1]:[EOD]],2,0)</f>
        <v>266_0001</v>
      </c>
      <c r="L228" s="69">
        <f>VLOOKUP(Tabla6[[#This Row],[OBJETIVOS PND]],Listas!$A$1:$C$3,3,0)</f>
        <v>1</v>
      </c>
      <c r="M228" s="70">
        <f>VLOOKUP(Tabla6[[#This Row],[PG]],Listas2!$G$14:$K$16,5,0)</f>
        <v>0</v>
      </c>
      <c r="N228" s="71">
        <v>1</v>
      </c>
      <c r="O228" s="72">
        <v>1001</v>
      </c>
      <c r="P228" s="73" t="str">
        <f>VLOOKUP(Tabla6[[#This Row],[GEO]],Listas!$A$48:$B$77,2,0)</f>
        <v>IBARRA</v>
      </c>
      <c r="Q228" s="70">
        <f>VLOOKUP(Tabla6[[#This Row],[PG]],Listas2!$G$14:$K$16,3,0)</f>
        <v>1</v>
      </c>
      <c r="R228" s="73">
        <f>VLOOKUP(Tabla6[[#This Row],[PG]],Listas2!H233:'Listas2'!$G$14:$K$16,4,0)</f>
        <v>0</v>
      </c>
      <c r="S228" s="73">
        <f>VLOOKUP(Tabla6[[#This Row],[PG]],Listas2!$G$14:$K$16,2,0)</f>
        <v>0</v>
      </c>
      <c r="T228" s="66" t="s">
        <v>84</v>
      </c>
      <c r="U228" s="74">
        <v>53</v>
      </c>
      <c r="V228" s="66">
        <v>530803</v>
      </c>
      <c r="W228" s="63" t="str">
        <f>VLOOKUP(Tabla6[[#This Row],[ÍTEM PRESUPUESTARIO]],Tabla2[#All],2,0)</f>
        <v>LUBRICANTES</v>
      </c>
      <c r="X228" s="57">
        <v>250</v>
      </c>
      <c r="Y228" s="57">
        <f>250-250</f>
        <v>0</v>
      </c>
      <c r="Z228" s="58">
        <v>0</v>
      </c>
      <c r="AA228" s="58">
        <v>0</v>
      </c>
      <c r="AB228" s="58">
        <v>0</v>
      </c>
      <c r="AC228" s="58">
        <v>0</v>
      </c>
      <c r="AD228" s="58">
        <v>0</v>
      </c>
      <c r="AE228" s="58">
        <v>0</v>
      </c>
      <c r="AF228" s="58">
        <v>0</v>
      </c>
      <c r="AG228" s="58">
        <v>0</v>
      </c>
      <c r="AH228" s="58">
        <v>0</v>
      </c>
      <c r="AI228" s="58">
        <v>0</v>
      </c>
      <c r="AJ228" s="58">
        <v>0</v>
      </c>
      <c r="AK228" s="58">
        <v>0</v>
      </c>
      <c r="AL228" s="75">
        <f>+SUBTOTAL(9,Tabla6[[#This Row],[ENE]:[DIC]])</f>
        <v>0</v>
      </c>
      <c r="AM228" s="76" t="str">
        <f t="shared" si="3"/>
        <v>OK</v>
      </c>
      <c r="AN228" s="60">
        <v>0</v>
      </c>
      <c r="AO228" s="61">
        <f>+Tabla6[[#This Row],[PRESUPUESTO VIGENTE]]-Tabla6[[#This Row],[CERTIFICACIÓN PAPP]]</f>
        <v>0</v>
      </c>
      <c r="AP228" s="59">
        <v>0</v>
      </c>
    </row>
    <row r="229" spans="1:42" ht="93" customHeight="1" x14ac:dyDescent="0.25">
      <c r="A229" s="62" t="s">
        <v>78</v>
      </c>
      <c r="B229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229" s="64" t="s">
        <v>79</v>
      </c>
      <c r="D229" s="64" t="s">
        <v>80</v>
      </c>
      <c r="E229" s="64" t="s">
        <v>81</v>
      </c>
      <c r="F229" s="64" t="s">
        <v>82</v>
      </c>
      <c r="G229" s="64" t="s">
        <v>92</v>
      </c>
      <c r="H229" s="65" t="str">
        <f>VLOOKUP(Tabla6[[#This Row],[DIRECCIÓN]],DIRECCIÓN[#All],2,0)</f>
        <v>ADMINISTRACIÓN CENTRAL</v>
      </c>
      <c r="I229" s="66" t="s">
        <v>888</v>
      </c>
      <c r="J229" s="67">
        <v>1</v>
      </c>
      <c r="K229" s="68" t="str">
        <f>VLOOKUP(Tabla6[[#This Row],[DIRECCIÓN GENERAL / COORDINACIÓN / SUBDIRECCIÓN]],Tabla37[[#All],[Columna1]:[EOD]],2,0)</f>
        <v>266_0001</v>
      </c>
      <c r="L229" s="69">
        <f>VLOOKUP(Tabla6[[#This Row],[OBJETIVOS PND]],Listas!$A$1:$C$3,3,0)</f>
        <v>1</v>
      </c>
      <c r="M229" s="70">
        <f>VLOOKUP(Tabla6[[#This Row],[PG]],Listas2!$G$14:$K$16,5,0)</f>
        <v>0</v>
      </c>
      <c r="N229" s="71">
        <v>1</v>
      </c>
      <c r="O229" s="72">
        <v>1001</v>
      </c>
      <c r="P229" s="73" t="str">
        <f>VLOOKUP(Tabla6[[#This Row],[GEO]],Listas!$A$48:$B$77,2,0)</f>
        <v>IBARRA</v>
      </c>
      <c r="Q229" s="70">
        <f>VLOOKUP(Tabla6[[#This Row],[PG]],Listas2!$G$14:$K$16,3,0)</f>
        <v>1</v>
      </c>
      <c r="R229" s="73">
        <f>VLOOKUP(Tabla6[[#This Row],[PG]],Listas2!H234:'Listas2'!$G$14:$K$16,4,0)</f>
        <v>0</v>
      </c>
      <c r="S229" s="73">
        <f>VLOOKUP(Tabla6[[#This Row],[PG]],Listas2!$G$14:$K$16,2,0)</f>
        <v>0</v>
      </c>
      <c r="T229" s="66" t="s">
        <v>84</v>
      </c>
      <c r="U229" s="74">
        <v>53</v>
      </c>
      <c r="V229" s="66">
        <v>530803</v>
      </c>
      <c r="W229" s="63" t="str">
        <f>VLOOKUP(Tabla6[[#This Row],[ÍTEM PRESUPUESTARIO]],Tabla2[#All],2,0)</f>
        <v>LUBRICANTES</v>
      </c>
      <c r="X229" s="57">
        <v>2300</v>
      </c>
      <c r="Y229" s="57">
        <f>2300-2300</f>
        <v>0</v>
      </c>
      <c r="Z229" s="58">
        <v>0</v>
      </c>
      <c r="AA229" s="58">
        <v>0</v>
      </c>
      <c r="AB229" s="58">
        <v>0</v>
      </c>
      <c r="AC229" s="58">
        <v>0</v>
      </c>
      <c r="AD229" s="58">
        <v>0</v>
      </c>
      <c r="AE229" s="58">
        <v>0</v>
      </c>
      <c r="AF229" s="58">
        <v>0</v>
      </c>
      <c r="AG229" s="58">
        <v>0</v>
      </c>
      <c r="AH229" s="58">
        <v>0</v>
      </c>
      <c r="AI229" s="58">
        <v>0</v>
      </c>
      <c r="AJ229" s="58">
        <v>0</v>
      </c>
      <c r="AK229" s="58">
        <v>0</v>
      </c>
      <c r="AL229" s="75">
        <f>+SUBTOTAL(9,Tabla6[[#This Row],[ENE]:[DIC]])</f>
        <v>0</v>
      </c>
      <c r="AM229" s="76" t="str">
        <f t="shared" si="3"/>
        <v>OK</v>
      </c>
      <c r="AN229" s="60">
        <v>0</v>
      </c>
      <c r="AO229" s="61">
        <f>+Tabla6[[#This Row],[PRESUPUESTO VIGENTE]]-Tabla6[[#This Row],[CERTIFICACIÓN PAPP]]</f>
        <v>0</v>
      </c>
      <c r="AP229" s="59">
        <v>0</v>
      </c>
    </row>
    <row r="230" spans="1:42" ht="93" customHeight="1" x14ac:dyDescent="0.25">
      <c r="A230" s="62" t="s">
        <v>78</v>
      </c>
      <c r="B230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230" s="64" t="s">
        <v>79</v>
      </c>
      <c r="D230" s="64" t="s">
        <v>80</v>
      </c>
      <c r="E230" s="64" t="s">
        <v>81</v>
      </c>
      <c r="F230" s="64" t="s">
        <v>82</v>
      </c>
      <c r="G230" s="64" t="s">
        <v>92</v>
      </c>
      <c r="H230" s="65" t="str">
        <f>VLOOKUP(Tabla6[[#This Row],[DIRECCIÓN]],DIRECCIÓN[#All],2,0)</f>
        <v>ADMINISTRACIÓN CENTRAL</v>
      </c>
      <c r="I230" s="66" t="s">
        <v>890</v>
      </c>
      <c r="J230" s="67">
        <v>1</v>
      </c>
      <c r="K230" s="68" t="str">
        <f>VLOOKUP(Tabla6[[#This Row],[DIRECCIÓN GENERAL / COORDINACIÓN / SUBDIRECCIÓN]],Tabla37[[#All],[Columna1]:[EOD]],2,0)</f>
        <v>266_0001</v>
      </c>
      <c r="L230" s="69">
        <f>VLOOKUP(Tabla6[[#This Row],[OBJETIVOS PND]],Listas!$A$1:$C$3,3,0)</f>
        <v>1</v>
      </c>
      <c r="M230" s="70">
        <f>VLOOKUP(Tabla6[[#This Row],[PG]],Listas2!$G$14:$K$16,5,0)</f>
        <v>0</v>
      </c>
      <c r="N230" s="71">
        <v>1</v>
      </c>
      <c r="O230" s="72">
        <v>1001</v>
      </c>
      <c r="P230" s="73" t="str">
        <f>VLOOKUP(Tabla6[[#This Row],[GEO]],Listas!$A$48:$B$77,2,0)</f>
        <v>IBARRA</v>
      </c>
      <c r="Q230" s="70">
        <f>VLOOKUP(Tabla6[[#This Row],[PG]],Listas2!$G$14:$K$16,3,0)</f>
        <v>1</v>
      </c>
      <c r="R230" s="73">
        <f>VLOOKUP(Tabla6[[#This Row],[PG]],Listas2!H235:'Listas2'!$G$14:$K$16,4,0)</f>
        <v>0</v>
      </c>
      <c r="S230" s="73">
        <f>VLOOKUP(Tabla6[[#This Row],[PG]],Listas2!$G$14:$K$16,2,0)</f>
        <v>0</v>
      </c>
      <c r="T230" s="66" t="s">
        <v>84</v>
      </c>
      <c r="U230" s="74">
        <v>53</v>
      </c>
      <c r="V230" s="66">
        <v>530803</v>
      </c>
      <c r="W230" s="63" t="str">
        <f>VLOOKUP(Tabla6[[#This Row],[ÍTEM PRESUPUESTARIO]],Tabla2[#All],2,0)</f>
        <v>LUBRICANTES</v>
      </c>
      <c r="X230" s="57">
        <v>500</v>
      </c>
      <c r="Y230" s="57">
        <f>500-500</f>
        <v>0</v>
      </c>
      <c r="Z230" s="58">
        <v>0</v>
      </c>
      <c r="AA230" s="58">
        <v>0</v>
      </c>
      <c r="AB230" s="58">
        <v>0</v>
      </c>
      <c r="AC230" s="58">
        <v>0</v>
      </c>
      <c r="AD230" s="58">
        <v>0</v>
      </c>
      <c r="AE230" s="58">
        <v>0</v>
      </c>
      <c r="AF230" s="58">
        <v>0</v>
      </c>
      <c r="AG230" s="58">
        <v>0</v>
      </c>
      <c r="AH230" s="58">
        <v>0</v>
      </c>
      <c r="AI230" s="58">
        <v>0</v>
      </c>
      <c r="AJ230" s="58">
        <v>0</v>
      </c>
      <c r="AK230" s="58">
        <v>0</v>
      </c>
      <c r="AL230" s="75">
        <f>+SUBTOTAL(9,Tabla6[[#This Row],[ENE]:[DIC]])</f>
        <v>0</v>
      </c>
      <c r="AM230" s="76" t="str">
        <f t="shared" si="3"/>
        <v>OK</v>
      </c>
      <c r="AN230" s="60">
        <v>0</v>
      </c>
      <c r="AO230" s="61">
        <f>+Tabla6[[#This Row],[PRESUPUESTO VIGENTE]]-Tabla6[[#This Row],[CERTIFICACIÓN PAPP]]</f>
        <v>0</v>
      </c>
      <c r="AP230" s="59">
        <v>0</v>
      </c>
    </row>
    <row r="231" spans="1:42" ht="93" customHeight="1" x14ac:dyDescent="0.25">
      <c r="A231" s="62" t="s">
        <v>78</v>
      </c>
      <c r="B231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231" s="64" t="s">
        <v>79</v>
      </c>
      <c r="D231" s="64" t="s">
        <v>80</v>
      </c>
      <c r="E231" s="64" t="s">
        <v>81</v>
      </c>
      <c r="F231" s="64" t="s">
        <v>82</v>
      </c>
      <c r="G231" s="64" t="s">
        <v>92</v>
      </c>
      <c r="H231" s="65" t="str">
        <f>VLOOKUP(Tabla6[[#This Row],[DIRECCIÓN]],DIRECCIÓN[#All],2,0)</f>
        <v>ADMINISTRACIÓN CENTRAL</v>
      </c>
      <c r="I231" s="66" t="s">
        <v>889</v>
      </c>
      <c r="J231" s="67">
        <v>1</v>
      </c>
      <c r="K231" s="68" t="str">
        <f>VLOOKUP(Tabla6[[#This Row],[DIRECCIÓN GENERAL / COORDINACIÓN / SUBDIRECCIÓN]],Tabla37[[#All],[Columna1]:[EOD]],2,0)</f>
        <v>266_0001</v>
      </c>
      <c r="L231" s="69">
        <f>VLOOKUP(Tabla6[[#This Row],[OBJETIVOS PND]],Listas!$A$1:$C$3,3,0)</f>
        <v>1</v>
      </c>
      <c r="M231" s="70">
        <f>VLOOKUP(Tabla6[[#This Row],[PG]],Listas2!$G$14:$K$16,5,0)</f>
        <v>0</v>
      </c>
      <c r="N231" s="71">
        <v>1</v>
      </c>
      <c r="O231" s="72">
        <v>1001</v>
      </c>
      <c r="P231" s="73" t="str">
        <f>VLOOKUP(Tabla6[[#This Row],[GEO]],Listas!$A$48:$B$77,2,0)</f>
        <v>IBARRA</v>
      </c>
      <c r="Q231" s="70">
        <f>VLOOKUP(Tabla6[[#This Row],[PG]],Listas2!$G$14:$K$16,3,0)</f>
        <v>1</v>
      </c>
      <c r="R231" s="73">
        <f>VLOOKUP(Tabla6[[#This Row],[PG]],Listas2!H236:'Listas2'!$G$14:$K$16,4,0)</f>
        <v>0</v>
      </c>
      <c r="S231" s="73">
        <f>VLOOKUP(Tabla6[[#This Row],[PG]],Listas2!$G$14:$K$16,2,0)</f>
        <v>0</v>
      </c>
      <c r="T231" s="66" t="s">
        <v>84</v>
      </c>
      <c r="U231" s="74">
        <v>53</v>
      </c>
      <c r="V231" s="66">
        <v>530803</v>
      </c>
      <c r="W231" s="63" t="str">
        <f>VLOOKUP(Tabla6[[#This Row],[ÍTEM PRESUPUESTARIO]],Tabla2[#All],2,0)</f>
        <v>LUBRICANTES</v>
      </c>
      <c r="X231" s="57">
        <v>100</v>
      </c>
      <c r="Y231" s="57">
        <f>100-100</f>
        <v>0</v>
      </c>
      <c r="Z231" s="58">
        <v>0</v>
      </c>
      <c r="AA231" s="58">
        <v>0</v>
      </c>
      <c r="AB231" s="58">
        <v>0</v>
      </c>
      <c r="AC231" s="58">
        <v>0</v>
      </c>
      <c r="AD231" s="58">
        <v>0</v>
      </c>
      <c r="AE231" s="58">
        <v>0</v>
      </c>
      <c r="AF231" s="58">
        <v>0</v>
      </c>
      <c r="AG231" s="58">
        <v>0</v>
      </c>
      <c r="AH231" s="58">
        <v>0</v>
      </c>
      <c r="AI231" s="58">
        <v>0</v>
      </c>
      <c r="AJ231" s="58">
        <v>0</v>
      </c>
      <c r="AK231" s="58">
        <v>0</v>
      </c>
      <c r="AL231" s="75">
        <f>+SUBTOTAL(9,Tabla6[[#This Row],[ENE]:[DIC]])</f>
        <v>0</v>
      </c>
      <c r="AM231" s="76" t="str">
        <f t="shared" si="3"/>
        <v>OK</v>
      </c>
      <c r="AN231" s="60">
        <v>0</v>
      </c>
      <c r="AO231" s="61">
        <f>+Tabla6[[#This Row],[PRESUPUESTO VIGENTE]]-Tabla6[[#This Row],[CERTIFICACIÓN PAPP]]</f>
        <v>0</v>
      </c>
      <c r="AP231" s="59">
        <v>0</v>
      </c>
    </row>
    <row r="232" spans="1:42" ht="93" customHeight="1" x14ac:dyDescent="0.25">
      <c r="A232" s="62" t="s">
        <v>78</v>
      </c>
      <c r="B232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232" s="64" t="s">
        <v>79</v>
      </c>
      <c r="D232" s="64" t="s">
        <v>80</v>
      </c>
      <c r="E232" s="64" t="s">
        <v>81</v>
      </c>
      <c r="F232" s="64" t="s">
        <v>82</v>
      </c>
      <c r="G232" s="64" t="s">
        <v>92</v>
      </c>
      <c r="H232" s="65" t="str">
        <f>VLOOKUP(Tabla6[[#This Row],[DIRECCIÓN]],DIRECCIÓN[#All],2,0)</f>
        <v>ADMINISTRACIÓN CENTRAL</v>
      </c>
      <c r="I232" s="66" t="s">
        <v>903</v>
      </c>
      <c r="J232" s="67">
        <v>2</v>
      </c>
      <c r="K232" s="68" t="str">
        <f>VLOOKUP(Tabla6[[#This Row],[DIRECCIÓN GENERAL / COORDINACIÓN / SUBDIRECCIÓN]],Tabla37[[#All],[Columna1]:[EOD]],2,0)</f>
        <v>266_0001</v>
      </c>
      <c r="L232" s="69">
        <f>VLOOKUP(Tabla6[[#This Row],[OBJETIVOS PND]],Listas!$A$1:$C$3,3,0)</f>
        <v>1</v>
      </c>
      <c r="M232" s="70">
        <f>VLOOKUP(Tabla6[[#This Row],[PG]],Listas2!$G$14:$K$16,5,0)</f>
        <v>0</v>
      </c>
      <c r="N232" s="71">
        <v>1</v>
      </c>
      <c r="O232" s="72">
        <v>1001</v>
      </c>
      <c r="P232" s="73" t="str">
        <f>VLOOKUP(Tabla6[[#This Row],[GEO]],Listas!$A$48:$B$77,2,0)</f>
        <v>IBARRA</v>
      </c>
      <c r="Q232" s="70">
        <f>VLOOKUP(Tabla6[[#This Row],[PG]],Listas2!$G$14:$K$16,3,0)</f>
        <v>1</v>
      </c>
      <c r="R232" s="73">
        <f>VLOOKUP(Tabla6[[#This Row],[PG]],Listas2!H237:'Listas2'!$G$14:$K$16,4,0)</f>
        <v>0</v>
      </c>
      <c r="S232" s="73">
        <f>VLOOKUP(Tabla6[[#This Row],[PG]],Listas2!$G$14:$K$16,2,0)</f>
        <v>0</v>
      </c>
      <c r="T232" s="66" t="s">
        <v>84</v>
      </c>
      <c r="U232" s="74">
        <v>53</v>
      </c>
      <c r="V232" s="66">
        <v>530803</v>
      </c>
      <c r="W232" s="63" t="str">
        <f>VLOOKUP(Tabla6[[#This Row],[ÍTEM PRESUPUESTARIO]],Tabla2[#All],2,0)</f>
        <v>LUBRICANTES</v>
      </c>
      <c r="X232" s="57">
        <v>0</v>
      </c>
      <c r="Y232" s="57">
        <f>1000-800-160.74</f>
        <v>39.259999999999991</v>
      </c>
      <c r="Z232" s="58">
        <v>0</v>
      </c>
      <c r="AA232" s="58">
        <v>0</v>
      </c>
      <c r="AB232" s="58">
        <v>0</v>
      </c>
      <c r="AC232" s="58">
        <v>0</v>
      </c>
      <c r="AD232" s="58">
        <v>0</v>
      </c>
      <c r="AE232" s="58">
        <v>0</v>
      </c>
      <c r="AF232" s="58">
        <v>39.259999999999991</v>
      </c>
      <c r="AG232" s="58">
        <v>0</v>
      </c>
      <c r="AH232" s="58">
        <v>0</v>
      </c>
      <c r="AI232" s="58">
        <v>0</v>
      </c>
      <c r="AJ232" s="58">
        <v>0</v>
      </c>
      <c r="AK232" s="58">
        <v>0</v>
      </c>
      <c r="AL232" s="75">
        <f>+SUBTOTAL(9,Tabla6[[#This Row],[ENE]:[DIC]])</f>
        <v>39.259999999999991</v>
      </c>
      <c r="AM232" s="76" t="str">
        <f t="shared" si="3"/>
        <v>OK</v>
      </c>
      <c r="AN232" s="60">
        <v>39.26</v>
      </c>
      <c r="AO232" s="61">
        <f>+Tabla6[[#This Row],[PRESUPUESTO VIGENTE]]-Tabla6[[#This Row],[CERTIFICACIÓN PAPP]]</f>
        <v>0</v>
      </c>
      <c r="AP232" s="59">
        <v>0</v>
      </c>
    </row>
    <row r="233" spans="1:42" ht="93" customHeight="1" x14ac:dyDescent="0.25">
      <c r="A233" s="62" t="s">
        <v>78</v>
      </c>
      <c r="B233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233" s="64" t="s">
        <v>79</v>
      </c>
      <c r="D233" s="64" t="s">
        <v>80</v>
      </c>
      <c r="E233" s="64" t="s">
        <v>81</v>
      </c>
      <c r="F233" s="64" t="s">
        <v>82</v>
      </c>
      <c r="G233" s="64" t="s">
        <v>92</v>
      </c>
      <c r="H233" s="65" t="str">
        <f>VLOOKUP(Tabla6[[#This Row],[DIRECCIÓN]],DIRECCIÓN[#All],2,0)</f>
        <v>ADMINISTRACIÓN CENTRAL</v>
      </c>
      <c r="I233" s="66" t="s">
        <v>811</v>
      </c>
      <c r="J233" s="67">
        <v>2</v>
      </c>
      <c r="K233" s="68" t="str">
        <f>VLOOKUP(Tabla6[[#This Row],[DIRECCIÓN GENERAL / COORDINACIÓN / SUBDIRECCIÓN]],Tabla37[[#All],[Columna1]:[EOD]],2,0)</f>
        <v>266_0001</v>
      </c>
      <c r="L233" s="69">
        <f>VLOOKUP(Tabla6[[#This Row],[OBJETIVOS PND]],Listas!$A$1:$C$3,3,0)</f>
        <v>1</v>
      </c>
      <c r="M233" s="70">
        <f>VLOOKUP(Tabla6[[#This Row],[PG]],Listas2!$G$14:$K$16,5,0)</f>
        <v>0</v>
      </c>
      <c r="N233" s="71">
        <v>1</v>
      </c>
      <c r="O233" s="72">
        <v>1001</v>
      </c>
      <c r="P233" s="73" t="str">
        <f>VLOOKUP(Tabla6[[#This Row],[GEO]],Listas!$A$48:$B$77,2,0)</f>
        <v>IBARRA</v>
      </c>
      <c r="Q233" s="70">
        <f>VLOOKUP(Tabla6[[#This Row],[PG]],Listas2!$G$14:$K$16,3,0)</f>
        <v>1</v>
      </c>
      <c r="R233" s="73">
        <f>VLOOKUP(Tabla6[[#This Row],[PG]],Listas2!H238:'Listas2'!$G$14:$K$16,4,0)</f>
        <v>0</v>
      </c>
      <c r="S233" s="73">
        <f>VLOOKUP(Tabla6[[#This Row],[PG]],Listas2!$G$14:$K$16,2,0)</f>
        <v>0</v>
      </c>
      <c r="T233" s="66" t="s">
        <v>84</v>
      </c>
      <c r="U233" s="74">
        <v>53</v>
      </c>
      <c r="V233" s="66">
        <v>530804</v>
      </c>
      <c r="W233" s="63" t="str">
        <f>VLOOKUP(Tabla6[[#This Row],[ÍTEM PRESUPUESTARIO]],Tabla2[#All],2,0)</f>
        <v>MATERIALES DE OFICINA</v>
      </c>
      <c r="X233" s="57">
        <v>100</v>
      </c>
      <c r="Y233" s="57">
        <f>100+400-395.42</f>
        <v>104.57999999999998</v>
      </c>
      <c r="Z233" s="58">
        <v>0</v>
      </c>
      <c r="AA233" s="58">
        <v>0</v>
      </c>
      <c r="AB233" s="58">
        <v>0</v>
      </c>
      <c r="AC233" s="58">
        <v>0</v>
      </c>
      <c r="AD233" s="58">
        <v>104.58</v>
      </c>
      <c r="AE233" s="58">
        <v>0</v>
      </c>
      <c r="AF233" s="58">
        <v>0</v>
      </c>
      <c r="AG233" s="58">
        <v>0</v>
      </c>
      <c r="AH233" s="58">
        <v>0</v>
      </c>
      <c r="AI233" s="58">
        <v>0</v>
      </c>
      <c r="AJ233" s="58">
        <v>0</v>
      </c>
      <c r="AK233" s="58">
        <v>0</v>
      </c>
      <c r="AL233" s="75">
        <f>+SUBTOTAL(9,Tabla6[[#This Row],[ENE]:[DIC]])</f>
        <v>104.58</v>
      </c>
      <c r="AM233" s="76" t="str">
        <f t="shared" si="3"/>
        <v>OK</v>
      </c>
      <c r="AN233" s="60">
        <v>104.58</v>
      </c>
      <c r="AO233" s="61">
        <f>+Tabla6[[#This Row],[PRESUPUESTO VIGENTE]]-Tabla6[[#This Row],[CERTIFICACIÓN PAPP]]</f>
        <v>0</v>
      </c>
      <c r="AP233" s="59" t="s">
        <v>87</v>
      </c>
    </row>
    <row r="234" spans="1:42" ht="93" customHeight="1" x14ac:dyDescent="0.25">
      <c r="A234" s="62" t="s">
        <v>78</v>
      </c>
      <c r="B234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234" s="64" t="s">
        <v>79</v>
      </c>
      <c r="D234" s="64" t="s">
        <v>80</v>
      </c>
      <c r="E234" s="64" t="s">
        <v>81</v>
      </c>
      <c r="F234" s="64" t="s">
        <v>82</v>
      </c>
      <c r="G234" s="64" t="s">
        <v>92</v>
      </c>
      <c r="H234" s="65" t="str">
        <f>VLOOKUP(Tabla6[[#This Row],[DIRECCIÓN]],DIRECCIÓN[#All],2,0)</f>
        <v>ADMINISTRACIÓN CENTRAL</v>
      </c>
      <c r="I234" s="66" t="s">
        <v>904</v>
      </c>
      <c r="J234" s="67">
        <v>3</v>
      </c>
      <c r="K234" s="68" t="str">
        <f>VLOOKUP(Tabla6[[#This Row],[DIRECCIÓN GENERAL / COORDINACIÓN / SUBDIRECCIÓN]],Tabla37[[#All],[Columna1]:[EOD]],2,0)</f>
        <v>266_0001</v>
      </c>
      <c r="L234" s="69">
        <f>VLOOKUP(Tabla6[[#This Row],[OBJETIVOS PND]],Listas!$A$1:$C$3,3,0)</f>
        <v>1</v>
      </c>
      <c r="M234" s="70">
        <f>VLOOKUP(Tabla6[[#This Row],[PG]],Listas2!$G$14:$K$16,5,0)</f>
        <v>0</v>
      </c>
      <c r="N234" s="71">
        <v>1</v>
      </c>
      <c r="O234" s="72">
        <v>1001</v>
      </c>
      <c r="P234" s="73" t="str">
        <f>VLOOKUP(Tabla6[[#This Row],[GEO]],Listas!$A$48:$B$77,2,0)</f>
        <v>IBARRA</v>
      </c>
      <c r="Q234" s="70">
        <f>VLOOKUP(Tabla6[[#This Row],[PG]],Listas2!$G$14:$K$16,3,0)</f>
        <v>1</v>
      </c>
      <c r="R234" s="73">
        <f>VLOOKUP(Tabla6[[#This Row],[PG]],Listas2!H239:'Listas2'!$G$14:$K$16,4,0)</f>
        <v>0</v>
      </c>
      <c r="S234" s="73">
        <f>VLOOKUP(Tabla6[[#This Row],[PG]],Listas2!$G$14:$K$16,2,0)</f>
        <v>0</v>
      </c>
      <c r="T234" s="66" t="s">
        <v>84</v>
      </c>
      <c r="U234" s="74">
        <v>53</v>
      </c>
      <c r="V234" s="66">
        <v>530804</v>
      </c>
      <c r="W234" s="63" t="str">
        <f>VLOOKUP(Tabla6[[#This Row],[ÍTEM PRESUPUESTARIO]],Tabla2[#All],2,0)</f>
        <v>MATERIALES DE OFICINA</v>
      </c>
      <c r="X234" s="57">
        <v>1200</v>
      </c>
      <c r="Y234" s="57">
        <f>1200-232.13-615.15</f>
        <v>352.72</v>
      </c>
      <c r="Z234" s="58">
        <v>0</v>
      </c>
      <c r="AA234" s="58">
        <v>0</v>
      </c>
      <c r="AB234" s="58">
        <v>0</v>
      </c>
      <c r="AC234" s="58">
        <v>352.72</v>
      </c>
      <c r="AD234" s="58">
        <v>0</v>
      </c>
      <c r="AE234" s="58">
        <v>0</v>
      </c>
      <c r="AF234" s="58">
        <v>0</v>
      </c>
      <c r="AG234" s="58">
        <v>0</v>
      </c>
      <c r="AH234" s="58">
        <v>0</v>
      </c>
      <c r="AI234" s="58">
        <v>0</v>
      </c>
      <c r="AJ234" s="58">
        <v>0</v>
      </c>
      <c r="AK234" s="58">
        <v>0</v>
      </c>
      <c r="AL234" s="75">
        <f>+SUBTOTAL(9,Tabla6[[#This Row],[ENE]:[DIC]])</f>
        <v>352.72</v>
      </c>
      <c r="AM234" s="76" t="str">
        <f t="shared" si="3"/>
        <v>OK</v>
      </c>
      <c r="AN234" s="60">
        <f>247.72+105</f>
        <v>352.72</v>
      </c>
      <c r="AO234" s="61">
        <f>+Tabla6[[#This Row],[PRESUPUESTO VIGENTE]]-Tabla6[[#This Row],[CERTIFICACIÓN PAPP]]</f>
        <v>0</v>
      </c>
      <c r="AP234" s="59">
        <v>0</v>
      </c>
    </row>
    <row r="235" spans="1:42" ht="93" customHeight="1" x14ac:dyDescent="0.25">
      <c r="A235" s="62" t="s">
        <v>78</v>
      </c>
      <c r="B235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235" s="64" t="s">
        <v>85</v>
      </c>
      <c r="D235" s="64" t="s">
        <v>80</v>
      </c>
      <c r="E235" s="64" t="s">
        <v>81</v>
      </c>
      <c r="F235" s="64" t="s">
        <v>82</v>
      </c>
      <c r="G235" s="64" t="s">
        <v>94</v>
      </c>
      <c r="H235" s="65" t="str">
        <f>VLOOKUP(Tabla6[[#This Row],[DIRECCIÓN]],DIRECCIÓN[#All],2,0)</f>
        <v>COMUNICACIÓN SOCIAL</v>
      </c>
      <c r="I235" s="66" t="s">
        <v>879</v>
      </c>
      <c r="J235" s="67">
        <v>2</v>
      </c>
      <c r="K235" s="68" t="str">
        <f>VLOOKUP(Tabla6[[#This Row],[DIRECCIÓN GENERAL / COORDINACIÓN / SUBDIRECCIÓN]],Tabla37[[#All],[Columna1]:[EOD]],2,0)</f>
        <v>266_0001</v>
      </c>
      <c r="L235" s="69">
        <f>VLOOKUP(Tabla6[[#This Row],[OBJETIVOS PND]],Listas!$A$1:$C$3,3,0)</f>
        <v>1</v>
      </c>
      <c r="M235" s="70">
        <f>VLOOKUP(Tabla6[[#This Row],[PG]],Listas2!$G$14:$K$16,5,0)</f>
        <v>0</v>
      </c>
      <c r="N235" s="71">
        <v>1</v>
      </c>
      <c r="O235" s="72">
        <v>1001</v>
      </c>
      <c r="P235" s="73" t="str">
        <f>VLOOKUP(Tabla6[[#This Row],[GEO]],Listas!$A$48:$B$77,2,0)</f>
        <v>IBARRA</v>
      </c>
      <c r="Q235" s="70">
        <f>VLOOKUP(Tabla6[[#This Row],[PG]],Listas2!$G$14:$K$16,3,0)</f>
        <v>1</v>
      </c>
      <c r="R235" s="73">
        <f>VLOOKUP(Tabla6[[#This Row],[PG]],Listas2!H240:'Listas2'!$G$14:$K$16,4,0)</f>
        <v>0</v>
      </c>
      <c r="S235" s="73">
        <f>VLOOKUP(Tabla6[[#This Row],[PG]],Listas2!$G$14:$K$16,2,0)</f>
        <v>0</v>
      </c>
      <c r="T235" s="66" t="s">
        <v>84</v>
      </c>
      <c r="U235" s="74">
        <v>53</v>
      </c>
      <c r="V235" s="66">
        <v>530804</v>
      </c>
      <c r="W235" s="63" t="str">
        <f>VLOOKUP(Tabla6[[#This Row],[ÍTEM PRESUPUESTARIO]],Tabla2[#All],2,0)</f>
        <v>MATERIALES DE OFICINA</v>
      </c>
      <c r="X235" s="57">
        <v>0</v>
      </c>
      <c r="Y235" s="57">
        <f>675-165</f>
        <v>510</v>
      </c>
      <c r="Z235" s="58">
        <v>0</v>
      </c>
      <c r="AA235" s="58">
        <v>0</v>
      </c>
      <c r="AB235" s="58">
        <v>0</v>
      </c>
      <c r="AC235" s="58">
        <v>0</v>
      </c>
      <c r="AD235" s="58">
        <v>510</v>
      </c>
      <c r="AE235" s="58">
        <v>0</v>
      </c>
      <c r="AF235" s="58">
        <v>0</v>
      </c>
      <c r="AG235" s="58">
        <v>0</v>
      </c>
      <c r="AH235" s="58">
        <v>0</v>
      </c>
      <c r="AI235" s="58">
        <v>0</v>
      </c>
      <c r="AJ235" s="58">
        <v>0</v>
      </c>
      <c r="AK235" s="58">
        <v>0</v>
      </c>
      <c r="AL235" s="75">
        <f>+SUBTOTAL(9,Tabla6[[#This Row],[ENE]:[DIC]])</f>
        <v>510</v>
      </c>
      <c r="AM235" s="76" t="str">
        <f t="shared" si="3"/>
        <v>OK</v>
      </c>
      <c r="AN235" s="60">
        <v>510</v>
      </c>
      <c r="AO235" s="61">
        <f>+Tabla6[[#This Row],[PRESUPUESTO VIGENTE]]-Tabla6[[#This Row],[CERTIFICACIÓN PAPP]]</f>
        <v>0</v>
      </c>
      <c r="AP235" s="59">
        <v>0</v>
      </c>
    </row>
    <row r="236" spans="1:42" ht="93" customHeight="1" x14ac:dyDescent="0.25">
      <c r="A236" s="62" t="s">
        <v>78</v>
      </c>
      <c r="B236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236" s="64" t="s">
        <v>79</v>
      </c>
      <c r="D236" s="64" t="s">
        <v>80</v>
      </c>
      <c r="E236" s="64" t="s">
        <v>81</v>
      </c>
      <c r="F236" s="64" t="s">
        <v>82</v>
      </c>
      <c r="G236" s="64" t="s">
        <v>92</v>
      </c>
      <c r="H236" s="65" t="str">
        <f>VLOOKUP(Tabla6[[#This Row],[DIRECCIÓN]],DIRECCIÓN[#All],2,0)</f>
        <v>ADMINISTRACIÓN CENTRAL</v>
      </c>
      <c r="I236" s="66" t="s">
        <v>905</v>
      </c>
      <c r="J236" s="67">
        <v>1</v>
      </c>
      <c r="K236" s="68" t="str">
        <f>VLOOKUP(Tabla6[[#This Row],[DIRECCIÓN GENERAL / COORDINACIÓN / SUBDIRECCIÓN]],Tabla37[[#All],[Columna1]:[EOD]],2,0)</f>
        <v>266_0001</v>
      </c>
      <c r="L236" s="69">
        <f>VLOOKUP(Tabla6[[#This Row],[OBJETIVOS PND]],Listas!$A$1:$C$3,3,0)</f>
        <v>1</v>
      </c>
      <c r="M236" s="70">
        <f>VLOOKUP(Tabla6[[#This Row],[PG]],Listas2!$G$14:$K$16,5,0)</f>
        <v>0</v>
      </c>
      <c r="N236" s="71">
        <v>1</v>
      </c>
      <c r="O236" s="72">
        <v>1001</v>
      </c>
      <c r="P236" s="73" t="str">
        <f>VLOOKUP(Tabla6[[#This Row],[GEO]],Listas!$A$48:$B$77,2,0)</f>
        <v>IBARRA</v>
      </c>
      <c r="Q236" s="70">
        <f>VLOOKUP(Tabla6[[#This Row],[PG]],Listas2!$G$14:$K$16,3,0)</f>
        <v>1</v>
      </c>
      <c r="R236" s="73">
        <f>VLOOKUP(Tabla6[[#This Row],[PG]],Listas2!H241:'Listas2'!$G$14:$K$16,4,0)</f>
        <v>0</v>
      </c>
      <c r="S236" s="73">
        <f>VLOOKUP(Tabla6[[#This Row],[PG]],Listas2!$G$14:$K$16,2,0)</f>
        <v>0</v>
      </c>
      <c r="T236" s="66" t="s">
        <v>84</v>
      </c>
      <c r="U236" s="74">
        <v>53</v>
      </c>
      <c r="V236" s="66">
        <v>530804</v>
      </c>
      <c r="W236" s="63" t="str">
        <f>VLOOKUP(Tabla6[[#This Row],[ÍTEM PRESUPUESTARIO]],Tabla2[#All],2,0)</f>
        <v>MATERIALES DE OFICINA</v>
      </c>
      <c r="X236" s="57">
        <v>0</v>
      </c>
      <c r="Y236" s="57">
        <f>996-498+214.85-712.85</f>
        <v>0</v>
      </c>
      <c r="Z236" s="58">
        <v>0</v>
      </c>
      <c r="AA236" s="58">
        <v>0</v>
      </c>
      <c r="AB236" s="58">
        <v>0</v>
      </c>
      <c r="AC236" s="58">
        <v>0</v>
      </c>
      <c r="AD236" s="58">
        <v>0</v>
      </c>
      <c r="AE236" s="58">
        <v>0</v>
      </c>
      <c r="AF236" s="58">
        <v>0</v>
      </c>
      <c r="AG236" s="58">
        <v>0</v>
      </c>
      <c r="AH236" s="58">
        <v>0</v>
      </c>
      <c r="AI236" s="58">
        <v>0</v>
      </c>
      <c r="AJ236" s="58">
        <v>0</v>
      </c>
      <c r="AK236" s="58">
        <v>0</v>
      </c>
      <c r="AL236" s="75">
        <f>+SUBTOTAL(9,Tabla6[[#This Row],[ENE]:[DIC]])</f>
        <v>0</v>
      </c>
      <c r="AM236" s="76" t="str">
        <f t="shared" si="3"/>
        <v>OK</v>
      </c>
      <c r="AN236" s="60">
        <v>0</v>
      </c>
      <c r="AO236" s="61">
        <f>+Tabla6[[#This Row],[PRESUPUESTO VIGENTE]]-Tabla6[[#This Row],[CERTIFICACIÓN PAPP]]</f>
        <v>0</v>
      </c>
      <c r="AP236" s="59">
        <v>0</v>
      </c>
    </row>
    <row r="237" spans="1:42" ht="93" customHeight="1" x14ac:dyDescent="0.25">
      <c r="A237" s="62" t="s">
        <v>78</v>
      </c>
      <c r="B237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237" s="64" t="s">
        <v>79</v>
      </c>
      <c r="D237" s="64" t="s">
        <v>80</v>
      </c>
      <c r="E237" s="64" t="s">
        <v>81</v>
      </c>
      <c r="F237" s="64" t="s">
        <v>82</v>
      </c>
      <c r="G237" s="64" t="s">
        <v>92</v>
      </c>
      <c r="H237" s="65" t="str">
        <f>VLOOKUP(Tabla6[[#This Row],[DIRECCIÓN]],DIRECCIÓN[#All],2,0)</f>
        <v>ADMINISTRACIÓN CENTRAL</v>
      </c>
      <c r="I237" s="66" t="s">
        <v>906</v>
      </c>
      <c r="J237" s="67">
        <v>3</v>
      </c>
      <c r="K237" s="68" t="str">
        <f>VLOOKUP(Tabla6[[#This Row],[DIRECCIÓN GENERAL / COORDINACIÓN / SUBDIRECCIÓN]],Tabla37[[#All],[Columna1]:[EOD]],2,0)</f>
        <v>266_0001</v>
      </c>
      <c r="L237" s="69">
        <f>VLOOKUP(Tabla6[[#This Row],[OBJETIVOS PND]],Listas!$A$1:$C$3,3,0)</f>
        <v>1</v>
      </c>
      <c r="M237" s="70">
        <f>VLOOKUP(Tabla6[[#This Row],[PG]],Listas2!$G$14:$K$16,5,0)</f>
        <v>0</v>
      </c>
      <c r="N237" s="71">
        <v>1</v>
      </c>
      <c r="O237" s="72">
        <v>1001</v>
      </c>
      <c r="P237" s="73" t="str">
        <f>VLOOKUP(Tabla6[[#This Row],[GEO]],Listas!$A$48:$B$77,2,0)</f>
        <v>IBARRA</v>
      </c>
      <c r="Q237" s="70">
        <f>VLOOKUP(Tabla6[[#This Row],[PG]],Listas2!$G$14:$K$16,3,0)</f>
        <v>1</v>
      </c>
      <c r="R237" s="73">
        <f>VLOOKUP(Tabla6[[#This Row],[PG]],Listas2!H242:'Listas2'!$G$14:$K$16,4,0)</f>
        <v>0</v>
      </c>
      <c r="S237" s="73">
        <f>VLOOKUP(Tabla6[[#This Row],[PG]],Listas2!$G$14:$K$16,2,0)</f>
        <v>0</v>
      </c>
      <c r="T237" s="66" t="s">
        <v>84</v>
      </c>
      <c r="U237" s="74">
        <v>53</v>
      </c>
      <c r="V237" s="66">
        <v>530805</v>
      </c>
      <c r="W237" s="63" t="str">
        <f>VLOOKUP(Tabla6[[#This Row],[ÍTEM PRESUPUESTARIO]],Tabla2[#All],2,0)</f>
        <v>MATERIALES DE ASEO</v>
      </c>
      <c r="X237" s="57">
        <v>400</v>
      </c>
      <c r="Y237" s="57">
        <f>400+368.2-250.24+400-200+400-357.72</f>
        <v>760.24</v>
      </c>
      <c r="Z237" s="58">
        <v>0</v>
      </c>
      <c r="AA237" s="58">
        <v>0</v>
      </c>
      <c r="AB237" s="58">
        <v>0</v>
      </c>
      <c r="AC237" s="58">
        <v>0</v>
      </c>
      <c r="AD237" s="58">
        <v>517.96</v>
      </c>
      <c r="AE237" s="58">
        <v>0</v>
      </c>
      <c r="AF237" s="58">
        <v>0</v>
      </c>
      <c r="AG237" s="58">
        <v>0</v>
      </c>
      <c r="AH237" s="58">
        <v>0</v>
      </c>
      <c r="AI237" s="58">
        <v>242.27999999999997</v>
      </c>
      <c r="AJ237" s="58">
        <v>0</v>
      </c>
      <c r="AK237" s="58">
        <v>0</v>
      </c>
      <c r="AL237" s="75">
        <f>+SUBTOTAL(9,Tabla6[[#This Row],[ENE]:[DIC]])</f>
        <v>760.24</v>
      </c>
      <c r="AM237" s="76" t="str">
        <f t="shared" si="3"/>
        <v>OK</v>
      </c>
      <c r="AN237" s="60">
        <v>760.24</v>
      </c>
      <c r="AO237" s="61">
        <f>+Tabla6[[#This Row],[PRESUPUESTO VIGENTE]]-Tabla6[[#This Row],[CERTIFICACIÓN PAPP]]</f>
        <v>0</v>
      </c>
      <c r="AP237" s="59" t="s">
        <v>87</v>
      </c>
    </row>
    <row r="238" spans="1:42" ht="93" customHeight="1" x14ac:dyDescent="0.25">
      <c r="A238" s="62" t="s">
        <v>78</v>
      </c>
      <c r="B238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238" s="64" t="s">
        <v>79</v>
      </c>
      <c r="D238" s="64" t="s">
        <v>80</v>
      </c>
      <c r="E238" s="64" t="s">
        <v>81</v>
      </c>
      <c r="F238" s="64" t="s">
        <v>82</v>
      </c>
      <c r="G238" s="64" t="s">
        <v>92</v>
      </c>
      <c r="H238" s="65" t="str">
        <f>VLOOKUP(Tabla6[[#This Row],[DIRECCIÓN]],DIRECCIÓN[#All],2,0)</f>
        <v>ADMINISTRACIÓN CENTRAL</v>
      </c>
      <c r="I238" s="66" t="s">
        <v>907</v>
      </c>
      <c r="J238" s="67">
        <v>1</v>
      </c>
      <c r="K238" s="68" t="str">
        <f>VLOOKUP(Tabla6[[#This Row],[DIRECCIÓN GENERAL / COORDINACIÓN / SUBDIRECCIÓN]],Tabla37[[#All],[Columna1]:[EOD]],2,0)</f>
        <v>266_0001</v>
      </c>
      <c r="L238" s="69">
        <f>VLOOKUP(Tabla6[[#This Row],[OBJETIVOS PND]],Listas!$A$1:$C$3,3,0)</f>
        <v>1</v>
      </c>
      <c r="M238" s="70">
        <f>VLOOKUP(Tabla6[[#This Row],[PG]],Listas2!$G$14:$K$16,5,0)</f>
        <v>0</v>
      </c>
      <c r="N238" s="71">
        <v>1</v>
      </c>
      <c r="O238" s="72">
        <v>1001</v>
      </c>
      <c r="P238" s="73" t="str">
        <f>VLOOKUP(Tabla6[[#This Row],[GEO]],Listas!$A$48:$B$77,2,0)</f>
        <v>IBARRA</v>
      </c>
      <c r="Q238" s="70">
        <f>VLOOKUP(Tabla6[[#This Row],[PG]],Listas2!$G$14:$K$16,3,0)</f>
        <v>1</v>
      </c>
      <c r="R238" s="73">
        <f>VLOOKUP(Tabla6[[#This Row],[PG]],Listas2!H243:'Listas2'!$G$14:$K$16,4,0)</f>
        <v>0</v>
      </c>
      <c r="S238" s="73">
        <f>VLOOKUP(Tabla6[[#This Row],[PG]],Listas2!$G$14:$K$16,2,0)</f>
        <v>0</v>
      </c>
      <c r="T238" s="66" t="s">
        <v>84</v>
      </c>
      <c r="U238" s="74">
        <v>53</v>
      </c>
      <c r="V238" s="66">
        <v>530807</v>
      </c>
      <c r="W238" s="63" t="str">
        <f>VLOOKUP(Tabla6[[#This Row],[ÍTEM PRESUPUESTARIO]],Tabla2[#All],2,0)</f>
        <v>MATERIALES DE IMPRESIÓN, FOTOGRAFÍA, REPRODUCCIÓN Y PUBLICACIONES</v>
      </c>
      <c r="X238" s="57">
        <v>6200</v>
      </c>
      <c r="Y238" s="57">
        <f>6200+2800-316.8</f>
        <v>8683.2000000000007</v>
      </c>
      <c r="Z238" s="58">
        <v>0</v>
      </c>
      <c r="AA238" s="58">
        <v>0</v>
      </c>
      <c r="AB238" s="58">
        <v>0</v>
      </c>
      <c r="AC238" s="58">
        <v>0</v>
      </c>
      <c r="AD238" s="58">
        <v>0</v>
      </c>
      <c r="AE238" s="58">
        <v>0</v>
      </c>
      <c r="AF238" s="58">
        <v>8683.2000000000007</v>
      </c>
      <c r="AG238" s="58">
        <v>0</v>
      </c>
      <c r="AH238" s="58">
        <v>0</v>
      </c>
      <c r="AI238" s="58">
        <v>0</v>
      </c>
      <c r="AJ238" s="58">
        <v>0</v>
      </c>
      <c r="AK238" s="58">
        <v>0</v>
      </c>
      <c r="AL238" s="75">
        <f>+SUBTOTAL(9,Tabla6[[#This Row],[ENE]:[DIC]])</f>
        <v>8683.2000000000007</v>
      </c>
      <c r="AM238" s="76" t="str">
        <f t="shared" si="3"/>
        <v>OK</v>
      </c>
      <c r="AN238" s="60">
        <v>8683.2000000000007</v>
      </c>
      <c r="AO238" s="61">
        <f>+Tabla6[[#This Row],[PRESUPUESTO VIGENTE]]-Tabla6[[#This Row],[CERTIFICACIÓN PAPP]]</f>
        <v>0</v>
      </c>
      <c r="AP238" s="59" t="s">
        <v>87</v>
      </c>
    </row>
    <row r="239" spans="1:42" ht="93" customHeight="1" x14ac:dyDescent="0.25">
      <c r="A239" s="62" t="s">
        <v>78</v>
      </c>
      <c r="B239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239" s="64" t="s">
        <v>79</v>
      </c>
      <c r="D239" s="64" t="s">
        <v>80</v>
      </c>
      <c r="E239" s="64" t="s">
        <v>81</v>
      </c>
      <c r="F239" s="64" t="s">
        <v>82</v>
      </c>
      <c r="G239" s="64" t="s">
        <v>92</v>
      </c>
      <c r="H239" s="65" t="str">
        <f>VLOOKUP(Tabla6[[#This Row],[DIRECCIÓN]],DIRECCIÓN[#All],2,0)</f>
        <v>ADMINISTRACIÓN CENTRAL</v>
      </c>
      <c r="I239" s="66" t="s">
        <v>905</v>
      </c>
      <c r="J239" s="67">
        <v>1</v>
      </c>
      <c r="K239" s="68" t="str">
        <f>VLOOKUP(Tabla6[[#This Row],[DIRECCIÓN GENERAL / COORDINACIÓN / SUBDIRECCIÓN]],Tabla37[[#All],[Columna1]:[EOD]],2,0)</f>
        <v>266_0001</v>
      </c>
      <c r="L239" s="69">
        <f>VLOOKUP(Tabla6[[#This Row],[OBJETIVOS PND]],Listas!$A$1:$C$3,3,0)</f>
        <v>1</v>
      </c>
      <c r="M239" s="70">
        <f>VLOOKUP(Tabla6[[#This Row],[PG]],Listas2!$G$14:$K$16,5,0)</f>
        <v>0</v>
      </c>
      <c r="N239" s="71">
        <v>1</v>
      </c>
      <c r="O239" s="72">
        <v>1001</v>
      </c>
      <c r="P239" s="73" t="str">
        <f>VLOOKUP(Tabla6[[#This Row],[GEO]],Listas!$A$48:$B$77,2,0)</f>
        <v>IBARRA</v>
      </c>
      <c r="Q239" s="70">
        <f>VLOOKUP(Tabla6[[#This Row],[PG]],Listas2!$G$14:$K$16,3,0)</f>
        <v>1</v>
      </c>
      <c r="R239" s="73">
        <f>VLOOKUP(Tabla6[[#This Row],[PG]],Listas2!H244:'Listas2'!$G$14:$K$16,4,0)</f>
        <v>0</v>
      </c>
      <c r="S239" s="73">
        <f>VLOOKUP(Tabla6[[#This Row],[PG]],Listas2!$G$14:$K$16,2,0)</f>
        <v>0</v>
      </c>
      <c r="T239" s="66" t="s">
        <v>84</v>
      </c>
      <c r="U239" s="74">
        <v>53</v>
      </c>
      <c r="V239" s="66">
        <v>530807</v>
      </c>
      <c r="W239" s="63" t="str">
        <f>VLOOKUP(Tabla6[[#This Row],[ÍTEM PRESUPUESTARIO]],Tabla2[#All],2,0)</f>
        <v>MATERIALES DE IMPRESIÓN, FOTOGRAFÍA, REPRODUCCIÓN Y PUBLICACIONES</v>
      </c>
      <c r="X239" s="57">
        <v>0</v>
      </c>
      <c r="Y239" s="57">
        <f>972-398+58.5-632.5</f>
        <v>0</v>
      </c>
      <c r="Z239" s="58">
        <v>0</v>
      </c>
      <c r="AA239" s="58">
        <v>0</v>
      </c>
      <c r="AB239" s="58">
        <v>0</v>
      </c>
      <c r="AC239" s="58">
        <v>0</v>
      </c>
      <c r="AD239" s="58">
        <v>0</v>
      </c>
      <c r="AE239" s="58">
        <v>0</v>
      </c>
      <c r="AF239" s="58">
        <v>0</v>
      </c>
      <c r="AG239" s="58">
        <v>0</v>
      </c>
      <c r="AH239" s="58">
        <v>0</v>
      </c>
      <c r="AI239" s="58">
        <v>0</v>
      </c>
      <c r="AJ239" s="58">
        <v>0</v>
      </c>
      <c r="AK239" s="58">
        <v>0</v>
      </c>
      <c r="AL239" s="75">
        <f>+SUBTOTAL(9,Tabla6[[#This Row],[ENE]:[DIC]])</f>
        <v>0</v>
      </c>
      <c r="AM239" s="76" t="str">
        <f t="shared" si="3"/>
        <v>OK</v>
      </c>
      <c r="AN239" s="60">
        <v>0</v>
      </c>
      <c r="AO239" s="61">
        <f>+Tabla6[[#This Row],[PRESUPUESTO VIGENTE]]-Tabla6[[#This Row],[CERTIFICACIÓN PAPP]]</f>
        <v>0</v>
      </c>
      <c r="AP239" s="59">
        <v>0</v>
      </c>
    </row>
    <row r="240" spans="1:42" ht="93" customHeight="1" x14ac:dyDescent="0.25">
      <c r="A240" s="62" t="s">
        <v>78</v>
      </c>
      <c r="B240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240" s="64" t="s">
        <v>79</v>
      </c>
      <c r="D240" s="64" t="s">
        <v>80</v>
      </c>
      <c r="E240" s="64" t="s">
        <v>81</v>
      </c>
      <c r="F240" s="64" t="s">
        <v>82</v>
      </c>
      <c r="G240" s="64" t="s">
        <v>92</v>
      </c>
      <c r="H240" s="65" t="str">
        <f>VLOOKUP(Tabla6[[#This Row],[DIRECCIÓN]],DIRECCIÓN[#All],2,0)</f>
        <v>ADMINISTRACIÓN CENTRAL</v>
      </c>
      <c r="I240" s="66" t="s">
        <v>908</v>
      </c>
      <c r="J240" s="67">
        <v>1</v>
      </c>
      <c r="K240" s="68" t="str">
        <f>VLOOKUP(Tabla6[[#This Row],[DIRECCIÓN GENERAL / COORDINACIÓN / SUBDIRECCIÓN]],Tabla37[[#All],[Columna1]:[EOD]],2,0)</f>
        <v>266_0001</v>
      </c>
      <c r="L240" s="69">
        <f>VLOOKUP(Tabla6[[#This Row],[OBJETIVOS PND]],Listas!$A$1:$C$3,3,0)</f>
        <v>1</v>
      </c>
      <c r="M240" s="70">
        <f>VLOOKUP(Tabla6[[#This Row],[PG]],Listas2!$G$14:$K$16,5,0)</f>
        <v>0</v>
      </c>
      <c r="N240" s="71">
        <v>1</v>
      </c>
      <c r="O240" s="72">
        <v>1001</v>
      </c>
      <c r="P240" s="73" t="str">
        <f>VLOOKUP(Tabla6[[#This Row],[GEO]],Listas!$A$48:$B$77,2,0)</f>
        <v>IBARRA</v>
      </c>
      <c r="Q240" s="70">
        <f>VLOOKUP(Tabla6[[#This Row],[PG]],Listas2!$G$14:$K$16,3,0)</f>
        <v>1</v>
      </c>
      <c r="R240" s="73">
        <f>VLOOKUP(Tabla6[[#This Row],[PG]],Listas2!H245:'Listas2'!$G$14:$K$16,4,0)</f>
        <v>0</v>
      </c>
      <c r="S240" s="73">
        <f>VLOOKUP(Tabla6[[#This Row],[PG]],Listas2!$G$14:$K$16,2,0)</f>
        <v>0</v>
      </c>
      <c r="T240" s="66" t="s">
        <v>84</v>
      </c>
      <c r="U240" s="74">
        <v>53</v>
      </c>
      <c r="V240" s="66">
        <v>530811</v>
      </c>
      <c r="W240" s="63" t="str">
        <f>VLOOKUP(Tabla6[[#This Row],[ÍTEM PRESUPUESTARIO]],Tabla2[#All],2,0)</f>
        <v>INSUMOS, MATERIALES Y SUMINISTROS PARA CONSTRUCCIÓN, ELECTRICIDAD, PLOMERÍA, CARPINTERÍA, SEÑALIZACIÓN VIAL, NAVEGACIÓN, CONTRA INCENDIOS Y PLACAS</v>
      </c>
      <c r="X240" s="57">
        <v>1500</v>
      </c>
      <c r="Y240" s="57">
        <f>1500+500+1000+1000-1132.98</f>
        <v>2867.02</v>
      </c>
      <c r="Z240" s="58">
        <v>0</v>
      </c>
      <c r="AA240" s="58">
        <v>0</v>
      </c>
      <c r="AB240" s="58">
        <v>0</v>
      </c>
      <c r="AC240" s="58">
        <v>0</v>
      </c>
      <c r="AD240" s="58">
        <v>0</v>
      </c>
      <c r="AE240" s="58">
        <v>0</v>
      </c>
      <c r="AF240" s="58">
        <v>2867.02</v>
      </c>
      <c r="AG240" s="58">
        <v>0</v>
      </c>
      <c r="AH240" s="58">
        <v>0</v>
      </c>
      <c r="AI240" s="58">
        <v>0</v>
      </c>
      <c r="AJ240" s="58">
        <v>0</v>
      </c>
      <c r="AK240" s="58">
        <v>0</v>
      </c>
      <c r="AL240" s="75">
        <f>+SUBTOTAL(9,Tabla6[[#This Row],[ENE]:[DIC]])</f>
        <v>2867.02</v>
      </c>
      <c r="AM240" s="76" t="str">
        <f t="shared" si="3"/>
        <v>OK</v>
      </c>
      <c r="AN240" s="60">
        <v>2867.02</v>
      </c>
      <c r="AO240" s="61">
        <f>+Tabla6[[#This Row],[PRESUPUESTO VIGENTE]]-Tabla6[[#This Row],[CERTIFICACIÓN PAPP]]</f>
        <v>0</v>
      </c>
      <c r="AP240" s="59" t="s">
        <v>87</v>
      </c>
    </row>
    <row r="241" spans="1:42" ht="93" customHeight="1" x14ac:dyDescent="0.25">
      <c r="A241" s="62" t="s">
        <v>78</v>
      </c>
      <c r="B241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241" s="64" t="s">
        <v>79</v>
      </c>
      <c r="D241" s="64" t="s">
        <v>80</v>
      </c>
      <c r="E241" s="64" t="s">
        <v>81</v>
      </c>
      <c r="F241" s="64" t="s">
        <v>82</v>
      </c>
      <c r="G241" s="64" t="s">
        <v>92</v>
      </c>
      <c r="H241" s="65" t="str">
        <f>VLOOKUP(Tabla6[[#This Row],[DIRECCIÓN]],DIRECCIÓN[#All],2,0)</f>
        <v>ADMINISTRACIÓN CENTRAL</v>
      </c>
      <c r="I241" s="66" t="s">
        <v>792</v>
      </c>
      <c r="J241" s="67">
        <v>2</v>
      </c>
      <c r="K241" s="68" t="str">
        <f>VLOOKUP(Tabla6[[#This Row],[DIRECCIÓN GENERAL / COORDINACIÓN / SUBDIRECCIÓN]],Tabla37[[#All],[Columna1]:[EOD]],2,0)</f>
        <v>266_0001</v>
      </c>
      <c r="L241" s="69">
        <f>VLOOKUP(Tabla6[[#This Row],[OBJETIVOS PND]],Listas!$A$1:$C$3,3,0)</f>
        <v>1</v>
      </c>
      <c r="M241" s="70">
        <f>VLOOKUP(Tabla6[[#This Row],[PG]],Listas2!$G$14:$K$16,5,0)</f>
        <v>0</v>
      </c>
      <c r="N241" s="71">
        <v>1</v>
      </c>
      <c r="O241" s="72">
        <v>1001</v>
      </c>
      <c r="P241" s="73" t="str">
        <f>VLOOKUP(Tabla6[[#This Row],[GEO]],Listas!$A$48:$B$77,2,0)</f>
        <v>IBARRA</v>
      </c>
      <c r="Q241" s="70">
        <f>VLOOKUP(Tabla6[[#This Row],[PG]],Listas2!$G$14:$K$16,3,0)</f>
        <v>1</v>
      </c>
      <c r="R241" s="73">
        <f>VLOOKUP(Tabla6[[#This Row],[PG]],Listas2!H246:'Listas2'!$G$14:$K$16,4,0)</f>
        <v>0</v>
      </c>
      <c r="S241" s="73">
        <f>VLOOKUP(Tabla6[[#This Row],[PG]],Listas2!$G$14:$K$16,2,0)</f>
        <v>0</v>
      </c>
      <c r="T241" s="66" t="s">
        <v>84</v>
      </c>
      <c r="U241" s="74">
        <v>53</v>
      </c>
      <c r="V241" s="66">
        <v>530811</v>
      </c>
      <c r="W241" s="63" t="str">
        <f>VLOOKUP(Tabla6[[#This Row],[ÍTEM PRESUPUESTARIO]],Tabla2[#All],2,0)</f>
        <v>INSUMOS, MATERIALES Y SUMINISTROS PARA CONSTRUCCIÓN, ELECTRICIDAD, PLOMERÍA, CARPINTERÍA, SEÑALIZACIÓN VIAL, NAVEGACIÓN, CONTRA INCENDIOS Y PLACAS</v>
      </c>
      <c r="X241" s="57">
        <v>500</v>
      </c>
      <c r="Y241" s="57">
        <f>500+200-211.81+211.81-402.59</f>
        <v>297.41000000000003</v>
      </c>
      <c r="Z241" s="58">
        <v>0</v>
      </c>
      <c r="AA241" s="58">
        <v>0</v>
      </c>
      <c r="AB241" s="58">
        <v>0</v>
      </c>
      <c r="AC241" s="58">
        <v>0</v>
      </c>
      <c r="AD241" s="58">
        <v>0</v>
      </c>
      <c r="AE241" s="58">
        <v>0</v>
      </c>
      <c r="AF241" s="58">
        <v>0</v>
      </c>
      <c r="AG241" s="58">
        <v>0</v>
      </c>
      <c r="AH241" s="58">
        <v>0</v>
      </c>
      <c r="AI241" s="58">
        <v>0</v>
      </c>
      <c r="AJ241" s="58">
        <v>0</v>
      </c>
      <c r="AK241" s="58">
        <v>297.41000000000003</v>
      </c>
      <c r="AL241" s="75">
        <f>+SUBTOTAL(9,Tabla6[[#This Row],[ENE]:[DIC]])</f>
        <v>297.41000000000003</v>
      </c>
      <c r="AM241" s="76" t="str">
        <f t="shared" si="3"/>
        <v>OK</v>
      </c>
      <c r="AN241" s="60">
        <v>297.41000000000003</v>
      </c>
      <c r="AO241" s="61">
        <f>+Tabla6[[#This Row],[PRESUPUESTO VIGENTE]]-Tabla6[[#This Row],[CERTIFICACIÓN PAPP]]</f>
        <v>0</v>
      </c>
      <c r="AP241" s="59" t="s">
        <v>87</v>
      </c>
    </row>
    <row r="242" spans="1:42" ht="93" customHeight="1" x14ac:dyDescent="0.25">
      <c r="A242" s="62" t="s">
        <v>78</v>
      </c>
      <c r="B242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242" s="64" t="s">
        <v>79</v>
      </c>
      <c r="D242" s="64" t="s">
        <v>80</v>
      </c>
      <c r="E242" s="64" t="s">
        <v>81</v>
      </c>
      <c r="F242" s="64" t="s">
        <v>82</v>
      </c>
      <c r="G242" s="64" t="s">
        <v>92</v>
      </c>
      <c r="H242" s="65" t="str">
        <f>VLOOKUP(Tabla6[[#This Row],[DIRECCIÓN]],DIRECCIÓN[#All],2,0)</f>
        <v>ADMINISTRACIÓN CENTRAL</v>
      </c>
      <c r="I242" s="66" t="s">
        <v>909</v>
      </c>
      <c r="J242" s="67">
        <v>1</v>
      </c>
      <c r="K242" s="68" t="str">
        <f>VLOOKUP(Tabla6[[#This Row],[DIRECCIÓN GENERAL / COORDINACIÓN / SUBDIRECCIÓN]],Tabla37[[#All],[Columna1]:[EOD]],2,0)</f>
        <v>266_0001</v>
      </c>
      <c r="L242" s="69">
        <f>VLOOKUP(Tabla6[[#This Row],[OBJETIVOS PND]],Listas!$A$1:$C$3,3,0)</f>
        <v>1</v>
      </c>
      <c r="M242" s="70">
        <f>VLOOKUP(Tabla6[[#This Row],[PG]],Listas2!$G$14:$K$16,5,0)</f>
        <v>0</v>
      </c>
      <c r="N242" s="71">
        <v>1</v>
      </c>
      <c r="O242" s="72">
        <v>1001</v>
      </c>
      <c r="P242" s="73" t="str">
        <f>VLOOKUP(Tabla6[[#This Row],[GEO]],Listas!$A$48:$B$77,2,0)</f>
        <v>IBARRA</v>
      </c>
      <c r="Q242" s="70">
        <f>VLOOKUP(Tabla6[[#This Row],[PG]],Listas2!$G$14:$K$16,3,0)</f>
        <v>1</v>
      </c>
      <c r="R242" s="73">
        <f>VLOOKUP(Tabla6[[#This Row],[PG]],Listas2!H247:'Listas2'!$G$14:$K$16,4,0)</f>
        <v>0</v>
      </c>
      <c r="S242" s="73">
        <f>VLOOKUP(Tabla6[[#This Row],[PG]],Listas2!$G$14:$K$16,2,0)</f>
        <v>0</v>
      </c>
      <c r="T242" s="66" t="s">
        <v>84</v>
      </c>
      <c r="U242" s="74">
        <v>53</v>
      </c>
      <c r="V242" s="66">
        <v>530811</v>
      </c>
      <c r="W242" s="63" t="str">
        <f>VLOOKUP(Tabla6[[#This Row],[ÍTEM PRESUPUESTARIO]],Tabla2[#All],2,0)</f>
        <v>INSUMOS, MATERIALES Y SUMINISTROS PARA CONSTRUCCIÓN, ELECTRICIDAD, PLOMERÍA, CARPINTERÍA, SEÑALIZACIÓN VIAL, NAVEGACIÓN, CONTRA INCENDIOS Y PLACAS</v>
      </c>
      <c r="X242" s="57">
        <v>1000</v>
      </c>
      <c r="Y242" s="57">
        <f>1000-1000</f>
        <v>0</v>
      </c>
      <c r="Z242" s="58">
        <v>0</v>
      </c>
      <c r="AA242" s="58">
        <v>0</v>
      </c>
      <c r="AB242" s="58">
        <v>0</v>
      </c>
      <c r="AC242" s="58">
        <v>0</v>
      </c>
      <c r="AD242" s="58">
        <v>0</v>
      </c>
      <c r="AE242" s="58">
        <v>0</v>
      </c>
      <c r="AF242" s="58">
        <v>0</v>
      </c>
      <c r="AG242" s="58">
        <v>0</v>
      </c>
      <c r="AH242" s="58">
        <v>0</v>
      </c>
      <c r="AI242" s="58">
        <v>0</v>
      </c>
      <c r="AJ242" s="58">
        <v>0</v>
      </c>
      <c r="AK242" s="58">
        <v>0</v>
      </c>
      <c r="AL242" s="75">
        <f>+SUBTOTAL(9,Tabla6[[#This Row],[ENE]:[DIC]])</f>
        <v>0</v>
      </c>
      <c r="AM242" s="76" t="str">
        <f t="shared" si="3"/>
        <v>OK</v>
      </c>
      <c r="AN242" s="60">
        <v>0</v>
      </c>
      <c r="AO242" s="61">
        <f>+Tabla6[[#This Row],[PRESUPUESTO VIGENTE]]-Tabla6[[#This Row],[CERTIFICACIÓN PAPP]]</f>
        <v>0</v>
      </c>
      <c r="AP242" s="59">
        <v>0</v>
      </c>
    </row>
    <row r="243" spans="1:42" ht="93" customHeight="1" x14ac:dyDescent="0.25">
      <c r="A243" s="62" t="s">
        <v>78</v>
      </c>
      <c r="B243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243" s="64" t="s">
        <v>79</v>
      </c>
      <c r="D243" s="64" t="s">
        <v>80</v>
      </c>
      <c r="E243" s="64" t="s">
        <v>81</v>
      </c>
      <c r="F243" s="64" t="s">
        <v>82</v>
      </c>
      <c r="G243" s="64" t="s">
        <v>92</v>
      </c>
      <c r="H243" s="65" t="str">
        <f>VLOOKUP(Tabla6[[#This Row],[DIRECCIÓN]],DIRECCIÓN[#All],2,0)</f>
        <v>ADMINISTRACIÓN CENTRAL</v>
      </c>
      <c r="I243" s="66" t="s">
        <v>910</v>
      </c>
      <c r="J243" s="67">
        <v>1</v>
      </c>
      <c r="K243" s="68" t="str">
        <f>VLOOKUP(Tabla6[[#This Row],[DIRECCIÓN GENERAL / COORDINACIÓN / SUBDIRECCIÓN]],Tabla37[[#All],[Columna1]:[EOD]],2,0)</f>
        <v>266_0001</v>
      </c>
      <c r="L243" s="69">
        <f>VLOOKUP(Tabla6[[#This Row],[OBJETIVOS PND]],Listas!$A$1:$C$3,3,0)</f>
        <v>1</v>
      </c>
      <c r="M243" s="70">
        <f>VLOOKUP(Tabla6[[#This Row],[PG]],Listas2!$G$14:$K$16,5,0)</f>
        <v>0</v>
      </c>
      <c r="N243" s="71">
        <v>1</v>
      </c>
      <c r="O243" s="72">
        <v>1001</v>
      </c>
      <c r="P243" s="73" t="str">
        <f>VLOOKUP(Tabla6[[#This Row],[GEO]],Listas!$A$48:$B$77,2,0)</f>
        <v>IBARRA</v>
      </c>
      <c r="Q243" s="70">
        <f>VLOOKUP(Tabla6[[#This Row],[PG]],Listas2!$G$14:$K$16,3,0)</f>
        <v>1</v>
      </c>
      <c r="R243" s="73">
        <f>VLOOKUP(Tabla6[[#This Row],[PG]],Listas2!H248:'Listas2'!$G$14:$K$16,4,0)</f>
        <v>0</v>
      </c>
      <c r="S243" s="73">
        <f>VLOOKUP(Tabla6[[#This Row],[PG]],Listas2!$G$14:$K$16,2,0)</f>
        <v>0</v>
      </c>
      <c r="T243" s="66" t="s">
        <v>84</v>
      </c>
      <c r="U243" s="74">
        <v>53</v>
      </c>
      <c r="V243" s="66">
        <v>530811</v>
      </c>
      <c r="W243" s="63" t="str">
        <f>VLOOKUP(Tabla6[[#This Row],[ÍTEM PRESUPUESTARIO]],Tabla2[#All],2,0)</f>
        <v>INSUMOS, MATERIALES Y SUMINISTROS PARA CONSTRUCCIÓN, ELECTRICIDAD, PLOMERÍA, CARPINTERÍA, SEÑALIZACIÓN VIAL, NAVEGACIÓN, CONTRA INCENDIOS Y PLACAS</v>
      </c>
      <c r="X243" s="57">
        <v>0</v>
      </c>
      <c r="Y243" s="57">
        <f>27000+10679.4</f>
        <v>37679.4</v>
      </c>
      <c r="Z243" s="58">
        <v>0</v>
      </c>
      <c r="AA243" s="58">
        <v>0</v>
      </c>
      <c r="AB243" s="58">
        <v>0</v>
      </c>
      <c r="AC243" s="58">
        <v>0</v>
      </c>
      <c r="AD243" s="58">
        <v>0</v>
      </c>
      <c r="AE243" s="58">
        <v>0</v>
      </c>
      <c r="AF243" s="58">
        <v>0</v>
      </c>
      <c r="AG243" s="58">
        <v>37679.4</v>
      </c>
      <c r="AH243" s="58">
        <v>0</v>
      </c>
      <c r="AI243" s="58">
        <v>0</v>
      </c>
      <c r="AJ243" s="58">
        <v>0</v>
      </c>
      <c r="AK243" s="58">
        <v>0</v>
      </c>
      <c r="AL243" s="75">
        <f>+SUBTOTAL(9,Tabla6[[#This Row],[ENE]:[DIC]])</f>
        <v>37679.4</v>
      </c>
      <c r="AM243" s="76" t="str">
        <f t="shared" si="3"/>
        <v>OK</v>
      </c>
      <c r="AN243" s="60">
        <v>37679.4</v>
      </c>
      <c r="AO243" s="61">
        <f>+Tabla6[[#This Row],[PRESUPUESTO VIGENTE]]-Tabla6[[#This Row],[CERTIFICACIÓN PAPP]]</f>
        <v>0</v>
      </c>
      <c r="AP243" s="59">
        <v>0</v>
      </c>
    </row>
    <row r="244" spans="1:42" ht="93" customHeight="1" x14ac:dyDescent="0.25">
      <c r="A244" s="62" t="s">
        <v>78</v>
      </c>
      <c r="B244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244" s="64" t="s">
        <v>85</v>
      </c>
      <c r="D244" s="64" t="s">
        <v>80</v>
      </c>
      <c r="E244" s="64" t="s">
        <v>81</v>
      </c>
      <c r="F244" s="64" t="s">
        <v>82</v>
      </c>
      <c r="G244" s="64" t="s">
        <v>94</v>
      </c>
      <c r="H244" s="65" t="str">
        <f>VLOOKUP(Tabla6[[#This Row],[DIRECCIÓN]],DIRECCIÓN[#All],2,0)</f>
        <v>COMUNICACIÓN SOCIAL</v>
      </c>
      <c r="I244" s="66" t="s">
        <v>879</v>
      </c>
      <c r="J244" s="67">
        <v>2</v>
      </c>
      <c r="K244" s="68" t="str">
        <f>VLOOKUP(Tabla6[[#This Row],[DIRECCIÓN GENERAL / COORDINACIÓN / SUBDIRECCIÓN]],Tabla37[[#All],[Columna1]:[EOD]],2,0)</f>
        <v>266_0001</v>
      </c>
      <c r="L244" s="69">
        <f>VLOOKUP(Tabla6[[#This Row],[OBJETIVOS PND]],Listas!$A$1:$C$3,3,0)</f>
        <v>1</v>
      </c>
      <c r="M244" s="70">
        <f>VLOOKUP(Tabla6[[#This Row],[PG]],Listas2!$G$14:$K$16,5,0)</f>
        <v>0</v>
      </c>
      <c r="N244" s="71">
        <v>1</v>
      </c>
      <c r="O244" s="72">
        <v>1001</v>
      </c>
      <c r="P244" s="73" t="str">
        <f>VLOOKUP(Tabla6[[#This Row],[GEO]],Listas!$A$48:$B$77,2,0)</f>
        <v>IBARRA</v>
      </c>
      <c r="Q244" s="70">
        <f>VLOOKUP(Tabla6[[#This Row],[PG]],Listas2!$G$14:$K$16,3,0)</f>
        <v>1</v>
      </c>
      <c r="R244" s="73">
        <f>VLOOKUP(Tabla6[[#This Row],[PG]],Listas2!H249:'Listas2'!$G$14:$K$16,4,0)</f>
        <v>0</v>
      </c>
      <c r="S244" s="73">
        <f>VLOOKUP(Tabla6[[#This Row],[PG]],Listas2!$G$14:$K$16,2,0)</f>
        <v>0</v>
      </c>
      <c r="T244" s="66" t="s">
        <v>84</v>
      </c>
      <c r="U244" s="74">
        <v>53</v>
      </c>
      <c r="V244" s="66">
        <v>530811</v>
      </c>
      <c r="W244" s="63" t="str">
        <f>VLOOKUP(Tabla6[[#This Row],[ÍTEM PRESUPUESTARIO]],Tabla2[#All],2,0)</f>
        <v>INSUMOS, MATERIALES Y SUMINISTROS PARA CONSTRUCCIÓN, ELECTRICIDAD, PLOMERÍA, CARPINTERÍA, SEÑALIZACIÓN VIAL, NAVEGACIÓN, CONTRA INCENDIOS Y PLACAS</v>
      </c>
      <c r="X244" s="57">
        <v>0</v>
      </c>
      <c r="Y244" s="57">
        <v>470</v>
      </c>
      <c r="Z244" s="58">
        <v>0</v>
      </c>
      <c r="AA244" s="58">
        <v>0</v>
      </c>
      <c r="AB244" s="58">
        <v>0</v>
      </c>
      <c r="AC244" s="58">
        <v>0</v>
      </c>
      <c r="AD244" s="58">
        <v>470</v>
      </c>
      <c r="AE244" s="58">
        <v>0</v>
      </c>
      <c r="AF244" s="58">
        <v>0</v>
      </c>
      <c r="AG244" s="58">
        <v>0</v>
      </c>
      <c r="AH244" s="58">
        <v>0</v>
      </c>
      <c r="AI244" s="58">
        <v>0</v>
      </c>
      <c r="AJ244" s="58">
        <v>0</v>
      </c>
      <c r="AK244" s="58">
        <v>0</v>
      </c>
      <c r="AL244" s="75">
        <f>+SUBTOTAL(9,Tabla6[[#This Row],[ENE]:[DIC]])</f>
        <v>470</v>
      </c>
      <c r="AM244" s="76" t="str">
        <f t="shared" si="3"/>
        <v>OK</v>
      </c>
      <c r="AN244" s="60">
        <v>470</v>
      </c>
      <c r="AO244" s="61">
        <f>+Tabla6[[#This Row],[PRESUPUESTO VIGENTE]]-Tabla6[[#This Row],[CERTIFICACIÓN PAPP]]</f>
        <v>0</v>
      </c>
      <c r="AP244" s="59">
        <v>0</v>
      </c>
    </row>
    <row r="245" spans="1:42" ht="93" customHeight="1" x14ac:dyDescent="0.25">
      <c r="A245" s="62" t="s">
        <v>78</v>
      </c>
      <c r="B245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245" s="64" t="s">
        <v>79</v>
      </c>
      <c r="D245" s="64" t="s">
        <v>80</v>
      </c>
      <c r="E245" s="64" t="s">
        <v>81</v>
      </c>
      <c r="F245" s="64" t="s">
        <v>82</v>
      </c>
      <c r="G245" s="64" t="s">
        <v>92</v>
      </c>
      <c r="H245" s="65" t="str">
        <f>VLOOKUP(Tabla6[[#This Row],[DIRECCIÓN]],DIRECCIÓN[#All],2,0)</f>
        <v>ADMINISTRACIÓN CENTRAL</v>
      </c>
      <c r="I245" s="66" t="s">
        <v>911</v>
      </c>
      <c r="J245" s="67">
        <v>2</v>
      </c>
      <c r="K245" s="68" t="str">
        <f>VLOOKUP(Tabla6[[#This Row],[DIRECCIÓN GENERAL / COORDINACIÓN / SUBDIRECCIÓN]],Tabla37[[#All],[Columna1]:[EOD]],2,0)</f>
        <v>266_0001</v>
      </c>
      <c r="L245" s="69">
        <f>VLOOKUP(Tabla6[[#This Row],[OBJETIVOS PND]],Listas!$A$1:$C$3,3,0)</f>
        <v>1</v>
      </c>
      <c r="M245" s="70">
        <f>VLOOKUP(Tabla6[[#This Row],[PG]],Listas2!$G$14:$K$16,5,0)</f>
        <v>0</v>
      </c>
      <c r="N245" s="71">
        <v>1</v>
      </c>
      <c r="O245" s="72">
        <v>1001</v>
      </c>
      <c r="P245" s="73" t="str">
        <f>VLOOKUP(Tabla6[[#This Row],[GEO]],Listas!$A$48:$B$77,2,0)</f>
        <v>IBARRA</v>
      </c>
      <c r="Q245" s="70">
        <f>VLOOKUP(Tabla6[[#This Row],[PG]],Listas2!$G$14:$K$16,3,0)</f>
        <v>1</v>
      </c>
      <c r="R245" s="73">
        <f>VLOOKUP(Tabla6[[#This Row],[PG]],Listas2!H250:'Listas2'!$G$14:$K$16,4,0)</f>
        <v>0</v>
      </c>
      <c r="S245" s="73">
        <f>VLOOKUP(Tabla6[[#This Row],[PG]],Listas2!$G$14:$K$16,2,0)</f>
        <v>0</v>
      </c>
      <c r="T245" s="66" t="s">
        <v>84</v>
      </c>
      <c r="U245" s="74">
        <v>53</v>
      </c>
      <c r="V245" s="66">
        <v>530811</v>
      </c>
      <c r="W245" s="63" t="str">
        <f>VLOOKUP(Tabla6[[#This Row],[ÍTEM PRESUPUESTARIO]],Tabla2[#All],2,0)</f>
        <v>INSUMOS, MATERIALES Y SUMINISTROS PARA CONSTRUCCIÓN, ELECTRICIDAD, PLOMERÍA, CARPINTERÍA, SEÑALIZACIÓN VIAL, NAVEGACIÓN, CONTRA INCENDIOS Y PLACAS</v>
      </c>
      <c r="X245" s="57">
        <v>0</v>
      </c>
      <c r="Y245" s="57">
        <f>6900-69.42</f>
        <v>6830.58</v>
      </c>
      <c r="Z245" s="58">
        <v>0</v>
      </c>
      <c r="AA245" s="58">
        <v>0</v>
      </c>
      <c r="AB245" s="58">
        <v>0</v>
      </c>
      <c r="AC245" s="58">
        <v>0</v>
      </c>
      <c r="AD245" s="58">
        <v>0</v>
      </c>
      <c r="AE245" s="58">
        <v>0</v>
      </c>
      <c r="AF245" s="58">
        <v>0</v>
      </c>
      <c r="AG245" s="58">
        <v>0</v>
      </c>
      <c r="AH245" s="58">
        <v>0</v>
      </c>
      <c r="AI245" s="58">
        <v>0</v>
      </c>
      <c r="AJ245" s="58">
        <v>6830.58</v>
      </c>
      <c r="AK245" s="58">
        <v>0</v>
      </c>
      <c r="AL245" s="75">
        <f>+SUBTOTAL(9,Tabla6[[#This Row],[ENE]:[DIC]])</f>
        <v>6830.58</v>
      </c>
      <c r="AM245" s="76" t="str">
        <f t="shared" si="3"/>
        <v>OK</v>
      </c>
      <c r="AN245" s="60">
        <v>6830.58</v>
      </c>
      <c r="AO245" s="61">
        <f>+Tabla6[[#This Row],[PRESUPUESTO VIGENTE]]-Tabla6[[#This Row],[CERTIFICACIÓN PAPP]]</f>
        <v>0</v>
      </c>
      <c r="AP245" s="59">
        <v>0</v>
      </c>
    </row>
    <row r="246" spans="1:42" ht="93" customHeight="1" x14ac:dyDescent="0.25">
      <c r="A246" s="62" t="s">
        <v>78</v>
      </c>
      <c r="B246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246" s="64" t="s">
        <v>79</v>
      </c>
      <c r="D246" s="64" t="s">
        <v>80</v>
      </c>
      <c r="E246" s="64" t="s">
        <v>81</v>
      </c>
      <c r="F246" s="64" t="s">
        <v>82</v>
      </c>
      <c r="G246" s="64" t="s">
        <v>92</v>
      </c>
      <c r="H246" s="65" t="str">
        <f>VLOOKUP(Tabla6[[#This Row],[DIRECCIÓN]],DIRECCIÓN[#All],2,0)</f>
        <v>ADMINISTRACIÓN CENTRAL</v>
      </c>
      <c r="I246" s="66" t="s">
        <v>912</v>
      </c>
      <c r="J246" s="67">
        <v>1</v>
      </c>
      <c r="K246" s="68" t="str">
        <f>VLOOKUP(Tabla6[[#This Row],[DIRECCIÓN GENERAL / COORDINACIÓN / SUBDIRECCIÓN]],Tabla37[[#All],[Columna1]:[EOD]],2,0)</f>
        <v>266_0001</v>
      </c>
      <c r="L246" s="69">
        <f>VLOOKUP(Tabla6[[#This Row],[OBJETIVOS PND]],Listas!$A$1:$C$3,3,0)</f>
        <v>1</v>
      </c>
      <c r="M246" s="70">
        <f>VLOOKUP(Tabla6[[#This Row],[PG]],Listas2!$G$14:$K$16,5,0)</f>
        <v>0</v>
      </c>
      <c r="N246" s="71">
        <v>1</v>
      </c>
      <c r="O246" s="72">
        <v>1001</v>
      </c>
      <c r="P246" s="73" t="str">
        <f>VLOOKUP(Tabla6[[#This Row],[GEO]],Listas!$A$48:$B$77,2,0)</f>
        <v>IBARRA</v>
      </c>
      <c r="Q246" s="70">
        <f>VLOOKUP(Tabla6[[#This Row],[PG]],Listas2!$G$14:$K$16,3,0)</f>
        <v>1</v>
      </c>
      <c r="R246" s="73">
        <f>VLOOKUP(Tabla6[[#This Row],[PG]],Listas2!H251:'Listas2'!$G$14:$K$16,4,0)</f>
        <v>0</v>
      </c>
      <c r="S246" s="73">
        <f>VLOOKUP(Tabla6[[#This Row],[PG]],Listas2!$G$14:$K$16,2,0)</f>
        <v>0</v>
      </c>
      <c r="T246" s="66" t="s">
        <v>84</v>
      </c>
      <c r="U246" s="74">
        <v>53</v>
      </c>
      <c r="V246" s="66">
        <v>530813</v>
      </c>
      <c r="W246" s="63" t="str">
        <f>VLOOKUP(Tabla6[[#This Row],[ÍTEM PRESUPUESTARIO]],Tabla2[#All],2,0)</f>
        <v>REPUESTOS Y ACCESORIOS</v>
      </c>
      <c r="X246" s="57">
        <v>1570</v>
      </c>
      <c r="Y246" s="57">
        <f>1570+1650-388.34</f>
        <v>2831.66</v>
      </c>
      <c r="Z246" s="58">
        <v>0</v>
      </c>
      <c r="AA246" s="58">
        <v>0</v>
      </c>
      <c r="AB246" s="58">
        <v>0</v>
      </c>
      <c r="AC246" s="58">
        <v>644</v>
      </c>
      <c r="AD246" s="58">
        <v>0</v>
      </c>
      <c r="AE246" s="58">
        <v>644</v>
      </c>
      <c r="AF246" s="58">
        <v>0</v>
      </c>
      <c r="AG246" s="58">
        <v>644</v>
      </c>
      <c r="AH246" s="58">
        <v>0</v>
      </c>
      <c r="AI246" s="58">
        <v>644</v>
      </c>
      <c r="AJ246" s="58">
        <v>0</v>
      </c>
      <c r="AK246" s="58">
        <v>255.65999999999985</v>
      </c>
      <c r="AL246" s="75">
        <f>+SUBTOTAL(9,Tabla6[[#This Row],[ENE]:[DIC]])</f>
        <v>2831.66</v>
      </c>
      <c r="AM246" s="76" t="str">
        <f t="shared" si="3"/>
        <v>OK</v>
      </c>
      <c r="AN246" s="60">
        <v>2831.66</v>
      </c>
      <c r="AO246" s="61">
        <f>+Tabla6[[#This Row],[PRESUPUESTO VIGENTE]]-Tabla6[[#This Row],[CERTIFICACIÓN PAPP]]</f>
        <v>0</v>
      </c>
      <c r="AP246" s="59">
        <v>0</v>
      </c>
    </row>
    <row r="247" spans="1:42" ht="93" customHeight="1" x14ac:dyDescent="0.25">
      <c r="A247" s="62" t="s">
        <v>78</v>
      </c>
      <c r="B247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247" s="64" t="s">
        <v>79</v>
      </c>
      <c r="D247" s="64" t="s">
        <v>80</v>
      </c>
      <c r="E247" s="64" t="s">
        <v>81</v>
      </c>
      <c r="F247" s="64" t="s">
        <v>82</v>
      </c>
      <c r="G247" s="64" t="s">
        <v>92</v>
      </c>
      <c r="H247" s="65" t="str">
        <f>VLOOKUP(Tabla6[[#This Row],[DIRECCIÓN]],DIRECCIÓN[#All],2,0)</f>
        <v>ADMINISTRACIÓN CENTRAL</v>
      </c>
      <c r="I247" s="66" t="s">
        <v>913</v>
      </c>
      <c r="J247" s="67">
        <v>1</v>
      </c>
      <c r="K247" s="68" t="str">
        <f>VLOOKUP(Tabla6[[#This Row],[DIRECCIÓN GENERAL / COORDINACIÓN / SUBDIRECCIÓN]],Tabla37[[#All],[Columna1]:[EOD]],2,0)</f>
        <v>266_0001</v>
      </c>
      <c r="L247" s="69">
        <f>VLOOKUP(Tabla6[[#This Row],[OBJETIVOS PND]],Listas!$A$1:$C$3,3,0)</f>
        <v>1</v>
      </c>
      <c r="M247" s="70">
        <f>VLOOKUP(Tabla6[[#This Row],[PG]],Listas2!$G$14:$K$16,5,0)</f>
        <v>0</v>
      </c>
      <c r="N247" s="71">
        <v>1</v>
      </c>
      <c r="O247" s="72">
        <v>1001</v>
      </c>
      <c r="P247" s="73" t="str">
        <f>VLOOKUP(Tabla6[[#This Row],[GEO]],Listas!$A$48:$B$77,2,0)</f>
        <v>IBARRA</v>
      </c>
      <c r="Q247" s="70">
        <f>VLOOKUP(Tabla6[[#This Row],[PG]],Listas2!$G$14:$K$16,3,0)</f>
        <v>1</v>
      </c>
      <c r="R247" s="73">
        <f>VLOOKUP(Tabla6[[#This Row],[PG]],Listas2!H252:'Listas2'!$G$14:$K$16,4,0)</f>
        <v>0</v>
      </c>
      <c r="S247" s="73">
        <f>VLOOKUP(Tabla6[[#This Row],[PG]],Listas2!$G$14:$K$16,2,0)</f>
        <v>0</v>
      </c>
      <c r="T247" s="66" t="s">
        <v>84</v>
      </c>
      <c r="U247" s="74">
        <v>53</v>
      </c>
      <c r="V247" s="66">
        <v>530813</v>
      </c>
      <c r="W247" s="63" t="str">
        <f>VLOOKUP(Tabla6[[#This Row],[ÍTEM PRESUPUESTARIO]],Tabla2[#All],2,0)</f>
        <v>REPUESTOS Y ACCESORIOS</v>
      </c>
      <c r="X247" s="57">
        <v>1200</v>
      </c>
      <c r="Y247" s="57">
        <f>1200-1200</f>
        <v>0</v>
      </c>
      <c r="Z247" s="58">
        <v>0</v>
      </c>
      <c r="AA247" s="58">
        <v>0</v>
      </c>
      <c r="AB247" s="58">
        <v>0</v>
      </c>
      <c r="AC247" s="58">
        <v>0</v>
      </c>
      <c r="AD247" s="58">
        <v>0</v>
      </c>
      <c r="AE247" s="58">
        <v>0</v>
      </c>
      <c r="AF247" s="58">
        <v>0</v>
      </c>
      <c r="AG247" s="58">
        <v>0</v>
      </c>
      <c r="AH247" s="58">
        <v>0</v>
      </c>
      <c r="AI247" s="58">
        <v>0</v>
      </c>
      <c r="AJ247" s="58">
        <v>0</v>
      </c>
      <c r="AK247" s="58">
        <v>0</v>
      </c>
      <c r="AL247" s="75">
        <f>+SUBTOTAL(9,Tabla6[[#This Row],[ENE]:[DIC]])</f>
        <v>0</v>
      </c>
      <c r="AM247" s="76" t="str">
        <f t="shared" si="3"/>
        <v>OK</v>
      </c>
      <c r="AN247" s="60">
        <v>0</v>
      </c>
      <c r="AO247" s="61">
        <f>+Tabla6[[#This Row],[PRESUPUESTO VIGENTE]]-Tabla6[[#This Row],[CERTIFICACIÓN PAPP]]</f>
        <v>0</v>
      </c>
      <c r="AP247" s="59">
        <v>0</v>
      </c>
    </row>
    <row r="248" spans="1:42" ht="93" customHeight="1" x14ac:dyDescent="0.25">
      <c r="A248" s="62" t="s">
        <v>78</v>
      </c>
      <c r="B248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248" s="64" t="s">
        <v>79</v>
      </c>
      <c r="D248" s="64" t="s">
        <v>80</v>
      </c>
      <c r="E248" s="64" t="s">
        <v>81</v>
      </c>
      <c r="F248" s="64" t="s">
        <v>82</v>
      </c>
      <c r="G248" s="64" t="s">
        <v>92</v>
      </c>
      <c r="H248" s="65" t="str">
        <f>VLOOKUP(Tabla6[[#This Row],[DIRECCIÓN]],DIRECCIÓN[#All],2,0)</f>
        <v>ADMINISTRACIÓN CENTRAL</v>
      </c>
      <c r="I248" s="66" t="s">
        <v>914</v>
      </c>
      <c r="J248" s="67">
        <v>2</v>
      </c>
      <c r="K248" s="68" t="str">
        <f>VLOOKUP(Tabla6[[#This Row],[DIRECCIÓN GENERAL / COORDINACIÓN / SUBDIRECCIÓN]],Tabla37[[#All],[Columna1]:[EOD]],2,0)</f>
        <v>266_0001</v>
      </c>
      <c r="L248" s="69">
        <f>VLOOKUP(Tabla6[[#This Row],[OBJETIVOS PND]],Listas!$A$1:$C$3,3,0)</f>
        <v>1</v>
      </c>
      <c r="M248" s="70">
        <f>VLOOKUP(Tabla6[[#This Row],[PG]],Listas2!$G$14:$K$16,5,0)</f>
        <v>0</v>
      </c>
      <c r="N248" s="71">
        <v>1</v>
      </c>
      <c r="O248" s="72">
        <v>1001</v>
      </c>
      <c r="P248" s="73" t="str">
        <f>VLOOKUP(Tabla6[[#This Row],[GEO]],Listas!$A$48:$B$77,2,0)</f>
        <v>IBARRA</v>
      </c>
      <c r="Q248" s="70">
        <f>VLOOKUP(Tabla6[[#This Row],[PG]],Listas2!$G$14:$K$16,3,0)</f>
        <v>1</v>
      </c>
      <c r="R248" s="73">
        <f>VLOOKUP(Tabla6[[#This Row],[PG]],Listas2!H253:'Listas2'!$G$14:$K$16,4,0)</f>
        <v>0</v>
      </c>
      <c r="S248" s="73">
        <f>VLOOKUP(Tabla6[[#This Row],[PG]],Listas2!$G$14:$K$16,2,0)</f>
        <v>0</v>
      </c>
      <c r="T248" s="66" t="s">
        <v>84</v>
      </c>
      <c r="U248" s="74">
        <v>53</v>
      </c>
      <c r="V248" s="66">
        <v>530813</v>
      </c>
      <c r="W248" s="63" t="str">
        <f>VLOOKUP(Tabla6[[#This Row],[ÍTEM PRESUPUESTARIO]],Tabla2[#All],2,0)</f>
        <v>REPUESTOS Y ACCESORIOS</v>
      </c>
      <c r="X248" s="57">
        <v>1000</v>
      </c>
      <c r="Y248" s="57">
        <f>1000+1500-1332.13</f>
        <v>1167.8699999999999</v>
      </c>
      <c r="Z248" s="58">
        <v>0</v>
      </c>
      <c r="AA248" s="58">
        <v>0</v>
      </c>
      <c r="AB248" s="58">
        <v>0</v>
      </c>
      <c r="AC248" s="58">
        <v>0</v>
      </c>
      <c r="AD248" s="58">
        <v>1167.8699999999999</v>
      </c>
      <c r="AE248" s="58">
        <v>0</v>
      </c>
      <c r="AF248" s="58">
        <v>0</v>
      </c>
      <c r="AG248" s="58">
        <v>0</v>
      </c>
      <c r="AH248" s="58">
        <v>0</v>
      </c>
      <c r="AI248" s="58">
        <v>0</v>
      </c>
      <c r="AJ248" s="58">
        <v>0</v>
      </c>
      <c r="AK248" s="58">
        <v>0</v>
      </c>
      <c r="AL248" s="75">
        <f>+SUBTOTAL(9,Tabla6[[#This Row],[ENE]:[DIC]])</f>
        <v>1167.8699999999999</v>
      </c>
      <c r="AM248" s="76" t="str">
        <f t="shared" si="3"/>
        <v>OK</v>
      </c>
      <c r="AN248" s="60">
        <v>1167.8699999999999</v>
      </c>
      <c r="AO248" s="61">
        <f>+Tabla6[[#This Row],[PRESUPUESTO VIGENTE]]-Tabla6[[#This Row],[CERTIFICACIÓN PAPP]]</f>
        <v>0</v>
      </c>
      <c r="AP248" s="59" t="s">
        <v>87</v>
      </c>
    </row>
    <row r="249" spans="1:42" ht="93" customHeight="1" x14ac:dyDescent="0.25">
      <c r="A249" s="62" t="s">
        <v>78</v>
      </c>
      <c r="B249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249" s="64" t="s">
        <v>79</v>
      </c>
      <c r="D249" s="64" t="s">
        <v>80</v>
      </c>
      <c r="E249" s="64" t="s">
        <v>81</v>
      </c>
      <c r="F249" s="64" t="s">
        <v>82</v>
      </c>
      <c r="G249" s="64" t="s">
        <v>92</v>
      </c>
      <c r="H249" s="65" t="str">
        <f>VLOOKUP(Tabla6[[#This Row],[DIRECCIÓN]],DIRECCIÓN[#All],2,0)</f>
        <v>ADMINISTRACIÓN CENTRAL</v>
      </c>
      <c r="I249" s="66" t="s">
        <v>915</v>
      </c>
      <c r="J249" s="67">
        <v>1</v>
      </c>
      <c r="K249" s="68" t="str">
        <f>VLOOKUP(Tabla6[[#This Row],[DIRECCIÓN GENERAL / COORDINACIÓN / SUBDIRECCIÓN]],Tabla37[[#All],[Columna1]:[EOD]],2,0)</f>
        <v>266_0001</v>
      </c>
      <c r="L249" s="69">
        <f>VLOOKUP(Tabla6[[#This Row],[OBJETIVOS PND]],Listas!$A$1:$C$3,3,0)</f>
        <v>1</v>
      </c>
      <c r="M249" s="70">
        <f>VLOOKUP(Tabla6[[#This Row],[PG]],Listas2!$G$14:$K$16,5,0)</f>
        <v>0</v>
      </c>
      <c r="N249" s="71">
        <v>1</v>
      </c>
      <c r="O249" s="72">
        <v>1001</v>
      </c>
      <c r="P249" s="73" t="str">
        <f>VLOOKUP(Tabla6[[#This Row],[GEO]],Listas!$A$48:$B$77,2,0)</f>
        <v>IBARRA</v>
      </c>
      <c r="Q249" s="70">
        <f>VLOOKUP(Tabla6[[#This Row],[PG]],Listas2!$G$14:$K$16,3,0)</f>
        <v>1</v>
      </c>
      <c r="R249" s="73">
        <f>VLOOKUP(Tabla6[[#This Row],[PG]],Listas2!H254:'Listas2'!$G$14:$K$16,4,0)</f>
        <v>0</v>
      </c>
      <c r="S249" s="73">
        <f>VLOOKUP(Tabla6[[#This Row],[PG]],Listas2!$G$14:$K$16,2,0)</f>
        <v>0</v>
      </c>
      <c r="T249" s="66" t="s">
        <v>84</v>
      </c>
      <c r="U249" s="74">
        <v>53</v>
      </c>
      <c r="V249" s="66">
        <v>530813</v>
      </c>
      <c r="W249" s="63" t="str">
        <f>VLOOKUP(Tabla6[[#This Row],[ÍTEM PRESUPUESTARIO]],Tabla2[#All],2,0)</f>
        <v>REPUESTOS Y ACCESORIOS</v>
      </c>
      <c r="X249" s="57">
        <v>30000</v>
      </c>
      <c r="Y249" s="57">
        <f>30000+20000-35064.22-6323.11</f>
        <v>8612.6699999999983</v>
      </c>
      <c r="Z249" s="58">
        <v>0</v>
      </c>
      <c r="AA249" s="58">
        <v>0</v>
      </c>
      <c r="AB249" s="58">
        <v>0</v>
      </c>
      <c r="AC249" s="58">
        <v>0</v>
      </c>
      <c r="AD249" s="58">
        <v>0</v>
      </c>
      <c r="AE249" s="58">
        <v>0</v>
      </c>
      <c r="AF249" s="58">
        <v>0</v>
      </c>
      <c r="AG249" s="58">
        <v>0</v>
      </c>
      <c r="AH249" s="58">
        <v>0</v>
      </c>
      <c r="AI249" s="58">
        <v>8612.67</v>
      </c>
      <c r="AJ249" s="58">
        <v>0</v>
      </c>
      <c r="AK249" s="58">
        <v>0</v>
      </c>
      <c r="AL249" s="75">
        <f>+SUBTOTAL(9,Tabla6[[#This Row],[ENE]:[DIC]])</f>
        <v>8612.67</v>
      </c>
      <c r="AM249" s="76" t="str">
        <f t="shared" si="3"/>
        <v>OK</v>
      </c>
      <c r="AN249" s="60">
        <v>8612.67</v>
      </c>
      <c r="AO249" s="61">
        <f>+Tabla6[[#This Row],[PRESUPUESTO VIGENTE]]-Tabla6[[#This Row],[CERTIFICACIÓN PAPP]]</f>
        <v>0</v>
      </c>
      <c r="AP249" s="59" t="s">
        <v>87</v>
      </c>
    </row>
    <row r="250" spans="1:42" ht="93" customHeight="1" x14ac:dyDescent="0.25">
      <c r="A250" s="62" t="s">
        <v>78</v>
      </c>
      <c r="B250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250" s="64" t="s">
        <v>79</v>
      </c>
      <c r="D250" s="64" t="s">
        <v>80</v>
      </c>
      <c r="E250" s="64" t="s">
        <v>81</v>
      </c>
      <c r="F250" s="64" t="s">
        <v>82</v>
      </c>
      <c r="G250" s="64" t="s">
        <v>92</v>
      </c>
      <c r="H250" s="65" t="str">
        <f>VLOOKUP(Tabla6[[#This Row],[DIRECCIÓN]],DIRECCIÓN[#All],2,0)</f>
        <v>ADMINISTRACIÓN CENTRAL</v>
      </c>
      <c r="I250" s="66" t="s">
        <v>792</v>
      </c>
      <c r="J250" s="67">
        <v>2</v>
      </c>
      <c r="K250" s="68" t="str">
        <f>VLOOKUP(Tabla6[[#This Row],[DIRECCIÓN GENERAL / COORDINACIÓN / SUBDIRECCIÓN]],Tabla37[[#All],[Columna1]:[EOD]],2,0)</f>
        <v>266_0001</v>
      </c>
      <c r="L250" s="69">
        <f>VLOOKUP(Tabla6[[#This Row],[OBJETIVOS PND]],Listas!$A$1:$C$3,3,0)</f>
        <v>1</v>
      </c>
      <c r="M250" s="70">
        <f>VLOOKUP(Tabla6[[#This Row],[PG]],Listas2!$G$14:$K$16,5,0)</f>
        <v>0</v>
      </c>
      <c r="N250" s="71">
        <v>1</v>
      </c>
      <c r="O250" s="72">
        <v>1001</v>
      </c>
      <c r="P250" s="73" t="str">
        <f>VLOOKUP(Tabla6[[#This Row],[GEO]],Listas!$A$48:$B$77,2,0)</f>
        <v>IBARRA</v>
      </c>
      <c r="Q250" s="70">
        <f>VLOOKUP(Tabla6[[#This Row],[PG]],Listas2!$G$14:$K$16,3,0)</f>
        <v>1</v>
      </c>
      <c r="R250" s="73">
        <f>VLOOKUP(Tabla6[[#This Row],[PG]],Listas2!H255:'Listas2'!$G$14:$K$16,4,0)</f>
        <v>0</v>
      </c>
      <c r="S250" s="73">
        <f>VLOOKUP(Tabla6[[#This Row],[PG]],Listas2!$G$14:$K$16,2,0)</f>
        <v>0</v>
      </c>
      <c r="T250" s="66" t="s">
        <v>84</v>
      </c>
      <c r="U250" s="74">
        <v>53</v>
      </c>
      <c r="V250" s="66">
        <v>530813</v>
      </c>
      <c r="W250" s="63" t="str">
        <f>VLOOKUP(Tabla6[[#This Row],[ÍTEM PRESUPUESTARIO]],Tabla2[#All],2,0)</f>
        <v>REPUESTOS Y ACCESORIOS</v>
      </c>
      <c r="X250" s="57">
        <v>100</v>
      </c>
      <c r="Y250" s="57">
        <v>100</v>
      </c>
      <c r="Z250" s="58">
        <v>0</v>
      </c>
      <c r="AA250" s="58">
        <v>0</v>
      </c>
      <c r="AB250" s="58">
        <v>0</v>
      </c>
      <c r="AC250" s="58">
        <v>0</v>
      </c>
      <c r="AD250" s="58">
        <v>0</v>
      </c>
      <c r="AE250" s="58">
        <v>0</v>
      </c>
      <c r="AF250" s="58">
        <v>0</v>
      </c>
      <c r="AG250" s="58">
        <v>0</v>
      </c>
      <c r="AH250" s="58">
        <v>0</v>
      </c>
      <c r="AI250" s="58">
        <v>0</v>
      </c>
      <c r="AJ250" s="58">
        <v>0</v>
      </c>
      <c r="AK250" s="58">
        <v>100</v>
      </c>
      <c r="AL250" s="75">
        <f>+SUBTOTAL(9,Tabla6[[#This Row],[ENE]:[DIC]])</f>
        <v>100</v>
      </c>
      <c r="AM250" s="76" t="str">
        <f t="shared" si="3"/>
        <v>OK</v>
      </c>
      <c r="AN250" s="60">
        <v>100</v>
      </c>
      <c r="AO250" s="61">
        <f>+Tabla6[[#This Row],[PRESUPUESTO VIGENTE]]-Tabla6[[#This Row],[CERTIFICACIÓN PAPP]]</f>
        <v>0</v>
      </c>
      <c r="AP250" s="59" t="s">
        <v>87</v>
      </c>
    </row>
    <row r="251" spans="1:42" ht="93" customHeight="1" x14ac:dyDescent="0.25">
      <c r="A251" s="62" t="s">
        <v>78</v>
      </c>
      <c r="B251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251" s="64" t="s">
        <v>79</v>
      </c>
      <c r="D251" s="64" t="s">
        <v>80</v>
      </c>
      <c r="E251" s="64" t="s">
        <v>81</v>
      </c>
      <c r="F251" s="64" t="s">
        <v>82</v>
      </c>
      <c r="G251" s="64" t="s">
        <v>92</v>
      </c>
      <c r="H251" s="65" t="str">
        <f>VLOOKUP(Tabla6[[#This Row],[DIRECCIÓN]],DIRECCIÓN[#All],2,0)</f>
        <v>ADMINISTRACIÓN CENTRAL</v>
      </c>
      <c r="I251" s="66" t="s">
        <v>916</v>
      </c>
      <c r="J251" s="67">
        <v>3</v>
      </c>
      <c r="K251" s="68" t="str">
        <f>VLOOKUP(Tabla6[[#This Row],[DIRECCIÓN GENERAL / COORDINACIÓN / SUBDIRECCIÓN]],Tabla37[[#All],[Columna1]:[EOD]],2,0)</f>
        <v>266_0001</v>
      </c>
      <c r="L251" s="69">
        <f>VLOOKUP(Tabla6[[#This Row],[OBJETIVOS PND]],Listas!$A$1:$C$3,3,0)</f>
        <v>1</v>
      </c>
      <c r="M251" s="70">
        <f>VLOOKUP(Tabla6[[#This Row],[PG]],Listas2!$G$14:$K$16,5,0)</f>
        <v>0</v>
      </c>
      <c r="N251" s="71">
        <v>1</v>
      </c>
      <c r="O251" s="72">
        <v>1001</v>
      </c>
      <c r="P251" s="73" t="str">
        <f>VLOOKUP(Tabla6[[#This Row],[GEO]],Listas!$A$48:$B$77,2,0)</f>
        <v>IBARRA</v>
      </c>
      <c r="Q251" s="70">
        <f>VLOOKUP(Tabla6[[#This Row],[PG]],Listas2!$G$14:$K$16,3,0)</f>
        <v>1</v>
      </c>
      <c r="R251" s="73">
        <f>VLOOKUP(Tabla6[[#This Row],[PG]],Listas2!H256:'Listas2'!$G$14:$K$16,4,0)</f>
        <v>0</v>
      </c>
      <c r="S251" s="73">
        <f>VLOOKUP(Tabla6[[#This Row],[PG]],Listas2!$G$14:$K$16,2,0)</f>
        <v>0</v>
      </c>
      <c r="T251" s="66" t="s">
        <v>84</v>
      </c>
      <c r="U251" s="74">
        <v>53</v>
      </c>
      <c r="V251" s="66">
        <v>530813</v>
      </c>
      <c r="W251" s="63" t="str">
        <f>VLOOKUP(Tabla6[[#This Row],[ÍTEM PRESUPUESTARIO]],Tabla2[#All],2,0)</f>
        <v>REPUESTOS Y ACCESORIOS</v>
      </c>
      <c r="X251" s="57">
        <v>800</v>
      </c>
      <c r="Y251" s="57">
        <f>800-615</f>
        <v>185</v>
      </c>
      <c r="Z251" s="58">
        <v>0</v>
      </c>
      <c r="AA251" s="58">
        <v>0</v>
      </c>
      <c r="AB251" s="58">
        <v>0</v>
      </c>
      <c r="AC251" s="58">
        <v>185</v>
      </c>
      <c r="AD251" s="58">
        <v>0</v>
      </c>
      <c r="AE251" s="58">
        <v>0</v>
      </c>
      <c r="AF251" s="58">
        <v>0</v>
      </c>
      <c r="AG251" s="58">
        <v>0</v>
      </c>
      <c r="AH251" s="58">
        <v>0</v>
      </c>
      <c r="AI251" s="58">
        <v>0</v>
      </c>
      <c r="AJ251" s="58">
        <v>0</v>
      </c>
      <c r="AK251" s="58">
        <v>0</v>
      </c>
      <c r="AL251" s="75">
        <f>+SUBTOTAL(9,Tabla6[[#This Row],[ENE]:[DIC]])</f>
        <v>185</v>
      </c>
      <c r="AM251" s="76" t="str">
        <f t="shared" si="3"/>
        <v>OK</v>
      </c>
      <c r="AN251" s="60">
        <v>185</v>
      </c>
      <c r="AO251" s="61">
        <f>+Tabla6[[#This Row],[PRESUPUESTO VIGENTE]]-Tabla6[[#This Row],[CERTIFICACIÓN PAPP]]</f>
        <v>0</v>
      </c>
      <c r="AP251" s="59">
        <v>0</v>
      </c>
    </row>
    <row r="252" spans="1:42" ht="93" customHeight="1" x14ac:dyDescent="0.25">
      <c r="A252" s="62" t="s">
        <v>78</v>
      </c>
      <c r="B252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252" s="64" t="s">
        <v>79</v>
      </c>
      <c r="D252" s="64" t="s">
        <v>80</v>
      </c>
      <c r="E252" s="64" t="s">
        <v>81</v>
      </c>
      <c r="F252" s="64" t="s">
        <v>82</v>
      </c>
      <c r="G252" s="64" t="s">
        <v>92</v>
      </c>
      <c r="H252" s="65" t="str">
        <f>VLOOKUP(Tabla6[[#This Row],[DIRECCIÓN]],DIRECCIÓN[#All],2,0)</f>
        <v>ADMINISTRACIÓN CENTRAL</v>
      </c>
      <c r="I252" s="66" t="s">
        <v>917</v>
      </c>
      <c r="J252" s="67">
        <v>3</v>
      </c>
      <c r="K252" s="68" t="str">
        <f>VLOOKUP(Tabla6[[#This Row],[DIRECCIÓN GENERAL / COORDINACIÓN / SUBDIRECCIÓN]],Tabla37[[#All],[Columna1]:[EOD]],2,0)</f>
        <v>266_0001</v>
      </c>
      <c r="L252" s="69">
        <f>VLOOKUP(Tabla6[[#This Row],[OBJETIVOS PND]],Listas!$A$1:$C$3,3,0)</f>
        <v>1</v>
      </c>
      <c r="M252" s="70">
        <f>VLOOKUP(Tabla6[[#This Row],[PG]],Listas2!$G$14:$K$16,5,0)</f>
        <v>0</v>
      </c>
      <c r="N252" s="71">
        <v>1</v>
      </c>
      <c r="O252" s="72">
        <v>1001</v>
      </c>
      <c r="P252" s="73" t="str">
        <f>VLOOKUP(Tabla6[[#This Row],[GEO]],Listas!$A$48:$B$77,2,0)</f>
        <v>IBARRA</v>
      </c>
      <c r="Q252" s="70">
        <f>VLOOKUP(Tabla6[[#This Row],[PG]],Listas2!$G$14:$K$16,3,0)</f>
        <v>1</v>
      </c>
      <c r="R252" s="73">
        <f>VLOOKUP(Tabla6[[#This Row],[PG]],Listas2!H257:'Listas2'!$G$14:$K$16,4,0)</f>
        <v>0</v>
      </c>
      <c r="S252" s="73">
        <f>VLOOKUP(Tabla6[[#This Row],[PG]],Listas2!$G$14:$K$16,2,0)</f>
        <v>0</v>
      </c>
      <c r="T252" s="66" t="s">
        <v>84</v>
      </c>
      <c r="U252" s="74">
        <v>53</v>
      </c>
      <c r="V252" s="66">
        <v>530813</v>
      </c>
      <c r="W252" s="63" t="str">
        <f>VLOOKUP(Tabla6[[#This Row],[ÍTEM PRESUPUESTARIO]],Tabla2[#All],2,0)</f>
        <v>REPUESTOS Y ACCESORIOS</v>
      </c>
      <c r="X252" s="57">
        <v>1500</v>
      </c>
      <c r="Y252" s="57">
        <f>1500-1264.34</f>
        <v>235.66000000000008</v>
      </c>
      <c r="Z252" s="58">
        <v>0</v>
      </c>
      <c r="AA252" s="58">
        <v>0</v>
      </c>
      <c r="AB252" s="58">
        <v>0</v>
      </c>
      <c r="AC252" s="58">
        <v>0</v>
      </c>
      <c r="AD252" s="58">
        <v>0</v>
      </c>
      <c r="AE252" s="58">
        <v>235.66000000000008</v>
      </c>
      <c r="AF252" s="58">
        <v>0</v>
      </c>
      <c r="AG252" s="58">
        <v>0</v>
      </c>
      <c r="AH252" s="58">
        <v>0</v>
      </c>
      <c r="AI252" s="58">
        <v>0</v>
      </c>
      <c r="AJ252" s="58">
        <v>0</v>
      </c>
      <c r="AK252" s="58">
        <v>0</v>
      </c>
      <c r="AL252" s="75">
        <f>+SUBTOTAL(9,Tabla6[[#This Row],[ENE]:[DIC]])</f>
        <v>235.66000000000008</v>
      </c>
      <c r="AM252" s="76" t="str">
        <f t="shared" si="3"/>
        <v>OK</v>
      </c>
      <c r="AN252" s="60">
        <v>235.66</v>
      </c>
      <c r="AO252" s="61">
        <f>+Tabla6[[#This Row],[PRESUPUESTO VIGENTE]]-Tabla6[[#This Row],[CERTIFICACIÓN PAPP]]</f>
        <v>0</v>
      </c>
      <c r="AP252" s="59" t="s">
        <v>87</v>
      </c>
    </row>
    <row r="253" spans="1:42" ht="93" customHeight="1" x14ac:dyDescent="0.25">
      <c r="A253" s="62" t="s">
        <v>78</v>
      </c>
      <c r="B253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253" s="64" t="s">
        <v>79</v>
      </c>
      <c r="D253" s="64" t="s">
        <v>80</v>
      </c>
      <c r="E253" s="64" t="s">
        <v>81</v>
      </c>
      <c r="F253" s="64" t="s">
        <v>82</v>
      </c>
      <c r="G253" s="64" t="s">
        <v>92</v>
      </c>
      <c r="H253" s="65" t="str">
        <f>VLOOKUP(Tabla6[[#This Row],[DIRECCIÓN]],DIRECCIÓN[#All],2,0)</f>
        <v>ADMINISTRACIÓN CENTRAL</v>
      </c>
      <c r="I253" s="66" t="s">
        <v>918</v>
      </c>
      <c r="J253" s="67">
        <v>2</v>
      </c>
      <c r="K253" s="68" t="str">
        <f>VLOOKUP(Tabla6[[#This Row],[DIRECCIÓN GENERAL / COORDINACIÓN / SUBDIRECCIÓN]],Tabla37[[#All],[Columna1]:[EOD]],2,0)</f>
        <v>266_0001</v>
      </c>
      <c r="L253" s="69">
        <f>VLOOKUP(Tabla6[[#This Row],[OBJETIVOS PND]],Listas!$A$1:$C$3,3,0)</f>
        <v>1</v>
      </c>
      <c r="M253" s="70">
        <f>VLOOKUP(Tabla6[[#This Row],[PG]],Listas2!$G$14:$K$16,5,0)</f>
        <v>0</v>
      </c>
      <c r="N253" s="71">
        <v>1</v>
      </c>
      <c r="O253" s="72">
        <v>1001</v>
      </c>
      <c r="P253" s="73" t="str">
        <f>VLOOKUP(Tabla6[[#This Row],[GEO]],Listas!$A$48:$B$77,2,0)</f>
        <v>IBARRA</v>
      </c>
      <c r="Q253" s="70">
        <f>VLOOKUP(Tabla6[[#This Row],[PG]],Listas2!$G$14:$K$16,3,0)</f>
        <v>1</v>
      </c>
      <c r="R253" s="73">
        <f>VLOOKUP(Tabla6[[#This Row],[PG]],Listas2!H258:'Listas2'!$G$14:$K$16,4,0)</f>
        <v>0</v>
      </c>
      <c r="S253" s="73">
        <f>VLOOKUP(Tabla6[[#This Row],[PG]],Listas2!$G$14:$K$16,2,0)</f>
        <v>0</v>
      </c>
      <c r="T253" s="66" t="s">
        <v>84</v>
      </c>
      <c r="U253" s="74">
        <v>53</v>
      </c>
      <c r="V253" s="66">
        <v>530813</v>
      </c>
      <c r="W253" s="63" t="str">
        <f>VLOOKUP(Tabla6[[#This Row],[ÍTEM PRESUPUESTARIO]],Tabla2[#All],2,0)</f>
        <v>REPUESTOS Y ACCESORIOS</v>
      </c>
      <c r="X253" s="57">
        <v>0</v>
      </c>
      <c r="Y253" s="57">
        <f>2000-1800-47.36</f>
        <v>152.63999999999999</v>
      </c>
      <c r="Z253" s="58">
        <v>0</v>
      </c>
      <c r="AA253" s="58">
        <v>0</v>
      </c>
      <c r="AB253" s="58">
        <v>0</v>
      </c>
      <c r="AC253" s="58">
        <v>0</v>
      </c>
      <c r="AD253" s="58">
        <v>0</v>
      </c>
      <c r="AE253" s="58">
        <v>0</v>
      </c>
      <c r="AF253" s="58">
        <v>152.63999999999999</v>
      </c>
      <c r="AG253" s="58">
        <v>0</v>
      </c>
      <c r="AH253" s="58">
        <v>0</v>
      </c>
      <c r="AI253" s="58">
        <v>0</v>
      </c>
      <c r="AJ253" s="58">
        <v>0</v>
      </c>
      <c r="AK253" s="58">
        <v>0</v>
      </c>
      <c r="AL253" s="75">
        <f>+SUBTOTAL(9,Tabla6[[#This Row],[ENE]:[DIC]])</f>
        <v>152.63999999999999</v>
      </c>
      <c r="AM253" s="76" t="str">
        <f t="shared" si="3"/>
        <v>OK</v>
      </c>
      <c r="AN253" s="60">
        <v>152.63999999999999</v>
      </c>
      <c r="AO253" s="61">
        <f>+Tabla6[[#This Row],[PRESUPUESTO VIGENTE]]-Tabla6[[#This Row],[CERTIFICACIÓN PAPP]]</f>
        <v>0</v>
      </c>
      <c r="AP253" s="59">
        <v>0</v>
      </c>
    </row>
    <row r="254" spans="1:42" ht="93" customHeight="1" x14ac:dyDescent="0.25">
      <c r="A254" s="62" t="s">
        <v>78</v>
      </c>
      <c r="B254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254" s="64" t="s">
        <v>79</v>
      </c>
      <c r="D254" s="64" t="s">
        <v>80</v>
      </c>
      <c r="E254" s="64" t="s">
        <v>81</v>
      </c>
      <c r="F254" s="64" t="s">
        <v>82</v>
      </c>
      <c r="G254" s="64" t="s">
        <v>92</v>
      </c>
      <c r="H254" s="65" t="str">
        <f>VLOOKUP(Tabla6[[#This Row],[DIRECCIÓN]],DIRECCIÓN[#All],2,0)</f>
        <v>ADMINISTRACIÓN CENTRAL</v>
      </c>
      <c r="I254" s="66" t="s">
        <v>919</v>
      </c>
      <c r="J254" s="67">
        <v>2</v>
      </c>
      <c r="K254" s="68" t="str">
        <f>VLOOKUP(Tabla6[[#This Row],[DIRECCIÓN GENERAL / COORDINACIÓN / SUBDIRECCIÓN]],Tabla37[[#All],[Columna1]:[EOD]],2,0)</f>
        <v>266_0001</v>
      </c>
      <c r="L254" s="69">
        <f>VLOOKUP(Tabla6[[#This Row],[OBJETIVOS PND]],Listas!$A$1:$C$3,3,0)</f>
        <v>1</v>
      </c>
      <c r="M254" s="70">
        <f>VLOOKUP(Tabla6[[#This Row],[PG]],Listas2!$G$14:$K$16,5,0)</f>
        <v>0</v>
      </c>
      <c r="N254" s="71">
        <v>1</v>
      </c>
      <c r="O254" s="72">
        <v>1001</v>
      </c>
      <c r="P254" s="73" t="str">
        <f>VLOOKUP(Tabla6[[#This Row],[GEO]],Listas!$A$48:$B$77,2,0)</f>
        <v>IBARRA</v>
      </c>
      <c r="Q254" s="70">
        <f>VLOOKUP(Tabla6[[#This Row],[PG]],Listas2!$G$14:$K$16,3,0)</f>
        <v>1</v>
      </c>
      <c r="R254" s="73">
        <f>VLOOKUP(Tabla6[[#This Row],[PG]],Listas2!H259:'Listas2'!$G$14:$K$16,4,0)</f>
        <v>0</v>
      </c>
      <c r="S254" s="73">
        <f>VLOOKUP(Tabla6[[#This Row],[PG]],Listas2!$G$14:$K$16,2,0)</f>
        <v>0</v>
      </c>
      <c r="T254" s="66" t="s">
        <v>84</v>
      </c>
      <c r="U254" s="74">
        <v>53</v>
      </c>
      <c r="V254" s="66">
        <v>530813</v>
      </c>
      <c r="W254" s="63" t="str">
        <f>VLOOKUP(Tabla6[[#This Row],[ÍTEM PRESUPUESTARIO]],Tabla2[#All],2,0)</f>
        <v>REPUESTOS Y ACCESORIOS</v>
      </c>
      <c r="X254" s="57">
        <v>0</v>
      </c>
      <c r="Y254" s="57">
        <f>7000-3490-65.4</f>
        <v>3444.6</v>
      </c>
      <c r="Z254" s="58">
        <v>0</v>
      </c>
      <c r="AA254" s="58">
        <v>0</v>
      </c>
      <c r="AB254" s="58">
        <v>0</v>
      </c>
      <c r="AC254" s="58">
        <v>0</v>
      </c>
      <c r="AD254" s="58">
        <v>0</v>
      </c>
      <c r="AE254" s="58">
        <v>0</v>
      </c>
      <c r="AF254" s="58">
        <v>0</v>
      </c>
      <c r="AG254" s="58">
        <v>0</v>
      </c>
      <c r="AH254" s="58">
        <v>0</v>
      </c>
      <c r="AI254" s="58">
        <v>3444.6</v>
      </c>
      <c r="AJ254" s="58">
        <v>0</v>
      </c>
      <c r="AK254" s="58">
        <v>0</v>
      </c>
      <c r="AL254" s="75">
        <f>+SUBTOTAL(9,Tabla6[[#This Row],[ENE]:[DIC]])</f>
        <v>3444.6</v>
      </c>
      <c r="AM254" s="76" t="str">
        <f t="shared" si="3"/>
        <v>OK</v>
      </c>
      <c r="AN254" s="60">
        <v>3444.6</v>
      </c>
      <c r="AO254" s="61">
        <f>+Tabla6[[#This Row],[PRESUPUESTO VIGENTE]]-Tabla6[[#This Row],[CERTIFICACIÓN PAPP]]</f>
        <v>0</v>
      </c>
      <c r="AP254" s="59">
        <v>0</v>
      </c>
    </row>
    <row r="255" spans="1:42" ht="93" customHeight="1" x14ac:dyDescent="0.25">
      <c r="A255" s="62" t="s">
        <v>78</v>
      </c>
      <c r="B255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255" s="64" t="s">
        <v>79</v>
      </c>
      <c r="D255" s="64" t="s">
        <v>80</v>
      </c>
      <c r="E255" s="64" t="s">
        <v>81</v>
      </c>
      <c r="F255" s="64" t="s">
        <v>82</v>
      </c>
      <c r="G255" s="64" t="s">
        <v>92</v>
      </c>
      <c r="H255" s="65" t="str">
        <f>VLOOKUP(Tabla6[[#This Row],[DIRECCIÓN]],DIRECCIÓN[#All],2,0)</f>
        <v>ADMINISTRACIÓN CENTRAL</v>
      </c>
      <c r="I255" s="66" t="s">
        <v>920</v>
      </c>
      <c r="J255" s="67">
        <v>2</v>
      </c>
      <c r="K255" s="68" t="str">
        <f>VLOOKUP(Tabla6[[#This Row],[DIRECCIÓN GENERAL / COORDINACIÓN / SUBDIRECCIÓN]],Tabla37[[#All],[Columna1]:[EOD]],2,0)</f>
        <v>266_0001</v>
      </c>
      <c r="L255" s="69">
        <f>VLOOKUP(Tabla6[[#This Row],[OBJETIVOS PND]],Listas!$A$1:$C$3,3,0)</f>
        <v>1</v>
      </c>
      <c r="M255" s="70">
        <f>VLOOKUP(Tabla6[[#This Row],[PG]],Listas2!$G$14:$K$16,5,0)</f>
        <v>0</v>
      </c>
      <c r="N255" s="71">
        <v>1</v>
      </c>
      <c r="O255" s="72">
        <v>1001</v>
      </c>
      <c r="P255" s="73" t="str">
        <f>VLOOKUP(Tabla6[[#This Row],[GEO]],Listas!$A$48:$B$77,2,0)</f>
        <v>IBARRA</v>
      </c>
      <c r="Q255" s="70">
        <f>VLOOKUP(Tabla6[[#This Row],[PG]],Listas2!$G$14:$K$16,3,0)</f>
        <v>1</v>
      </c>
      <c r="R255" s="73">
        <f>VLOOKUP(Tabla6[[#This Row],[PG]],Listas2!H260:'Listas2'!$G$14:$K$16,4,0)</f>
        <v>0</v>
      </c>
      <c r="S255" s="73">
        <f>VLOOKUP(Tabla6[[#This Row],[PG]],Listas2!$G$14:$K$16,2,0)</f>
        <v>0</v>
      </c>
      <c r="T255" s="66" t="s">
        <v>84</v>
      </c>
      <c r="U255" s="74" t="s">
        <v>91</v>
      </c>
      <c r="V255" s="66">
        <v>530813</v>
      </c>
      <c r="W255" s="63" t="str">
        <f>VLOOKUP(Tabla6[[#This Row],[ÍTEM PRESUPUESTARIO]],Tabla2[#All],2,0)</f>
        <v>REPUESTOS Y ACCESORIOS</v>
      </c>
      <c r="X255" s="57">
        <v>0</v>
      </c>
      <c r="Y255" s="57">
        <f>700-700</f>
        <v>0</v>
      </c>
      <c r="Z255" s="58">
        <v>0</v>
      </c>
      <c r="AA255" s="58">
        <v>0</v>
      </c>
      <c r="AB255" s="58">
        <v>0</v>
      </c>
      <c r="AC255" s="58">
        <v>0</v>
      </c>
      <c r="AD255" s="58">
        <v>0</v>
      </c>
      <c r="AE255" s="58">
        <v>0</v>
      </c>
      <c r="AF255" s="58">
        <v>0</v>
      </c>
      <c r="AG255" s="58">
        <v>0</v>
      </c>
      <c r="AH255" s="58">
        <v>0</v>
      </c>
      <c r="AI255" s="58">
        <v>0</v>
      </c>
      <c r="AJ255" s="58">
        <v>0</v>
      </c>
      <c r="AK255" s="58">
        <v>0</v>
      </c>
      <c r="AL255" s="75">
        <f>+SUBTOTAL(9,Tabla6[[#This Row],[ENE]:[DIC]])</f>
        <v>0</v>
      </c>
      <c r="AM255" s="76" t="str">
        <f t="shared" si="3"/>
        <v>OK</v>
      </c>
      <c r="AN255" s="60">
        <v>0</v>
      </c>
      <c r="AO255" s="61">
        <f>+Tabla6[[#This Row],[PRESUPUESTO VIGENTE]]-Tabla6[[#This Row],[CERTIFICACIÓN PAPP]]</f>
        <v>0</v>
      </c>
      <c r="AP255" s="59">
        <v>0</v>
      </c>
    </row>
    <row r="256" spans="1:42" ht="93" customHeight="1" x14ac:dyDescent="0.25">
      <c r="A256" s="62" t="s">
        <v>78</v>
      </c>
      <c r="B256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256" s="64" t="s">
        <v>79</v>
      </c>
      <c r="D256" s="64" t="s">
        <v>80</v>
      </c>
      <c r="E256" s="64" t="s">
        <v>81</v>
      </c>
      <c r="F256" s="64" t="s">
        <v>82</v>
      </c>
      <c r="G256" s="64" t="s">
        <v>92</v>
      </c>
      <c r="H256" s="65" t="str">
        <f>VLOOKUP(Tabla6[[#This Row],[DIRECCIÓN]],DIRECCIÓN[#All],2,0)</f>
        <v>ADMINISTRACIÓN CENTRAL</v>
      </c>
      <c r="I256" s="66" t="s">
        <v>921</v>
      </c>
      <c r="J256" s="67">
        <v>3</v>
      </c>
      <c r="K256" s="68" t="str">
        <f>VLOOKUP(Tabla6[[#This Row],[DIRECCIÓN GENERAL / COORDINACIÓN / SUBDIRECCIÓN]],Tabla37[[#All],[Columna1]:[EOD]],2,0)</f>
        <v>266_0001</v>
      </c>
      <c r="L256" s="69">
        <f>VLOOKUP(Tabla6[[#This Row],[OBJETIVOS PND]],Listas!$A$1:$C$3,3,0)</f>
        <v>1</v>
      </c>
      <c r="M256" s="70">
        <f>VLOOKUP(Tabla6[[#This Row],[PG]],Listas2!$G$14:$K$16,5,0)</f>
        <v>0</v>
      </c>
      <c r="N256" s="71">
        <v>1</v>
      </c>
      <c r="O256" s="72">
        <v>1001</v>
      </c>
      <c r="P256" s="73" t="str">
        <f>VLOOKUP(Tabla6[[#This Row],[GEO]],Listas!$A$48:$B$77,2,0)</f>
        <v>IBARRA</v>
      </c>
      <c r="Q256" s="70">
        <f>VLOOKUP(Tabla6[[#This Row],[PG]],Listas2!$G$14:$K$16,3,0)</f>
        <v>1</v>
      </c>
      <c r="R256" s="73">
        <f>VLOOKUP(Tabla6[[#This Row],[PG]],Listas2!H261:'Listas2'!$G$14:$K$16,4,0)</f>
        <v>0</v>
      </c>
      <c r="S256" s="73">
        <f>VLOOKUP(Tabla6[[#This Row],[PG]],Listas2!$G$14:$K$16,2,0)</f>
        <v>0</v>
      </c>
      <c r="T256" s="66" t="s">
        <v>84</v>
      </c>
      <c r="U256" s="74">
        <v>53</v>
      </c>
      <c r="V256" s="66">
        <v>530820</v>
      </c>
      <c r="W256" s="63" t="str">
        <f>VLOOKUP(Tabla6[[#This Row],[ÍTEM PRESUPUESTARIO]],Tabla2[#All],2,0)</f>
        <v>MENAJE Y ACCESORIOS DESCARTABLES</v>
      </c>
      <c r="X256" s="57">
        <v>800</v>
      </c>
      <c r="Y256" s="57">
        <f>800-500-184</f>
        <v>116</v>
      </c>
      <c r="Z256" s="58">
        <v>0</v>
      </c>
      <c r="AA256" s="58">
        <v>0</v>
      </c>
      <c r="AB256" s="58">
        <v>0</v>
      </c>
      <c r="AC256" s="58">
        <v>0</v>
      </c>
      <c r="AD256" s="58">
        <v>0</v>
      </c>
      <c r="AE256" s="58">
        <v>0</v>
      </c>
      <c r="AF256" s="58">
        <v>0</v>
      </c>
      <c r="AG256" s="58">
        <v>116</v>
      </c>
      <c r="AH256" s="58">
        <v>0</v>
      </c>
      <c r="AI256" s="58">
        <v>0</v>
      </c>
      <c r="AJ256" s="58">
        <v>0</v>
      </c>
      <c r="AK256" s="58">
        <v>0</v>
      </c>
      <c r="AL256" s="75">
        <f>+SUBTOTAL(9,Tabla6[[#This Row],[ENE]:[DIC]])</f>
        <v>116</v>
      </c>
      <c r="AM256" s="76" t="str">
        <f t="shared" si="3"/>
        <v>OK</v>
      </c>
      <c r="AN256" s="60">
        <v>116</v>
      </c>
      <c r="AO256" s="61">
        <f>+Tabla6[[#This Row],[PRESUPUESTO VIGENTE]]-Tabla6[[#This Row],[CERTIFICACIÓN PAPP]]</f>
        <v>0</v>
      </c>
      <c r="AP256" s="59">
        <v>0</v>
      </c>
    </row>
    <row r="257" spans="1:42" ht="93" customHeight="1" x14ac:dyDescent="0.25">
      <c r="A257" s="62" t="s">
        <v>78</v>
      </c>
      <c r="B257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257" s="64" t="s">
        <v>85</v>
      </c>
      <c r="D257" s="64" t="s">
        <v>80</v>
      </c>
      <c r="E257" s="64" t="s">
        <v>81</v>
      </c>
      <c r="F257" s="64" t="s">
        <v>82</v>
      </c>
      <c r="G257" s="64" t="s">
        <v>94</v>
      </c>
      <c r="H257" s="65" t="str">
        <f>VLOOKUP(Tabla6[[#This Row],[DIRECCIÓN]],DIRECCIÓN[#All],2,0)</f>
        <v>COMUNICACIÓN SOCIAL</v>
      </c>
      <c r="I257" s="66" t="s">
        <v>879</v>
      </c>
      <c r="J257" s="67">
        <v>2</v>
      </c>
      <c r="K257" s="68" t="str">
        <f>VLOOKUP(Tabla6[[#This Row],[DIRECCIÓN GENERAL / COORDINACIÓN / SUBDIRECCIÓN]],Tabla37[[#All],[Columna1]:[EOD]],2,0)</f>
        <v>266_0001</v>
      </c>
      <c r="L257" s="69">
        <f>VLOOKUP(Tabla6[[#This Row],[OBJETIVOS PND]],Listas!$A$1:$C$3,3,0)</f>
        <v>1</v>
      </c>
      <c r="M257" s="70">
        <f>VLOOKUP(Tabla6[[#This Row],[PG]],Listas2!$G$14:$K$16,5,0)</f>
        <v>0</v>
      </c>
      <c r="N257" s="71">
        <v>1</v>
      </c>
      <c r="O257" s="72">
        <v>1001</v>
      </c>
      <c r="P257" s="73" t="str">
        <f>VLOOKUP(Tabla6[[#This Row],[GEO]],Listas!$A$48:$B$77,2,0)</f>
        <v>IBARRA</v>
      </c>
      <c r="Q257" s="70">
        <f>VLOOKUP(Tabla6[[#This Row],[PG]],Listas2!$G$14:$K$16,3,0)</f>
        <v>1</v>
      </c>
      <c r="R257" s="73">
        <f>VLOOKUP(Tabla6[[#This Row],[PG]],Listas2!H262:'Listas2'!$G$14:$K$16,4,0)</f>
        <v>0</v>
      </c>
      <c r="S257" s="73">
        <f>VLOOKUP(Tabla6[[#This Row],[PG]],Listas2!$G$14:$K$16,2,0)</f>
        <v>0</v>
      </c>
      <c r="T257" s="66" t="s">
        <v>84</v>
      </c>
      <c r="U257" s="74">
        <v>53</v>
      </c>
      <c r="V257" s="66">
        <v>530824</v>
      </c>
      <c r="W257" s="63" t="str">
        <f>VLOOKUP(Tabla6[[#This Row],[ÍTEM PRESUPUESTARIO]],Tabla2[#All],2,0)</f>
        <v>INSUMOS, BIENES Y MATERIALES PARA PRODUCCIÓN DE PROGRAMAS DE RADIO, TELEVISIÓN, EVENTOS CULTURALES, ARTÍSTICOS Y ENTRETENIMIENTO EN GENERAL</v>
      </c>
      <c r="X257" s="57">
        <v>0</v>
      </c>
      <c r="Y257" s="57">
        <f>275-95</f>
        <v>180</v>
      </c>
      <c r="Z257" s="58">
        <v>0</v>
      </c>
      <c r="AA257" s="58">
        <v>0</v>
      </c>
      <c r="AB257" s="58">
        <v>0</v>
      </c>
      <c r="AC257" s="58">
        <v>0</v>
      </c>
      <c r="AD257" s="58">
        <v>180</v>
      </c>
      <c r="AE257" s="58">
        <v>0</v>
      </c>
      <c r="AF257" s="58">
        <v>0</v>
      </c>
      <c r="AG257" s="58">
        <v>0</v>
      </c>
      <c r="AH257" s="58">
        <v>0</v>
      </c>
      <c r="AI257" s="58">
        <v>0</v>
      </c>
      <c r="AJ257" s="58">
        <v>0</v>
      </c>
      <c r="AK257" s="58">
        <v>0</v>
      </c>
      <c r="AL257" s="75">
        <f>+SUBTOTAL(9,Tabla6[[#This Row],[ENE]:[DIC]])</f>
        <v>180</v>
      </c>
      <c r="AM257" s="76" t="str">
        <f t="shared" si="3"/>
        <v>OK</v>
      </c>
      <c r="AN257" s="60">
        <v>180</v>
      </c>
      <c r="AO257" s="61">
        <f>+Tabla6[[#This Row],[PRESUPUESTO VIGENTE]]-Tabla6[[#This Row],[CERTIFICACIÓN PAPP]]</f>
        <v>0</v>
      </c>
      <c r="AP257" s="59">
        <v>0</v>
      </c>
    </row>
    <row r="258" spans="1:42" ht="93" customHeight="1" x14ac:dyDescent="0.25">
      <c r="A258" s="62" t="s">
        <v>78</v>
      </c>
      <c r="B258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258" s="64" t="s">
        <v>85</v>
      </c>
      <c r="D258" s="64" t="s">
        <v>80</v>
      </c>
      <c r="E258" s="64" t="s">
        <v>81</v>
      </c>
      <c r="F258" s="64" t="s">
        <v>82</v>
      </c>
      <c r="G258" s="64" t="s">
        <v>94</v>
      </c>
      <c r="H258" s="65" t="str">
        <f>VLOOKUP(Tabla6[[#This Row],[DIRECCIÓN]],DIRECCIÓN[#All],2,0)</f>
        <v>COMUNICACIÓN SOCIAL</v>
      </c>
      <c r="I258" s="66" t="s">
        <v>879</v>
      </c>
      <c r="J258" s="67">
        <v>2</v>
      </c>
      <c r="K258" s="68" t="str">
        <f>VLOOKUP(Tabla6[[#This Row],[DIRECCIÓN GENERAL / COORDINACIÓN / SUBDIRECCIÓN]],Tabla37[[#All],[Columna1]:[EOD]],2,0)</f>
        <v>266_0001</v>
      </c>
      <c r="L258" s="69">
        <f>VLOOKUP(Tabla6[[#This Row],[OBJETIVOS PND]],Listas!$A$1:$C$3,3,0)</f>
        <v>1</v>
      </c>
      <c r="M258" s="70">
        <f>VLOOKUP(Tabla6[[#This Row],[PG]],Listas2!$G$14:$K$16,5,0)</f>
        <v>0</v>
      </c>
      <c r="N258" s="71">
        <v>1</v>
      </c>
      <c r="O258" s="72">
        <v>1001</v>
      </c>
      <c r="P258" s="73" t="str">
        <f>VLOOKUP(Tabla6[[#This Row],[GEO]],Listas!$A$48:$B$77,2,0)</f>
        <v>IBARRA</v>
      </c>
      <c r="Q258" s="70">
        <f>VLOOKUP(Tabla6[[#This Row],[PG]],Listas2!$G$14:$K$16,3,0)</f>
        <v>1</v>
      </c>
      <c r="R258" s="73">
        <f>VLOOKUP(Tabla6[[#This Row],[PG]],Listas2!H263:'Listas2'!$G$14:$K$16,4,0)</f>
        <v>0</v>
      </c>
      <c r="S258" s="73">
        <f>VLOOKUP(Tabla6[[#This Row],[PG]],Listas2!$G$14:$K$16,2,0)</f>
        <v>0</v>
      </c>
      <c r="T258" s="66" t="s">
        <v>84</v>
      </c>
      <c r="U258" s="74">
        <v>53</v>
      </c>
      <c r="V258" s="66">
        <v>531403</v>
      </c>
      <c r="W258" s="63" t="str">
        <f>VLOOKUP(Tabla6[[#This Row],[ÍTEM PRESUPUESTARIO]],Tabla2[#All],2,0)</f>
        <v xml:space="preserve">MOBILIARIO </v>
      </c>
      <c r="X258" s="57">
        <v>0</v>
      </c>
      <c r="Y258" s="57">
        <f>150-10</f>
        <v>140</v>
      </c>
      <c r="Z258" s="58">
        <v>0</v>
      </c>
      <c r="AA258" s="58">
        <v>0</v>
      </c>
      <c r="AB258" s="58">
        <v>0</v>
      </c>
      <c r="AC258" s="58">
        <v>0</v>
      </c>
      <c r="AD258" s="58">
        <v>140</v>
      </c>
      <c r="AE258" s="58">
        <v>0</v>
      </c>
      <c r="AF258" s="58">
        <v>0</v>
      </c>
      <c r="AG258" s="58">
        <v>0</v>
      </c>
      <c r="AH258" s="58">
        <v>0</v>
      </c>
      <c r="AI258" s="58">
        <v>0</v>
      </c>
      <c r="AJ258" s="58">
        <v>0</v>
      </c>
      <c r="AK258" s="58">
        <v>0</v>
      </c>
      <c r="AL258" s="75">
        <f>+SUBTOTAL(9,Tabla6[[#This Row],[ENE]:[DIC]])</f>
        <v>140</v>
      </c>
      <c r="AM258" s="76" t="str">
        <f t="shared" si="3"/>
        <v>OK</v>
      </c>
      <c r="AN258" s="60">
        <v>140</v>
      </c>
      <c r="AO258" s="61">
        <f>+Tabla6[[#This Row],[PRESUPUESTO VIGENTE]]-Tabla6[[#This Row],[CERTIFICACIÓN PAPP]]</f>
        <v>0</v>
      </c>
      <c r="AP258" s="59">
        <v>0</v>
      </c>
    </row>
    <row r="259" spans="1:42" ht="93" customHeight="1" x14ac:dyDescent="0.25">
      <c r="A259" s="62" t="s">
        <v>78</v>
      </c>
      <c r="B259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259" s="64" t="s">
        <v>79</v>
      </c>
      <c r="D259" s="64" t="s">
        <v>80</v>
      </c>
      <c r="E259" s="64" t="s">
        <v>81</v>
      </c>
      <c r="F259" s="64" t="s">
        <v>82</v>
      </c>
      <c r="G259" s="64" t="s">
        <v>92</v>
      </c>
      <c r="H259" s="65" t="str">
        <f>VLOOKUP(Tabla6[[#This Row],[DIRECCIÓN]],DIRECCIÓN[#All],2,0)</f>
        <v>ADMINISTRACIÓN CENTRAL</v>
      </c>
      <c r="I259" s="66" t="s">
        <v>922</v>
      </c>
      <c r="J259" s="67">
        <v>2</v>
      </c>
      <c r="K259" s="68" t="str">
        <f>VLOOKUP(Tabla6[[#This Row],[DIRECCIÓN GENERAL / COORDINACIÓN / SUBDIRECCIÓN]],Tabla37[[#All],[Columna1]:[EOD]],2,0)</f>
        <v>266_0001</v>
      </c>
      <c r="L259" s="69">
        <f>VLOOKUP(Tabla6[[#This Row],[OBJETIVOS PND]],Listas!$A$1:$C$3,3,0)</f>
        <v>1</v>
      </c>
      <c r="M259" s="70">
        <f>VLOOKUP(Tabla6[[#This Row],[PG]],Listas2!$G$14:$K$16,5,0)</f>
        <v>0</v>
      </c>
      <c r="N259" s="71">
        <v>1</v>
      </c>
      <c r="O259" s="72">
        <v>1001</v>
      </c>
      <c r="P259" s="73" t="str">
        <f>VLOOKUP(Tabla6[[#This Row],[GEO]],Listas!$A$48:$B$77,2,0)</f>
        <v>IBARRA</v>
      </c>
      <c r="Q259" s="70">
        <f>VLOOKUP(Tabla6[[#This Row],[PG]],Listas2!$G$14:$K$16,3,0)</f>
        <v>1</v>
      </c>
      <c r="R259" s="73">
        <f>VLOOKUP(Tabla6[[#This Row],[PG]],Listas2!H264:'Listas2'!$G$14:$K$16,4,0)</f>
        <v>0</v>
      </c>
      <c r="S259" s="73">
        <f>VLOOKUP(Tabla6[[#This Row],[PG]],Listas2!$G$14:$K$16,2,0)</f>
        <v>0</v>
      </c>
      <c r="T259" s="66" t="s">
        <v>84</v>
      </c>
      <c r="U259" s="74">
        <v>53</v>
      </c>
      <c r="V259" s="66">
        <v>531404</v>
      </c>
      <c r="W259" s="63" t="str">
        <f>VLOOKUP(Tabla6[[#This Row],[ÍTEM PRESUPUESTARIO]],Tabla2[#All],2,0)</f>
        <v>MAQUINARIAS Y EQUIPOS</v>
      </c>
      <c r="X259" s="57">
        <v>0</v>
      </c>
      <c r="Y259" s="57">
        <f>1500-750-550-200</f>
        <v>0</v>
      </c>
      <c r="Z259" s="58">
        <v>0</v>
      </c>
      <c r="AA259" s="58">
        <v>0</v>
      </c>
      <c r="AB259" s="58">
        <v>0</v>
      </c>
      <c r="AC259" s="58">
        <v>0</v>
      </c>
      <c r="AD259" s="58">
        <v>0</v>
      </c>
      <c r="AE259" s="58">
        <v>0</v>
      </c>
      <c r="AF259" s="58">
        <v>0</v>
      </c>
      <c r="AG259" s="58">
        <v>0</v>
      </c>
      <c r="AH259" s="58">
        <v>0</v>
      </c>
      <c r="AI259" s="58">
        <v>0</v>
      </c>
      <c r="AJ259" s="58">
        <v>0</v>
      </c>
      <c r="AK259" s="58">
        <v>0</v>
      </c>
      <c r="AL259" s="75">
        <f>+SUBTOTAL(9,Tabla6[[#This Row],[ENE]:[DIC]])</f>
        <v>0</v>
      </c>
      <c r="AM259" s="76" t="str">
        <f t="shared" si="3"/>
        <v>OK</v>
      </c>
      <c r="AN259" s="60">
        <v>0</v>
      </c>
      <c r="AO259" s="61">
        <f>+Tabla6[[#This Row],[PRESUPUESTO VIGENTE]]-Tabla6[[#This Row],[CERTIFICACIÓN PAPP]]</f>
        <v>0</v>
      </c>
      <c r="AP259" s="59">
        <v>0</v>
      </c>
    </row>
    <row r="260" spans="1:42" ht="93" customHeight="1" x14ac:dyDescent="0.25">
      <c r="A260" s="62" t="s">
        <v>78</v>
      </c>
      <c r="B260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260" s="64" t="s">
        <v>79</v>
      </c>
      <c r="D260" s="64" t="s">
        <v>80</v>
      </c>
      <c r="E260" s="64" t="s">
        <v>81</v>
      </c>
      <c r="F260" s="64" t="s">
        <v>82</v>
      </c>
      <c r="G260" s="64" t="s">
        <v>92</v>
      </c>
      <c r="H260" s="65" t="str">
        <f>VLOOKUP(Tabla6[[#This Row],[DIRECCIÓN]],DIRECCIÓN[#All],2,0)</f>
        <v>ADMINISTRACIÓN CENTRAL</v>
      </c>
      <c r="I260" s="66" t="s">
        <v>923</v>
      </c>
      <c r="J260" s="67">
        <v>2</v>
      </c>
      <c r="K260" s="68" t="str">
        <f>VLOOKUP(Tabla6[[#This Row],[DIRECCIÓN GENERAL / COORDINACIÓN / SUBDIRECCIÓN]],Tabla37[[#All],[Columna1]:[EOD]],2,0)</f>
        <v>266_0001</v>
      </c>
      <c r="L260" s="69">
        <f>VLOOKUP(Tabla6[[#This Row],[OBJETIVOS PND]],Listas!$A$1:$C$3,3,0)</f>
        <v>1</v>
      </c>
      <c r="M260" s="70">
        <f>VLOOKUP(Tabla6[[#This Row],[PG]],Listas2!$G$14:$K$16,5,0)</f>
        <v>0</v>
      </c>
      <c r="N260" s="71">
        <v>1</v>
      </c>
      <c r="O260" s="72">
        <v>1001</v>
      </c>
      <c r="P260" s="73" t="str">
        <f>VLOOKUP(Tabla6[[#This Row],[GEO]],Listas!$A$48:$B$77,2,0)</f>
        <v>IBARRA</v>
      </c>
      <c r="Q260" s="70">
        <f>VLOOKUP(Tabla6[[#This Row],[PG]],Listas2!$G$14:$K$16,3,0)</f>
        <v>1</v>
      </c>
      <c r="R260" s="73">
        <f>VLOOKUP(Tabla6[[#This Row],[PG]],Listas2!H265:'Listas2'!$G$14:$K$16,4,0)</f>
        <v>0</v>
      </c>
      <c r="S260" s="73">
        <f>VLOOKUP(Tabla6[[#This Row],[PG]],Listas2!$G$14:$K$16,2,0)</f>
        <v>0</v>
      </c>
      <c r="T260" s="66" t="s">
        <v>84</v>
      </c>
      <c r="U260" s="74">
        <v>53</v>
      </c>
      <c r="V260" s="66">
        <v>531406</v>
      </c>
      <c r="W260" s="63" t="str">
        <f>VLOOKUP(Tabla6[[#This Row],[ÍTEM PRESUPUESTARIO]],Tabla2[#All],2,0)</f>
        <v>HERRAMIENTAS Y EQUIPOS MENORES</v>
      </c>
      <c r="X260" s="57">
        <v>0</v>
      </c>
      <c r="Y260" s="57">
        <f>1500+600-1050+1050-2100</f>
        <v>0</v>
      </c>
      <c r="Z260" s="58">
        <v>0</v>
      </c>
      <c r="AA260" s="58">
        <v>0</v>
      </c>
      <c r="AB260" s="58">
        <v>0</v>
      </c>
      <c r="AC260" s="58">
        <v>0</v>
      </c>
      <c r="AD260" s="58">
        <v>0</v>
      </c>
      <c r="AE260" s="58">
        <v>0</v>
      </c>
      <c r="AF260" s="58">
        <v>0</v>
      </c>
      <c r="AG260" s="58">
        <v>0</v>
      </c>
      <c r="AH260" s="58">
        <v>0</v>
      </c>
      <c r="AI260" s="58">
        <v>0</v>
      </c>
      <c r="AJ260" s="58">
        <v>0</v>
      </c>
      <c r="AK260" s="58">
        <v>0</v>
      </c>
      <c r="AL260" s="75">
        <f>+SUBTOTAL(9,Tabla6[[#This Row],[ENE]:[DIC]])</f>
        <v>0</v>
      </c>
      <c r="AM260" s="76" t="str">
        <f t="shared" si="3"/>
        <v>OK</v>
      </c>
      <c r="AN260" s="60">
        <v>0</v>
      </c>
      <c r="AO260" s="61">
        <f>+Tabla6[[#This Row],[PRESUPUESTO VIGENTE]]-Tabla6[[#This Row],[CERTIFICACIÓN PAPP]]</f>
        <v>0</v>
      </c>
      <c r="AP260" s="59">
        <v>0</v>
      </c>
    </row>
    <row r="261" spans="1:42" ht="93" customHeight="1" x14ac:dyDescent="0.25">
      <c r="A261" s="62" t="s">
        <v>78</v>
      </c>
      <c r="B261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261" s="64" t="s">
        <v>79</v>
      </c>
      <c r="D261" s="64" t="s">
        <v>80</v>
      </c>
      <c r="E261" s="64" t="s">
        <v>81</v>
      </c>
      <c r="F261" s="64" t="s">
        <v>82</v>
      </c>
      <c r="G261" s="64" t="s">
        <v>92</v>
      </c>
      <c r="H261" s="65" t="str">
        <f>VLOOKUP(Tabla6[[#This Row],[DIRECCIÓN]],DIRECCIÓN[#All],2,0)</f>
        <v>ADMINISTRACIÓN CENTRAL</v>
      </c>
      <c r="I261" s="66" t="s">
        <v>924</v>
      </c>
      <c r="J261" s="67">
        <v>1</v>
      </c>
      <c r="K261" s="68" t="str">
        <f>VLOOKUP(Tabla6[[#This Row],[DIRECCIÓN GENERAL / COORDINACIÓN / SUBDIRECCIÓN]],Tabla37[[#All],[Columna1]:[EOD]],2,0)</f>
        <v>266_0001</v>
      </c>
      <c r="L261" s="69">
        <f>VLOOKUP(Tabla6[[#This Row],[OBJETIVOS PND]],Listas!$A$1:$C$3,3,0)</f>
        <v>1</v>
      </c>
      <c r="M261" s="70">
        <f>VLOOKUP(Tabla6[[#This Row],[PG]],Listas2!$G$14:$K$16,5,0)</f>
        <v>0</v>
      </c>
      <c r="N261" s="71">
        <v>1</v>
      </c>
      <c r="O261" s="72">
        <v>1001</v>
      </c>
      <c r="P261" s="73" t="str">
        <f>VLOOKUP(Tabla6[[#This Row],[GEO]],Listas!$A$48:$B$77,2,0)</f>
        <v>IBARRA</v>
      </c>
      <c r="Q261" s="70">
        <f>VLOOKUP(Tabla6[[#This Row],[PG]],Listas2!$G$14:$K$16,3,0)</f>
        <v>1</v>
      </c>
      <c r="R261" s="73">
        <f>VLOOKUP(Tabla6[[#This Row],[PG]],Listas2!H266:'Listas2'!$G$14:$K$16,4,0)</f>
        <v>0</v>
      </c>
      <c r="S261" s="73">
        <f>VLOOKUP(Tabla6[[#This Row],[PG]],Listas2!$G$14:$K$16,2,0)</f>
        <v>0</v>
      </c>
      <c r="T261" s="66" t="s">
        <v>84</v>
      </c>
      <c r="U261" s="74">
        <v>57</v>
      </c>
      <c r="V261" s="66">
        <v>570102</v>
      </c>
      <c r="W261" s="63" t="str">
        <f>VLOOKUP(Tabla6[[#This Row],[ÍTEM PRESUPUESTARIO]],Tabla2[#All],2,0)</f>
        <v>TASAS GENERALES, IMPUESTOS, CONTRIBUCIONES, PERMISOS, LICENCIAS Y PATENTES</v>
      </c>
      <c r="X261" s="57">
        <v>1200</v>
      </c>
      <c r="Y261" s="57">
        <f>1200-115.81</f>
        <v>1084.19</v>
      </c>
      <c r="Z261" s="58">
        <v>1084.19</v>
      </c>
      <c r="AA261" s="58">
        <v>0</v>
      </c>
      <c r="AB261" s="58">
        <v>0</v>
      </c>
      <c r="AC261" s="58">
        <v>0</v>
      </c>
      <c r="AD261" s="58">
        <v>0</v>
      </c>
      <c r="AE261" s="58">
        <v>0</v>
      </c>
      <c r="AF261" s="58">
        <v>0</v>
      </c>
      <c r="AG261" s="58">
        <v>0</v>
      </c>
      <c r="AH261" s="58">
        <v>0</v>
      </c>
      <c r="AI261" s="58">
        <v>0</v>
      </c>
      <c r="AJ261" s="58">
        <v>0</v>
      </c>
      <c r="AK261" s="58">
        <v>0</v>
      </c>
      <c r="AL261" s="75">
        <f>+SUBTOTAL(9,Tabla6[[#This Row],[ENE]:[DIC]])</f>
        <v>1084.19</v>
      </c>
      <c r="AM261" s="76" t="str">
        <f t="shared" si="3"/>
        <v>OK</v>
      </c>
      <c r="AN261" s="60">
        <f>902.53+175.66+6</f>
        <v>1084.19</v>
      </c>
      <c r="AO261" s="61">
        <f>+Tabla6[[#This Row],[PRESUPUESTO VIGENTE]]-Tabla6[[#This Row],[CERTIFICACIÓN PAPP]]</f>
        <v>0</v>
      </c>
      <c r="AP261" s="59">
        <v>0</v>
      </c>
    </row>
    <row r="262" spans="1:42" ht="93" customHeight="1" x14ac:dyDescent="0.25">
      <c r="A262" s="62" t="s">
        <v>78</v>
      </c>
      <c r="B262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262" s="64" t="s">
        <v>79</v>
      </c>
      <c r="D262" s="64" t="s">
        <v>80</v>
      </c>
      <c r="E262" s="64" t="s">
        <v>81</v>
      </c>
      <c r="F262" s="64" t="s">
        <v>82</v>
      </c>
      <c r="G262" s="64" t="s">
        <v>92</v>
      </c>
      <c r="H262" s="65" t="str">
        <f>VLOOKUP(Tabla6[[#This Row],[DIRECCIÓN]],DIRECCIÓN[#All],2,0)</f>
        <v>ADMINISTRACIÓN CENTRAL</v>
      </c>
      <c r="I262" s="66" t="s">
        <v>826</v>
      </c>
      <c r="J262" s="67">
        <v>1</v>
      </c>
      <c r="K262" s="68" t="str">
        <f>VLOOKUP(Tabla6[[#This Row],[DIRECCIÓN GENERAL / COORDINACIÓN / SUBDIRECCIÓN]],Tabla37[[#All],[Columna1]:[EOD]],2,0)</f>
        <v>266_0001</v>
      </c>
      <c r="L262" s="69">
        <f>VLOOKUP(Tabla6[[#This Row],[OBJETIVOS PND]],Listas!$A$1:$C$3,3,0)</f>
        <v>1</v>
      </c>
      <c r="M262" s="70">
        <f>VLOOKUP(Tabla6[[#This Row],[PG]],Listas2!$G$14:$K$16,5,0)</f>
        <v>0</v>
      </c>
      <c r="N262" s="71">
        <v>1</v>
      </c>
      <c r="O262" s="72">
        <v>1001</v>
      </c>
      <c r="P262" s="73" t="str">
        <f>VLOOKUP(Tabla6[[#This Row],[GEO]],Listas!$A$48:$B$77,2,0)</f>
        <v>IBARRA</v>
      </c>
      <c r="Q262" s="70">
        <f>VLOOKUP(Tabla6[[#This Row],[PG]],Listas2!$G$14:$K$16,3,0)</f>
        <v>1</v>
      </c>
      <c r="R262" s="73">
        <f>VLOOKUP(Tabla6[[#This Row],[PG]],Listas2!H267:'Listas2'!$G$14:$K$16,4,0)</f>
        <v>0</v>
      </c>
      <c r="S262" s="73">
        <f>VLOOKUP(Tabla6[[#This Row],[PG]],Listas2!$G$14:$K$16,2,0)</f>
        <v>0</v>
      </c>
      <c r="T262" s="66" t="s">
        <v>84</v>
      </c>
      <c r="U262" s="74">
        <v>57</v>
      </c>
      <c r="V262" s="66">
        <v>570102</v>
      </c>
      <c r="W262" s="63" t="str">
        <f>VLOOKUP(Tabla6[[#This Row],[ÍTEM PRESUPUESTARIO]],Tabla2[#All],2,0)</f>
        <v>TASAS GENERALES, IMPUESTOS, CONTRIBUCIONES, PERMISOS, LICENCIAS Y PATENTES</v>
      </c>
      <c r="X262" s="57">
        <v>110</v>
      </c>
      <c r="Y262" s="57">
        <f>110+40-37.5</f>
        <v>112.5</v>
      </c>
      <c r="Z262" s="58">
        <v>0</v>
      </c>
      <c r="AA262" s="58">
        <v>0</v>
      </c>
      <c r="AB262" s="58">
        <v>112.5</v>
      </c>
      <c r="AC262" s="58">
        <v>0</v>
      </c>
      <c r="AD262" s="58">
        <v>0</v>
      </c>
      <c r="AE262" s="58">
        <v>0</v>
      </c>
      <c r="AF262" s="58">
        <v>0</v>
      </c>
      <c r="AG262" s="58">
        <v>0</v>
      </c>
      <c r="AH262" s="58">
        <v>0</v>
      </c>
      <c r="AI262" s="58">
        <v>0</v>
      </c>
      <c r="AJ262" s="58">
        <v>0</v>
      </c>
      <c r="AK262" s="58">
        <v>0</v>
      </c>
      <c r="AL262" s="75">
        <f>+SUBTOTAL(9,Tabla6[[#This Row],[ENE]:[DIC]])</f>
        <v>112.5</v>
      </c>
      <c r="AM262" s="76" t="str">
        <f t="shared" si="3"/>
        <v>OK</v>
      </c>
      <c r="AN262" s="60">
        <v>112.5</v>
      </c>
      <c r="AO262" s="61">
        <f>+Tabla6[[#This Row],[PRESUPUESTO VIGENTE]]-Tabla6[[#This Row],[CERTIFICACIÓN PAPP]]</f>
        <v>0</v>
      </c>
      <c r="AP262" s="59" t="s">
        <v>87</v>
      </c>
    </row>
    <row r="263" spans="1:42" ht="93" customHeight="1" x14ac:dyDescent="0.25">
      <c r="A263" s="62" t="s">
        <v>78</v>
      </c>
      <c r="B263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263" s="64" t="s">
        <v>79</v>
      </c>
      <c r="D263" s="64" t="s">
        <v>80</v>
      </c>
      <c r="E263" s="64" t="s">
        <v>81</v>
      </c>
      <c r="F263" s="64" t="s">
        <v>82</v>
      </c>
      <c r="G263" s="64" t="s">
        <v>92</v>
      </c>
      <c r="H263" s="65" t="str">
        <f>VLOOKUP(Tabla6[[#This Row],[DIRECCIÓN]],DIRECCIÓN[#All],2,0)</f>
        <v>ADMINISTRACIÓN CENTRAL</v>
      </c>
      <c r="I263" s="66" t="s">
        <v>827</v>
      </c>
      <c r="J263" s="67">
        <v>3</v>
      </c>
      <c r="K263" s="68" t="str">
        <f>VLOOKUP(Tabla6[[#This Row],[DIRECCIÓN GENERAL / COORDINACIÓN / SUBDIRECCIÓN]],Tabla37[[#All],[Columna1]:[EOD]],2,0)</f>
        <v>266_0001</v>
      </c>
      <c r="L263" s="69">
        <f>VLOOKUP(Tabla6[[#This Row],[OBJETIVOS PND]],Listas!$A$1:$C$3,3,0)</f>
        <v>1</v>
      </c>
      <c r="M263" s="70">
        <f>VLOOKUP(Tabla6[[#This Row],[PG]],Listas2!$G$14:$K$16,5,0)</f>
        <v>0</v>
      </c>
      <c r="N263" s="71">
        <v>1</v>
      </c>
      <c r="O263" s="72">
        <v>1001</v>
      </c>
      <c r="P263" s="73" t="str">
        <f>VLOOKUP(Tabla6[[#This Row],[GEO]],Listas!$A$48:$B$77,2,0)</f>
        <v>IBARRA</v>
      </c>
      <c r="Q263" s="70">
        <f>VLOOKUP(Tabla6[[#This Row],[PG]],Listas2!$G$14:$K$16,3,0)</f>
        <v>1</v>
      </c>
      <c r="R263" s="73">
        <f>VLOOKUP(Tabla6[[#This Row],[PG]],Listas2!H268:'Listas2'!$G$14:$K$16,4,0)</f>
        <v>0</v>
      </c>
      <c r="S263" s="73">
        <f>VLOOKUP(Tabla6[[#This Row],[PG]],Listas2!$G$14:$K$16,2,0)</f>
        <v>0</v>
      </c>
      <c r="T263" s="66" t="s">
        <v>84</v>
      </c>
      <c r="U263" s="74">
        <v>57</v>
      </c>
      <c r="V263" s="66">
        <v>570102</v>
      </c>
      <c r="W263" s="63" t="str">
        <f>VLOOKUP(Tabla6[[#This Row],[ÍTEM PRESUPUESTARIO]],Tabla2[#All],2,0)</f>
        <v>TASAS GENERALES, IMPUESTOS, CONTRIBUCIONES, PERMISOS, LICENCIAS Y PATENTES</v>
      </c>
      <c r="X263" s="57">
        <v>100</v>
      </c>
      <c r="Y263" s="57">
        <f>100-49.5</f>
        <v>50.5</v>
      </c>
      <c r="Z263" s="58">
        <v>50.5</v>
      </c>
      <c r="AA263" s="58">
        <v>0</v>
      </c>
      <c r="AB263" s="58">
        <v>0</v>
      </c>
      <c r="AC263" s="58">
        <v>0</v>
      </c>
      <c r="AD263" s="58">
        <v>0</v>
      </c>
      <c r="AE263" s="58">
        <v>0</v>
      </c>
      <c r="AF263" s="58">
        <v>0</v>
      </c>
      <c r="AG263" s="58">
        <v>0</v>
      </c>
      <c r="AH263" s="58">
        <v>0</v>
      </c>
      <c r="AI263" s="58">
        <v>0</v>
      </c>
      <c r="AJ263" s="58">
        <v>0</v>
      </c>
      <c r="AK263" s="58">
        <v>0</v>
      </c>
      <c r="AL263" s="75">
        <f>+SUBTOTAL(9,Tabla6[[#This Row],[ENE]:[DIC]])</f>
        <v>50.5</v>
      </c>
      <c r="AM263" s="76" t="str">
        <f t="shared" si="3"/>
        <v>OK</v>
      </c>
      <c r="AN263" s="60">
        <v>50.5</v>
      </c>
      <c r="AO263" s="61">
        <f>+Tabla6[[#This Row],[PRESUPUESTO VIGENTE]]-Tabla6[[#This Row],[CERTIFICACIÓN PAPP]]</f>
        <v>0</v>
      </c>
      <c r="AP263" s="59">
        <v>0</v>
      </c>
    </row>
    <row r="264" spans="1:42" ht="93" customHeight="1" x14ac:dyDescent="0.25">
      <c r="A264" s="62" t="s">
        <v>78</v>
      </c>
      <c r="B264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264" s="64" t="s">
        <v>79</v>
      </c>
      <c r="D264" s="64" t="s">
        <v>80</v>
      </c>
      <c r="E264" s="64" t="s">
        <v>81</v>
      </c>
      <c r="F264" s="64" t="s">
        <v>82</v>
      </c>
      <c r="G264" s="64" t="s">
        <v>92</v>
      </c>
      <c r="H264" s="65" t="str">
        <f>VLOOKUP(Tabla6[[#This Row],[DIRECCIÓN]],DIRECCIÓN[#All],2,0)</f>
        <v>ADMINISTRACIÓN CENTRAL</v>
      </c>
      <c r="I264" s="66" t="s">
        <v>925</v>
      </c>
      <c r="J264" s="67">
        <v>2</v>
      </c>
      <c r="K264" s="68" t="str">
        <f>VLOOKUP(Tabla6[[#This Row],[DIRECCIÓN GENERAL / COORDINACIÓN / SUBDIRECCIÓN]],Tabla37[[#All],[Columna1]:[EOD]],2,0)</f>
        <v>266_0001</v>
      </c>
      <c r="L264" s="69">
        <f>VLOOKUP(Tabla6[[#This Row],[OBJETIVOS PND]],Listas!$A$1:$C$3,3,0)</f>
        <v>1</v>
      </c>
      <c r="M264" s="70">
        <f>VLOOKUP(Tabla6[[#This Row],[PG]],Listas2!$G$14:$K$16,5,0)</f>
        <v>0</v>
      </c>
      <c r="N264" s="71">
        <v>1</v>
      </c>
      <c r="O264" s="72">
        <v>1001</v>
      </c>
      <c r="P264" s="73" t="str">
        <f>VLOOKUP(Tabla6[[#This Row],[GEO]],Listas!$A$48:$B$77,2,0)</f>
        <v>IBARRA</v>
      </c>
      <c r="Q264" s="70">
        <f>VLOOKUP(Tabla6[[#This Row],[PG]],Listas2!$G$14:$K$16,3,0)</f>
        <v>1</v>
      </c>
      <c r="R264" s="73">
        <f>VLOOKUP(Tabla6[[#This Row],[PG]],Listas2!H269:'Listas2'!$G$14:$K$16,4,0)</f>
        <v>0</v>
      </c>
      <c r="S264" s="73">
        <f>VLOOKUP(Tabla6[[#This Row],[PG]],Listas2!$G$14:$K$16,2,0)</f>
        <v>0</v>
      </c>
      <c r="T264" s="66" t="s">
        <v>84</v>
      </c>
      <c r="U264" s="74">
        <v>57</v>
      </c>
      <c r="V264" s="66">
        <v>570102</v>
      </c>
      <c r="W264" s="63" t="str">
        <f>VLOOKUP(Tabla6[[#This Row],[ÍTEM PRESUPUESTARIO]],Tabla2[#All],2,0)</f>
        <v>TASAS GENERALES, IMPUESTOS, CONTRIBUCIONES, PERMISOS, LICENCIAS Y PATENTES</v>
      </c>
      <c r="X264" s="57">
        <v>0</v>
      </c>
      <c r="Y264" s="57">
        <f>500+350</f>
        <v>850</v>
      </c>
      <c r="Z264" s="58">
        <v>0</v>
      </c>
      <c r="AA264" s="58">
        <v>0</v>
      </c>
      <c r="AB264" s="58">
        <v>0</v>
      </c>
      <c r="AC264" s="58">
        <v>0</v>
      </c>
      <c r="AD264" s="58">
        <v>850</v>
      </c>
      <c r="AE264" s="58">
        <v>0</v>
      </c>
      <c r="AF264" s="58">
        <v>0</v>
      </c>
      <c r="AG264" s="58">
        <v>0</v>
      </c>
      <c r="AH264" s="58">
        <v>0</v>
      </c>
      <c r="AI264" s="58">
        <v>0</v>
      </c>
      <c r="AJ264" s="58">
        <v>0</v>
      </c>
      <c r="AK264" s="58">
        <v>0</v>
      </c>
      <c r="AL264" s="75">
        <f>+SUBTOTAL(9,Tabla6[[#This Row],[ENE]:[DIC]])</f>
        <v>850</v>
      </c>
      <c r="AM264" s="76" t="str">
        <f t="shared" si="3"/>
        <v>OK</v>
      </c>
      <c r="AN264" s="60">
        <v>850</v>
      </c>
      <c r="AO264" s="61">
        <f>+Tabla6[[#This Row],[PRESUPUESTO VIGENTE]]-Tabla6[[#This Row],[CERTIFICACIÓN PAPP]]</f>
        <v>0</v>
      </c>
      <c r="AP264" s="59" t="s">
        <v>87</v>
      </c>
    </row>
    <row r="265" spans="1:42" ht="93" customHeight="1" x14ac:dyDescent="0.25">
      <c r="A265" s="62" t="s">
        <v>88</v>
      </c>
      <c r="B265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265" s="64" t="s">
        <v>89</v>
      </c>
      <c r="D265" s="64" t="s">
        <v>80</v>
      </c>
      <c r="E265" s="64" t="s">
        <v>81</v>
      </c>
      <c r="F265" s="64" t="s">
        <v>82</v>
      </c>
      <c r="G265" s="64" t="s">
        <v>10</v>
      </c>
      <c r="H265" s="65" t="str">
        <f>VLOOKUP(Tabla6[[#This Row],[DIRECCIÓN]],DIRECCIÓN[#All],2,0)</f>
        <v>TECNOLOGÍA</v>
      </c>
      <c r="I265" s="66" t="s">
        <v>828</v>
      </c>
      <c r="J265" s="67">
        <v>1</v>
      </c>
      <c r="K265" s="68" t="str">
        <f>VLOOKUP(Tabla6[[#This Row],[DIRECCIÓN GENERAL / COORDINACIÓN / SUBDIRECCIÓN]],Tabla37[[#All],[Columna1]:[EOD]],2,0)</f>
        <v>266_0001</v>
      </c>
      <c r="L265" s="69">
        <f>VLOOKUP(Tabla6[[#This Row],[OBJETIVOS PND]],Listas!$A$1:$C$3,3,0)</f>
        <v>55</v>
      </c>
      <c r="M265" s="70">
        <f>VLOOKUP(Tabla6[[#This Row],[PG]],Listas2!$G$14:$K$16,5,0)</f>
        <v>0</v>
      </c>
      <c r="N265" s="71">
        <v>3</v>
      </c>
      <c r="O265" s="72">
        <v>1001</v>
      </c>
      <c r="P265" s="73" t="str">
        <f>VLOOKUP(Tabla6[[#This Row],[GEO]],Listas!$A$48:$B$77,2,0)</f>
        <v>IBARRA</v>
      </c>
      <c r="Q265" s="70">
        <f>VLOOKUP(Tabla6[[#This Row],[PG]],Listas2!$G$14:$K$16,3,0)</f>
        <v>1</v>
      </c>
      <c r="R265" s="73">
        <f>VLOOKUP(Tabla6[[#This Row],[PG]],Listas2!H270:'Listas2'!$G$14:$K$16,4,0)</f>
        <v>0</v>
      </c>
      <c r="S265" s="73">
        <f>VLOOKUP(Tabla6[[#This Row],[PG]],Listas2!$G$14:$K$16,2,0)</f>
        <v>0</v>
      </c>
      <c r="T265" s="66" t="s">
        <v>84</v>
      </c>
      <c r="U265" s="74">
        <v>53</v>
      </c>
      <c r="V265" s="66">
        <v>530105</v>
      </c>
      <c r="W265" s="63" t="str">
        <f>VLOOKUP(Tabla6[[#This Row],[ÍTEM PRESUPUESTARIO]],Tabla2[#All],2,0)</f>
        <v>TELECOMUNICACIONES</v>
      </c>
      <c r="X265" s="57">
        <v>9775</v>
      </c>
      <c r="Y265" s="57">
        <f>9775-2557.27</f>
        <v>7217.73</v>
      </c>
      <c r="Z265" s="58">
        <v>7217.73</v>
      </c>
      <c r="AA265" s="58">
        <v>0</v>
      </c>
      <c r="AB265" s="58">
        <v>0</v>
      </c>
      <c r="AC265" s="58">
        <v>0</v>
      </c>
      <c r="AD265" s="58">
        <v>0</v>
      </c>
      <c r="AE265" s="58">
        <v>0</v>
      </c>
      <c r="AF265" s="58">
        <v>0</v>
      </c>
      <c r="AG265" s="58">
        <v>0</v>
      </c>
      <c r="AH265" s="58">
        <v>0</v>
      </c>
      <c r="AI265" s="58">
        <v>0</v>
      </c>
      <c r="AJ265" s="58">
        <v>0</v>
      </c>
      <c r="AK265" s="58">
        <v>0</v>
      </c>
      <c r="AL265" s="75">
        <f>+SUBTOTAL(9,Tabla6[[#This Row],[ENE]:[DIC]])</f>
        <v>7217.73</v>
      </c>
      <c r="AM265" s="76" t="str">
        <f t="shared" ref="AM265:AM328" si="4">IF(AL265=Y265,"OK",Y265-AL265)</f>
        <v>OK</v>
      </c>
      <c r="AN265" s="60">
        <v>7217.73</v>
      </c>
      <c r="AO265" s="61">
        <f>+Tabla6[[#This Row],[PRESUPUESTO VIGENTE]]-Tabla6[[#This Row],[CERTIFICACIÓN PAPP]]</f>
        <v>0</v>
      </c>
      <c r="AP265" s="59">
        <v>0</v>
      </c>
    </row>
    <row r="266" spans="1:42" ht="93" customHeight="1" x14ac:dyDescent="0.25">
      <c r="A266" s="62" t="s">
        <v>88</v>
      </c>
      <c r="B266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266" s="64" t="s">
        <v>89</v>
      </c>
      <c r="D266" s="64" t="s">
        <v>80</v>
      </c>
      <c r="E266" s="64" t="s">
        <v>81</v>
      </c>
      <c r="F266" s="64" t="s">
        <v>82</v>
      </c>
      <c r="G266" s="64" t="s">
        <v>10</v>
      </c>
      <c r="H266" s="65" t="str">
        <f>VLOOKUP(Tabla6[[#This Row],[DIRECCIÓN]],DIRECCIÓN[#All],2,0)</f>
        <v>TECNOLOGÍA</v>
      </c>
      <c r="I266" s="66" t="s">
        <v>829</v>
      </c>
      <c r="J266" s="67">
        <v>1</v>
      </c>
      <c r="K266" s="68" t="str">
        <f>VLOOKUP(Tabla6[[#This Row],[DIRECCIÓN GENERAL / COORDINACIÓN / SUBDIRECCIÓN]],Tabla37[[#All],[Columna1]:[EOD]],2,0)</f>
        <v>266_0001</v>
      </c>
      <c r="L266" s="69">
        <f>VLOOKUP(Tabla6[[#This Row],[OBJETIVOS PND]],Listas!$A$1:$C$3,3,0)</f>
        <v>55</v>
      </c>
      <c r="M266" s="70">
        <f>VLOOKUP(Tabla6[[#This Row],[PG]],Listas2!$G$14:$K$16,5,0)</f>
        <v>0</v>
      </c>
      <c r="N266" s="71">
        <v>3</v>
      </c>
      <c r="O266" s="72">
        <v>1001</v>
      </c>
      <c r="P266" s="73" t="str">
        <f>VLOOKUP(Tabla6[[#This Row],[GEO]],Listas!$A$48:$B$77,2,0)</f>
        <v>IBARRA</v>
      </c>
      <c r="Q266" s="70">
        <f>VLOOKUP(Tabla6[[#This Row],[PG]],Listas2!$G$14:$K$16,3,0)</f>
        <v>1</v>
      </c>
      <c r="R266" s="73">
        <f>VLOOKUP(Tabla6[[#This Row],[PG]],Listas2!H271:'Listas2'!$G$14:$K$16,4,0)</f>
        <v>0</v>
      </c>
      <c r="S266" s="73">
        <f>VLOOKUP(Tabla6[[#This Row],[PG]],Listas2!$G$14:$K$16,2,0)</f>
        <v>0</v>
      </c>
      <c r="T266" s="66" t="s">
        <v>84</v>
      </c>
      <c r="U266" s="74">
        <v>53</v>
      </c>
      <c r="V266" s="66">
        <v>530105</v>
      </c>
      <c r="W266" s="63" t="str">
        <f>VLOOKUP(Tabla6[[#This Row],[ÍTEM PRESUPUESTARIO]],Tabla2[#All],2,0)</f>
        <v>TELECOMUNICACIONES</v>
      </c>
      <c r="X266" s="57">
        <v>129627</v>
      </c>
      <c r="Y266" s="57">
        <f>129627-65706.36-26478.57</f>
        <v>37442.07</v>
      </c>
      <c r="Z266" s="58">
        <v>0</v>
      </c>
      <c r="AA266" s="58">
        <v>5810.97</v>
      </c>
      <c r="AB266" s="58">
        <v>5810.97</v>
      </c>
      <c r="AC266" s="58">
        <v>5810.97</v>
      </c>
      <c r="AD266" s="58">
        <v>5810.97</v>
      </c>
      <c r="AE266" s="58">
        <v>5810.97</v>
      </c>
      <c r="AF266" s="58">
        <v>5810.97</v>
      </c>
      <c r="AG266" s="58">
        <v>2576.25</v>
      </c>
      <c r="AH266" s="58">
        <v>0</v>
      </c>
      <c r="AI266" s="58">
        <v>0</v>
      </c>
      <c r="AJ266" s="58">
        <v>0</v>
      </c>
      <c r="AK266" s="58">
        <v>0</v>
      </c>
      <c r="AL266" s="75">
        <f>+SUBTOTAL(9,Tabla6[[#This Row],[ENE]:[DIC]])</f>
        <v>37442.07</v>
      </c>
      <c r="AM266" s="76" t="str">
        <f t="shared" si="4"/>
        <v>OK</v>
      </c>
      <c r="AN266" s="60">
        <v>37028.79</v>
      </c>
      <c r="AO266" s="61">
        <f>+Tabla6[[#This Row],[PRESUPUESTO VIGENTE]]-Tabla6[[#This Row],[CERTIFICACIÓN PAPP]]</f>
        <v>413.27999999999884</v>
      </c>
      <c r="AP266" s="59">
        <v>0</v>
      </c>
    </row>
    <row r="267" spans="1:42" ht="93" customHeight="1" x14ac:dyDescent="0.25">
      <c r="A267" s="62" t="s">
        <v>88</v>
      </c>
      <c r="B267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267" s="64" t="s">
        <v>89</v>
      </c>
      <c r="D267" s="64" t="s">
        <v>80</v>
      </c>
      <c r="E267" s="64" t="s">
        <v>81</v>
      </c>
      <c r="F267" s="64" t="s">
        <v>82</v>
      </c>
      <c r="G267" s="64" t="s">
        <v>10</v>
      </c>
      <c r="H267" s="65" t="str">
        <f>VLOOKUP(Tabla6[[#This Row],[DIRECCIÓN]],DIRECCIÓN[#All],2,0)</f>
        <v>TECNOLOGÍA</v>
      </c>
      <c r="I267" s="66" t="s">
        <v>830</v>
      </c>
      <c r="J267" s="67">
        <v>2</v>
      </c>
      <c r="K267" s="68" t="str">
        <f>VLOOKUP(Tabla6[[#This Row],[DIRECCIÓN GENERAL / COORDINACIÓN / SUBDIRECCIÓN]],Tabla37[[#All],[Columna1]:[EOD]],2,0)</f>
        <v>266_0001</v>
      </c>
      <c r="L267" s="69">
        <f>VLOOKUP(Tabla6[[#This Row],[OBJETIVOS PND]],Listas!$A$1:$C$3,3,0)</f>
        <v>55</v>
      </c>
      <c r="M267" s="70">
        <f>VLOOKUP(Tabla6[[#This Row],[PG]],Listas2!$G$14:$K$16,5,0)</f>
        <v>0</v>
      </c>
      <c r="N267" s="71">
        <v>3</v>
      </c>
      <c r="O267" s="72">
        <v>1001</v>
      </c>
      <c r="P267" s="73" t="str">
        <f>VLOOKUP(Tabla6[[#This Row],[GEO]],Listas!$A$48:$B$77,2,0)</f>
        <v>IBARRA</v>
      </c>
      <c r="Q267" s="70">
        <f>VLOOKUP(Tabla6[[#This Row],[PG]],Listas2!$G$14:$K$16,3,0)</f>
        <v>1</v>
      </c>
      <c r="R267" s="73">
        <f>VLOOKUP(Tabla6[[#This Row],[PG]],Listas2!H272:'Listas2'!$G$14:$K$16,4,0)</f>
        <v>0</v>
      </c>
      <c r="S267" s="73">
        <f>VLOOKUP(Tabla6[[#This Row],[PG]],Listas2!$G$14:$K$16,2,0)</f>
        <v>0</v>
      </c>
      <c r="T267" s="66" t="s">
        <v>84</v>
      </c>
      <c r="U267" s="74">
        <v>53</v>
      </c>
      <c r="V267" s="66">
        <v>530702</v>
      </c>
      <c r="W267" s="63" t="str">
        <f>VLOOKUP(Tabla6[[#This Row],[ÍTEM PRESUPUESTARIO]],Tabla2[#All],2,0)</f>
        <v>ARRENDAMIENTO Y LICENCIAS DE USO DE PAQUETES INFORMÁTICOS</v>
      </c>
      <c r="X267" s="57">
        <v>4336</v>
      </c>
      <c r="Y267" s="57">
        <f>4336-516.69</f>
        <v>3819.31</v>
      </c>
      <c r="Z267" s="58">
        <v>0</v>
      </c>
      <c r="AA267" s="58">
        <v>0</v>
      </c>
      <c r="AB267" s="58">
        <v>3819.31</v>
      </c>
      <c r="AC267" s="58">
        <v>0</v>
      </c>
      <c r="AD267" s="58">
        <v>0</v>
      </c>
      <c r="AE267" s="58">
        <v>0</v>
      </c>
      <c r="AF267" s="58">
        <v>0</v>
      </c>
      <c r="AG267" s="58">
        <v>0</v>
      </c>
      <c r="AH267" s="58">
        <v>0</v>
      </c>
      <c r="AI267" s="58">
        <v>0</v>
      </c>
      <c r="AJ267" s="58">
        <v>0</v>
      </c>
      <c r="AK267" s="58">
        <v>0</v>
      </c>
      <c r="AL267" s="75">
        <f>+SUBTOTAL(9,Tabla6[[#This Row],[ENE]:[DIC]])</f>
        <v>3819.31</v>
      </c>
      <c r="AM267" s="76" t="str">
        <f t="shared" si="4"/>
        <v>OK</v>
      </c>
      <c r="AN267" s="60">
        <v>3410.1</v>
      </c>
      <c r="AO267" s="61">
        <f>+Tabla6[[#This Row],[PRESUPUESTO VIGENTE]]-Tabla6[[#This Row],[CERTIFICACIÓN PAPP]]</f>
        <v>409.21000000000004</v>
      </c>
      <c r="AP267" s="59">
        <v>0</v>
      </c>
    </row>
    <row r="268" spans="1:42" ht="93" customHeight="1" x14ac:dyDescent="0.25">
      <c r="A268" s="62" t="s">
        <v>88</v>
      </c>
      <c r="B268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268" s="64" t="s">
        <v>89</v>
      </c>
      <c r="D268" s="64" t="s">
        <v>80</v>
      </c>
      <c r="E268" s="64" t="s">
        <v>81</v>
      </c>
      <c r="F268" s="64" t="s">
        <v>82</v>
      </c>
      <c r="G268" s="64" t="s">
        <v>10</v>
      </c>
      <c r="H268" s="65" t="str">
        <f>VLOOKUP(Tabla6[[#This Row],[DIRECCIÓN]],DIRECCIÓN[#All],2,0)</f>
        <v>TECNOLOGÍA</v>
      </c>
      <c r="I268" s="66" t="s">
        <v>926</v>
      </c>
      <c r="J268" s="67">
        <v>1</v>
      </c>
      <c r="K268" s="68" t="str">
        <f>VLOOKUP(Tabla6[[#This Row],[DIRECCIÓN GENERAL / COORDINACIÓN / SUBDIRECCIÓN]],Tabla37[[#All],[Columna1]:[EOD]],2,0)</f>
        <v>266_0001</v>
      </c>
      <c r="L268" s="69">
        <f>VLOOKUP(Tabla6[[#This Row],[OBJETIVOS PND]],Listas!$A$1:$C$3,3,0)</f>
        <v>55</v>
      </c>
      <c r="M268" s="70">
        <f>VLOOKUP(Tabla6[[#This Row],[PG]],Listas2!$G$14:$K$16,5,0)</f>
        <v>0</v>
      </c>
      <c r="N268" s="71">
        <v>3</v>
      </c>
      <c r="O268" s="72">
        <v>1001</v>
      </c>
      <c r="P268" s="73" t="str">
        <f>VLOOKUP(Tabla6[[#This Row],[GEO]],Listas!$A$48:$B$77,2,0)</f>
        <v>IBARRA</v>
      </c>
      <c r="Q268" s="70">
        <f>VLOOKUP(Tabla6[[#This Row],[PG]],Listas2!$G$14:$K$16,3,0)</f>
        <v>1</v>
      </c>
      <c r="R268" s="73">
        <f>VLOOKUP(Tabla6[[#This Row],[PG]],Listas2!H273:'Listas2'!$G$14:$K$16,4,0)</f>
        <v>0</v>
      </c>
      <c r="S268" s="73">
        <f>VLOOKUP(Tabla6[[#This Row],[PG]],Listas2!$G$14:$K$16,2,0)</f>
        <v>0</v>
      </c>
      <c r="T268" s="66" t="s">
        <v>84</v>
      </c>
      <c r="U268" s="74">
        <v>53</v>
      </c>
      <c r="V268" s="66">
        <v>530704</v>
      </c>
      <c r="W268" s="63" t="str">
        <f>VLOOKUP(Tabla6[[#This Row],[ÍTEM PRESUPUESTARIO]],Tabla2[#All],2,0)</f>
        <v xml:space="preserve">MANTENIMIENTO Y REPARACIÓN DE EQUIPOS Y SISTEMAS INFORMÁTICOS </v>
      </c>
      <c r="X268" s="57">
        <v>115000</v>
      </c>
      <c r="Y268" s="57">
        <f>115000-1667.16-416-1228-2599.42-2599.42</f>
        <v>106490</v>
      </c>
      <c r="Z268" s="58">
        <v>0</v>
      </c>
      <c r="AA268" s="58">
        <v>0</v>
      </c>
      <c r="AB268" s="58">
        <v>0</v>
      </c>
      <c r="AC268" s="58">
        <v>10000</v>
      </c>
      <c r="AD268" s="58">
        <v>15000</v>
      </c>
      <c r="AE268" s="58">
        <v>15000</v>
      </c>
      <c r="AF268" s="58">
        <v>15000</v>
      </c>
      <c r="AG268" s="58">
        <v>15000</v>
      </c>
      <c r="AH268" s="58">
        <v>15000</v>
      </c>
      <c r="AI268" s="58">
        <v>15000</v>
      </c>
      <c r="AJ268" s="58">
        <v>6490</v>
      </c>
      <c r="AK268" s="58">
        <v>0</v>
      </c>
      <c r="AL268" s="75">
        <f>+SUBTOTAL(9,Tabla6[[#This Row],[ENE]:[DIC]])</f>
        <v>106490</v>
      </c>
      <c r="AM268" s="76" t="str">
        <f t="shared" si="4"/>
        <v>OK</v>
      </c>
      <c r="AN268" s="60">
        <f>113332.84-6842.84</f>
        <v>106490</v>
      </c>
      <c r="AO268" s="61">
        <f>+Tabla6[[#This Row],[PRESUPUESTO VIGENTE]]-Tabla6[[#This Row],[CERTIFICACIÓN PAPP]]</f>
        <v>0</v>
      </c>
      <c r="AP268" s="59">
        <v>0</v>
      </c>
    </row>
    <row r="269" spans="1:42" ht="93" customHeight="1" x14ac:dyDescent="0.25">
      <c r="A269" s="62" t="s">
        <v>88</v>
      </c>
      <c r="B269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269" s="64" t="s">
        <v>89</v>
      </c>
      <c r="D269" s="64" t="s">
        <v>80</v>
      </c>
      <c r="E269" s="64" t="s">
        <v>81</v>
      </c>
      <c r="F269" s="64" t="s">
        <v>82</v>
      </c>
      <c r="G269" s="64" t="s">
        <v>10</v>
      </c>
      <c r="H269" s="65" t="str">
        <f>VLOOKUP(Tabla6[[#This Row],[DIRECCIÓN]],DIRECCIÓN[#All],2,0)</f>
        <v>TECNOLOGÍA</v>
      </c>
      <c r="I269" s="66" t="s">
        <v>927</v>
      </c>
      <c r="J269" s="67">
        <v>1</v>
      </c>
      <c r="K269" s="68" t="str">
        <f>VLOOKUP(Tabla6[[#This Row],[DIRECCIÓN GENERAL / COORDINACIÓN / SUBDIRECCIÓN]],Tabla37[[#All],[Columna1]:[EOD]],2,0)</f>
        <v>266_0001</v>
      </c>
      <c r="L269" s="69">
        <f>VLOOKUP(Tabla6[[#This Row],[OBJETIVOS PND]],Listas!$A$1:$C$3,3,0)</f>
        <v>55</v>
      </c>
      <c r="M269" s="70">
        <f>VLOOKUP(Tabla6[[#This Row],[PG]],Listas2!$G$14:$K$16,5,0)</f>
        <v>0</v>
      </c>
      <c r="N269" s="71">
        <v>3</v>
      </c>
      <c r="O269" s="72">
        <v>1001</v>
      </c>
      <c r="P269" s="73" t="str">
        <f>VLOOKUP(Tabla6[[#This Row],[GEO]],Listas!$A$48:$B$77,2,0)</f>
        <v>IBARRA</v>
      </c>
      <c r="Q269" s="70">
        <f>VLOOKUP(Tabla6[[#This Row],[PG]],Listas2!$G$14:$K$16,3,0)</f>
        <v>1</v>
      </c>
      <c r="R269" s="73">
        <f>VLOOKUP(Tabla6[[#This Row],[PG]],Listas2!H274:'Listas2'!$G$14:$K$16,4,0)</f>
        <v>0</v>
      </c>
      <c r="S269" s="73">
        <f>VLOOKUP(Tabla6[[#This Row],[PG]],Listas2!$G$14:$K$16,2,0)</f>
        <v>0</v>
      </c>
      <c r="T269" s="66" t="s">
        <v>84</v>
      </c>
      <c r="U269" s="74">
        <v>53</v>
      </c>
      <c r="V269" s="66">
        <v>530704</v>
      </c>
      <c r="W269" s="63" t="str">
        <f>VLOOKUP(Tabla6[[#This Row],[ÍTEM PRESUPUESTARIO]],Tabla2[#All],2,0)</f>
        <v xml:space="preserve">MANTENIMIENTO Y REPARACIÓN DE EQUIPOS Y SISTEMAS INFORMÁTICOS </v>
      </c>
      <c r="X269" s="57">
        <v>0</v>
      </c>
      <c r="Y269" s="57">
        <f>2000-1975+375</f>
        <v>400</v>
      </c>
      <c r="Z269" s="58">
        <v>0</v>
      </c>
      <c r="AA269" s="58">
        <v>0</v>
      </c>
      <c r="AB269" s="58">
        <v>0</v>
      </c>
      <c r="AC269" s="58">
        <v>0</v>
      </c>
      <c r="AD269" s="58">
        <v>0</v>
      </c>
      <c r="AE269" s="58">
        <v>400</v>
      </c>
      <c r="AF269" s="58">
        <v>0</v>
      </c>
      <c r="AG269" s="58">
        <v>0</v>
      </c>
      <c r="AH269" s="58">
        <v>0</v>
      </c>
      <c r="AI269" s="58">
        <v>0</v>
      </c>
      <c r="AJ269" s="58">
        <v>0</v>
      </c>
      <c r="AK269" s="58">
        <v>0</v>
      </c>
      <c r="AL269" s="75">
        <f>+SUBTOTAL(9,Tabla6[[#This Row],[ENE]:[DIC]])</f>
        <v>400</v>
      </c>
      <c r="AM269" s="76" t="str">
        <f t="shared" si="4"/>
        <v>OK</v>
      </c>
      <c r="AN269" s="60">
        <v>400</v>
      </c>
      <c r="AO269" s="61">
        <f>+Tabla6[[#This Row],[PRESUPUESTO VIGENTE]]-Tabla6[[#This Row],[CERTIFICACIÓN PAPP]]</f>
        <v>0</v>
      </c>
      <c r="AP269" s="59">
        <v>0</v>
      </c>
    </row>
    <row r="270" spans="1:42" ht="93" customHeight="1" x14ac:dyDescent="0.25">
      <c r="A270" s="62" t="s">
        <v>88</v>
      </c>
      <c r="B270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270" s="64" t="s">
        <v>89</v>
      </c>
      <c r="D270" s="64" t="s">
        <v>80</v>
      </c>
      <c r="E270" s="64" t="s">
        <v>81</v>
      </c>
      <c r="F270" s="64" t="s">
        <v>82</v>
      </c>
      <c r="G270" s="64" t="s">
        <v>10</v>
      </c>
      <c r="H270" s="65" t="str">
        <f>VLOOKUP(Tabla6[[#This Row],[DIRECCIÓN]],DIRECCIÓN[#All],2,0)</f>
        <v>TECNOLOGÍA</v>
      </c>
      <c r="I270" s="66" t="s">
        <v>928</v>
      </c>
      <c r="J270" s="67">
        <v>2</v>
      </c>
      <c r="K270" s="68" t="str">
        <f>VLOOKUP(Tabla6[[#This Row],[DIRECCIÓN GENERAL / COORDINACIÓN / SUBDIRECCIÓN]],Tabla37[[#All],[Columna1]:[EOD]],2,0)</f>
        <v>266_0001</v>
      </c>
      <c r="L270" s="69">
        <f>VLOOKUP(Tabla6[[#This Row],[OBJETIVOS PND]],Listas!$A$1:$C$3,3,0)</f>
        <v>55</v>
      </c>
      <c r="M270" s="70">
        <f>VLOOKUP(Tabla6[[#This Row],[PG]],Listas2!$G$14:$K$16,5,0)</f>
        <v>0</v>
      </c>
      <c r="N270" s="71">
        <v>3</v>
      </c>
      <c r="O270" s="72">
        <v>1001</v>
      </c>
      <c r="P270" s="73" t="str">
        <f>VLOOKUP(Tabla6[[#This Row],[GEO]],Listas!$A$48:$B$77,2,0)</f>
        <v>IBARRA</v>
      </c>
      <c r="Q270" s="70">
        <f>VLOOKUP(Tabla6[[#This Row],[PG]],Listas2!$G$14:$K$16,3,0)</f>
        <v>1</v>
      </c>
      <c r="R270" s="73">
        <f>VLOOKUP(Tabla6[[#This Row],[PG]],Listas2!H275:'Listas2'!$G$14:$K$16,4,0)</f>
        <v>0</v>
      </c>
      <c r="S270" s="73">
        <f>VLOOKUP(Tabla6[[#This Row],[PG]],Listas2!$G$14:$K$16,2,0)</f>
        <v>0</v>
      </c>
      <c r="T270" s="66" t="s">
        <v>84</v>
      </c>
      <c r="U270" s="74">
        <v>53</v>
      </c>
      <c r="V270" s="66">
        <v>530811</v>
      </c>
      <c r="W270" s="63" t="str">
        <f>VLOOKUP(Tabla6[[#This Row],[ÍTEM PRESUPUESTARIO]],Tabla2[#All],2,0)</f>
        <v>INSUMOS, MATERIALES Y SUMINISTROS PARA CONSTRUCCIÓN, ELECTRICIDAD, PLOMERÍA, CARPINTERÍA, SEÑALIZACIÓN VIAL, NAVEGACIÓN, CONTRA INCENDIOS Y PLACAS</v>
      </c>
      <c r="X270" s="57">
        <v>150</v>
      </c>
      <c r="Y270" s="57">
        <f>150-150</f>
        <v>0</v>
      </c>
      <c r="Z270" s="58">
        <v>0</v>
      </c>
      <c r="AA270" s="58">
        <v>0</v>
      </c>
      <c r="AB270" s="58">
        <v>0</v>
      </c>
      <c r="AC270" s="58">
        <v>0</v>
      </c>
      <c r="AD270" s="58">
        <v>0</v>
      </c>
      <c r="AE270" s="58">
        <v>0</v>
      </c>
      <c r="AF270" s="58">
        <v>0</v>
      </c>
      <c r="AG270" s="58">
        <v>0</v>
      </c>
      <c r="AH270" s="58">
        <v>0</v>
      </c>
      <c r="AI270" s="58">
        <v>0</v>
      </c>
      <c r="AJ270" s="58">
        <v>0</v>
      </c>
      <c r="AK270" s="58">
        <v>0</v>
      </c>
      <c r="AL270" s="75">
        <f>+SUBTOTAL(9,Tabla6[[#This Row],[ENE]:[DIC]])</f>
        <v>0</v>
      </c>
      <c r="AM270" s="76" t="str">
        <f t="shared" si="4"/>
        <v>OK</v>
      </c>
      <c r="AN270" s="60">
        <v>0</v>
      </c>
      <c r="AO270" s="61">
        <f>+Tabla6[[#This Row],[PRESUPUESTO VIGENTE]]-Tabla6[[#This Row],[CERTIFICACIÓN PAPP]]</f>
        <v>0</v>
      </c>
      <c r="AP270" s="59">
        <v>0</v>
      </c>
    </row>
    <row r="271" spans="1:42" ht="93" customHeight="1" x14ac:dyDescent="0.25">
      <c r="A271" s="62" t="s">
        <v>88</v>
      </c>
      <c r="B271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271" s="64" t="s">
        <v>89</v>
      </c>
      <c r="D271" s="64" t="s">
        <v>80</v>
      </c>
      <c r="E271" s="64" t="s">
        <v>81</v>
      </c>
      <c r="F271" s="64" t="s">
        <v>82</v>
      </c>
      <c r="G271" s="64" t="s">
        <v>10</v>
      </c>
      <c r="H271" s="65" t="str">
        <f>VLOOKUP(Tabla6[[#This Row],[DIRECCIÓN]],DIRECCIÓN[#All],2,0)</f>
        <v>TECNOLOGÍA</v>
      </c>
      <c r="I271" s="66" t="s">
        <v>832</v>
      </c>
      <c r="J271" s="67">
        <v>2</v>
      </c>
      <c r="K271" s="68" t="str">
        <f>VLOOKUP(Tabla6[[#This Row],[DIRECCIÓN GENERAL / COORDINACIÓN / SUBDIRECCIÓN]],Tabla37[[#All],[Columna1]:[EOD]],2,0)</f>
        <v>266_0001</v>
      </c>
      <c r="L271" s="69">
        <f>VLOOKUP(Tabla6[[#This Row],[OBJETIVOS PND]],Listas!$A$1:$C$3,3,0)</f>
        <v>55</v>
      </c>
      <c r="M271" s="70">
        <f>VLOOKUP(Tabla6[[#This Row],[PG]],Listas2!$G$14:$K$16,5,0)</f>
        <v>0</v>
      </c>
      <c r="N271" s="71">
        <v>3</v>
      </c>
      <c r="O271" s="72">
        <v>1001</v>
      </c>
      <c r="P271" s="73" t="str">
        <f>VLOOKUP(Tabla6[[#This Row],[GEO]],Listas!$A$48:$B$77,2,0)</f>
        <v>IBARRA</v>
      </c>
      <c r="Q271" s="70">
        <f>VLOOKUP(Tabla6[[#This Row],[PG]],Listas2!$G$14:$K$16,3,0)</f>
        <v>1</v>
      </c>
      <c r="R271" s="73">
        <f>VLOOKUP(Tabla6[[#This Row],[PG]],Listas2!H276:'Listas2'!$G$14:$K$16,4,0)</f>
        <v>0</v>
      </c>
      <c r="S271" s="73">
        <f>VLOOKUP(Tabla6[[#This Row],[PG]],Listas2!$G$14:$K$16,2,0)</f>
        <v>0</v>
      </c>
      <c r="T271" s="66" t="s">
        <v>84</v>
      </c>
      <c r="U271" s="74">
        <v>53</v>
      </c>
      <c r="V271" s="66">
        <v>530811</v>
      </c>
      <c r="W271" s="63" t="str">
        <f>VLOOKUP(Tabla6[[#This Row],[ÍTEM PRESUPUESTARIO]],Tabla2[#All],2,0)</f>
        <v>INSUMOS, MATERIALES Y SUMINISTROS PARA CONSTRUCCIÓN, ELECTRICIDAD, PLOMERÍA, CARPINTERÍA, SEÑALIZACIÓN VIAL, NAVEGACIÓN, CONTRA INCENDIOS Y PLACAS</v>
      </c>
      <c r="X271" s="57">
        <v>1000</v>
      </c>
      <c r="Y271" s="57">
        <f>1000-394.63</f>
        <v>605.37</v>
      </c>
      <c r="Z271" s="58">
        <v>0</v>
      </c>
      <c r="AA271" s="58">
        <v>0</v>
      </c>
      <c r="AB271" s="58">
        <v>0</v>
      </c>
      <c r="AC271" s="58">
        <v>0</v>
      </c>
      <c r="AD271" s="58">
        <v>0</v>
      </c>
      <c r="AE271" s="58">
        <v>0</v>
      </c>
      <c r="AF271" s="58">
        <v>0</v>
      </c>
      <c r="AG271" s="58">
        <v>0</v>
      </c>
      <c r="AH271" s="58">
        <v>0</v>
      </c>
      <c r="AI271" s="58">
        <v>0</v>
      </c>
      <c r="AJ271" s="58">
        <v>0</v>
      </c>
      <c r="AK271" s="58">
        <v>605.37</v>
      </c>
      <c r="AL271" s="75">
        <f>+SUBTOTAL(9,Tabla6[[#This Row],[ENE]:[DIC]])</f>
        <v>605.37</v>
      </c>
      <c r="AM271" s="76" t="str">
        <f t="shared" si="4"/>
        <v>OK</v>
      </c>
      <c r="AN271" s="60">
        <v>605.37</v>
      </c>
      <c r="AO271" s="61">
        <f>+Tabla6[[#This Row],[PRESUPUESTO VIGENTE]]-Tabla6[[#This Row],[CERTIFICACIÓN PAPP]]</f>
        <v>0</v>
      </c>
      <c r="AP271" s="59">
        <v>0</v>
      </c>
    </row>
    <row r="272" spans="1:42" ht="93" customHeight="1" x14ac:dyDescent="0.25">
      <c r="A272" s="62" t="s">
        <v>88</v>
      </c>
      <c r="B272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272" s="64" t="s">
        <v>89</v>
      </c>
      <c r="D272" s="64" t="s">
        <v>80</v>
      </c>
      <c r="E272" s="64" t="s">
        <v>81</v>
      </c>
      <c r="F272" s="64" t="s">
        <v>82</v>
      </c>
      <c r="G272" s="64" t="s">
        <v>10</v>
      </c>
      <c r="H272" s="65" t="str">
        <f>VLOOKUP(Tabla6[[#This Row],[DIRECCIÓN]],DIRECCIÓN[#All],2,0)</f>
        <v>TECNOLOGÍA</v>
      </c>
      <c r="I272" s="66" t="s">
        <v>874</v>
      </c>
      <c r="J272" s="67">
        <v>2</v>
      </c>
      <c r="K272" s="68" t="str">
        <f>VLOOKUP(Tabla6[[#This Row],[DIRECCIÓN GENERAL / COORDINACIÓN / SUBDIRECCIÓN]],Tabla37[[#All],[Columna1]:[EOD]],2,0)</f>
        <v>266_0001</v>
      </c>
      <c r="L272" s="69">
        <f>VLOOKUP(Tabla6[[#This Row],[OBJETIVOS PND]],Listas!$A$1:$C$3,3,0)</f>
        <v>55</v>
      </c>
      <c r="M272" s="70">
        <f>VLOOKUP(Tabla6[[#This Row],[PG]],Listas2!$G$14:$K$16,5,0)</f>
        <v>0</v>
      </c>
      <c r="N272" s="71">
        <v>3</v>
      </c>
      <c r="O272" s="72">
        <v>1001</v>
      </c>
      <c r="P272" s="73" t="str">
        <f>VLOOKUP(Tabla6[[#This Row],[GEO]],Listas!$A$48:$B$77,2,0)</f>
        <v>IBARRA</v>
      </c>
      <c r="Q272" s="70">
        <f>VLOOKUP(Tabla6[[#This Row],[PG]],Listas2!$G$14:$K$16,3,0)</f>
        <v>1</v>
      </c>
      <c r="R272" s="73">
        <f>VLOOKUP(Tabla6[[#This Row],[PG]],Listas2!H277:'Listas2'!$G$14:$K$16,4,0)</f>
        <v>0</v>
      </c>
      <c r="S272" s="73">
        <f>VLOOKUP(Tabla6[[#This Row],[PG]],Listas2!$G$14:$K$16,2,0)</f>
        <v>0</v>
      </c>
      <c r="T272" s="66" t="s">
        <v>84</v>
      </c>
      <c r="U272" s="74">
        <v>53</v>
      </c>
      <c r="V272" s="66">
        <v>530813</v>
      </c>
      <c r="W272" s="63" t="str">
        <f>VLOOKUP(Tabla6[[#This Row],[ÍTEM PRESUPUESTARIO]],Tabla2[#All],2,0)</f>
        <v>REPUESTOS Y ACCESORIOS</v>
      </c>
      <c r="X272" s="57">
        <v>5000</v>
      </c>
      <c r="Y272" s="57">
        <f>5000-5000</f>
        <v>0</v>
      </c>
      <c r="Z272" s="58">
        <v>0</v>
      </c>
      <c r="AA272" s="58">
        <v>0</v>
      </c>
      <c r="AB272" s="58">
        <v>0</v>
      </c>
      <c r="AC272" s="58">
        <v>0</v>
      </c>
      <c r="AD272" s="58">
        <v>0</v>
      </c>
      <c r="AE272" s="58">
        <v>0</v>
      </c>
      <c r="AF272" s="58">
        <v>0</v>
      </c>
      <c r="AG272" s="58">
        <v>0</v>
      </c>
      <c r="AH272" s="58">
        <v>0</v>
      </c>
      <c r="AI272" s="58">
        <v>0</v>
      </c>
      <c r="AJ272" s="58">
        <v>0</v>
      </c>
      <c r="AK272" s="58">
        <v>0</v>
      </c>
      <c r="AL272" s="75">
        <f>+SUBTOTAL(9,Tabla6[[#This Row],[ENE]:[DIC]])</f>
        <v>0</v>
      </c>
      <c r="AM272" s="76" t="str">
        <f t="shared" si="4"/>
        <v>OK</v>
      </c>
      <c r="AN272" s="60">
        <v>0</v>
      </c>
      <c r="AO272" s="61">
        <f>+Tabla6[[#This Row],[PRESUPUESTO VIGENTE]]-Tabla6[[#This Row],[CERTIFICACIÓN PAPP]]</f>
        <v>0</v>
      </c>
      <c r="AP272" s="59">
        <v>0</v>
      </c>
    </row>
    <row r="273" spans="1:42" ht="93" customHeight="1" x14ac:dyDescent="0.25">
      <c r="A273" s="62" t="s">
        <v>88</v>
      </c>
      <c r="B273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273" s="64" t="s">
        <v>89</v>
      </c>
      <c r="D273" s="64" t="s">
        <v>80</v>
      </c>
      <c r="E273" s="64" t="s">
        <v>81</v>
      </c>
      <c r="F273" s="64" t="s">
        <v>82</v>
      </c>
      <c r="G273" s="64" t="s">
        <v>10</v>
      </c>
      <c r="H273" s="65" t="str">
        <f>VLOOKUP(Tabla6[[#This Row],[DIRECCIÓN]],DIRECCIÓN[#All],2,0)</f>
        <v>TECNOLOGÍA</v>
      </c>
      <c r="I273" s="66" t="s">
        <v>928</v>
      </c>
      <c r="J273" s="67">
        <v>2</v>
      </c>
      <c r="K273" s="68" t="str">
        <f>VLOOKUP(Tabla6[[#This Row],[DIRECCIÓN GENERAL / COORDINACIÓN / SUBDIRECCIÓN]],Tabla37[[#All],[Columna1]:[EOD]],2,0)</f>
        <v>266_0001</v>
      </c>
      <c r="L273" s="69">
        <f>VLOOKUP(Tabla6[[#This Row],[OBJETIVOS PND]],Listas!$A$1:$C$3,3,0)</f>
        <v>55</v>
      </c>
      <c r="M273" s="70">
        <f>VLOOKUP(Tabla6[[#This Row],[PG]],Listas2!$G$14:$K$16,5,0)</f>
        <v>0</v>
      </c>
      <c r="N273" s="71">
        <v>3</v>
      </c>
      <c r="O273" s="72">
        <v>1001</v>
      </c>
      <c r="P273" s="73" t="str">
        <f>VLOOKUP(Tabla6[[#This Row],[GEO]],Listas!$A$48:$B$77,2,0)</f>
        <v>IBARRA</v>
      </c>
      <c r="Q273" s="70">
        <f>VLOOKUP(Tabla6[[#This Row],[PG]],Listas2!$G$14:$K$16,3,0)</f>
        <v>1</v>
      </c>
      <c r="R273" s="73">
        <f>VLOOKUP(Tabla6[[#This Row],[PG]],Listas2!H278:'Listas2'!$G$14:$K$16,4,0)</f>
        <v>0</v>
      </c>
      <c r="S273" s="73">
        <f>VLOOKUP(Tabla6[[#This Row],[PG]],Listas2!$G$14:$K$16,2,0)</f>
        <v>0</v>
      </c>
      <c r="T273" s="66" t="s">
        <v>84</v>
      </c>
      <c r="U273" s="74">
        <v>53</v>
      </c>
      <c r="V273" s="66">
        <v>530813</v>
      </c>
      <c r="W273" s="63" t="str">
        <f>VLOOKUP(Tabla6[[#This Row],[ÍTEM PRESUPUESTARIO]],Tabla2[#All],2,0)</f>
        <v>REPUESTOS Y ACCESORIOS</v>
      </c>
      <c r="X273" s="57">
        <v>190</v>
      </c>
      <c r="Y273" s="57">
        <v>190</v>
      </c>
      <c r="Z273" s="58">
        <v>0</v>
      </c>
      <c r="AA273" s="58">
        <v>0</v>
      </c>
      <c r="AB273" s="58">
        <v>0</v>
      </c>
      <c r="AC273" s="58">
        <v>0</v>
      </c>
      <c r="AD273" s="58">
        <v>0</v>
      </c>
      <c r="AE273" s="58">
        <v>100</v>
      </c>
      <c r="AF273" s="58">
        <v>0</v>
      </c>
      <c r="AG273" s="58">
        <v>0</v>
      </c>
      <c r="AH273" s="58">
        <v>0</v>
      </c>
      <c r="AI273" s="58">
        <v>0</v>
      </c>
      <c r="AJ273" s="58">
        <v>90</v>
      </c>
      <c r="AK273" s="58">
        <v>0</v>
      </c>
      <c r="AL273" s="75">
        <f>+SUBTOTAL(9,Tabla6[[#This Row],[ENE]:[DIC]])</f>
        <v>190</v>
      </c>
      <c r="AM273" s="76" t="str">
        <f t="shared" si="4"/>
        <v>OK</v>
      </c>
      <c r="AN273" s="60">
        <v>190</v>
      </c>
      <c r="AO273" s="61">
        <f>+Tabla6[[#This Row],[PRESUPUESTO VIGENTE]]-Tabla6[[#This Row],[CERTIFICACIÓN PAPP]]</f>
        <v>0</v>
      </c>
      <c r="AP273" s="59">
        <v>0</v>
      </c>
    </row>
    <row r="274" spans="1:42" ht="93" customHeight="1" x14ac:dyDescent="0.25">
      <c r="A274" s="62" t="s">
        <v>88</v>
      </c>
      <c r="B274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274" s="64" t="s">
        <v>89</v>
      </c>
      <c r="D274" s="64" t="s">
        <v>80</v>
      </c>
      <c r="E274" s="64" t="s">
        <v>81</v>
      </c>
      <c r="F274" s="64" t="s">
        <v>82</v>
      </c>
      <c r="G274" s="64" t="s">
        <v>10</v>
      </c>
      <c r="H274" s="65" t="str">
        <f>VLOOKUP(Tabla6[[#This Row],[DIRECCIÓN]],DIRECCIÓN[#All],2,0)</f>
        <v>TECNOLOGÍA</v>
      </c>
      <c r="I274" s="66" t="s">
        <v>834</v>
      </c>
      <c r="J274" s="67">
        <v>2</v>
      </c>
      <c r="K274" s="68" t="str">
        <f>VLOOKUP(Tabla6[[#This Row],[DIRECCIÓN GENERAL / COORDINACIÓN / SUBDIRECCIÓN]],Tabla37[[#All],[Columna1]:[EOD]],2,0)</f>
        <v>266_0001</v>
      </c>
      <c r="L274" s="69">
        <f>VLOOKUP(Tabla6[[#This Row],[OBJETIVOS PND]],Listas!$A$1:$C$3,3,0)</f>
        <v>55</v>
      </c>
      <c r="M274" s="70">
        <f>VLOOKUP(Tabla6[[#This Row],[PG]],Listas2!$G$14:$K$16,5,0)</f>
        <v>0</v>
      </c>
      <c r="N274" s="71">
        <v>3</v>
      </c>
      <c r="O274" s="72">
        <v>1001</v>
      </c>
      <c r="P274" s="73" t="str">
        <f>VLOOKUP(Tabla6[[#This Row],[GEO]],Listas!$A$48:$B$77,2,0)</f>
        <v>IBARRA</v>
      </c>
      <c r="Q274" s="70">
        <f>VLOOKUP(Tabla6[[#This Row],[PG]],Listas2!$G$14:$K$16,3,0)</f>
        <v>1</v>
      </c>
      <c r="R274" s="73">
        <f>VLOOKUP(Tabla6[[#This Row],[PG]],Listas2!H279:'Listas2'!$G$14:$K$16,4,0)</f>
        <v>0</v>
      </c>
      <c r="S274" s="73">
        <f>VLOOKUP(Tabla6[[#This Row],[PG]],Listas2!$G$14:$K$16,2,0)</f>
        <v>0</v>
      </c>
      <c r="T274" s="66" t="s">
        <v>84</v>
      </c>
      <c r="U274" s="74">
        <v>53</v>
      </c>
      <c r="V274" s="66">
        <v>530813</v>
      </c>
      <c r="W274" s="63" t="str">
        <f>VLOOKUP(Tabla6[[#This Row],[ÍTEM PRESUPUESTARIO]],Tabla2[#All],2,0)</f>
        <v>REPUESTOS Y ACCESORIOS</v>
      </c>
      <c r="X274" s="57">
        <v>1300</v>
      </c>
      <c r="Y274" s="57">
        <f>1300-1300</f>
        <v>0</v>
      </c>
      <c r="Z274" s="58">
        <v>0</v>
      </c>
      <c r="AA274" s="58">
        <v>0</v>
      </c>
      <c r="AB274" s="58">
        <v>0</v>
      </c>
      <c r="AC274" s="58">
        <v>0</v>
      </c>
      <c r="AD274" s="58">
        <v>0</v>
      </c>
      <c r="AE274" s="58">
        <v>0</v>
      </c>
      <c r="AF274" s="58">
        <v>0</v>
      </c>
      <c r="AG274" s="58">
        <v>0</v>
      </c>
      <c r="AH274" s="58">
        <v>0</v>
      </c>
      <c r="AI274" s="58">
        <v>0</v>
      </c>
      <c r="AJ274" s="58">
        <v>0</v>
      </c>
      <c r="AK274" s="58">
        <v>0</v>
      </c>
      <c r="AL274" s="75">
        <f>+SUBTOTAL(9,Tabla6[[#This Row],[ENE]:[DIC]])</f>
        <v>0</v>
      </c>
      <c r="AM274" s="76" t="str">
        <f t="shared" si="4"/>
        <v>OK</v>
      </c>
      <c r="AN274" s="60">
        <v>0</v>
      </c>
      <c r="AO274" s="61">
        <f>+Tabla6[[#This Row],[PRESUPUESTO VIGENTE]]-Tabla6[[#This Row],[CERTIFICACIÓN PAPP]]</f>
        <v>0</v>
      </c>
      <c r="AP274" s="59" t="s">
        <v>87</v>
      </c>
    </row>
    <row r="275" spans="1:42" ht="93" customHeight="1" x14ac:dyDescent="0.25">
      <c r="A275" s="62" t="s">
        <v>88</v>
      </c>
      <c r="B275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275" s="64" t="s">
        <v>89</v>
      </c>
      <c r="D275" s="64" t="s">
        <v>80</v>
      </c>
      <c r="E275" s="64" t="s">
        <v>81</v>
      </c>
      <c r="F275" s="64" t="s">
        <v>82</v>
      </c>
      <c r="G275" s="64" t="s">
        <v>10</v>
      </c>
      <c r="H275" s="65" t="str">
        <f>VLOOKUP(Tabla6[[#This Row],[DIRECCIÓN]],DIRECCIÓN[#All],2,0)</f>
        <v>TECNOLOGÍA</v>
      </c>
      <c r="I275" s="66" t="s">
        <v>835</v>
      </c>
      <c r="J275" s="67">
        <v>2</v>
      </c>
      <c r="K275" s="68" t="str">
        <f>VLOOKUP(Tabla6[[#This Row],[DIRECCIÓN GENERAL / COORDINACIÓN / SUBDIRECCIÓN]],Tabla37[[#All],[Columna1]:[EOD]],2,0)</f>
        <v>266_0001</v>
      </c>
      <c r="L275" s="69">
        <f>VLOOKUP(Tabla6[[#This Row],[OBJETIVOS PND]],Listas!$A$1:$C$3,3,0)</f>
        <v>55</v>
      </c>
      <c r="M275" s="70">
        <f>VLOOKUP(Tabla6[[#This Row],[PG]],Listas2!$G$14:$K$16,5,0)</f>
        <v>0</v>
      </c>
      <c r="N275" s="71">
        <v>3</v>
      </c>
      <c r="O275" s="72">
        <v>1001</v>
      </c>
      <c r="P275" s="73" t="str">
        <f>VLOOKUP(Tabla6[[#This Row],[GEO]],Listas!$A$48:$B$77,2,0)</f>
        <v>IBARRA</v>
      </c>
      <c r="Q275" s="70">
        <f>VLOOKUP(Tabla6[[#This Row],[PG]],Listas2!$G$14:$K$16,3,0)</f>
        <v>1</v>
      </c>
      <c r="R275" s="73">
        <f>VLOOKUP(Tabla6[[#This Row],[PG]],Listas2!H280:'Listas2'!$G$14:$K$16,4,0)</f>
        <v>0</v>
      </c>
      <c r="S275" s="73">
        <f>VLOOKUP(Tabla6[[#This Row],[PG]],Listas2!$G$14:$K$16,2,0)</f>
        <v>0</v>
      </c>
      <c r="T275" s="66" t="s">
        <v>84</v>
      </c>
      <c r="U275" s="74">
        <v>53</v>
      </c>
      <c r="V275" s="66">
        <v>530813</v>
      </c>
      <c r="W275" s="63" t="str">
        <f>VLOOKUP(Tabla6[[#This Row],[ÍTEM PRESUPUESTARIO]],Tabla2[#All],2,0)</f>
        <v>REPUESTOS Y ACCESORIOS</v>
      </c>
      <c r="X275" s="57">
        <v>0</v>
      </c>
      <c r="Y275" s="57">
        <v>4727.5</v>
      </c>
      <c r="Z275" s="58">
        <v>0</v>
      </c>
      <c r="AA275" s="58">
        <v>0</v>
      </c>
      <c r="AB275" s="58">
        <v>0</v>
      </c>
      <c r="AC275" s="58">
        <v>0</v>
      </c>
      <c r="AD275" s="58">
        <v>0</v>
      </c>
      <c r="AE275" s="58">
        <v>4727.5</v>
      </c>
      <c r="AF275" s="58">
        <v>0</v>
      </c>
      <c r="AG275" s="58">
        <v>0</v>
      </c>
      <c r="AH275" s="58">
        <v>0</v>
      </c>
      <c r="AI275" s="58">
        <v>0</v>
      </c>
      <c r="AJ275" s="58">
        <v>0</v>
      </c>
      <c r="AK275" s="58">
        <v>0</v>
      </c>
      <c r="AL275" s="75">
        <f>+SUBTOTAL(9,Tabla6[[#This Row],[ENE]:[DIC]])</f>
        <v>4727.5</v>
      </c>
      <c r="AM275" s="76" t="str">
        <f t="shared" si="4"/>
        <v>OK</v>
      </c>
      <c r="AN275" s="60">
        <v>4727.5</v>
      </c>
      <c r="AO275" s="61">
        <f>+Tabla6[[#This Row],[PRESUPUESTO VIGENTE]]-Tabla6[[#This Row],[CERTIFICACIÓN PAPP]]</f>
        <v>0</v>
      </c>
      <c r="AP275" s="59">
        <v>0</v>
      </c>
    </row>
    <row r="276" spans="1:42" ht="93" customHeight="1" x14ac:dyDescent="0.25">
      <c r="A276" s="62" t="s">
        <v>88</v>
      </c>
      <c r="B276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276" s="64" t="s">
        <v>89</v>
      </c>
      <c r="D276" s="64" t="s">
        <v>80</v>
      </c>
      <c r="E276" s="64" t="s">
        <v>81</v>
      </c>
      <c r="F276" s="64" t="s">
        <v>82</v>
      </c>
      <c r="G276" s="64" t="s">
        <v>10</v>
      </c>
      <c r="H276" s="65" t="str">
        <f>VLOOKUP(Tabla6[[#This Row],[DIRECCIÓN]],DIRECCIÓN[#All],2,0)</f>
        <v>TECNOLOGÍA</v>
      </c>
      <c r="I276" s="66" t="s">
        <v>927</v>
      </c>
      <c r="J276" s="67">
        <v>1</v>
      </c>
      <c r="K276" s="68" t="str">
        <f>VLOOKUP(Tabla6[[#This Row],[DIRECCIÓN GENERAL / COORDINACIÓN / SUBDIRECCIÓN]],Tabla37[[#All],[Columna1]:[EOD]],2,0)</f>
        <v>266_0001</v>
      </c>
      <c r="L276" s="69">
        <f>VLOOKUP(Tabla6[[#This Row],[OBJETIVOS PND]],Listas!$A$1:$C$3,3,0)</f>
        <v>55</v>
      </c>
      <c r="M276" s="70">
        <f>VLOOKUP(Tabla6[[#This Row],[PG]],Listas2!$G$14:$K$16,5,0)</f>
        <v>0</v>
      </c>
      <c r="N276" s="71">
        <v>3</v>
      </c>
      <c r="O276" s="72">
        <v>1001</v>
      </c>
      <c r="P276" s="73" t="str">
        <f>VLOOKUP(Tabla6[[#This Row],[GEO]],Listas!$A$48:$B$77,2,0)</f>
        <v>IBARRA</v>
      </c>
      <c r="Q276" s="70">
        <f>VLOOKUP(Tabla6[[#This Row],[PG]],Listas2!$G$14:$K$16,3,0)</f>
        <v>1</v>
      </c>
      <c r="R276" s="73">
        <f>VLOOKUP(Tabla6[[#This Row],[PG]],Listas2!H281:'Listas2'!$G$14:$K$16,4,0)</f>
        <v>0</v>
      </c>
      <c r="S276" s="73">
        <f>VLOOKUP(Tabla6[[#This Row],[PG]],Listas2!$G$14:$K$16,2,0)</f>
        <v>0</v>
      </c>
      <c r="T276" s="66" t="s">
        <v>84</v>
      </c>
      <c r="U276" s="74">
        <v>53</v>
      </c>
      <c r="V276" s="66">
        <v>530813</v>
      </c>
      <c r="W276" s="63" t="str">
        <f>VLOOKUP(Tabla6[[#This Row],[ÍTEM PRESUPUESTARIO]],Tabla2[#All],2,0)</f>
        <v>REPUESTOS Y ACCESORIOS</v>
      </c>
      <c r="X276" s="57">
        <v>0</v>
      </c>
      <c r="Y276" s="57">
        <f>2000-1260+778</f>
        <v>1518</v>
      </c>
      <c r="Z276" s="58">
        <v>0</v>
      </c>
      <c r="AA276" s="58">
        <v>0</v>
      </c>
      <c r="AB276" s="58">
        <v>0</v>
      </c>
      <c r="AC276" s="58">
        <v>0</v>
      </c>
      <c r="AD276" s="58">
        <v>0</v>
      </c>
      <c r="AE276" s="58">
        <v>1518</v>
      </c>
      <c r="AF276" s="58">
        <v>0</v>
      </c>
      <c r="AG276" s="58">
        <v>0</v>
      </c>
      <c r="AH276" s="58">
        <v>0</v>
      </c>
      <c r="AI276" s="58">
        <v>0</v>
      </c>
      <c r="AJ276" s="58">
        <v>0</v>
      </c>
      <c r="AK276" s="58">
        <v>0</v>
      </c>
      <c r="AL276" s="75">
        <f>+SUBTOTAL(9,Tabla6[[#This Row],[ENE]:[DIC]])</f>
        <v>1518</v>
      </c>
      <c r="AM276" s="76" t="str">
        <f t="shared" si="4"/>
        <v>OK</v>
      </c>
      <c r="AN276" s="60">
        <v>1518</v>
      </c>
      <c r="AO276" s="61">
        <f>+Tabla6[[#This Row],[PRESUPUESTO VIGENTE]]-Tabla6[[#This Row],[CERTIFICACIÓN PAPP]]</f>
        <v>0</v>
      </c>
      <c r="AP276" s="59">
        <v>0</v>
      </c>
    </row>
    <row r="277" spans="1:42" ht="93" customHeight="1" x14ac:dyDescent="0.25">
      <c r="A277" s="62" t="s">
        <v>88</v>
      </c>
      <c r="B277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277" s="64" t="s">
        <v>89</v>
      </c>
      <c r="D277" s="64" t="s">
        <v>80</v>
      </c>
      <c r="E277" s="64" t="s">
        <v>81</v>
      </c>
      <c r="F277" s="64" t="s">
        <v>82</v>
      </c>
      <c r="G277" s="64" t="s">
        <v>10</v>
      </c>
      <c r="H277" s="65" t="str">
        <f>VLOOKUP(Tabla6[[#This Row],[DIRECCIÓN]],DIRECCIÓN[#All],2,0)</f>
        <v>TECNOLOGÍA</v>
      </c>
      <c r="I277" s="66" t="s">
        <v>929</v>
      </c>
      <c r="J277" s="67">
        <v>2</v>
      </c>
      <c r="K277" s="68" t="str">
        <f>VLOOKUP(Tabla6[[#This Row],[DIRECCIÓN GENERAL / COORDINACIÓN / SUBDIRECCIÓN]],Tabla37[[#All],[Columna1]:[EOD]],2,0)</f>
        <v>266_0001</v>
      </c>
      <c r="L277" s="69">
        <f>VLOOKUP(Tabla6[[#This Row],[OBJETIVOS PND]],Listas!$A$1:$C$3,3,0)</f>
        <v>55</v>
      </c>
      <c r="M277" s="70">
        <f>VLOOKUP(Tabla6[[#This Row],[PG]],Listas2!$G$14:$K$16,5,0)</f>
        <v>0</v>
      </c>
      <c r="N277" s="71">
        <v>3</v>
      </c>
      <c r="O277" s="72">
        <v>1001</v>
      </c>
      <c r="P277" s="73" t="str">
        <f>VLOOKUP(Tabla6[[#This Row],[GEO]],Listas!$A$48:$B$77,2,0)</f>
        <v>IBARRA</v>
      </c>
      <c r="Q277" s="70">
        <f>VLOOKUP(Tabla6[[#This Row],[PG]],Listas2!$G$14:$K$16,3,0)</f>
        <v>1</v>
      </c>
      <c r="R277" s="73">
        <f>VLOOKUP(Tabla6[[#This Row],[PG]],Listas2!H282:'Listas2'!$G$14:$K$16,4,0)</f>
        <v>0</v>
      </c>
      <c r="S277" s="73">
        <f>VLOOKUP(Tabla6[[#This Row],[PG]],Listas2!$G$14:$K$16,2,0)</f>
        <v>0</v>
      </c>
      <c r="T277" s="66" t="s">
        <v>84</v>
      </c>
      <c r="U277" s="74">
        <v>53</v>
      </c>
      <c r="V277" s="66">
        <v>530813</v>
      </c>
      <c r="W277" s="63" t="str">
        <f>VLOOKUP(Tabla6[[#This Row],[ÍTEM PRESUPUESTARIO]],Tabla2[#All],2,0)</f>
        <v>REPUESTOS Y ACCESORIOS</v>
      </c>
      <c r="X277" s="57">
        <v>0</v>
      </c>
      <c r="Y277" s="57">
        <f>2000+416-2306.37</f>
        <v>109.63000000000011</v>
      </c>
      <c r="Z277" s="58">
        <v>0</v>
      </c>
      <c r="AA277" s="58">
        <v>0</v>
      </c>
      <c r="AB277" s="58">
        <v>0</v>
      </c>
      <c r="AC277" s="58">
        <v>0</v>
      </c>
      <c r="AD277" s="58">
        <v>0</v>
      </c>
      <c r="AE277" s="58">
        <v>0</v>
      </c>
      <c r="AF277" s="58">
        <v>0</v>
      </c>
      <c r="AG277" s="58">
        <v>0</v>
      </c>
      <c r="AH277" s="58">
        <v>0</v>
      </c>
      <c r="AI277" s="58">
        <v>109.63</v>
      </c>
      <c r="AJ277" s="58">
        <v>0</v>
      </c>
      <c r="AK277" s="58">
        <v>0</v>
      </c>
      <c r="AL277" s="75">
        <f>+SUBTOTAL(9,Tabla6[[#This Row],[ENE]:[DIC]])</f>
        <v>109.63</v>
      </c>
      <c r="AM277" s="76" t="str">
        <f t="shared" si="4"/>
        <v>OK</v>
      </c>
      <c r="AN277" s="60">
        <v>109.63000000000011</v>
      </c>
      <c r="AO277" s="61">
        <f>+Tabla6[[#This Row],[PRESUPUESTO VIGENTE]]-Tabla6[[#This Row],[CERTIFICACIÓN PAPP]]</f>
        <v>0</v>
      </c>
      <c r="AP277" s="59">
        <v>0</v>
      </c>
    </row>
    <row r="278" spans="1:42" ht="93" customHeight="1" x14ac:dyDescent="0.25">
      <c r="A278" s="62" t="s">
        <v>88</v>
      </c>
      <c r="B278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278" s="64" t="s">
        <v>89</v>
      </c>
      <c r="D278" s="64" t="s">
        <v>80</v>
      </c>
      <c r="E278" s="64" t="s">
        <v>81</v>
      </c>
      <c r="F278" s="64" t="s">
        <v>82</v>
      </c>
      <c r="G278" s="64" t="s">
        <v>10</v>
      </c>
      <c r="H278" s="65" t="str">
        <f>VLOOKUP(Tabla6[[#This Row],[DIRECCIÓN]],DIRECCIÓN[#All],2,0)</f>
        <v>TECNOLOGÍA</v>
      </c>
      <c r="I278" s="66" t="s">
        <v>835</v>
      </c>
      <c r="J278" s="67">
        <v>2</v>
      </c>
      <c r="K278" s="68" t="str">
        <f>VLOOKUP(Tabla6[[#This Row],[DIRECCIÓN GENERAL / COORDINACIÓN / SUBDIRECCIÓN]],Tabla37[[#All],[Columna1]:[EOD]],2,0)</f>
        <v>266_0001</v>
      </c>
      <c r="L278" s="69">
        <f>VLOOKUP(Tabla6[[#This Row],[OBJETIVOS PND]],Listas!$A$1:$C$3,3,0)</f>
        <v>55</v>
      </c>
      <c r="M278" s="70">
        <f>VLOOKUP(Tabla6[[#This Row],[PG]],Listas2!$G$14:$K$16,5,0)</f>
        <v>0</v>
      </c>
      <c r="N278" s="71">
        <v>3</v>
      </c>
      <c r="O278" s="72">
        <v>1001</v>
      </c>
      <c r="P278" s="73" t="str">
        <f>VLOOKUP(Tabla6[[#This Row],[GEO]],Listas!$A$48:$B$77,2,0)</f>
        <v>IBARRA</v>
      </c>
      <c r="Q278" s="70">
        <f>VLOOKUP(Tabla6[[#This Row],[PG]],Listas2!$G$14:$K$16,3,0)</f>
        <v>1</v>
      </c>
      <c r="R278" s="73">
        <f>VLOOKUP(Tabla6[[#This Row],[PG]],Listas2!H283:'Listas2'!$G$14:$K$16,4,0)</f>
        <v>0</v>
      </c>
      <c r="S278" s="73">
        <f>VLOOKUP(Tabla6[[#This Row],[PG]],Listas2!$G$14:$K$16,2,0)</f>
        <v>0</v>
      </c>
      <c r="T278" s="66" t="s">
        <v>84</v>
      </c>
      <c r="U278" s="74">
        <v>53</v>
      </c>
      <c r="V278" s="66">
        <v>531404</v>
      </c>
      <c r="W278" s="63" t="str">
        <f>VLOOKUP(Tabla6[[#This Row],[ÍTEM PRESUPUESTARIO]],Tabla2[#All],2,0)</f>
        <v>MAQUINARIAS Y EQUIPOS</v>
      </c>
      <c r="X278" s="57">
        <v>0</v>
      </c>
      <c r="Y278" s="57">
        <f>77.92-37.92</f>
        <v>40</v>
      </c>
      <c r="Z278" s="58">
        <v>0</v>
      </c>
      <c r="AA278" s="58">
        <v>0</v>
      </c>
      <c r="AB278" s="58">
        <v>0</v>
      </c>
      <c r="AC278" s="58">
        <v>0</v>
      </c>
      <c r="AD278" s="58">
        <v>0</v>
      </c>
      <c r="AE278" s="58">
        <v>40</v>
      </c>
      <c r="AF278" s="58">
        <v>0</v>
      </c>
      <c r="AG278" s="58">
        <v>0</v>
      </c>
      <c r="AH278" s="58">
        <v>0</v>
      </c>
      <c r="AI278" s="58">
        <v>0</v>
      </c>
      <c r="AJ278" s="58">
        <v>0</v>
      </c>
      <c r="AK278" s="58">
        <v>0</v>
      </c>
      <c r="AL278" s="75">
        <f>+SUBTOTAL(9,Tabla6[[#This Row],[ENE]:[DIC]])</f>
        <v>40</v>
      </c>
      <c r="AM278" s="76" t="str">
        <f t="shared" si="4"/>
        <v>OK</v>
      </c>
      <c r="AN278" s="60">
        <v>40</v>
      </c>
      <c r="AO278" s="61">
        <f>+Tabla6[[#This Row],[PRESUPUESTO VIGENTE]]-Tabla6[[#This Row],[CERTIFICACIÓN PAPP]]</f>
        <v>0</v>
      </c>
      <c r="AP278" s="59">
        <v>0</v>
      </c>
    </row>
    <row r="279" spans="1:42" ht="93" customHeight="1" x14ac:dyDescent="0.25">
      <c r="A279" s="62" t="s">
        <v>88</v>
      </c>
      <c r="B279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279" s="64" t="s">
        <v>89</v>
      </c>
      <c r="D279" s="64" t="s">
        <v>80</v>
      </c>
      <c r="E279" s="64" t="s">
        <v>81</v>
      </c>
      <c r="F279" s="64" t="s">
        <v>82</v>
      </c>
      <c r="G279" s="64" t="s">
        <v>10</v>
      </c>
      <c r="H279" s="65" t="str">
        <f>VLOOKUP(Tabla6[[#This Row],[DIRECCIÓN]],DIRECCIÓN[#All],2,0)</f>
        <v>TECNOLOGÍA</v>
      </c>
      <c r="I279" s="66" t="s">
        <v>835</v>
      </c>
      <c r="J279" s="67">
        <v>2</v>
      </c>
      <c r="K279" s="68" t="str">
        <f>VLOOKUP(Tabla6[[#This Row],[DIRECCIÓN GENERAL / COORDINACIÓN / SUBDIRECCIÓN]],Tabla37[[#All],[Columna1]:[EOD]],2,0)</f>
        <v>266_0001</v>
      </c>
      <c r="L279" s="69">
        <f>VLOOKUP(Tabla6[[#This Row],[OBJETIVOS PND]],Listas!$A$1:$C$3,3,0)</f>
        <v>55</v>
      </c>
      <c r="M279" s="70">
        <f>VLOOKUP(Tabla6[[#This Row],[PG]],Listas2!$G$14:$K$16,5,0)</f>
        <v>0</v>
      </c>
      <c r="N279" s="71">
        <v>3</v>
      </c>
      <c r="O279" s="72">
        <v>1001</v>
      </c>
      <c r="P279" s="73" t="str">
        <f>VLOOKUP(Tabla6[[#This Row],[GEO]],Listas!$A$48:$B$77,2,0)</f>
        <v>IBARRA</v>
      </c>
      <c r="Q279" s="70">
        <f>VLOOKUP(Tabla6[[#This Row],[PG]],Listas2!$G$14:$K$16,3,0)</f>
        <v>1</v>
      </c>
      <c r="R279" s="73">
        <f>VLOOKUP(Tabla6[[#This Row],[PG]],Listas2!H284:'Listas2'!$G$14:$K$16,4,0)</f>
        <v>0</v>
      </c>
      <c r="S279" s="73">
        <f>VLOOKUP(Tabla6[[#This Row],[PG]],Listas2!$G$14:$K$16,2,0)</f>
        <v>0</v>
      </c>
      <c r="T279" s="66" t="s">
        <v>84</v>
      </c>
      <c r="U279" s="74">
        <v>53</v>
      </c>
      <c r="V279" s="66">
        <v>531407</v>
      </c>
      <c r="W279" s="63" t="str">
        <f>VLOOKUP(Tabla6[[#This Row],[ÍTEM PRESUPUESTARIO]],Tabla2[#All],2,0)</f>
        <v>EQUIPOS, SISTEMAS Y PAQUETES INFORMÁTICOS</v>
      </c>
      <c r="X279" s="57">
        <v>0</v>
      </c>
      <c r="Y279" s="57">
        <f>1454.03-408.03</f>
        <v>1046</v>
      </c>
      <c r="Z279" s="58">
        <v>0</v>
      </c>
      <c r="AA279" s="58">
        <v>0</v>
      </c>
      <c r="AB279" s="58">
        <v>0</v>
      </c>
      <c r="AC279" s="58">
        <v>0</v>
      </c>
      <c r="AD279" s="58">
        <v>0</v>
      </c>
      <c r="AE279" s="58">
        <v>1046</v>
      </c>
      <c r="AF279" s="58">
        <v>0</v>
      </c>
      <c r="AG279" s="58">
        <v>0</v>
      </c>
      <c r="AH279" s="58">
        <v>0</v>
      </c>
      <c r="AI279" s="58">
        <v>0</v>
      </c>
      <c r="AJ279" s="58">
        <v>0</v>
      </c>
      <c r="AK279" s="58">
        <v>0</v>
      </c>
      <c r="AL279" s="75">
        <f>+SUBTOTAL(9,Tabla6[[#This Row],[ENE]:[DIC]])</f>
        <v>1046</v>
      </c>
      <c r="AM279" s="76" t="str">
        <f t="shared" si="4"/>
        <v>OK</v>
      </c>
      <c r="AN279" s="60">
        <v>1046</v>
      </c>
      <c r="AO279" s="61">
        <f>+Tabla6[[#This Row],[PRESUPUESTO VIGENTE]]-Tabla6[[#This Row],[CERTIFICACIÓN PAPP]]</f>
        <v>0</v>
      </c>
      <c r="AP279" s="59">
        <v>0</v>
      </c>
    </row>
    <row r="280" spans="1:42" ht="93" customHeight="1" x14ac:dyDescent="0.25">
      <c r="A280" s="62" t="s">
        <v>88</v>
      </c>
      <c r="B280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280" s="64" t="s">
        <v>89</v>
      </c>
      <c r="D280" s="64" t="s">
        <v>80</v>
      </c>
      <c r="E280" s="64" t="s">
        <v>81</v>
      </c>
      <c r="F280" s="64" t="s">
        <v>82</v>
      </c>
      <c r="G280" s="64" t="s">
        <v>10</v>
      </c>
      <c r="H280" s="65" t="str">
        <f>VLOOKUP(Tabla6[[#This Row],[DIRECCIÓN]],DIRECCIÓN[#All],2,0)</f>
        <v>TECNOLOGÍA</v>
      </c>
      <c r="I280" s="66" t="s">
        <v>930</v>
      </c>
      <c r="J280" s="67">
        <v>1</v>
      </c>
      <c r="K280" s="68" t="str">
        <f>VLOOKUP(Tabla6[[#This Row],[DIRECCIÓN GENERAL / COORDINACIÓN / SUBDIRECCIÓN]],Tabla37[[#All],[Columna1]:[EOD]],2,0)</f>
        <v>266_0001</v>
      </c>
      <c r="L280" s="69">
        <f>VLOOKUP(Tabla6[[#This Row],[OBJETIVOS PND]],Listas!$A$1:$C$3,3,0)</f>
        <v>55</v>
      </c>
      <c r="M280" s="70">
        <f>VLOOKUP(Tabla6[[#This Row],[PG]],Listas2!$G$14:$K$16,5,0)</f>
        <v>0</v>
      </c>
      <c r="N280" s="71">
        <v>3</v>
      </c>
      <c r="O280" s="72">
        <v>1001</v>
      </c>
      <c r="P280" s="73" t="str">
        <f>VLOOKUP(Tabla6[[#This Row],[GEO]],Listas!$A$48:$B$77,2,0)</f>
        <v>IBARRA</v>
      </c>
      <c r="Q280" s="70">
        <f>VLOOKUP(Tabla6[[#This Row],[PG]],Listas2!$G$14:$K$16,3,0)</f>
        <v>1</v>
      </c>
      <c r="R280" s="73">
        <f>VLOOKUP(Tabla6[[#This Row],[PG]],Listas2!H285:'Listas2'!$G$14:$K$16,4,0)</f>
        <v>0</v>
      </c>
      <c r="S280" s="73">
        <f>VLOOKUP(Tabla6[[#This Row],[PG]],Listas2!$G$14:$K$16,2,0)</f>
        <v>0</v>
      </c>
      <c r="T280" s="66" t="s">
        <v>95</v>
      </c>
      <c r="U280" s="74">
        <v>84</v>
      </c>
      <c r="V280" s="66">
        <v>840107</v>
      </c>
      <c r="W280" s="63" t="str">
        <f>VLOOKUP(Tabla6[[#This Row],[ÍTEM PRESUPUESTARIO]],Tabla2[#All],2,0)</f>
        <v>EQUIPOS SISTEMAS Y PAQUETES INFORMÁTICOS</v>
      </c>
      <c r="X280" s="57">
        <v>0</v>
      </c>
      <c r="Y280" s="57">
        <f>76479-31874</f>
        <v>44605</v>
      </c>
      <c r="Z280" s="58">
        <v>0</v>
      </c>
      <c r="AA280" s="58">
        <v>0</v>
      </c>
      <c r="AB280" s="58">
        <v>0</v>
      </c>
      <c r="AC280" s="58">
        <v>0</v>
      </c>
      <c r="AD280" s="58">
        <v>0</v>
      </c>
      <c r="AE280" s="58">
        <v>0</v>
      </c>
      <c r="AF280" s="58">
        <v>0</v>
      </c>
      <c r="AG280" s="58">
        <v>0</v>
      </c>
      <c r="AH280" s="58">
        <v>0</v>
      </c>
      <c r="AI280" s="58">
        <v>0</v>
      </c>
      <c r="AJ280" s="58">
        <v>44605</v>
      </c>
      <c r="AK280" s="58">
        <v>0</v>
      </c>
      <c r="AL280" s="75">
        <f>+SUBTOTAL(9,Tabla6[[#This Row],[ENE]:[DIC]])</f>
        <v>44605</v>
      </c>
      <c r="AM280" s="76" t="str">
        <f t="shared" si="4"/>
        <v>OK</v>
      </c>
      <c r="AN280" s="60">
        <v>44605</v>
      </c>
      <c r="AO280" s="61">
        <f>+Tabla6[[#This Row],[PRESUPUESTO VIGENTE]]-Tabla6[[#This Row],[CERTIFICACIÓN PAPP]]</f>
        <v>0</v>
      </c>
      <c r="AP280" s="59">
        <v>0</v>
      </c>
    </row>
    <row r="281" spans="1:42" ht="93" customHeight="1" x14ac:dyDescent="0.25">
      <c r="A281" s="62" t="s">
        <v>88</v>
      </c>
      <c r="B281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281" s="64" t="s">
        <v>89</v>
      </c>
      <c r="D281" s="64" t="s">
        <v>80</v>
      </c>
      <c r="E281" s="64" t="s">
        <v>81</v>
      </c>
      <c r="F281" s="64" t="s">
        <v>82</v>
      </c>
      <c r="G281" s="64" t="s">
        <v>10</v>
      </c>
      <c r="H281" s="65" t="str">
        <f>VLOOKUP(Tabla6[[#This Row],[DIRECCIÓN]],DIRECCIÓN[#All],2,0)</f>
        <v>TECNOLOGÍA</v>
      </c>
      <c r="I281" s="66" t="s">
        <v>931</v>
      </c>
      <c r="J281" s="67">
        <v>1</v>
      </c>
      <c r="K281" s="68" t="str">
        <f>VLOOKUP(Tabla6[[#This Row],[DIRECCIÓN GENERAL / COORDINACIÓN / SUBDIRECCIÓN]],Tabla37[[#All],[Columna1]:[EOD]],2,0)</f>
        <v>266_0001</v>
      </c>
      <c r="L281" s="69">
        <f>VLOOKUP(Tabla6[[#This Row],[OBJETIVOS PND]],Listas!$A$1:$C$3,3,0)</f>
        <v>55</v>
      </c>
      <c r="M281" s="70">
        <f>VLOOKUP(Tabla6[[#This Row],[PG]],Listas2!$G$14:$K$16,5,0)</f>
        <v>0</v>
      </c>
      <c r="N281" s="71">
        <v>3</v>
      </c>
      <c r="O281" s="72">
        <v>1001</v>
      </c>
      <c r="P281" s="73" t="str">
        <f>VLOOKUP(Tabla6[[#This Row],[GEO]],Listas!$A$48:$B$77,2,0)</f>
        <v>IBARRA</v>
      </c>
      <c r="Q281" s="70">
        <f>VLOOKUP(Tabla6[[#This Row],[PG]],Listas2!$G$14:$K$16,3,0)</f>
        <v>1</v>
      </c>
      <c r="R281" s="73">
        <f>VLOOKUP(Tabla6[[#This Row],[PG]],Listas2!H286:'Listas2'!$G$14:$K$16,4,0)</f>
        <v>0</v>
      </c>
      <c r="S281" s="73">
        <f>VLOOKUP(Tabla6[[#This Row],[PG]],Listas2!$G$14:$K$16,2,0)</f>
        <v>0</v>
      </c>
      <c r="T281" s="66" t="s">
        <v>95</v>
      </c>
      <c r="U281" s="74">
        <v>84</v>
      </c>
      <c r="V281" s="66">
        <v>840107</v>
      </c>
      <c r="W281" s="63" t="str">
        <f>VLOOKUP(Tabla6[[#This Row],[ÍTEM PRESUPUESTARIO]],Tabla2[#All],2,0)</f>
        <v>EQUIPOS SISTEMAS Y PAQUETES INFORMÁTICOS</v>
      </c>
      <c r="X281" s="57">
        <v>0</v>
      </c>
      <c r="Y281" s="57">
        <f>31874-180.4</f>
        <v>31693.599999999999</v>
      </c>
      <c r="Z281" s="58">
        <v>0</v>
      </c>
      <c r="AA281" s="58">
        <v>0</v>
      </c>
      <c r="AB281" s="58">
        <v>0</v>
      </c>
      <c r="AC281" s="58">
        <v>0</v>
      </c>
      <c r="AD281" s="58">
        <v>0</v>
      </c>
      <c r="AE281" s="58">
        <v>0</v>
      </c>
      <c r="AF281" s="58">
        <v>0</v>
      </c>
      <c r="AG281" s="58">
        <v>0</v>
      </c>
      <c r="AH281" s="58">
        <v>0</v>
      </c>
      <c r="AI281" s="58">
        <v>0</v>
      </c>
      <c r="AJ281" s="58">
        <v>31693.599999999999</v>
      </c>
      <c r="AK281" s="58">
        <v>0</v>
      </c>
      <c r="AL281" s="75">
        <f>+SUBTOTAL(9,Tabla6[[#This Row],[ENE]:[DIC]])</f>
        <v>31693.599999999999</v>
      </c>
      <c r="AM281" s="76" t="str">
        <f t="shared" si="4"/>
        <v>OK</v>
      </c>
      <c r="AN281" s="60">
        <v>31693.599999999999</v>
      </c>
      <c r="AO281" s="61">
        <f>+Tabla6[[#This Row],[PRESUPUESTO VIGENTE]]-Tabla6[[#This Row],[CERTIFICACIÓN PAPP]]</f>
        <v>0</v>
      </c>
      <c r="AP281" s="59">
        <v>0</v>
      </c>
    </row>
    <row r="282" spans="1:42" ht="93" customHeight="1" x14ac:dyDescent="0.25">
      <c r="A282" s="62" t="s">
        <v>78</v>
      </c>
      <c r="B282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282" s="64" t="s">
        <v>79</v>
      </c>
      <c r="D282" s="64" t="s">
        <v>80</v>
      </c>
      <c r="E282" s="64" t="s">
        <v>81</v>
      </c>
      <c r="F282" s="64" t="s">
        <v>82</v>
      </c>
      <c r="G282" s="64" t="s">
        <v>83</v>
      </c>
      <c r="H282" s="65" t="str">
        <f>VLOOKUP(Tabla6[[#This Row],[DIRECCIÓN]],DIRECCIÓN[#All],2,0)</f>
        <v>ADMINISTRACIÓN CENTRAL</v>
      </c>
      <c r="I282" s="66" t="s">
        <v>779</v>
      </c>
      <c r="J282" s="67">
        <v>1</v>
      </c>
      <c r="K282" s="68" t="str">
        <f>VLOOKUP(Tabla6[[#This Row],[DIRECCIÓN GENERAL / COORDINACIÓN / SUBDIRECCIÓN]],Tabla37[[#All],[Columna1]:[EOD]],2,0)</f>
        <v>266_0001</v>
      </c>
      <c r="L282" s="69">
        <f>VLOOKUP(Tabla6[[#This Row],[OBJETIVOS PND]],Listas!$A$1:$C$3,3,0)</f>
        <v>1</v>
      </c>
      <c r="M282" s="70">
        <f>VLOOKUP(Tabla6[[#This Row],[PG]],Listas2!$G$14:$K$16,5,0)</f>
        <v>0</v>
      </c>
      <c r="N282" s="71">
        <v>1</v>
      </c>
      <c r="O282" s="72">
        <v>2101</v>
      </c>
      <c r="P282" s="73" t="str">
        <f>VLOOKUP(Tabla6[[#This Row],[GEO]],Listas!$A$48:$B$77,2,0)</f>
        <v>LAGO AGRIO</v>
      </c>
      <c r="Q282" s="70">
        <f>VLOOKUP(Tabla6[[#This Row],[PG]],Listas2!$G$14:$K$16,3,0)</f>
        <v>1</v>
      </c>
      <c r="R282" s="73">
        <f>VLOOKUP(Tabla6[[#This Row],[PG]],Listas2!H287:'Listas2'!$G$14:$K$16,4,0)</f>
        <v>0</v>
      </c>
      <c r="S282" s="73">
        <f>VLOOKUP(Tabla6[[#This Row],[PG]],Listas2!$G$14:$K$16,2,0)</f>
        <v>0</v>
      </c>
      <c r="T282" s="66" t="s">
        <v>84</v>
      </c>
      <c r="U282" s="74">
        <v>53</v>
      </c>
      <c r="V282" s="66">
        <v>530101</v>
      </c>
      <c r="W282" s="63" t="str">
        <f>VLOOKUP(Tabla6[[#This Row],[ÍTEM PRESUPUESTARIO]],Tabla2[#All],2,0)</f>
        <v>AGUA POTABLE</v>
      </c>
      <c r="X282" s="57">
        <v>100</v>
      </c>
      <c r="Y282" s="57">
        <v>100</v>
      </c>
      <c r="Z282" s="58">
        <v>100</v>
      </c>
      <c r="AA282" s="58">
        <v>0</v>
      </c>
      <c r="AB282" s="58">
        <v>0</v>
      </c>
      <c r="AC282" s="58">
        <v>0</v>
      </c>
      <c r="AD282" s="58">
        <v>0</v>
      </c>
      <c r="AE282" s="58">
        <v>0</v>
      </c>
      <c r="AF282" s="58">
        <v>0</v>
      </c>
      <c r="AG282" s="58">
        <v>0</v>
      </c>
      <c r="AH282" s="58">
        <v>0</v>
      </c>
      <c r="AI282" s="58">
        <v>0</v>
      </c>
      <c r="AJ282" s="58">
        <v>0</v>
      </c>
      <c r="AK282" s="58">
        <v>0</v>
      </c>
      <c r="AL282" s="75">
        <f>+SUBTOTAL(9,Tabla6[[#This Row],[ENE]:[DIC]])</f>
        <v>100</v>
      </c>
      <c r="AM282" s="76" t="str">
        <f t="shared" si="4"/>
        <v>OK</v>
      </c>
      <c r="AN282" s="60">
        <v>100</v>
      </c>
      <c r="AO282" s="61">
        <f>+Tabla6[[#This Row],[PRESUPUESTO VIGENTE]]-Tabla6[[#This Row],[CERTIFICACIÓN PAPP]]</f>
        <v>0</v>
      </c>
      <c r="AP282" s="59">
        <v>0</v>
      </c>
    </row>
    <row r="283" spans="1:42" ht="93" customHeight="1" x14ac:dyDescent="0.25">
      <c r="A283" s="62" t="s">
        <v>78</v>
      </c>
      <c r="B283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283" s="64" t="s">
        <v>79</v>
      </c>
      <c r="D283" s="64" t="s">
        <v>80</v>
      </c>
      <c r="E283" s="64" t="s">
        <v>81</v>
      </c>
      <c r="F283" s="64" t="s">
        <v>82</v>
      </c>
      <c r="G283" s="64" t="s">
        <v>83</v>
      </c>
      <c r="H283" s="65" t="str">
        <f>VLOOKUP(Tabla6[[#This Row],[DIRECCIÓN]],DIRECCIÓN[#All],2,0)</f>
        <v>ADMINISTRACIÓN CENTRAL</v>
      </c>
      <c r="I283" s="66" t="s">
        <v>780</v>
      </c>
      <c r="J283" s="67">
        <v>1</v>
      </c>
      <c r="K283" s="68" t="str">
        <f>VLOOKUP(Tabla6[[#This Row],[DIRECCIÓN GENERAL / COORDINACIÓN / SUBDIRECCIÓN]],Tabla37[[#All],[Columna1]:[EOD]],2,0)</f>
        <v>266_0001</v>
      </c>
      <c r="L283" s="69">
        <f>VLOOKUP(Tabla6[[#This Row],[OBJETIVOS PND]],Listas!$A$1:$C$3,3,0)</f>
        <v>1</v>
      </c>
      <c r="M283" s="70">
        <f>VLOOKUP(Tabla6[[#This Row],[PG]],Listas2!$G$14:$K$16,5,0)</f>
        <v>0</v>
      </c>
      <c r="N283" s="71">
        <v>1</v>
      </c>
      <c r="O283" s="72">
        <v>2101</v>
      </c>
      <c r="P283" s="73" t="str">
        <f>VLOOKUP(Tabla6[[#This Row],[GEO]],Listas!$A$48:$B$77,2,0)</f>
        <v>LAGO AGRIO</v>
      </c>
      <c r="Q283" s="70">
        <f>VLOOKUP(Tabla6[[#This Row],[PG]],Listas2!$G$14:$K$16,3,0)</f>
        <v>1</v>
      </c>
      <c r="R283" s="73">
        <f>VLOOKUP(Tabla6[[#This Row],[PG]],Listas2!H288:'Listas2'!$G$14:$K$16,4,0)</f>
        <v>0</v>
      </c>
      <c r="S283" s="73">
        <f>VLOOKUP(Tabla6[[#This Row],[PG]],Listas2!$G$14:$K$16,2,0)</f>
        <v>0</v>
      </c>
      <c r="T283" s="66" t="s">
        <v>84</v>
      </c>
      <c r="U283" s="74">
        <v>53</v>
      </c>
      <c r="V283" s="66">
        <v>530101</v>
      </c>
      <c r="W283" s="63" t="str">
        <f>VLOOKUP(Tabla6[[#This Row],[ÍTEM PRESUPUESTARIO]],Tabla2[#All],2,0)</f>
        <v>AGUA POTABLE</v>
      </c>
      <c r="X283" s="57">
        <v>540</v>
      </c>
      <c r="Y283" s="57">
        <f>540+150-98.64</f>
        <v>591.36</v>
      </c>
      <c r="Z283" s="58">
        <v>0</v>
      </c>
      <c r="AA283" s="58">
        <v>45</v>
      </c>
      <c r="AB283" s="58">
        <v>45</v>
      </c>
      <c r="AC283" s="58">
        <v>45</v>
      </c>
      <c r="AD283" s="58">
        <v>45</v>
      </c>
      <c r="AE283" s="58">
        <v>45</v>
      </c>
      <c r="AF283" s="58">
        <v>45</v>
      </c>
      <c r="AG283" s="58">
        <v>45</v>
      </c>
      <c r="AH283" s="58">
        <v>45</v>
      </c>
      <c r="AI283" s="58">
        <v>45</v>
      </c>
      <c r="AJ283" s="58">
        <v>45</v>
      </c>
      <c r="AK283" s="58">
        <v>141.36000000000001</v>
      </c>
      <c r="AL283" s="75">
        <f>+SUBTOTAL(9,Tabla6[[#This Row],[ENE]:[DIC]])</f>
        <v>591.36</v>
      </c>
      <c r="AM283" s="76" t="str">
        <f t="shared" si="4"/>
        <v>OK</v>
      </c>
      <c r="AN283" s="60">
        <v>591.36</v>
      </c>
      <c r="AO283" s="61">
        <f>+Tabla6[[#This Row],[PRESUPUESTO VIGENTE]]-Tabla6[[#This Row],[CERTIFICACIÓN PAPP]]</f>
        <v>0</v>
      </c>
      <c r="AP283" s="59">
        <v>0</v>
      </c>
    </row>
    <row r="284" spans="1:42" ht="93" customHeight="1" x14ac:dyDescent="0.25">
      <c r="A284" s="62" t="s">
        <v>78</v>
      </c>
      <c r="B284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284" s="64" t="s">
        <v>79</v>
      </c>
      <c r="D284" s="64" t="s">
        <v>80</v>
      </c>
      <c r="E284" s="64" t="s">
        <v>81</v>
      </c>
      <c r="F284" s="64" t="s">
        <v>82</v>
      </c>
      <c r="G284" s="64" t="s">
        <v>83</v>
      </c>
      <c r="H284" s="65" t="str">
        <f>VLOOKUP(Tabla6[[#This Row],[DIRECCIÓN]],DIRECCIÓN[#All],2,0)</f>
        <v>ADMINISTRACIÓN CENTRAL</v>
      </c>
      <c r="I284" s="66" t="s">
        <v>781</v>
      </c>
      <c r="J284" s="67">
        <v>1</v>
      </c>
      <c r="K284" s="68" t="str">
        <f>VLOOKUP(Tabla6[[#This Row],[DIRECCIÓN GENERAL / COORDINACIÓN / SUBDIRECCIÓN]],Tabla37[[#All],[Columna1]:[EOD]],2,0)</f>
        <v>266_0001</v>
      </c>
      <c r="L284" s="69">
        <f>VLOOKUP(Tabla6[[#This Row],[OBJETIVOS PND]],Listas!$A$1:$C$3,3,0)</f>
        <v>1</v>
      </c>
      <c r="M284" s="70">
        <f>VLOOKUP(Tabla6[[#This Row],[PG]],Listas2!$G$14:$K$16,5,0)</f>
        <v>0</v>
      </c>
      <c r="N284" s="71">
        <v>1</v>
      </c>
      <c r="O284" s="72">
        <v>2101</v>
      </c>
      <c r="P284" s="73" t="str">
        <f>VLOOKUP(Tabla6[[#This Row],[GEO]],Listas!$A$48:$B$77,2,0)</f>
        <v>LAGO AGRIO</v>
      </c>
      <c r="Q284" s="70">
        <f>VLOOKUP(Tabla6[[#This Row],[PG]],Listas2!$G$14:$K$16,3,0)</f>
        <v>1</v>
      </c>
      <c r="R284" s="73">
        <f>VLOOKUP(Tabla6[[#This Row],[PG]],Listas2!H289:'Listas2'!$G$14:$K$16,4,0)</f>
        <v>0</v>
      </c>
      <c r="S284" s="73">
        <f>VLOOKUP(Tabla6[[#This Row],[PG]],Listas2!$G$14:$K$16,2,0)</f>
        <v>0</v>
      </c>
      <c r="T284" s="66" t="s">
        <v>84</v>
      </c>
      <c r="U284" s="74">
        <v>53</v>
      </c>
      <c r="V284" s="66">
        <v>530104</v>
      </c>
      <c r="W284" s="63" t="str">
        <f>VLOOKUP(Tabla6[[#This Row],[ÍTEM PRESUPUESTARIO]],Tabla2[#All],2,0)</f>
        <v>ENERGÍA ELÉCTRICA</v>
      </c>
      <c r="X284" s="57">
        <v>7300</v>
      </c>
      <c r="Y284" s="57">
        <f>7300+265.58</f>
        <v>7565.58</v>
      </c>
      <c r="Z284" s="58">
        <v>7565.58</v>
      </c>
      <c r="AA284" s="58">
        <v>0</v>
      </c>
      <c r="AB284" s="58">
        <v>0</v>
      </c>
      <c r="AC284" s="58">
        <v>0</v>
      </c>
      <c r="AD284" s="58">
        <v>0</v>
      </c>
      <c r="AE284" s="58">
        <v>0</v>
      </c>
      <c r="AF284" s="58">
        <v>0</v>
      </c>
      <c r="AG284" s="58">
        <v>0</v>
      </c>
      <c r="AH284" s="58">
        <v>0</v>
      </c>
      <c r="AI284" s="58">
        <v>0</v>
      </c>
      <c r="AJ284" s="58">
        <v>0</v>
      </c>
      <c r="AK284" s="58">
        <v>0</v>
      </c>
      <c r="AL284" s="75">
        <f>+SUBTOTAL(9,Tabla6[[#This Row],[ENE]:[DIC]])</f>
        <v>7565.58</v>
      </c>
      <c r="AM284" s="76" t="str">
        <f t="shared" si="4"/>
        <v>OK</v>
      </c>
      <c r="AN284" s="60">
        <v>7565.58</v>
      </c>
      <c r="AO284" s="61">
        <f>+Tabla6[[#This Row],[PRESUPUESTO VIGENTE]]-Tabla6[[#This Row],[CERTIFICACIÓN PAPP]]</f>
        <v>0</v>
      </c>
      <c r="AP284" s="59">
        <v>0</v>
      </c>
    </row>
    <row r="285" spans="1:42" ht="93" customHeight="1" x14ac:dyDescent="0.25">
      <c r="A285" s="62" t="s">
        <v>78</v>
      </c>
      <c r="B285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285" s="64" t="s">
        <v>79</v>
      </c>
      <c r="D285" s="64" t="s">
        <v>80</v>
      </c>
      <c r="E285" s="64" t="s">
        <v>81</v>
      </c>
      <c r="F285" s="64" t="s">
        <v>82</v>
      </c>
      <c r="G285" s="64" t="s">
        <v>83</v>
      </c>
      <c r="H285" s="65" t="str">
        <f>VLOOKUP(Tabla6[[#This Row],[DIRECCIÓN]],DIRECCIÓN[#All],2,0)</f>
        <v>ADMINISTRACIÓN CENTRAL</v>
      </c>
      <c r="I285" s="66" t="s">
        <v>782</v>
      </c>
      <c r="J285" s="67">
        <v>1</v>
      </c>
      <c r="K285" s="68" t="str">
        <f>VLOOKUP(Tabla6[[#This Row],[DIRECCIÓN GENERAL / COORDINACIÓN / SUBDIRECCIÓN]],Tabla37[[#All],[Columna1]:[EOD]],2,0)</f>
        <v>266_0001</v>
      </c>
      <c r="L285" s="69">
        <f>VLOOKUP(Tabla6[[#This Row],[OBJETIVOS PND]],Listas!$A$1:$C$3,3,0)</f>
        <v>1</v>
      </c>
      <c r="M285" s="70">
        <f>VLOOKUP(Tabla6[[#This Row],[PG]],Listas2!$G$14:$K$16,5,0)</f>
        <v>0</v>
      </c>
      <c r="N285" s="71">
        <v>1</v>
      </c>
      <c r="O285" s="72">
        <v>2101</v>
      </c>
      <c r="P285" s="73" t="str">
        <f>VLOOKUP(Tabla6[[#This Row],[GEO]],Listas!$A$48:$B$77,2,0)</f>
        <v>LAGO AGRIO</v>
      </c>
      <c r="Q285" s="70">
        <f>VLOOKUP(Tabla6[[#This Row],[PG]],Listas2!$G$14:$K$16,3,0)</f>
        <v>1</v>
      </c>
      <c r="R285" s="73">
        <f>VLOOKUP(Tabla6[[#This Row],[PG]],Listas2!H290:'Listas2'!$G$14:$K$16,4,0)</f>
        <v>0</v>
      </c>
      <c r="S285" s="73">
        <f>VLOOKUP(Tabla6[[#This Row],[PG]],Listas2!$G$14:$K$16,2,0)</f>
        <v>0</v>
      </c>
      <c r="T285" s="66" t="s">
        <v>84</v>
      </c>
      <c r="U285" s="74">
        <v>53</v>
      </c>
      <c r="V285" s="66">
        <v>530104</v>
      </c>
      <c r="W285" s="63" t="str">
        <f>VLOOKUP(Tabla6[[#This Row],[ÍTEM PRESUPUESTARIO]],Tabla2[#All],2,0)</f>
        <v>ENERGÍA ELÉCTRICA</v>
      </c>
      <c r="X285" s="57">
        <v>43800</v>
      </c>
      <c r="Y285" s="57">
        <f>43800+46200</f>
        <v>90000</v>
      </c>
      <c r="Z285" s="58">
        <v>0</v>
      </c>
      <c r="AA285" s="58">
        <v>8181.82</v>
      </c>
      <c r="AB285" s="58">
        <v>8181.82</v>
      </c>
      <c r="AC285" s="58">
        <v>8181.82</v>
      </c>
      <c r="AD285" s="58">
        <v>8181.82</v>
      </c>
      <c r="AE285" s="58">
        <v>8181.82</v>
      </c>
      <c r="AF285" s="58">
        <v>8181.82</v>
      </c>
      <c r="AG285" s="58">
        <v>8181.82</v>
      </c>
      <c r="AH285" s="58">
        <v>8181.82</v>
      </c>
      <c r="AI285" s="58">
        <v>8181.82</v>
      </c>
      <c r="AJ285" s="58">
        <v>8181.82</v>
      </c>
      <c r="AK285" s="58">
        <v>8181.8</v>
      </c>
      <c r="AL285" s="75">
        <f>+SUBTOTAL(9,Tabla6[[#This Row],[ENE]:[DIC]])</f>
        <v>90000.000000000015</v>
      </c>
      <c r="AM285" s="76" t="str">
        <f t="shared" si="4"/>
        <v>OK</v>
      </c>
      <c r="AN285" s="60">
        <v>90000</v>
      </c>
      <c r="AO285" s="61">
        <f>+Tabla6[[#This Row],[PRESUPUESTO VIGENTE]]-Tabla6[[#This Row],[CERTIFICACIÓN PAPP]]</f>
        <v>0</v>
      </c>
      <c r="AP285" s="59">
        <v>0</v>
      </c>
    </row>
    <row r="286" spans="1:42" ht="93" customHeight="1" x14ac:dyDescent="0.25">
      <c r="A286" s="62" t="s">
        <v>78</v>
      </c>
      <c r="B286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286" s="64" t="s">
        <v>79</v>
      </c>
      <c r="D286" s="64" t="s">
        <v>80</v>
      </c>
      <c r="E286" s="64" t="s">
        <v>81</v>
      </c>
      <c r="F286" s="64" t="s">
        <v>82</v>
      </c>
      <c r="G286" s="64" t="s">
        <v>83</v>
      </c>
      <c r="H286" s="65" t="str">
        <f>VLOOKUP(Tabla6[[#This Row],[DIRECCIÓN]],DIRECCIÓN[#All],2,0)</f>
        <v>ADMINISTRACIÓN CENTRAL</v>
      </c>
      <c r="I286" s="66" t="s">
        <v>783</v>
      </c>
      <c r="J286" s="67">
        <v>1</v>
      </c>
      <c r="K286" s="68" t="str">
        <f>VLOOKUP(Tabla6[[#This Row],[DIRECCIÓN GENERAL / COORDINACIÓN / SUBDIRECCIÓN]],Tabla37[[#All],[Columna1]:[EOD]],2,0)</f>
        <v>266_0001</v>
      </c>
      <c r="L286" s="69">
        <f>VLOOKUP(Tabla6[[#This Row],[OBJETIVOS PND]],Listas!$A$1:$C$3,3,0)</f>
        <v>1</v>
      </c>
      <c r="M286" s="70">
        <f>VLOOKUP(Tabla6[[#This Row],[PG]],Listas2!$G$14:$K$16,5,0)</f>
        <v>0</v>
      </c>
      <c r="N286" s="71">
        <v>1</v>
      </c>
      <c r="O286" s="72">
        <v>2101</v>
      </c>
      <c r="P286" s="73" t="str">
        <f>VLOOKUP(Tabla6[[#This Row],[GEO]],Listas!$A$48:$B$77,2,0)</f>
        <v>LAGO AGRIO</v>
      </c>
      <c r="Q286" s="70">
        <f>VLOOKUP(Tabla6[[#This Row],[PG]],Listas2!$G$14:$K$16,3,0)</f>
        <v>1</v>
      </c>
      <c r="R286" s="73">
        <f>VLOOKUP(Tabla6[[#This Row],[PG]],Listas2!H291:'Listas2'!$G$14:$K$16,4,0)</f>
        <v>0</v>
      </c>
      <c r="S286" s="73">
        <f>VLOOKUP(Tabla6[[#This Row],[PG]],Listas2!$G$14:$K$16,2,0)</f>
        <v>0</v>
      </c>
      <c r="T286" s="66" t="s">
        <v>84</v>
      </c>
      <c r="U286" s="74">
        <v>53</v>
      </c>
      <c r="V286" s="66">
        <v>530106</v>
      </c>
      <c r="W286" s="63" t="str">
        <f>VLOOKUP(Tabla6[[#This Row],[ÍTEM PRESUPUESTARIO]],Tabla2[#All],2,0)</f>
        <v>SERVICIO DE CORREO</v>
      </c>
      <c r="X286" s="57">
        <v>100</v>
      </c>
      <c r="Y286" s="57">
        <f>100-85</f>
        <v>15</v>
      </c>
      <c r="Z286" s="58">
        <v>15</v>
      </c>
      <c r="AA286" s="58">
        <v>0</v>
      </c>
      <c r="AB286" s="58">
        <v>0</v>
      </c>
      <c r="AC286" s="58">
        <v>0</v>
      </c>
      <c r="AD286" s="58">
        <v>0</v>
      </c>
      <c r="AE286" s="58">
        <v>0</v>
      </c>
      <c r="AF286" s="58">
        <v>0</v>
      </c>
      <c r="AG286" s="58">
        <v>0</v>
      </c>
      <c r="AH286" s="58">
        <v>0</v>
      </c>
      <c r="AI286" s="58">
        <v>0</v>
      </c>
      <c r="AJ286" s="58">
        <v>0</v>
      </c>
      <c r="AK286" s="58">
        <v>0</v>
      </c>
      <c r="AL286" s="75">
        <f>+SUBTOTAL(9,Tabla6[[#This Row],[ENE]:[DIC]])</f>
        <v>15</v>
      </c>
      <c r="AM286" s="76" t="str">
        <f t="shared" si="4"/>
        <v>OK</v>
      </c>
      <c r="AN286" s="60">
        <v>15</v>
      </c>
      <c r="AO286" s="61">
        <f>+Tabla6[[#This Row],[PRESUPUESTO VIGENTE]]-Tabla6[[#This Row],[CERTIFICACIÓN PAPP]]</f>
        <v>0</v>
      </c>
      <c r="AP286" s="59">
        <v>0</v>
      </c>
    </row>
    <row r="287" spans="1:42" ht="93" customHeight="1" x14ac:dyDescent="0.25">
      <c r="A287" s="62" t="s">
        <v>78</v>
      </c>
      <c r="B287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287" s="64" t="s">
        <v>79</v>
      </c>
      <c r="D287" s="64" t="s">
        <v>80</v>
      </c>
      <c r="E287" s="64" t="s">
        <v>81</v>
      </c>
      <c r="F287" s="64" t="s">
        <v>82</v>
      </c>
      <c r="G287" s="64" t="s">
        <v>83</v>
      </c>
      <c r="H287" s="65" t="str">
        <f>VLOOKUP(Tabla6[[#This Row],[DIRECCIÓN]],DIRECCIÓN[#All],2,0)</f>
        <v>ADMINISTRACIÓN CENTRAL</v>
      </c>
      <c r="I287" s="66" t="s">
        <v>784</v>
      </c>
      <c r="J287" s="67">
        <v>1</v>
      </c>
      <c r="K287" s="68" t="str">
        <f>VLOOKUP(Tabla6[[#This Row],[DIRECCIÓN GENERAL / COORDINACIÓN / SUBDIRECCIÓN]],Tabla37[[#All],[Columna1]:[EOD]],2,0)</f>
        <v>266_0001</v>
      </c>
      <c r="L287" s="69">
        <f>VLOOKUP(Tabla6[[#This Row],[OBJETIVOS PND]],Listas!$A$1:$C$3,3,0)</f>
        <v>1</v>
      </c>
      <c r="M287" s="70">
        <f>VLOOKUP(Tabla6[[#This Row],[PG]],Listas2!$G$14:$K$16,5,0)</f>
        <v>0</v>
      </c>
      <c r="N287" s="71">
        <v>1</v>
      </c>
      <c r="O287" s="72">
        <v>2101</v>
      </c>
      <c r="P287" s="73" t="str">
        <f>VLOOKUP(Tabla6[[#This Row],[GEO]],Listas!$A$48:$B$77,2,0)</f>
        <v>LAGO AGRIO</v>
      </c>
      <c r="Q287" s="70">
        <f>VLOOKUP(Tabla6[[#This Row],[PG]],Listas2!$G$14:$K$16,3,0)</f>
        <v>1</v>
      </c>
      <c r="R287" s="73">
        <f>VLOOKUP(Tabla6[[#This Row],[PG]],Listas2!H292:'Listas2'!$G$14:$K$16,4,0)</f>
        <v>0</v>
      </c>
      <c r="S287" s="73">
        <f>VLOOKUP(Tabla6[[#This Row],[PG]],Listas2!$G$14:$K$16,2,0)</f>
        <v>0</v>
      </c>
      <c r="T287" s="66" t="s">
        <v>84</v>
      </c>
      <c r="U287" s="74">
        <v>53</v>
      </c>
      <c r="V287" s="66">
        <v>530106</v>
      </c>
      <c r="W287" s="63" t="str">
        <f>VLOOKUP(Tabla6[[#This Row],[ÍTEM PRESUPUESTARIO]],Tabla2[#All],2,0)</f>
        <v>SERVICIO DE CORREO</v>
      </c>
      <c r="X287" s="57">
        <v>300</v>
      </c>
      <c r="Y287" s="57">
        <f>300+50-124.6</f>
        <v>225.4</v>
      </c>
      <c r="Z287" s="58">
        <v>0</v>
      </c>
      <c r="AA287" s="58">
        <v>0</v>
      </c>
      <c r="AB287" s="58">
        <v>35</v>
      </c>
      <c r="AC287" s="58">
        <v>35</v>
      </c>
      <c r="AD287" s="58">
        <v>35</v>
      </c>
      <c r="AE287" s="58">
        <v>35</v>
      </c>
      <c r="AF287" s="58">
        <v>35</v>
      </c>
      <c r="AG287" s="58">
        <v>35</v>
      </c>
      <c r="AH287" s="58">
        <v>15.4</v>
      </c>
      <c r="AI287" s="58">
        <v>0</v>
      </c>
      <c r="AJ287" s="58">
        <v>0</v>
      </c>
      <c r="AK287" s="58">
        <v>0</v>
      </c>
      <c r="AL287" s="75">
        <f>+SUBTOTAL(9,Tabla6[[#This Row],[ENE]:[DIC]])</f>
        <v>225.4</v>
      </c>
      <c r="AM287" s="76" t="str">
        <f t="shared" si="4"/>
        <v>OK</v>
      </c>
      <c r="AN287" s="60">
        <v>225.4</v>
      </c>
      <c r="AO287" s="61">
        <f>+Tabla6[[#This Row],[PRESUPUESTO VIGENTE]]-Tabla6[[#This Row],[CERTIFICACIÓN PAPP]]</f>
        <v>0</v>
      </c>
      <c r="AP287" s="59">
        <v>0</v>
      </c>
    </row>
    <row r="288" spans="1:42" ht="93" customHeight="1" x14ac:dyDescent="0.25">
      <c r="A288" s="62" t="s">
        <v>78</v>
      </c>
      <c r="B288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288" s="64" t="s">
        <v>79</v>
      </c>
      <c r="D288" s="64" t="s">
        <v>80</v>
      </c>
      <c r="E288" s="64" t="s">
        <v>81</v>
      </c>
      <c r="F288" s="64" t="s">
        <v>82</v>
      </c>
      <c r="G288" s="64" t="s">
        <v>83</v>
      </c>
      <c r="H288" s="65" t="str">
        <f>VLOOKUP(Tabla6[[#This Row],[DIRECCIÓN]],DIRECCIÓN[#All],2,0)</f>
        <v>ADMINISTRACIÓN CENTRAL</v>
      </c>
      <c r="I288" s="66" t="s">
        <v>785</v>
      </c>
      <c r="J288" s="67">
        <v>1</v>
      </c>
      <c r="K288" s="68" t="str">
        <f>VLOOKUP(Tabla6[[#This Row],[DIRECCIÓN GENERAL / COORDINACIÓN / SUBDIRECCIÓN]],Tabla37[[#All],[Columna1]:[EOD]],2,0)</f>
        <v>266_0001</v>
      </c>
      <c r="L288" s="69">
        <f>VLOOKUP(Tabla6[[#This Row],[OBJETIVOS PND]],Listas!$A$1:$C$3,3,0)</f>
        <v>1</v>
      </c>
      <c r="M288" s="70">
        <f>VLOOKUP(Tabla6[[#This Row],[PG]],Listas2!$G$14:$K$16,5,0)</f>
        <v>0</v>
      </c>
      <c r="N288" s="71">
        <v>1</v>
      </c>
      <c r="O288" s="72">
        <v>2101</v>
      </c>
      <c r="P288" s="73" t="str">
        <f>VLOOKUP(Tabla6[[#This Row],[GEO]],Listas!$A$48:$B$77,2,0)</f>
        <v>LAGO AGRIO</v>
      </c>
      <c r="Q288" s="70">
        <f>VLOOKUP(Tabla6[[#This Row],[PG]],Listas2!$G$14:$K$16,3,0)</f>
        <v>1</v>
      </c>
      <c r="R288" s="73">
        <f>VLOOKUP(Tabla6[[#This Row],[PG]],Listas2!H293:'Listas2'!$G$14:$K$16,4,0)</f>
        <v>0</v>
      </c>
      <c r="S288" s="73">
        <f>VLOOKUP(Tabla6[[#This Row],[PG]],Listas2!$G$14:$K$16,2,0)</f>
        <v>0</v>
      </c>
      <c r="T288" s="66" t="s">
        <v>84</v>
      </c>
      <c r="U288" s="74">
        <v>53</v>
      </c>
      <c r="V288" s="66">
        <v>530201</v>
      </c>
      <c r="W288" s="63" t="str">
        <f>VLOOKUP(Tabla6[[#This Row],[ÍTEM PRESUPUESTARIO]],Tabla2[#All],2,0)</f>
        <v>TRANSPORTE DE PERSONAL</v>
      </c>
      <c r="X288" s="57">
        <v>9775</v>
      </c>
      <c r="Y288" s="57">
        <f>9775-0.11</f>
        <v>9774.89</v>
      </c>
      <c r="Z288" s="58">
        <v>9774.89</v>
      </c>
      <c r="AA288" s="58">
        <v>0</v>
      </c>
      <c r="AB288" s="58">
        <v>0</v>
      </c>
      <c r="AC288" s="58">
        <v>0</v>
      </c>
      <c r="AD288" s="58">
        <v>0</v>
      </c>
      <c r="AE288" s="58">
        <v>0</v>
      </c>
      <c r="AF288" s="58">
        <v>0</v>
      </c>
      <c r="AG288" s="58">
        <v>0</v>
      </c>
      <c r="AH288" s="58">
        <v>0</v>
      </c>
      <c r="AI288" s="58">
        <v>0</v>
      </c>
      <c r="AJ288" s="58">
        <v>0</v>
      </c>
      <c r="AK288" s="58">
        <v>0</v>
      </c>
      <c r="AL288" s="75">
        <f>+SUBTOTAL(9,Tabla6[[#This Row],[ENE]:[DIC]])</f>
        <v>9774.89</v>
      </c>
      <c r="AM288" s="76" t="str">
        <f t="shared" si="4"/>
        <v>OK</v>
      </c>
      <c r="AN288" s="60">
        <v>9774.89</v>
      </c>
      <c r="AO288" s="61">
        <f>+Tabla6[[#This Row],[PRESUPUESTO VIGENTE]]-Tabla6[[#This Row],[CERTIFICACIÓN PAPP]]</f>
        <v>0</v>
      </c>
      <c r="AP288" s="59">
        <v>0</v>
      </c>
    </row>
    <row r="289" spans="1:42" ht="93" customHeight="1" x14ac:dyDescent="0.25">
      <c r="A289" s="62" t="s">
        <v>78</v>
      </c>
      <c r="B289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289" s="64" t="s">
        <v>79</v>
      </c>
      <c r="D289" s="64" t="s">
        <v>80</v>
      </c>
      <c r="E289" s="64" t="s">
        <v>81</v>
      </c>
      <c r="F289" s="64" t="s">
        <v>82</v>
      </c>
      <c r="G289" s="64" t="s">
        <v>83</v>
      </c>
      <c r="H289" s="65" t="str">
        <f>VLOOKUP(Tabla6[[#This Row],[DIRECCIÓN]],DIRECCIÓN[#All],2,0)</f>
        <v>ADMINISTRACIÓN CENTRAL</v>
      </c>
      <c r="I289" s="66" t="s">
        <v>932</v>
      </c>
      <c r="J289" s="67">
        <v>1</v>
      </c>
      <c r="K289" s="68" t="str">
        <f>VLOOKUP(Tabla6[[#This Row],[DIRECCIÓN GENERAL / COORDINACIÓN / SUBDIRECCIÓN]],Tabla37[[#All],[Columna1]:[EOD]],2,0)</f>
        <v>266_0001</v>
      </c>
      <c r="L289" s="69">
        <f>VLOOKUP(Tabla6[[#This Row],[OBJETIVOS PND]],Listas!$A$1:$C$3,3,0)</f>
        <v>1</v>
      </c>
      <c r="M289" s="70">
        <f>VLOOKUP(Tabla6[[#This Row],[PG]],Listas2!$G$14:$K$16,5,0)</f>
        <v>0</v>
      </c>
      <c r="N289" s="71">
        <v>1</v>
      </c>
      <c r="O289" s="72">
        <v>2101</v>
      </c>
      <c r="P289" s="73" t="str">
        <f>VLOOKUP(Tabla6[[#This Row],[GEO]],Listas!$A$48:$B$77,2,0)</f>
        <v>LAGO AGRIO</v>
      </c>
      <c r="Q289" s="70">
        <f>VLOOKUP(Tabla6[[#This Row],[PG]],Listas2!$G$14:$K$16,3,0)</f>
        <v>1</v>
      </c>
      <c r="R289" s="73">
        <f>VLOOKUP(Tabla6[[#This Row],[PG]],Listas2!H294:'Listas2'!$G$14:$K$16,4,0)</f>
        <v>0</v>
      </c>
      <c r="S289" s="73">
        <f>VLOOKUP(Tabla6[[#This Row],[PG]],Listas2!$G$14:$K$16,2,0)</f>
        <v>0</v>
      </c>
      <c r="T289" s="66" t="s">
        <v>84</v>
      </c>
      <c r="U289" s="74">
        <v>53</v>
      </c>
      <c r="V289" s="66">
        <v>530201</v>
      </c>
      <c r="W289" s="63" t="str">
        <f>VLOOKUP(Tabla6[[#This Row],[ÍTEM PRESUPUESTARIO]],Tabla2[#All],2,0)</f>
        <v>TRANSPORTE DE PERSONAL</v>
      </c>
      <c r="X289" s="57">
        <v>73200</v>
      </c>
      <c r="Y289" s="57">
        <f>73200-4935.47-10000-636.37</f>
        <v>57628.159999999996</v>
      </c>
      <c r="Z289" s="58">
        <v>0</v>
      </c>
      <c r="AA289" s="58">
        <v>6100</v>
      </c>
      <c r="AB289" s="58">
        <v>6100</v>
      </c>
      <c r="AC289" s="58">
        <v>6100</v>
      </c>
      <c r="AD289" s="58">
        <v>6072.38</v>
      </c>
      <c r="AE289" s="58">
        <v>6072.38</v>
      </c>
      <c r="AF289" s="58">
        <v>6072.38</v>
      </c>
      <c r="AG289" s="58">
        <v>6072.38</v>
      </c>
      <c r="AH289" s="58">
        <v>6072.38</v>
      </c>
      <c r="AI289" s="58">
        <v>6072.38</v>
      </c>
      <c r="AJ289" s="58">
        <v>2893.88</v>
      </c>
      <c r="AK289" s="58">
        <v>0</v>
      </c>
      <c r="AL289" s="75">
        <f>+SUBTOTAL(9,Tabla6[[#This Row],[ENE]:[DIC]])</f>
        <v>57628.159999999989</v>
      </c>
      <c r="AM289" s="76" t="str">
        <f t="shared" si="4"/>
        <v>OK</v>
      </c>
      <c r="AN289" s="60">
        <v>57628.160000000003</v>
      </c>
      <c r="AO289" s="61">
        <f>+Tabla6[[#This Row],[PRESUPUESTO VIGENTE]]-Tabla6[[#This Row],[CERTIFICACIÓN PAPP]]</f>
        <v>0</v>
      </c>
      <c r="AP289" s="59" t="s">
        <v>87</v>
      </c>
    </row>
    <row r="290" spans="1:42" ht="93" customHeight="1" x14ac:dyDescent="0.25">
      <c r="A290" s="62" t="s">
        <v>78</v>
      </c>
      <c r="B290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290" s="64" t="s">
        <v>79</v>
      </c>
      <c r="D290" s="64" t="s">
        <v>80</v>
      </c>
      <c r="E290" s="64" t="s">
        <v>81</v>
      </c>
      <c r="F290" s="64" t="s">
        <v>82</v>
      </c>
      <c r="G290" s="64" t="s">
        <v>83</v>
      </c>
      <c r="H290" s="65" t="str">
        <f>VLOOKUP(Tabla6[[#This Row],[DIRECCIÓN]],DIRECCIÓN[#All],2,0)</f>
        <v>ADMINISTRACIÓN CENTRAL</v>
      </c>
      <c r="I290" s="66" t="s">
        <v>787</v>
      </c>
      <c r="J290" s="67">
        <v>1</v>
      </c>
      <c r="K290" s="68" t="str">
        <f>VLOOKUP(Tabla6[[#This Row],[DIRECCIÓN GENERAL / COORDINACIÓN / SUBDIRECCIÓN]],Tabla37[[#All],[Columna1]:[EOD]],2,0)</f>
        <v>266_0001</v>
      </c>
      <c r="L290" s="69">
        <f>VLOOKUP(Tabla6[[#This Row],[OBJETIVOS PND]],Listas!$A$1:$C$3,3,0)</f>
        <v>1</v>
      </c>
      <c r="M290" s="70">
        <f>VLOOKUP(Tabla6[[#This Row],[PG]],Listas2!$G$14:$K$16,5,0)</f>
        <v>0</v>
      </c>
      <c r="N290" s="71">
        <v>1</v>
      </c>
      <c r="O290" s="72">
        <v>2101</v>
      </c>
      <c r="P290" s="73" t="str">
        <f>VLOOKUP(Tabla6[[#This Row],[GEO]],Listas!$A$48:$B$77,2,0)</f>
        <v>LAGO AGRIO</v>
      </c>
      <c r="Q290" s="70">
        <f>VLOOKUP(Tabla6[[#This Row],[PG]],Listas2!$G$14:$K$16,3,0)</f>
        <v>1</v>
      </c>
      <c r="R290" s="73">
        <f>VLOOKUP(Tabla6[[#This Row],[PG]],Listas2!H295:'Listas2'!$G$14:$K$16,4,0)</f>
        <v>0</v>
      </c>
      <c r="S290" s="73">
        <f>VLOOKUP(Tabla6[[#This Row],[PG]],Listas2!$G$14:$K$16,2,0)</f>
        <v>0</v>
      </c>
      <c r="T290" s="66" t="s">
        <v>84</v>
      </c>
      <c r="U290" s="74">
        <v>53</v>
      </c>
      <c r="V290" s="66">
        <v>530203</v>
      </c>
      <c r="W290" s="63" t="str">
        <f>VLOOKUP(Tabla6[[#This Row],[ÍTEM PRESUPUESTARIO]],Tabla2[#All],2,0)</f>
        <v>ALMACENAMIENTO, EMBALAJE, DESEMBALAJE, ENVASE, DESENVASE Y RECARGA DE EXTINTORES</v>
      </c>
      <c r="X290" s="57">
        <v>714</v>
      </c>
      <c r="Y290" s="57">
        <f>714-213</f>
        <v>501</v>
      </c>
      <c r="Z290" s="58">
        <v>0</v>
      </c>
      <c r="AA290" s="58">
        <v>0</v>
      </c>
      <c r="AB290" s="58">
        <v>0</v>
      </c>
      <c r="AC290" s="58">
        <v>0</v>
      </c>
      <c r="AD290" s="58">
        <v>0</v>
      </c>
      <c r="AE290" s="58">
        <v>0</v>
      </c>
      <c r="AF290" s="58">
        <v>0</v>
      </c>
      <c r="AG290" s="58">
        <v>501</v>
      </c>
      <c r="AH290" s="58">
        <v>0</v>
      </c>
      <c r="AI290" s="58">
        <v>0</v>
      </c>
      <c r="AJ290" s="58">
        <v>0</v>
      </c>
      <c r="AK290" s="58">
        <v>0</v>
      </c>
      <c r="AL290" s="75">
        <f>+SUBTOTAL(9,Tabla6[[#This Row],[ENE]:[DIC]])</f>
        <v>501</v>
      </c>
      <c r="AM290" s="76" t="str">
        <f t="shared" si="4"/>
        <v>OK</v>
      </c>
      <c r="AN290" s="60">
        <v>501</v>
      </c>
      <c r="AO290" s="61">
        <f>+Tabla6[[#This Row],[PRESUPUESTO VIGENTE]]-Tabla6[[#This Row],[CERTIFICACIÓN PAPP]]</f>
        <v>0</v>
      </c>
      <c r="AP290" s="59">
        <v>0</v>
      </c>
    </row>
    <row r="291" spans="1:42" ht="93" customHeight="1" x14ac:dyDescent="0.25">
      <c r="A291" s="62" t="s">
        <v>78</v>
      </c>
      <c r="B291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291" s="64" t="s">
        <v>85</v>
      </c>
      <c r="D291" s="64" t="s">
        <v>80</v>
      </c>
      <c r="E291" s="64" t="s">
        <v>81</v>
      </c>
      <c r="F291" s="64" t="s">
        <v>82</v>
      </c>
      <c r="G291" s="64" t="s">
        <v>86</v>
      </c>
      <c r="H291" s="65" t="str">
        <f>VLOOKUP(Tabla6[[#This Row],[DIRECCIÓN]],DIRECCIÓN[#All],2,0)</f>
        <v>COMUNICACIÓN SOCIAL</v>
      </c>
      <c r="I291" s="66" t="s">
        <v>876</v>
      </c>
      <c r="J291" s="67">
        <v>2</v>
      </c>
      <c r="K291" s="68" t="str">
        <f>VLOOKUP(Tabla6[[#This Row],[DIRECCIÓN GENERAL / COORDINACIÓN / SUBDIRECCIÓN]],Tabla37[[#All],[Columna1]:[EOD]],2,0)</f>
        <v>266_0001</v>
      </c>
      <c r="L291" s="69">
        <f>VLOOKUP(Tabla6[[#This Row],[OBJETIVOS PND]],Listas!$A$1:$C$3,3,0)</f>
        <v>1</v>
      </c>
      <c r="M291" s="70">
        <f>VLOOKUP(Tabla6[[#This Row],[PG]],Listas2!$G$14:$K$16,5,0)</f>
        <v>0</v>
      </c>
      <c r="N291" s="71">
        <v>1</v>
      </c>
      <c r="O291" s="72">
        <v>2101</v>
      </c>
      <c r="P291" s="73" t="str">
        <f>VLOOKUP(Tabla6[[#This Row],[GEO]],Listas!$A$48:$B$77,2,0)</f>
        <v>LAGO AGRIO</v>
      </c>
      <c r="Q291" s="70">
        <f>VLOOKUP(Tabla6[[#This Row],[PG]],Listas2!$G$14:$K$16,3,0)</f>
        <v>1</v>
      </c>
      <c r="R291" s="73">
        <f>VLOOKUP(Tabla6[[#This Row],[PG]],Listas2!H296:'Listas2'!$G$14:$K$16,4,0)</f>
        <v>0</v>
      </c>
      <c r="S291" s="73">
        <f>VLOOKUP(Tabla6[[#This Row],[PG]],Listas2!$G$14:$K$16,2,0)</f>
        <v>0</v>
      </c>
      <c r="T291" s="66" t="s">
        <v>84</v>
      </c>
      <c r="U291" s="74">
        <v>53</v>
      </c>
      <c r="V291" s="66">
        <v>530204</v>
      </c>
      <c r="W291" s="63" t="str">
        <f>VLOOKUP(Tabla6[[#This Row],[ÍTEM PRESUPUESTARIO]],Tabla2[#All],2,0)</f>
        <v>EDICIÓN, IMPRESIÓN, REPRODUCCIÓN, PUBLICACIONES, SUSCRIPCIONES, FOTOCOPIADO, TRADUCCIÓN, EMPASTADO, ENMARCACIÓN, SERIGRAFÍA, FOTOGRAFÍA, CARNETIZACIÓN, FILMACIÓN E IMÁGENES SATELITALES</v>
      </c>
      <c r="X291" s="57">
        <v>100</v>
      </c>
      <c r="Y291" s="57">
        <f>100-50+50</f>
        <v>100</v>
      </c>
      <c r="Z291" s="58">
        <v>0</v>
      </c>
      <c r="AA291" s="58">
        <v>0</v>
      </c>
      <c r="AB291" s="58">
        <v>0</v>
      </c>
      <c r="AC291" s="58">
        <v>0</v>
      </c>
      <c r="AD291" s="58">
        <v>0</v>
      </c>
      <c r="AE291" s="58">
        <v>0</v>
      </c>
      <c r="AF291" s="58">
        <v>0</v>
      </c>
      <c r="AG291" s="58">
        <v>0</v>
      </c>
      <c r="AH291" s="58">
        <v>0</v>
      </c>
      <c r="AI291" s="58">
        <v>0</v>
      </c>
      <c r="AJ291" s="58">
        <v>0</v>
      </c>
      <c r="AK291" s="58">
        <v>100</v>
      </c>
      <c r="AL291" s="75">
        <f>+SUBTOTAL(9,Tabla6[[#This Row],[ENE]:[DIC]])</f>
        <v>100</v>
      </c>
      <c r="AM291" s="76" t="str">
        <f t="shared" si="4"/>
        <v>OK</v>
      </c>
      <c r="AN291" s="60">
        <v>100</v>
      </c>
      <c r="AO291" s="61">
        <f>+Tabla6[[#This Row],[PRESUPUESTO VIGENTE]]-Tabla6[[#This Row],[CERTIFICACIÓN PAPP]]</f>
        <v>0</v>
      </c>
      <c r="AP291" s="59" t="s">
        <v>87</v>
      </c>
    </row>
    <row r="292" spans="1:42" ht="93" customHeight="1" x14ac:dyDescent="0.25">
      <c r="A292" s="62" t="s">
        <v>78</v>
      </c>
      <c r="B292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292" s="64" t="s">
        <v>85</v>
      </c>
      <c r="D292" s="64" t="s">
        <v>80</v>
      </c>
      <c r="E292" s="64" t="s">
        <v>81</v>
      </c>
      <c r="F292" s="64" t="s">
        <v>82</v>
      </c>
      <c r="G292" s="64" t="s">
        <v>86</v>
      </c>
      <c r="H292" s="65" t="str">
        <f>VLOOKUP(Tabla6[[#This Row],[DIRECCIÓN]],DIRECCIÓN[#All],2,0)</f>
        <v>COMUNICACIÓN SOCIAL</v>
      </c>
      <c r="I292" s="66" t="s">
        <v>933</v>
      </c>
      <c r="J292" s="67">
        <v>2</v>
      </c>
      <c r="K292" s="68" t="str">
        <f>VLOOKUP(Tabla6[[#This Row],[DIRECCIÓN GENERAL / COORDINACIÓN / SUBDIRECCIÓN]],Tabla37[[#All],[Columna1]:[EOD]],2,0)</f>
        <v>266_0001</v>
      </c>
      <c r="L292" s="69">
        <f>VLOOKUP(Tabla6[[#This Row],[OBJETIVOS PND]],Listas!$A$1:$C$3,3,0)</f>
        <v>1</v>
      </c>
      <c r="M292" s="70">
        <f>VLOOKUP(Tabla6[[#This Row],[PG]],Listas2!$G$14:$K$16,5,0)</f>
        <v>0</v>
      </c>
      <c r="N292" s="71">
        <v>1</v>
      </c>
      <c r="O292" s="72">
        <v>2101</v>
      </c>
      <c r="P292" s="73" t="str">
        <f>VLOOKUP(Tabla6[[#This Row],[GEO]],Listas!$A$48:$B$77,2,0)</f>
        <v>LAGO AGRIO</v>
      </c>
      <c r="Q292" s="70">
        <f>VLOOKUP(Tabla6[[#This Row],[PG]],Listas2!$G$14:$K$16,3,0)</f>
        <v>1</v>
      </c>
      <c r="R292" s="73">
        <f>VLOOKUP(Tabla6[[#This Row],[PG]],Listas2!H297:'Listas2'!$G$14:$K$16,4,0)</f>
        <v>0</v>
      </c>
      <c r="S292" s="73">
        <f>VLOOKUP(Tabla6[[#This Row],[PG]],Listas2!$G$14:$K$16,2,0)</f>
        <v>0</v>
      </c>
      <c r="T292" s="66" t="s">
        <v>84</v>
      </c>
      <c r="U292" s="74">
        <v>53</v>
      </c>
      <c r="V292" s="66">
        <v>530204</v>
      </c>
      <c r="W292" s="63" t="str">
        <f>VLOOKUP(Tabla6[[#This Row],[ÍTEM PRESUPUESTARIO]],Tabla2[#All],2,0)</f>
        <v>EDICIÓN, IMPRESIÓN, REPRODUCCIÓN, PUBLICACIONES, SUSCRIPCIONES, FOTOCOPIADO, TRADUCCIÓN, EMPASTADO, ENMARCACIÓN, SERIGRAFÍA, FOTOGRAFÍA, CARNETIZACIÓN, FILMACIÓN E IMÁGENES SATELITALES</v>
      </c>
      <c r="X292" s="57">
        <v>1480</v>
      </c>
      <c r="Y292" s="57">
        <f>1480-1480</f>
        <v>0</v>
      </c>
      <c r="Z292" s="58">
        <v>0</v>
      </c>
      <c r="AA292" s="58">
        <v>0</v>
      </c>
      <c r="AB292" s="58">
        <v>0</v>
      </c>
      <c r="AC292" s="58">
        <v>0</v>
      </c>
      <c r="AD292" s="58">
        <v>0</v>
      </c>
      <c r="AE292" s="58">
        <v>0</v>
      </c>
      <c r="AF292" s="58">
        <v>0</v>
      </c>
      <c r="AG292" s="58">
        <v>0</v>
      </c>
      <c r="AH292" s="58">
        <v>0</v>
      </c>
      <c r="AI292" s="58">
        <v>0</v>
      </c>
      <c r="AJ292" s="58">
        <v>0</v>
      </c>
      <c r="AK292" s="58">
        <v>0</v>
      </c>
      <c r="AL292" s="75">
        <f>+SUBTOTAL(9,Tabla6[[#This Row],[ENE]:[DIC]])</f>
        <v>0</v>
      </c>
      <c r="AM292" s="76" t="str">
        <f t="shared" si="4"/>
        <v>OK</v>
      </c>
      <c r="AN292" s="60">
        <v>0</v>
      </c>
      <c r="AO292" s="61">
        <f>+Tabla6[[#This Row],[PRESUPUESTO VIGENTE]]-Tabla6[[#This Row],[CERTIFICACIÓN PAPP]]</f>
        <v>0</v>
      </c>
      <c r="AP292" s="59">
        <v>0</v>
      </c>
    </row>
    <row r="293" spans="1:42" ht="93" customHeight="1" x14ac:dyDescent="0.25">
      <c r="A293" s="62" t="s">
        <v>78</v>
      </c>
      <c r="B293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293" s="64" t="s">
        <v>79</v>
      </c>
      <c r="D293" s="64" t="s">
        <v>80</v>
      </c>
      <c r="E293" s="64" t="s">
        <v>81</v>
      </c>
      <c r="F293" s="64" t="s">
        <v>82</v>
      </c>
      <c r="G293" s="64" t="s">
        <v>83</v>
      </c>
      <c r="H293" s="65" t="str">
        <f>VLOOKUP(Tabla6[[#This Row],[DIRECCIÓN]],DIRECCIÓN[#All],2,0)</f>
        <v>ADMINISTRACIÓN CENTRAL</v>
      </c>
      <c r="I293" s="66" t="s">
        <v>934</v>
      </c>
      <c r="J293" s="67">
        <v>1</v>
      </c>
      <c r="K293" s="68" t="str">
        <f>VLOOKUP(Tabla6[[#This Row],[DIRECCIÓN GENERAL / COORDINACIÓN / SUBDIRECCIÓN]],Tabla37[[#All],[Columna1]:[EOD]],2,0)</f>
        <v>266_0001</v>
      </c>
      <c r="L293" s="69">
        <f>VLOOKUP(Tabla6[[#This Row],[OBJETIVOS PND]],Listas!$A$1:$C$3,3,0)</f>
        <v>1</v>
      </c>
      <c r="M293" s="70">
        <f>VLOOKUP(Tabla6[[#This Row],[PG]],Listas2!$G$14:$K$16,5,0)</f>
        <v>0</v>
      </c>
      <c r="N293" s="71">
        <v>1</v>
      </c>
      <c r="O293" s="72">
        <v>2101</v>
      </c>
      <c r="P293" s="73" t="str">
        <f>VLOOKUP(Tabla6[[#This Row],[GEO]],Listas!$A$48:$B$77,2,0)</f>
        <v>LAGO AGRIO</v>
      </c>
      <c r="Q293" s="70">
        <f>VLOOKUP(Tabla6[[#This Row],[PG]],Listas2!$G$14:$K$16,3,0)</f>
        <v>1</v>
      </c>
      <c r="R293" s="73">
        <f>VLOOKUP(Tabla6[[#This Row],[PG]],Listas2!H298:'Listas2'!$G$14:$K$16,4,0)</f>
        <v>0</v>
      </c>
      <c r="S293" s="73">
        <f>VLOOKUP(Tabla6[[#This Row],[PG]],Listas2!$G$14:$K$16,2,0)</f>
        <v>0</v>
      </c>
      <c r="T293" s="66" t="s">
        <v>84</v>
      </c>
      <c r="U293" s="74">
        <v>53</v>
      </c>
      <c r="V293" s="66">
        <v>530209</v>
      </c>
      <c r="W293" s="63" t="str">
        <f>VLOOKUP(Tabla6[[#This Row],[ÍTEM PRESUPUESTARIO]],Tabla2[#All],2,0)</f>
        <v>SERVICIOS DE ASEO, LAVADO DE VESTIMENTA DE TRABAJO, FUMIGACIÓN, DESINFECCIÓN, LIMPIEZA DE INSTALACIONES, MANEJO DE DESECHOS CONTAMINADOS, RECUPERACIÓN Y CLASIFICACIÓN DE MATERIALES RECICLABLES</v>
      </c>
      <c r="X293" s="57">
        <v>3411</v>
      </c>
      <c r="Y293" s="57">
        <f>3411-0.24</f>
        <v>3410.76</v>
      </c>
      <c r="Z293" s="58">
        <v>3410.76</v>
      </c>
      <c r="AA293" s="58">
        <v>0</v>
      </c>
      <c r="AB293" s="58">
        <v>0</v>
      </c>
      <c r="AC293" s="58">
        <v>0</v>
      </c>
      <c r="AD293" s="58">
        <v>0</v>
      </c>
      <c r="AE293" s="58">
        <v>0</v>
      </c>
      <c r="AF293" s="58">
        <v>0</v>
      </c>
      <c r="AG293" s="58">
        <v>0</v>
      </c>
      <c r="AH293" s="58">
        <v>0</v>
      </c>
      <c r="AI293" s="58">
        <v>0</v>
      </c>
      <c r="AJ293" s="58">
        <v>0</v>
      </c>
      <c r="AK293" s="58">
        <v>0</v>
      </c>
      <c r="AL293" s="75">
        <f>+SUBTOTAL(9,Tabla6[[#This Row],[ENE]:[DIC]])</f>
        <v>3410.76</v>
      </c>
      <c r="AM293" s="76" t="str">
        <f t="shared" si="4"/>
        <v>OK</v>
      </c>
      <c r="AN293" s="60">
        <v>3410.76</v>
      </c>
      <c r="AO293" s="61">
        <f>+Tabla6[[#This Row],[PRESUPUESTO VIGENTE]]-Tabla6[[#This Row],[CERTIFICACIÓN PAPP]]</f>
        <v>0</v>
      </c>
      <c r="AP293" s="59">
        <v>0</v>
      </c>
    </row>
    <row r="294" spans="1:42" ht="93" customHeight="1" x14ac:dyDescent="0.25">
      <c r="A294" s="62" t="s">
        <v>78</v>
      </c>
      <c r="B294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294" s="64" t="s">
        <v>79</v>
      </c>
      <c r="D294" s="64" t="s">
        <v>80</v>
      </c>
      <c r="E294" s="64" t="s">
        <v>81</v>
      </c>
      <c r="F294" s="64" t="s">
        <v>82</v>
      </c>
      <c r="G294" s="64" t="s">
        <v>83</v>
      </c>
      <c r="H294" s="65" t="str">
        <f>VLOOKUP(Tabla6[[#This Row],[DIRECCIÓN]],DIRECCIÓN[#All],2,0)</f>
        <v>ADMINISTRACIÓN CENTRAL</v>
      </c>
      <c r="I294" s="66" t="s">
        <v>935</v>
      </c>
      <c r="J294" s="67">
        <v>1</v>
      </c>
      <c r="K294" s="68" t="str">
        <f>VLOOKUP(Tabla6[[#This Row],[DIRECCIÓN GENERAL / COORDINACIÓN / SUBDIRECCIÓN]],Tabla37[[#All],[Columna1]:[EOD]],2,0)</f>
        <v>266_0001</v>
      </c>
      <c r="L294" s="69">
        <f>VLOOKUP(Tabla6[[#This Row],[OBJETIVOS PND]],Listas!$A$1:$C$3,3,0)</f>
        <v>1</v>
      </c>
      <c r="M294" s="70">
        <f>VLOOKUP(Tabla6[[#This Row],[PG]],Listas2!$G$14:$K$16,5,0)</f>
        <v>0</v>
      </c>
      <c r="N294" s="71">
        <v>1</v>
      </c>
      <c r="O294" s="72">
        <v>2101</v>
      </c>
      <c r="P294" s="73" t="str">
        <f>VLOOKUP(Tabla6[[#This Row],[GEO]],Listas!$A$48:$B$77,2,0)</f>
        <v>LAGO AGRIO</v>
      </c>
      <c r="Q294" s="70">
        <f>VLOOKUP(Tabla6[[#This Row],[PG]],Listas2!$G$14:$K$16,3,0)</f>
        <v>1</v>
      </c>
      <c r="R294" s="73">
        <f>VLOOKUP(Tabla6[[#This Row],[PG]],Listas2!H299:'Listas2'!$G$14:$K$16,4,0)</f>
        <v>0</v>
      </c>
      <c r="S294" s="73">
        <f>VLOOKUP(Tabla6[[#This Row],[PG]],Listas2!$G$14:$K$16,2,0)</f>
        <v>0</v>
      </c>
      <c r="T294" s="66" t="s">
        <v>84</v>
      </c>
      <c r="U294" s="74">
        <v>53</v>
      </c>
      <c r="V294" s="66">
        <v>530209</v>
      </c>
      <c r="W294" s="63" t="str">
        <f>VLOOKUP(Tabla6[[#This Row],[ÍTEM PRESUPUESTARIO]],Tabla2[#All],2,0)</f>
        <v>SERVICIOS DE ASEO, LAVADO DE VESTIMENTA DE TRABAJO, FUMIGACIÓN, DESINFECCIÓN, LIMPIEZA DE INSTALACIONES, MANEJO DE DESECHOS CONTAMINADOS, RECUPERACIÓN Y CLASIFICACIÓN DE MATERIALES RECICLABLES</v>
      </c>
      <c r="X294" s="57">
        <v>17055</v>
      </c>
      <c r="Y294" s="57">
        <f>17055+23877-2.88-1329-1040.88-1040.88</f>
        <v>37518.360000000008</v>
      </c>
      <c r="Z294" s="58">
        <v>0</v>
      </c>
      <c r="AA294" s="58">
        <v>3721.09</v>
      </c>
      <c r="AB294" s="58">
        <v>3721.09</v>
      </c>
      <c r="AC294" s="58">
        <v>3721.09</v>
      </c>
      <c r="AD294" s="58">
        <v>3721.09</v>
      </c>
      <c r="AE294" s="58">
        <v>3721.09</v>
      </c>
      <c r="AF294" s="58">
        <v>3721.09</v>
      </c>
      <c r="AG294" s="58">
        <v>3721.09</v>
      </c>
      <c r="AH294" s="58">
        <v>3721.09</v>
      </c>
      <c r="AI294" s="58">
        <v>3721.09</v>
      </c>
      <c r="AJ294" s="58">
        <v>3721.09</v>
      </c>
      <c r="AK294" s="58">
        <v>307.45999999999998</v>
      </c>
      <c r="AL294" s="75">
        <f>+SUBTOTAL(9,Tabla6[[#This Row],[ENE]:[DIC]])</f>
        <v>37518.359999999993</v>
      </c>
      <c r="AM294" s="76" t="str">
        <f t="shared" si="4"/>
        <v>OK</v>
      </c>
      <c r="AN294" s="60">
        <f>20464.56+20464.56-3410.76</f>
        <v>37518.36</v>
      </c>
      <c r="AO294" s="61">
        <f>+Tabla6[[#This Row],[PRESUPUESTO VIGENTE]]-Tabla6[[#This Row],[CERTIFICACIÓN PAPP]]</f>
        <v>0</v>
      </c>
      <c r="AP294" s="59">
        <v>0</v>
      </c>
    </row>
    <row r="295" spans="1:42" ht="93" customHeight="1" x14ac:dyDescent="0.25">
      <c r="A295" s="62" t="s">
        <v>78</v>
      </c>
      <c r="B295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295" s="64" t="s">
        <v>79</v>
      </c>
      <c r="D295" s="64" t="s">
        <v>80</v>
      </c>
      <c r="E295" s="64" t="s">
        <v>81</v>
      </c>
      <c r="F295" s="64" t="s">
        <v>82</v>
      </c>
      <c r="G295" s="64" t="s">
        <v>83</v>
      </c>
      <c r="H295" s="65" t="str">
        <f>VLOOKUP(Tabla6[[#This Row],[DIRECCIÓN]],DIRECCIÓN[#All],2,0)</f>
        <v>ADMINISTRACIÓN CENTRAL</v>
      </c>
      <c r="I295" s="66" t="s">
        <v>936</v>
      </c>
      <c r="J295" s="67">
        <v>2</v>
      </c>
      <c r="K295" s="68" t="str">
        <f>VLOOKUP(Tabla6[[#This Row],[DIRECCIÓN GENERAL / COORDINACIÓN / SUBDIRECCIÓN]],Tabla37[[#All],[Columna1]:[EOD]],2,0)</f>
        <v>266_0001</v>
      </c>
      <c r="L295" s="69">
        <f>VLOOKUP(Tabla6[[#This Row],[OBJETIVOS PND]],Listas!$A$1:$C$3,3,0)</f>
        <v>1</v>
      </c>
      <c r="M295" s="70">
        <f>VLOOKUP(Tabla6[[#This Row],[PG]],Listas2!$G$14:$K$16,5,0)</f>
        <v>0</v>
      </c>
      <c r="N295" s="71">
        <v>1</v>
      </c>
      <c r="O295" s="72">
        <v>2101</v>
      </c>
      <c r="P295" s="73" t="str">
        <f>VLOOKUP(Tabla6[[#This Row],[GEO]],Listas!$A$48:$B$77,2,0)</f>
        <v>LAGO AGRIO</v>
      </c>
      <c r="Q295" s="70">
        <f>VLOOKUP(Tabla6[[#This Row],[PG]],Listas2!$G$14:$K$16,3,0)</f>
        <v>1</v>
      </c>
      <c r="R295" s="73">
        <f>VLOOKUP(Tabla6[[#This Row],[PG]],Listas2!H300:'Listas2'!$G$14:$K$16,4,0)</f>
        <v>0</v>
      </c>
      <c r="S295" s="73">
        <f>VLOOKUP(Tabla6[[#This Row],[PG]],Listas2!$G$14:$K$16,2,0)</f>
        <v>0</v>
      </c>
      <c r="T295" s="66" t="s">
        <v>84</v>
      </c>
      <c r="U295" s="74">
        <v>53</v>
      </c>
      <c r="V295" s="66">
        <v>530210</v>
      </c>
      <c r="W295" s="63" t="str">
        <f>VLOOKUP(Tabla6[[#This Row],[ÍTEM PRESUPUESTARIO]],Tabla2[#All],2,0)</f>
        <v>SERVICIO DE GUARDERÍA</v>
      </c>
      <c r="X295" s="57">
        <v>0</v>
      </c>
      <c r="Y295" s="57">
        <f>3348-1860</f>
        <v>1488</v>
      </c>
      <c r="Z295" s="58">
        <v>0</v>
      </c>
      <c r="AA295" s="58">
        <v>0</v>
      </c>
      <c r="AB295" s="58">
        <v>0</v>
      </c>
      <c r="AC295" s="58">
        <v>0</v>
      </c>
      <c r="AD295" s="58">
        <v>0</v>
      </c>
      <c r="AE295" s="58">
        <v>0</v>
      </c>
      <c r="AF295" s="58">
        <v>0</v>
      </c>
      <c r="AG295" s="58">
        <v>0</v>
      </c>
      <c r="AH295" s="58">
        <v>0</v>
      </c>
      <c r="AI295" s="58">
        <v>0</v>
      </c>
      <c r="AJ295" s="58">
        <v>1488</v>
      </c>
      <c r="AK295" s="58">
        <v>0</v>
      </c>
      <c r="AL295" s="75">
        <f>+SUBTOTAL(9,Tabla6[[#This Row],[ENE]:[DIC]])</f>
        <v>1488</v>
      </c>
      <c r="AM295" s="76" t="str">
        <f t="shared" si="4"/>
        <v>OK</v>
      </c>
      <c r="AN295" s="60">
        <v>1488</v>
      </c>
      <c r="AO295" s="61">
        <f>+Tabla6[[#This Row],[PRESUPUESTO VIGENTE]]-Tabla6[[#This Row],[CERTIFICACIÓN PAPP]]</f>
        <v>0</v>
      </c>
      <c r="AP295" s="59">
        <v>0</v>
      </c>
    </row>
    <row r="296" spans="1:42" ht="93" customHeight="1" x14ac:dyDescent="0.25">
      <c r="A296" s="62" t="s">
        <v>78</v>
      </c>
      <c r="B296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296" s="64" t="s">
        <v>79</v>
      </c>
      <c r="D296" s="64" t="s">
        <v>80</v>
      </c>
      <c r="E296" s="64" t="s">
        <v>81</v>
      </c>
      <c r="F296" s="64" t="s">
        <v>82</v>
      </c>
      <c r="G296" s="64" t="s">
        <v>83</v>
      </c>
      <c r="H296" s="65" t="str">
        <f>VLOOKUP(Tabla6[[#This Row],[DIRECCIÓN]],DIRECCIÓN[#All],2,0)</f>
        <v>ADMINISTRACIÓN CENTRAL</v>
      </c>
      <c r="I296" s="66" t="s">
        <v>937</v>
      </c>
      <c r="J296" s="67">
        <v>2</v>
      </c>
      <c r="K296" s="68" t="str">
        <f>VLOOKUP(Tabla6[[#This Row],[DIRECCIÓN GENERAL / COORDINACIÓN / SUBDIRECCIÓN]],Tabla37[[#All],[Columna1]:[EOD]],2,0)</f>
        <v>266_0001</v>
      </c>
      <c r="L296" s="69">
        <f>VLOOKUP(Tabla6[[#This Row],[OBJETIVOS PND]],Listas!$A$1:$C$3,3,0)</f>
        <v>1</v>
      </c>
      <c r="M296" s="70">
        <f>VLOOKUP(Tabla6[[#This Row],[PG]],Listas2!$G$14:$K$16,5,0)</f>
        <v>0</v>
      </c>
      <c r="N296" s="71">
        <v>1</v>
      </c>
      <c r="O296" s="72">
        <v>2101</v>
      </c>
      <c r="P296" s="73" t="str">
        <f>VLOOKUP(Tabla6[[#This Row],[GEO]],Listas!$A$48:$B$77,2,0)</f>
        <v>LAGO AGRIO</v>
      </c>
      <c r="Q296" s="70">
        <f>VLOOKUP(Tabla6[[#This Row],[PG]],Listas2!$G$14:$K$16,3,0)</f>
        <v>1</v>
      </c>
      <c r="R296" s="73">
        <f>VLOOKUP(Tabla6[[#This Row],[PG]],Listas2!H301:'Listas2'!$G$14:$K$16,4,0)</f>
        <v>0</v>
      </c>
      <c r="S296" s="73">
        <f>VLOOKUP(Tabla6[[#This Row],[PG]],Listas2!$G$14:$K$16,2,0)</f>
        <v>0</v>
      </c>
      <c r="T296" s="66" t="s">
        <v>84</v>
      </c>
      <c r="U296" s="74">
        <v>53</v>
      </c>
      <c r="V296" s="66">
        <v>530246</v>
      </c>
      <c r="W296" s="63" t="str">
        <f>VLOOKUP(Tabla6[[#This Row],[ÍTEM PRESUPUESTARIO]],Tabla2[#All],2,0)</f>
        <v>SERVICIOS DE IDENTIFICACIÓN, MARCACIÓN, AUTENTIFICACIÓN, RASTREO, MONITOREO, SEGUIMIENTO Y/O TRAZABILIDAD</v>
      </c>
      <c r="X296" s="57">
        <v>0</v>
      </c>
      <c r="Y296" s="57">
        <f>1000-680-69.28</f>
        <v>250.72</v>
      </c>
      <c r="Z296" s="58">
        <v>0</v>
      </c>
      <c r="AA296" s="58">
        <v>0</v>
      </c>
      <c r="AB296" s="58">
        <v>0</v>
      </c>
      <c r="AC296" s="58">
        <v>0</v>
      </c>
      <c r="AD296" s="58">
        <v>250.72</v>
      </c>
      <c r="AE296" s="58">
        <v>0</v>
      </c>
      <c r="AF296" s="58">
        <v>0</v>
      </c>
      <c r="AG296" s="58">
        <v>0</v>
      </c>
      <c r="AH296" s="58">
        <v>0</v>
      </c>
      <c r="AI296" s="58">
        <v>0</v>
      </c>
      <c r="AJ296" s="58">
        <v>0</v>
      </c>
      <c r="AK296" s="58">
        <v>0</v>
      </c>
      <c r="AL296" s="75">
        <f>+SUBTOTAL(9,Tabla6[[#This Row],[ENE]:[DIC]])</f>
        <v>250.72</v>
      </c>
      <c r="AM296" s="76" t="str">
        <f t="shared" si="4"/>
        <v>OK</v>
      </c>
      <c r="AN296" s="60">
        <f>320-69.28</f>
        <v>250.72</v>
      </c>
      <c r="AO296" s="61">
        <f>+Tabla6[[#This Row],[PRESUPUESTO VIGENTE]]-Tabla6[[#This Row],[CERTIFICACIÓN PAPP]]</f>
        <v>0</v>
      </c>
      <c r="AP296" s="59" t="s">
        <v>87</v>
      </c>
    </row>
    <row r="297" spans="1:42" ht="93" customHeight="1" x14ac:dyDescent="0.25">
      <c r="A297" s="62" t="s">
        <v>78</v>
      </c>
      <c r="B297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297" s="64" t="s">
        <v>79</v>
      </c>
      <c r="D297" s="64" t="s">
        <v>80</v>
      </c>
      <c r="E297" s="64" t="s">
        <v>81</v>
      </c>
      <c r="F297" s="64" t="s">
        <v>82</v>
      </c>
      <c r="G297" s="64" t="s">
        <v>83</v>
      </c>
      <c r="H297" s="65" t="str">
        <f>VLOOKUP(Tabla6[[#This Row],[DIRECCIÓN]],DIRECCIÓN[#All],2,0)</f>
        <v>ADMINISTRACIÓN CENTRAL</v>
      </c>
      <c r="I297" s="66" t="s">
        <v>938</v>
      </c>
      <c r="J297" s="67">
        <v>1</v>
      </c>
      <c r="K297" s="68" t="str">
        <f>VLOOKUP(Tabla6[[#This Row],[DIRECCIÓN GENERAL / COORDINACIÓN / SUBDIRECCIÓN]],Tabla37[[#All],[Columna1]:[EOD]],2,0)</f>
        <v>266_0001</v>
      </c>
      <c r="L297" s="69">
        <f>VLOOKUP(Tabla6[[#This Row],[OBJETIVOS PND]],Listas!$A$1:$C$3,3,0)</f>
        <v>1</v>
      </c>
      <c r="M297" s="70">
        <f>VLOOKUP(Tabla6[[#This Row],[PG]],Listas2!$G$14:$K$16,5,0)</f>
        <v>0</v>
      </c>
      <c r="N297" s="71">
        <v>1</v>
      </c>
      <c r="O297" s="72">
        <v>2101</v>
      </c>
      <c r="P297" s="73" t="str">
        <f>VLOOKUP(Tabla6[[#This Row],[GEO]],Listas!$A$48:$B$77,2,0)</f>
        <v>LAGO AGRIO</v>
      </c>
      <c r="Q297" s="70">
        <f>VLOOKUP(Tabla6[[#This Row],[PG]],Listas2!$G$14:$K$16,3,0)</f>
        <v>1</v>
      </c>
      <c r="R297" s="73">
        <f>VLOOKUP(Tabla6[[#This Row],[PG]],Listas2!H302:'Listas2'!$G$14:$K$16,4,0)</f>
        <v>0</v>
      </c>
      <c r="S297" s="73">
        <f>VLOOKUP(Tabla6[[#This Row],[PG]],Listas2!$G$14:$K$16,2,0)</f>
        <v>0</v>
      </c>
      <c r="T297" s="66" t="s">
        <v>84</v>
      </c>
      <c r="U297" s="74">
        <v>53</v>
      </c>
      <c r="V297" s="66">
        <v>530255</v>
      </c>
      <c r="W297" s="63" t="str">
        <f>VLOOKUP(Tabla6[[#This Row],[ÍTEM PRESUPUESTARIO]],Tabla2[#All],2,0)</f>
        <v>COMBUSTIBLES</v>
      </c>
      <c r="X297" s="57">
        <v>0</v>
      </c>
      <c r="Y297" s="57">
        <f>3200+3500-3565</f>
        <v>3135</v>
      </c>
      <c r="Z297" s="58">
        <v>0</v>
      </c>
      <c r="AA297" s="58">
        <v>0</v>
      </c>
      <c r="AB297" s="58">
        <v>540</v>
      </c>
      <c r="AC297" s="58">
        <v>0</v>
      </c>
      <c r="AD297" s="58">
        <v>540</v>
      </c>
      <c r="AE297" s="58">
        <v>0</v>
      </c>
      <c r="AF297" s="58">
        <v>2055</v>
      </c>
      <c r="AG297" s="58">
        <v>0</v>
      </c>
      <c r="AH297" s="58">
        <v>0</v>
      </c>
      <c r="AI297" s="58">
        <v>0</v>
      </c>
      <c r="AJ297" s="58">
        <v>0</v>
      </c>
      <c r="AK297" s="58">
        <v>0</v>
      </c>
      <c r="AL297" s="75">
        <f>+SUBTOTAL(9,Tabla6[[#This Row],[ENE]:[DIC]])</f>
        <v>3135</v>
      </c>
      <c r="AM297" s="76" t="str">
        <f t="shared" si="4"/>
        <v>OK</v>
      </c>
      <c r="AN297" s="60">
        <v>3135</v>
      </c>
      <c r="AO297" s="61">
        <f>+Tabla6[[#This Row],[PRESUPUESTO VIGENTE]]-Tabla6[[#This Row],[CERTIFICACIÓN PAPP]]</f>
        <v>0</v>
      </c>
      <c r="AP297" s="59" t="s">
        <v>87</v>
      </c>
    </row>
    <row r="298" spans="1:42" ht="93" customHeight="1" x14ac:dyDescent="0.25">
      <c r="A298" s="62" t="s">
        <v>78</v>
      </c>
      <c r="B298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298" s="64" t="s">
        <v>79</v>
      </c>
      <c r="D298" s="64" t="s">
        <v>80</v>
      </c>
      <c r="E298" s="64" t="s">
        <v>81</v>
      </c>
      <c r="F298" s="64" t="s">
        <v>82</v>
      </c>
      <c r="G298" s="64" t="s">
        <v>83</v>
      </c>
      <c r="H298" s="65" t="str">
        <f>VLOOKUP(Tabla6[[#This Row],[DIRECCIÓN]],DIRECCIÓN[#All],2,0)</f>
        <v>ADMINISTRACIÓN CENTRAL</v>
      </c>
      <c r="I298" s="66" t="s">
        <v>939</v>
      </c>
      <c r="J298" s="67">
        <v>1</v>
      </c>
      <c r="K298" s="68" t="str">
        <f>VLOOKUP(Tabla6[[#This Row],[DIRECCIÓN GENERAL / COORDINACIÓN / SUBDIRECCIÓN]],Tabla37[[#All],[Columna1]:[EOD]],2,0)</f>
        <v>266_0001</v>
      </c>
      <c r="L298" s="69">
        <f>VLOOKUP(Tabla6[[#This Row],[OBJETIVOS PND]],Listas!$A$1:$C$3,3,0)</f>
        <v>1</v>
      </c>
      <c r="M298" s="70">
        <f>VLOOKUP(Tabla6[[#This Row],[PG]],Listas2!$G$14:$K$16,5,0)</f>
        <v>0</v>
      </c>
      <c r="N298" s="71">
        <v>1</v>
      </c>
      <c r="O298" s="72">
        <v>2101</v>
      </c>
      <c r="P298" s="73" t="str">
        <f>VLOOKUP(Tabla6[[#This Row],[GEO]],Listas!$A$48:$B$77,2,0)</f>
        <v>LAGO AGRIO</v>
      </c>
      <c r="Q298" s="70">
        <f>VLOOKUP(Tabla6[[#This Row],[PG]],Listas2!$G$14:$K$16,3,0)</f>
        <v>1</v>
      </c>
      <c r="R298" s="73">
        <f>VLOOKUP(Tabla6[[#This Row],[PG]],Listas2!H303:'Listas2'!$G$14:$K$16,4,0)</f>
        <v>0</v>
      </c>
      <c r="S298" s="73">
        <f>VLOOKUP(Tabla6[[#This Row],[PG]],Listas2!$G$14:$K$16,2,0)</f>
        <v>0</v>
      </c>
      <c r="T298" s="66" t="s">
        <v>84</v>
      </c>
      <c r="U298" s="74">
        <v>53</v>
      </c>
      <c r="V298" s="66">
        <v>530255</v>
      </c>
      <c r="W298" s="63" t="str">
        <f>VLOOKUP(Tabla6[[#This Row],[ÍTEM PRESUPUESTARIO]],Tabla2[#All],2,0)</f>
        <v>COMBUSTIBLES</v>
      </c>
      <c r="X298" s="57">
        <v>0</v>
      </c>
      <c r="Y298" s="57">
        <f>100-32.5+32.5</f>
        <v>100</v>
      </c>
      <c r="Z298" s="58">
        <v>0</v>
      </c>
      <c r="AA298" s="58">
        <v>0</v>
      </c>
      <c r="AB298" s="58">
        <v>10</v>
      </c>
      <c r="AC298" s="58">
        <v>0</v>
      </c>
      <c r="AD298" s="58">
        <v>0</v>
      </c>
      <c r="AE298" s="58">
        <v>0</v>
      </c>
      <c r="AF298" s="58">
        <v>0</v>
      </c>
      <c r="AG298" s="58">
        <v>0</v>
      </c>
      <c r="AH298" s="58">
        <v>0</v>
      </c>
      <c r="AI298" s="58">
        <v>0</v>
      </c>
      <c r="AJ298" s="58">
        <v>0</v>
      </c>
      <c r="AK298" s="58">
        <v>90</v>
      </c>
      <c r="AL298" s="75">
        <f>+SUBTOTAL(9,Tabla6[[#This Row],[ENE]:[DIC]])</f>
        <v>100</v>
      </c>
      <c r="AM298" s="76" t="str">
        <f t="shared" si="4"/>
        <v>OK</v>
      </c>
      <c r="AN298" s="60">
        <v>100</v>
      </c>
      <c r="AO298" s="61">
        <f>+Tabla6[[#This Row],[PRESUPUESTO VIGENTE]]-Tabla6[[#This Row],[CERTIFICACIÓN PAPP]]</f>
        <v>0</v>
      </c>
      <c r="AP298" s="59" t="s">
        <v>87</v>
      </c>
    </row>
    <row r="299" spans="1:42" ht="93" customHeight="1" x14ac:dyDescent="0.25">
      <c r="A299" s="62" t="s">
        <v>78</v>
      </c>
      <c r="B299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299" s="64" t="s">
        <v>79</v>
      </c>
      <c r="D299" s="64" t="s">
        <v>80</v>
      </c>
      <c r="E299" s="64" t="s">
        <v>81</v>
      </c>
      <c r="F299" s="64" t="s">
        <v>82</v>
      </c>
      <c r="G299" s="64" t="s">
        <v>83</v>
      </c>
      <c r="H299" s="65" t="str">
        <f>VLOOKUP(Tabla6[[#This Row],[DIRECCIÓN]],DIRECCIÓN[#All],2,0)</f>
        <v>ADMINISTRACIÓN CENTRAL</v>
      </c>
      <c r="I299" s="66" t="s">
        <v>940</v>
      </c>
      <c r="J299" s="67">
        <v>1</v>
      </c>
      <c r="K299" s="68" t="str">
        <f>VLOOKUP(Tabla6[[#This Row],[DIRECCIÓN GENERAL / COORDINACIÓN / SUBDIRECCIÓN]],Tabla37[[#All],[Columna1]:[EOD]],2,0)</f>
        <v>266_0001</v>
      </c>
      <c r="L299" s="69">
        <f>VLOOKUP(Tabla6[[#This Row],[OBJETIVOS PND]],Listas!$A$1:$C$3,3,0)</f>
        <v>1</v>
      </c>
      <c r="M299" s="70">
        <f>VLOOKUP(Tabla6[[#This Row],[PG]],Listas2!$G$14:$K$16,5,0)</f>
        <v>0</v>
      </c>
      <c r="N299" s="71">
        <v>1</v>
      </c>
      <c r="O299" s="72">
        <v>2101</v>
      </c>
      <c r="P299" s="73" t="str">
        <f>VLOOKUP(Tabla6[[#This Row],[GEO]],Listas!$A$48:$B$77,2,0)</f>
        <v>LAGO AGRIO</v>
      </c>
      <c r="Q299" s="70">
        <f>VLOOKUP(Tabla6[[#This Row],[PG]],Listas2!$G$14:$K$16,3,0)</f>
        <v>1</v>
      </c>
      <c r="R299" s="73">
        <f>VLOOKUP(Tabla6[[#This Row],[PG]],Listas2!H304:'Listas2'!$G$14:$K$16,4,0)</f>
        <v>0</v>
      </c>
      <c r="S299" s="73">
        <f>VLOOKUP(Tabla6[[#This Row],[PG]],Listas2!$G$14:$K$16,2,0)</f>
        <v>0</v>
      </c>
      <c r="T299" s="66" t="s">
        <v>84</v>
      </c>
      <c r="U299" s="74">
        <v>53</v>
      </c>
      <c r="V299" s="66">
        <v>530301</v>
      </c>
      <c r="W299" s="63" t="str">
        <f>VLOOKUP(Tabla6[[#This Row],[ÍTEM PRESUPUESTARIO]],Tabla2[#All],2,0)</f>
        <v>PASAJES AL INTERIOR</v>
      </c>
      <c r="X299" s="57">
        <v>100</v>
      </c>
      <c r="Y299" s="57">
        <f>100+700-400-369</f>
        <v>31</v>
      </c>
      <c r="Z299" s="58">
        <v>0</v>
      </c>
      <c r="AA299" s="58">
        <v>0</v>
      </c>
      <c r="AB299" s="58">
        <v>0</v>
      </c>
      <c r="AC299" s="58">
        <v>25</v>
      </c>
      <c r="AD299" s="58">
        <v>0</v>
      </c>
      <c r="AE299" s="58">
        <v>0</v>
      </c>
      <c r="AF299" s="58">
        <v>0</v>
      </c>
      <c r="AG299" s="58">
        <v>0</v>
      </c>
      <c r="AH299" s="58">
        <v>0</v>
      </c>
      <c r="AI299" s="58">
        <v>0</v>
      </c>
      <c r="AJ299" s="58">
        <v>0</v>
      </c>
      <c r="AK299" s="58">
        <v>6</v>
      </c>
      <c r="AL299" s="75">
        <f>+SUBTOTAL(9,Tabla6[[#This Row],[ENE]:[DIC]])</f>
        <v>31</v>
      </c>
      <c r="AM299" s="76" t="str">
        <f t="shared" si="4"/>
        <v>OK</v>
      </c>
      <c r="AN299" s="60">
        <v>31</v>
      </c>
      <c r="AO299" s="61">
        <f>+Tabla6[[#This Row],[PRESUPUESTO VIGENTE]]-Tabla6[[#This Row],[CERTIFICACIÓN PAPP]]</f>
        <v>0</v>
      </c>
      <c r="AP299" s="59">
        <v>0</v>
      </c>
    </row>
    <row r="300" spans="1:42" ht="93" customHeight="1" x14ac:dyDescent="0.25">
      <c r="A300" s="62" t="s">
        <v>78</v>
      </c>
      <c r="B300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300" s="64" t="s">
        <v>79</v>
      </c>
      <c r="D300" s="64" t="s">
        <v>80</v>
      </c>
      <c r="E300" s="64" t="s">
        <v>81</v>
      </c>
      <c r="F300" s="64" t="s">
        <v>82</v>
      </c>
      <c r="G300" s="64" t="s">
        <v>83</v>
      </c>
      <c r="H300" s="65" t="str">
        <f>VLOOKUP(Tabla6[[#This Row],[DIRECCIÓN]],DIRECCIÓN[#All],2,0)</f>
        <v>ADMINISTRACIÓN CENTRAL</v>
      </c>
      <c r="I300" s="66" t="s">
        <v>941</v>
      </c>
      <c r="J300" s="67">
        <v>1</v>
      </c>
      <c r="K300" s="68" t="str">
        <f>VLOOKUP(Tabla6[[#This Row],[DIRECCIÓN GENERAL / COORDINACIÓN / SUBDIRECCIÓN]],Tabla37[[#All],[Columna1]:[EOD]],2,0)</f>
        <v>266_0001</v>
      </c>
      <c r="L300" s="69">
        <f>VLOOKUP(Tabla6[[#This Row],[OBJETIVOS PND]],Listas!$A$1:$C$3,3,0)</f>
        <v>1</v>
      </c>
      <c r="M300" s="70">
        <f>VLOOKUP(Tabla6[[#This Row],[PG]],Listas2!$G$14:$K$16,5,0)</f>
        <v>0</v>
      </c>
      <c r="N300" s="71">
        <v>1</v>
      </c>
      <c r="O300" s="72">
        <v>2101</v>
      </c>
      <c r="P300" s="73" t="str">
        <f>VLOOKUP(Tabla6[[#This Row],[GEO]],Listas!$A$48:$B$77,2,0)</f>
        <v>LAGO AGRIO</v>
      </c>
      <c r="Q300" s="70">
        <f>VLOOKUP(Tabla6[[#This Row],[PG]],Listas2!$G$14:$K$16,3,0)</f>
        <v>1</v>
      </c>
      <c r="R300" s="73">
        <f>VLOOKUP(Tabla6[[#This Row],[PG]],Listas2!H305:'Listas2'!$G$14:$K$16,4,0)</f>
        <v>0</v>
      </c>
      <c r="S300" s="73">
        <f>VLOOKUP(Tabla6[[#This Row],[PG]],Listas2!$G$14:$K$16,2,0)</f>
        <v>0</v>
      </c>
      <c r="T300" s="66" t="s">
        <v>84</v>
      </c>
      <c r="U300" s="74">
        <v>53</v>
      </c>
      <c r="V300" s="66">
        <v>530303</v>
      </c>
      <c r="W300" s="63" t="str">
        <f>VLOOKUP(Tabla6[[#This Row],[ÍTEM PRESUPUESTARIO]],Tabla2[#All],2,0)</f>
        <v>VIÁTICOS Y SUBSISTENCIAS EN EL INTERIOR</v>
      </c>
      <c r="X300" s="57">
        <v>1500</v>
      </c>
      <c r="Y300" s="57">
        <f>1500+1536+1700-875.26+1200-3.57</f>
        <v>5057.17</v>
      </c>
      <c r="Z300" s="58">
        <v>0</v>
      </c>
      <c r="AA300" s="58">
        <v>0</v>
      </c>
      <c r="AB300" s="58">
        <v>0</v>
      </c>
      <c r="AC300" s="58">
        <v>375</v>
      </c>
      <c r="AD300" s="58">
        <v>0</v>
      </c>
      <c r="AE300" s="58">
        <v>0</v>
      </c>
      <c r="AF300" s="58">
        <v>0</v>
      </c>
      <c r="AG300" s="58">
        <v>0</v>
      </c>
      <c r="AH300" s="58">
        <v>0</v>
      </c>
      <c r="AI300" s="58">
        <v>0</v>
      </c>
      <c r="AJ300" s="58">
        <v>0</v>
      </c>
      <c r="AK300" s="58">
        <v>4682.17</v>
      </c>
      <c r="AL300" s="75">
        <f>+SUBTOTAL(9,Tabla6[[#This Row],[ENE]:[DIC]])</f>
        <v>5057.17</v>
      </c>
      <c r="AM300" s="76" t="str">
        <f t="shared" si="4"/>
        <v>OK</v>
      </c>
      <c r="AN300" s="60">
        <v>5057.17</v>
      </c>
      <c r="AO300" s="61">
        <f>+Tabla6[[#This Row],[PRESUPUESTO VIGENTE]]-Tabla6[[#This Row],[CERTIFICACIÓN PAPP]]</f>
        <v>0</v>
      </c>
      <c r="AP300" s="59">
        <v>0</v>
      </c>
    </row>
    <row r="301" spans="1:42" ht="93" customHeight="1" x14ac:dyDescent="0.25">
      <c r="A301" s="62" t="s">
        <v>78</v>
      </c>
      <c r="B301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301" s="64" t="s">
        <v>79</v>
      </c>
      <c r="D301" s="64" t="s">
        <v>80</v>
      </c>
      <c r="E301" s="64" t="s">
        <v>81</v>
      </c>
      <c r="F301" s="64" t="s">
        <v>82</v>
      </c>
      <c r="G301" s="64" t="s">
        <v>83</v>
      </c>
      <c r="H301" s="65" t="str">
        <f>VLOOKUP(Tabla6[[#This Row],[DIRECCIÓN]],DIRECCIÓN[#All],2,0)</f>
        <v>ADMINISTRACIÓN CENTRAL</v>
      </c>
      <c r="I301" s="66" t="s">
        <v>942</v>
      </c>
      <c r="J301" s="67">
        <v>1</v>
      </c>
      <c r="K301" s="68" t="str">
        <f>VLOOKUP(Tabla6[[#This Row],[DIRECCIÓN GENERAL / COORDINACIÓN / SUBDIRECCIÓN]],Tabla37[[#All],[Columna1]:[EOD]],2,0)</f>
        <v>266_0001</v>
      </c>
      <c r="L301" s="69">
        <f>VLOOKUP(Tabla6[[#This Row],[OBJETIVOS PND]],Listas!$A$1:$C$3,3,0)</f>
        <v>1</v>
      </c>
      <c r="M301" s="70">
        <f>VLOOKUP(Tabla6[[#This Row],[PG]],Listas2!$G$14:$K$16,5,0)</f>
        <v>0</v>
      </c>
      <c r="N301" s="71">
        <v>1</v>
      </c>
      <c r="O301" s="72">
        <v>2101</v>
      </c>
      <c r="P301" s="73" t="str">
        <f>VLOOKUP(Tabla6[[#This Row],[GEO]],Listas!$A$48:$B$77,2,0)</f>
        <v>LAGO AGRIO</v>
      </c>
      <c r="Q301" s="70">
        <f>VLOOKUP(Tabla6[[#This Row],[PG]],Listas2!$G$14:$K$16,3,0)</f>
        <v>1</v>
      </c>
      <c r="R301" s="73">
        <f>VLOOKUP(Tabla6[[#This Row],[PG]],Listas2!H306:'Listas2'!$G$14:$K$16,4,0)</f>
        <v>0</v>
      </c>
      <c r="S301" s="73">
        <f>VLOOKUP(Tabla6[[#This Row],[PG]],Listas2!$G$14:$K$16,2,0)</f>
        <v>0</v>
      </c>
      <c r="T301" s="66" t="s">
        <v>84</v>
      </c>
      <c r="U301" s="74">
        <v>53</v>
      </c>
      <c r="V301" s="66">
        <v>530402</v>
      </c>
      <c r="W301" s="63" t="str">
        <f>VLOOKUP(Tabla6[[#This Row],[ÍTEM PRESUPUESTARIO]],Tabla2[#All],2,0)</f>
        <v>EDIFICIOS, LOCALES, RESIDENCIAS Y CABLEADO ESTRUCTURADO (INSTALACIÓN, MANTENIMIENTO Y REPARACIÓN)</v>
      </c>
      <c r="X301" s="57">
        <v>3000</v>
      </c>
      <c r="Y301" s="57">
        <f>3000+3300-608</f>
        <v>5692</v>
      </c>
      <c r="Z301" s="58">
        <v>0</v>
      </c>
      <c r="AA301" s="58">
        <v>0</v>
      </c>
      <c r="AB301" s="58">
        <v>0</v>
      </c>
      <c r="AC301" s="58">
        <v>0</v>
      </c>
      <c r="AD301" s="58">
        <v>0</v>
      </c>
      <c r="AE301" s="58">
        <v>0</v>
      </c>
      <c r="AF301" s="58">
        <v>0</v>
      </c>
      <c r="AG301" s="58">
        <v>5692</v>
      </c>
      <c r="AH301" s="58">
        <v>0</v>
      </c>
      <c r="AI301" s="58">
        <v>0</v>
      </c>
      <c r="AJ301" s="58">
        <v>0</v>
      </c>
      <c r="AK301" s="58">
        <v>0</v>
      </c>
      <c r="AL301" s="75">
        <f>+SUBTOTAL(9,Tabla6[[#This Row],[ENE]:[DIC]])</f>
        <v>5692</v>
      </c>
      <c r="AM301" s="76" t="str">
        <f t="shared" si="4"/>
        <v>OK</v>
      </c>
      <c r="AN301" s="60">
        <v>5692</v>
      </c>
      <c r="AO301" s="61">
        <f>+Tabla6[[#This Row],[PRESUPUESTO VIGENTE]]-Tabla6[[#This Row],[CERTIFICACIÓN PAPP]]</f>
        <v>0</v>
      </c>
      <c r="AP301" s="59">
        <v>0</v>
      </c>
    </row>
    <row r="302" spans="1:42" ht="93" customHeight="1" x14ac:dyDescent="0.25">
      <c r="A302" s="62" t="s">
        <v>78</v>
      </c>
      <c r="B302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302" s="64" t="s">
        <v>79</v>
      </c>
      <c r="D302" s="64" t="s">
        <v>80</v>
      </c>
      <c r="E302" s="64" t="s">
        <v>81</v>
      </c>
      <c r="F302" s="64" t="s">
        <v>82</v>
      </c>
      <c r="G302" s="64" t="s">
        <v>83</v>
      </c>
      <c r="H302" s="65" t="str">
        <f>VLOOKUP(Tabla6[[#This Row],[DIRECCIÓN]],DIRECCIÓN[#All],2,0)</f>
        <v>ADMINISTRACIÓN CENTRAL</v>
      </c>
      <c r="I302" s="66" t="s">
        <v>895</v>
      </c>
      <c r="J302" s="67">
        <v>1</v>
      </c>
      <c r="K302" s="68" t="str">
        <f>VLOOKUP(Tabla6[[#This Row],[DIRECCIÓN GENERAL / COORDINACIÓN / SUBDIRECCIÓN]],Tabla37[[#All],[Columna1]:[EOD]],2,0)</f>
        <v>266_0001</v>
      </c>
      <c r="L302" s="69">
        <f>VLOOKUP(Tabla6[[#This Row],[OBJETIVOS PND]],Listas!$A$1:$C$3,3,0)</f>
        <v>1</v>
      </c>
      <c r="M302" s="70">
        <f>VLOOKUP(Tabla6[[#This Row],[PG]],Listas2!$G$14:$K$16,5,0)</f>
        <v>0</v>
      </c>
      <c r="N302" s="71">
        <v>1</v>
      </c>
      <c r="O302" s="72">
        <v>2101</v>
      </c>
      <c r="P302" s="73" t="str">
        <f>VLOOKUP(Tabla6[[#This Row],[GEO]],Listas!$A$48:$B$77,2,0)</f>
        <v>LAGO AGRIO</v>
      </c>
      <c r="Q302" s="70">
        <f>VLOOKUP(Tabla6[[#This Row],[PG]],Listas2!$G$14:$K$16,3,0)</f>
        <v>1</v>
      </c>
      <c r="R302" s="73">
        <f>VLOOKUP(Tabla6[[#This Row],[PG]],Listas2!H307:'Listas2'!$G$14:$K$16,4,0)</f>
        <v>0</v>
      </c>
      <c r="S302" s="73">
        <f>VLOOKUP(Tabla6[[#This Row],[PG]],Listas2!$G$14:$K$16,2,0)</f>
        <v>0</v>
      </c>
      <c r="T302" s="66" t="s">
        <v>84</v>
      </c>
      <c r="U302" s="74">
        <v>53</v>
      </c>
      <c r="V302" s="66">
        <v>530403</v>
      </c>
      <c r="W302" s="63" t="str">
        <f>VLOOKUP(Tabla6[[#This Row],[ÍTEM PRESUPUESTARIO]],Tabla2[#All],2,0)</f>
        <v>MOBILIARIOS (INSTALACIÓN, MANTENIMIENTO Y REPARACIÓN)</v>
      </c>
      <c r="X302" s="57">
        <v>700</v>
      </c>
      <c r="Y302" s="57">
        <f>700-211.25</f>
        <v>488.75</v>
      </c>
      <c r="Z302" s="58">
        <v>0</v>
      </c>
      <c r="AA302" s="58">
        <v>0</v>
      </c>
      <c r="AB302" s="58">
        <v>0</v>
      </c>
      <c r="AC302" s="58">
        <v>0</v>
      </c>
      <c r="AD302" s="58">
        <v>488.75</v>
      </c>
      <c r="AE302" s="58">
        <v>0</v>
      </c>
      <c r="AF302" s="58">
        <v>0</v>
      </c>
      <c r="AG302" s="58">
        <v>0</v>
      </c>
      <c r="AH302" s="58">
        <v>0</v>
      </c>
      <c r="AI302" s="58">
        <v>0</v>
      </c>
      <c r="AJ302" s="58">
        <v>0</v>
      </c>
      <c r="AK302" s="58">
        <v>0</v>
      </c>
      <c r="AL302" s="75">
        <f>+SUBTOTAL(9,Tabla6[[#This Row],[ENE]:[DIC]])</f>
        <v>488.75</v>
      </c>
      <c r="AM302" s="76" t="str">
        <f t="shared" si="4"/>
        <v>OK</v>
      </c>
      <c r="AN302" s="60">
        <v>488.75</v>
      </c>
      <c r="AO302" s="61">
        <f>+Tabla6[[#This Row],[PRESUPUESTO VIGENTE]]-Tabla6[[#This Row],[CERTIFICACIÓN PAPP]]</f>
        <v>0</v>
      </c>
      <c r="AP302" s="59">
        <v>0</v>
      </c>
    </row>
    <row r="303" spans="1:42" ht="93" customHeight="1" x14ac:dyDescent="0.25">
      <c r="A303" s="62" t="s">
        <v>78</v>
      </c>
      <c r="B303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303" s="64" t="s">
        <v>79</v>
      </c>
      <c r="D303" s="64" t="s">
        <v>80</v>
      </c>
      <c r="E303" s="64" t="s">
        <v>81</v>
      </c>
      <c r="F303" s="64" t="s">
        <v>82</v>
      </c>
      <c r="G303" s="64" t="s">
        <v>83</v>
      </c>
      <c r="H303" s="65" t="str">
        <f>VLOOKUP(Tabla6[[#This Row],[DIRECCIÓN]],DIRECCIÓN[#All],2,0)</f>
        <v>ADMINISTRACIÓN CENTRAL</v>
      </c>
      <c r="I303" s="66" t="s">
        <v>803</v>
      </c>
      <c r="J303" s="67">
        <v>2</v>
      </c>
      <c r="K303" s="68" t="str">
        <f>VLOOKUP(Tabla6[[#This Row],[DIRECCIÓN GENERAL / COORDINACIÓN / SUBDIRECCIÓN]],Tabla37[[#All],[Columna1]:[EOD]],2,0)</f>
        <v>266_0001</v>
      </c>
      <c r="L303" s="69">
        <f>VLOOKUP(Tabla6[[#This Row],[OBJETIVOS PND]],Listas!$A$1:$C$3,3,0)</f>
        <v>1</v>
      </c>
      <c r="M303" s="70">
        <f>VLOOKUP(Tabla6[[#This Row],[PG]],Listas2!$G$14:$K$16,5,0)</f>
        <v>0</v>
      </c>
      <c r="N303" s="71">
        <v>1</v>
      </c>
      <c r="O303" s="72">
        <v>2101</v>
      </c>
      <c r="P303" s="73" t="str">
        <f>VLOOKUP(Tabla6[[#This Row],[GEO]],Listas!$A$48:$B$77,2,0)</f>
        <v>LAGO AGRIO</v>
      </c>
      <c r="Q303" s="70">
        <f>VLOOKUP(Tabla6[[#This Row],[PG]],Listas2!$G$14:$K$16,3,0)</f>
        <v>1</v>
      </c>
      <c r="R303" s="73">
        <f>VLOOKUP(Tabla6[[#This Row],[PG]],Listas2!H308:'Listas2'!$G$14:$K$16,4,0)</f>
        <v>0</v>
      </c>
      <c r="S303" s="73">
        <f>VLOOKUP(Tabla6[[#This Row],[PG]],Listas2!$G$14:$K$16,2,0)</f>
        <v>0</v>
      </c>
      <c r="T303" s="66" t="s">
        <v>84</v>
      </c>
      <c r="U303" s="74">
        <v>53</v>
      </c>
      <c r="V303" s="66">
        <v>530404</v>
      </c>
      <c r="W303" s="63" t="str">
        <f>VLOOKUP(Tabla6[[#This Row],[ÍTEM PRESUPUESTARIO]],Tabla2[#All],2,0)</f>
        <v>MAQUINARIAS Y EQUIPOS (INSTALACIÓN, MANTENIMIENTO Y REPARACIÓN)</v>
      </c>
      <c r="X303" s="57">
        <v>280</v>
      </c>
      <c r="Y303" s="57">
        <f>280-216+64+152</f>
        <v>280</v>
      </c>
      <c r="Z303" s="58">
        <v>0</v>
      </c>
      <c r="AA303" s="58">
        <v>0</v>
      </c>
      <c r="AB303" s="58">
        <v>0</v>
      </c>
      <c r="AC303" s="58">
        <v>0</v>
      </c>
      <c r="AD303" s="58">
        <v>0</v>
      </c>
      <c r="AE303" s="58">
        <v>0</v>
      </c>
      <c r="AF303" s="58">
        <v>0</v>
      </c>
      <c r="AG303" s="58">
        <v>0</v>
      </c>
      <c r="AH303" s="58">
        <v>0</v>
      </c>
      <c r="AI303" s="58">
        <v>280</v>
      </c>
      <c r="AJ303" s="58">
        <v>0</v>
      </c>
      <c r="AK303" s="58">
        <v>0</v>
      </c>
      <c r="AL303" s="75">
        <f>+SUBTOTAL(9,Tabla6[[#This Row],[ENE]:[DIC]])</f>
        <v>280</v>
      </c>
      <c r="AM303" s="76" t="str">
        <f t="shared" si="4"/>
        <v>OK</v>
      </c>
      <c r="AN303" s="60">
        <v>280</v>
      </c>
      <c r="AO303" s="61">
        <f>+Tabla6[[#This Row],[PRESUPUESTO VIGENTE]]-Tabla6[[#This Row],[CERTIFICACIÓN PAPP]]</f>
        <v>0</v>
      </c>
      <c r="AP303" s="59" t="s">
        <v>87</v>
      </c>
    </row>
    <row r="304" spans="1:42" ht="93" customHeight="1" x14ac:dyDescent="0.25">
      <c r="A304" s="62" t="s">
        <v>78</v>
      </c>
      <c r="B304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304" s="64" t="s">
        <v>79</v>
      </c>
      <c r="D304" s="64" t="s">
        <v>80</v>
      </c>
      <c r="E304" s="64" t="s">
        <v>81</v>
      </c>
      <c r="F304" s="64" t="s">
        <v>82</v>
      </c>
      <c r="G304" s="64" t="s">
        <v>83</v>
      </c>
      <c r="H304" s="65" t="str">
        <f>VLOOKUP(Tabla6[[#This Row],[DIRECCIÓN]],DIRECCIÓN[#All],2,0)</f>
        <v>ADMINISTRACIÓN CENTRAL</v>
      </c>
      <c r="I304" s="66" t="s">
        <v>943</v>
      </c>
      <c r="J304" s="67">
        <v>1</v>
      </c>
      <c r="K304" s="68" t="str">
        <f>VLOOKUP(Tabla6[[#This Row],[DIRECCIÓN GENERAL / COORDINACIÓN / SUBDIRECCIÓN]],Tabla37[[#All],[Columna1]:[EOD]],2,0)</f>
        <v>266_0001</v>
      </c>
      <c r="L304" s="69">
        <f>VLOOKUP(Tabla6[[#This Row],[OBJETIVOS PND]],Listas!$A$1:$C$3,3,0)</f>
        <v>1</v>
      </c>
      <c r="M304" s="70">
        <f>VLOOKUP(Tabla6[[#This Row],[PG]],Listas2!$G$14:$K$16,5,0)</f>
        <v>0</v>
      </c>
      <c r="N304" s="71">
        <v>1</v>
      </c>
      <c r="O304" s="72">
        <v>2101</v>
      </c>
      <c r="P304" s="73" t="str">
        <f>VLOOKUP(Tabla6[[#This Row],[GEO]],Listas!$A$48:$B$77,2,0)</f>
        <v>LAGO AGRIO</v>
      </c>
      <c r="Q304" s="70">
        <f>VLOOKUP(Tabla6[[#This Row],[PG]],Listas2!$G$14:$K$16,3,0)</f>
        <v>1</v>
      </c>
      <c r="R304" s="73">
        <f>VLOOKUP(Tabla6[[#This Row],[PG]],Listas2!H309:'Listas2'!$G$14:$K$16,4,0)</f>
        <v>0</v>
      </c>
      <c r="S304" s="73">
        <f>VLOOKUP(Tabla6[[#This Row],[PG]],Listas2!$G$14:$K$16,2,0)</f>
        <v>0</v>
      </c>
      <c r="T304" s="66" t="s">
        <v>84</v>
      </c>
      <c r="U304" s="74">
        <v>53</v>
      </c>
      <c r="V304" s="66">
        <v>530404</v>
      </c>
      <c r="W304" s="63" t="str">
        <f>VLOOKUP(Tabla6[[#This Row],[ÍTEM PRESUPUESTARIO]],Tabla2[#All],2,0)</f>
        <v>MAQUINARIAS Y EQUIPOS (INSTALACIÓN, MANTENIMIENTO Y REPARACIÓN)</v>
      </c>
      <c r="X304" s="57">
        <v>350</v>
      </c>
      <c r="Y304" s="57">
        <f>350+350-152</f>
        <v>548</v>
      </c>
      <c r="Z304" s="58">
        <v>0</v>
      </c>
      <c r="AA304" s="58">
        <v>0</v>
      </c>
      <c r="AB304" s="58">
        <v>0</v>
      </c>
      <c r="AC304" s="58">
        <v>0</v>
      </c>
      <c r="AD304" s="58">
        <v>0</v>
      </c>
      <c r="AE304" s="58">
        <v>0</v>
      </c>
      <c r="AF304" s="58">
        <v>0</v>
      </c>
      <c r="AG304" s="58">
        <v>0</v>
      </c>
      <c r="AH304" s="58">
        <v>548</v>
      </c>
      <c r="AI304" s="58">
        <v>0</v>
      </c>
      <c r="AJ304" s="58">
        <v>0</v>
      </c>
      <c r="AK304" s="58">
        <v>0</v>
      </c>
      <c r="AL304" s="75">
        <f>+SUBTOTAL(9,Tabla6[[#This Row],[ENE]:[DIC]])</f>
        <v>548</v>
      </c>
      <c r="AM304" s="76" t="str">
        <f t="shared" si="4"/>
        <v>OK</v>
      </c>
      <c r="AN304" s="60">
        <v>548</v>
      </c>
      <c r="AO304" s="61">
        <f>+Tabla6[[#This Row],[PRESUPUESTO VIGENTE]]-Tabla6[[#This Row],[CERTIFICACIÓN PAPP]]</f>
        <v>0</v>
      </c>
      <c r="AP304" s="59" t="s">
        <v>87</v>
      </c>
    </row>
    <row r="305" spans="1:42" ht="93" customHeight="1" x14ac:dyDescent="0.25">
      <c r="A305" s="62" t="s">
        <v>78</v>
      </c>
      <c r="B305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305" s="64" t="s">
        <v>79</v>
      </c>
      <c r="D305" s="64" t="s">
        <v>80</v>
      </c>
      <c r="E305" s="64" t="s">
        <v>81</v>
      </c>
      <c r="F305" s="64" t="s">
        <v>82</v>
      </c>
      <c r="G305" s="64" t="s">
        <v>83</v>
      </c>
      <c r="H305" s="65" t="str">
        <f>VLOOKUP(Tabla6[[#This Row],[DIRECCIÓN]],DIRECCIÓN[#All],2,0)</f>
        <v>ADMINISTRACIÓN CENTRAL</v>
      </c>
      <c r="I305" s="66" t="s">
        <v>804</v>
      </c>
      <c r="J305" s="67">
        <v>1</v>
      </c>
      <c r="K305" s="68" t="str">
        <f>VLOOKUP(Tabla6[[#This Row],[DIRECCIÓN GENERAL / COORDINACIÓN / SUBDIRECCIÓN]],Tabla37[[#All],[Columna1]:[EOD]],2,0)</f>
        <v>266_0001</v>
      </c>
      <c r="L305" s="69">
        <f>VLOOKUP(Tabla6[[#This Row],[OBJETIVOS PND]],Listas!$A$1:$C$3,3,0)</f>
        <v>1</v>
      </c>
      <c r="M305" s="70">
        <f>VLOOKUP(Tabla6[[#This Row],[PG]],Listas2!$G$14:$K$16,5,0)</f>
        <v>0</v>
      </c>
      <c r="N305" s="71">
        <v>1</v>
      </c>
      <c r="O305" s="72">
        <v>2101</v>
      </c>
      <c r="P305" s="73" t="str">
        <f>VLOOKUP(Tabla6[[#This Row],[GEO]],Listas!$A$48:$B$77,2,0)</f>
        <v>LAGO AGRIO</v>
      </c>
      <c r="Q305" s="70">
        <f>VLOOKUP(Tabla6[[#This Row],[PG]],Listas2!$G$14:$K$16,3,0)</f>
        <v>1</v>
      </c>
      <c r="R305" s="73">
        <f>VLOOKUP(Tabla6[[#This Row],[PG]],Listas2!H310:'Listas2'!$G$14:$K$16,4,0)</f>
        <v>0</v>
      </c>
      <c r="S305" s="73">
        <f>VLOOKUP(Tabla6[[#This Row],[PG]],Listas2!$G$14:$K$16,2,0)</f>
        <v>0</v>
      </c>
      <c r="T305" s="66" t="s">
        <v>84</v>
      </c>
      <c r="U305" s="74">
        <v>53</v>
      </c>
      <c r="V305" s="66">
        <v>530404</v>
      </c>
      <c r="W305" s="63" t="str">
        <f>VLOOKUP(Tabla6[[#This Row],[ÍTEM PRESUPUESTARIO]],Tabla2[#All],2,0)</f>
        <v>MAQUINARIAS Y EQUIPOS (INSTALACIÓN, MANTENIMIENTO Y REPARACIÓN)</v>
      </c>
      <c r="X305" s="57">
        <v>2160</v>
      </c>
      <c r="Y305" s="57">
        <f>2160+840-1072.25</f>
        <v>1927.75</v>
      </c>
      <c r="Z305" s="58">
        <v>0</v>
      </c>
      <c r="AA305" s="58">
        <v>0</v>
      </c>
      <c r="AB305" s="58">
        <v>192.78</v>
      </c>
      <c r="AC305" s="58">
        <v>192.78</v>
      </c>
      <c r="AD305" s="58">
        <v>175.25</v>
      </c>
      <c r="AE305" s="58">
        <v>175.25</v>
      </c>
      <c r="AF305" s="58">
        <v>175.25</v>
      </c>
      <c r="AG305" s="58">
        <v>175.25</v>
      </c>
      <c r="AH305" s="58">
        <v>175.25</v>
      </c>
      <c r="AI305" s="58">
        <v>175.25</v>
      </c>
      <c r="AJ305" s="58">
        <v>175.25</v>
      </c>
      <c r="AK305" s="58">
        <v>315.44</v>
      </c>
      <c r="AL305" s="75">
        <f>+SUBTOTAL(9,Tabla6[[#This Row],[ENE]:[DIC]])</f>
        <v>1927.75</v>
      </c>
      <c r="AM305" s="76" t="str">
        <f t="shared" si="4"/>
        <v>OK</v>
      </c>
      <c r="AN305" s="60">
        <v>1927.75</v>
      </c>
      <c r="AO305" s="61">
        <f>+Tabla6[[#This Row],[PRESUPUESTO VIGENTE]]-Tabla6[[#This Row],[CERTIFICACIÓN PAPP]]</f>
        <v>0</v>
      </c>
      <c r="AP305" s="59" t="s">
        <v>87</v>
      </c>
    </row>
    <row r="306" spans="1:42" ht="93" customHeight="1" x14ac:dyDescent="0.25">
      <c r="A306" s="62" t="s">
        <v>78</v>
      </c>
      <c r="B306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306" s="64" t="s">
        <v>79</v>
      </c>
      <c r="D306" s="64" t="s">
        <v>80</v>
      </c>
      <c r="E306" s="64" t="s">
        <v>81</v>
      </c>
      <c r="F306" s="64" t="s">
        <v>82</v>
      </c>
      <c r="G306" s="64" t="s">
        <v>83</v>
      </c>
      <c r="H306" s="65" t="str">
        <f>VLOOKUP(Tabla6[[#This Row],[DIRECCIÓN]],DIRECCIÓN[#All],2,0)</f>
        <v>ADMINISTRACIÓN CENTRAL</v>
      </c>
      <c r="I306" s="66" t="s">
        <v>806</v>
      </c>
      <c r="J306" s="67">
        <v>1</v>
      </c>
      <c r="K306" s="68" t="str">
        <f>VLOOKUP(Tabla6[[#This Row],[DIRECCIÓN GENERAL / COORDINACIÓN / SUBDIRECCIÓN]],Tabla37[[#All],[Columna1]:[EOD]],2,0)</f>
        <v>266_0001</v>
      </c>
      <c r="L306" s="69">
        <f>VLOOKUP(Tabla6[[#This Row],[OBJETIVOS PND]],Listas!$A$1:$C$3,3,0)</f>
        <v>1</v>
      </c>
      <c r="M306" s="70">
        <f>VLOOKUP(Tabla6[[#This Row],[PG]],Listas2!$G$14:$K$16,5,0)</f>
        <v>0</v>
      </c>
      <c r="N306" s="71">
        <v>1</v>
      </c>
      <c r="O306" s="72">
        <v>2101</v>
      </c>
      <c r="P306" s="73" t="str">
        <f>VLOOKUP(Tabla6[[#This Row],[GEO]],Listas!$A$48:$B$77,2,0)</f>
        <v>LAGO AGRIO</v>
      </c>
      <c r="Q306" s="70">
        <f>VLOOKUP(Tabla6[[#This Row],[PG]],Listas2!$G$14:$K$16,3,0)</f>
        <v>1</v>
      </c>
      <c r="R306" s="73">
        <f>VLOOKUP(Tabla6[[#This Row],[PG]],Listas2!H311:'Listas2'!$G$14:$K$16,4,0)</f>
        <v>0</v>
      </c>
      <c r="S306" s="73">
        <f>VLOOKUP(Tabla6[[#This Row],[PG]],Listas2!$G$14:$K$16,2,0)</f>
        <v>0</v>
      </c>
      <c r="T306" s="66" t="s">
        <v>84</v>
      </c>
      <c r="U306" s="74">
        <v>53</v>
      </c>
      <c r="V306" s="66">
        <v>530405</v>
      </c>
      <c r="W306" s="63" t="str">
        <f>VLOOKUP(Tabla6[[#This Row],[ÍTEM PRESUPUESTARIO]],Tabla2[#All],2,0)</f>
        <v>VEHÍCULOS (SERVICIO PARA MANTENIMIENTO Y REPARACIÓN)</v>
      </c>
      <c r="X306" s="57">
        <v>2905</v>
      </c>
      <c r="Y306" s="57">
        <f>2905-150-16.34</f>
        <v>2738.66</v>
      </c>
      <c r="Z306" s="58">
        <v>0</v>
      </c>
      <c r="AA306" s="58">
        <v>0</v>
      </c>
      <c r="AB306" s="58">
        <v>1618.5</v>
      </c>
      <c r="AC306" s="58">
        <v>0</v>
      </c>
      <c r="AD306" s="58">
        <v>417</v>
      </c>
      <c r="AE306" s="58">
        <v>0</v>
      </c>
      <c r="AF306" s="58">
        <v>193</v>
      </c>
      <c r="AG306" s="58">
        <v>157</v>
      </c>
      <c r="AH306" s="58">
        <v>0</v>
      </c>
      <c r="AI306" s="58">
        <v>0</v>
      </c>
      <c r="AJ306" s="58">
        <v>122.5</v>
      </c>
      <c r="AK306" s="58">
        <v>230.65999999999985</v>
      </c>
      <c r="AL306" s="75">
        <f>+SUBTOTAL(9,Tabla6[[#This Row],[ENE]:[DIC]])</f>
        <v>2738.66</v>
      </c>
      <c r="AM306" s="76" t="str">
        <f t="shared" si="4"/>
        <v>OK</v>
      </c>
      <c r="AN306" s="60">
        <v>2738.66</v>
      </c>
      <c r="AO306" s="61">
        <f>+Tabla6[[#This Row],[PRESUPUESTO VIGENTE]]-Tabla6[[#This Row],[CERTIFICACIÓN PAPP]]</f>
        <v>0</v>
      </c>
      <c r="AP306" s="59" t="s">
        <v>87</v>
      </c>
    </row>
    <row r="307" spans="1:42" ht="93" customHeight="1" x14ac:dyDescent="0.25">
      <c r="A307" s="62" t="s">
        <v>78</v>
      </c>
      <c r="B307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307" s="64" t="s">
        <v>79</v>
      </c>
      <c r="D307" s="64" t="s">
        <v>80</v>
      </c>
      <c r="E307" s="64" t="s">
        <v>81</v>
      </c>
      <c r="F307" s="64" t="s">
        <v>82</v>
      </c>
      <c r="G307" s="64" t="s">
        <v>83</v>
      </c>
      <c r="H307" s="65" t="str">
        <f>VLOOKUP(Tabla6[[#This Row],[DIRECCIÓN]],DIRECCIÓN[#All],2,0)</f>
        <v>ADMINISTRACIÓN CENTRAL</v>
      </c>
      <c r="I307" s="66" t="s">
        <v>792</v>
      </c>
      <c r="J307" s="67">
        <v>1</v>
      </c>
      <c r="K307" s="68" t="str">
        <f>VLOOKUP(Tabla6[[#This Row],[DIRECCIÓN GENERAL / COORDINACIÓN / SUBDIRECCIÓN]],Tabla37[[#All],[Columna1]:[EOD]],2,0)</f>
        <v>266_0001</v>
      </c>
      <c r="L307" s="69">
        <f>VLOOKUP(Tabla6[[#This Row],[OBJETIVOS PND]],Listas!$A$1:$C$3,3,0)</f>
        <v>1</v>
      </c>
      <c r="M307" s="70">
        <f>VLOOKUP(Tabla6[[#This Row],[PG]],Listas2!$G$14:$K$16,5,0)</f>
        <v>0</v>
      </c>
      <c r="N307" s="71">
        <v>1</v>
      </c>
      <c r="O307" s="72">
        <v>2101</v>
      </c>
      <c r="P307" s="73" t="str">
        <f>VLOOKUP(Tabla6[[#This Row],[GEO]],Listas!$A$48:$B$77,2,0)</f>
        <v>LAGO AGRIO</v>
      </c>
      <c r="Q307" s="70">
        <f>VLOOKUP(Tabla6[[#This Row],[PG]],Listas2!$G$14:$K$16,3,0)</f>
        <v>1</v>
      </c>
      <c r="R307" s="73">
        <f>VLOOKUP(Tabla6[[#This Row],[PG]],Listas2!H312:'Listas2'!$G$14:$K$16,4,0)</f>
        <v>0</v>
      </c>
      <c r="S307" s="73">
        <f>VLOOKUP(Tabla6[[#This Row],[PG]],Listas2!$G$14:$K$16,2,0)</f>
        <v>0</v>
      </c>
      <c r="T307" s="66" t="s">
        <v>84</v>
      </c>
      <c r="U307" s="74">
        <v>53</v>
      </c>
      <c r="V307" s="66">
        <v>530405</v>
      </c>
      <c r="W307" s="63" t="str">
        <f>VLOOKUP(Tabla6[[#This Row],[ÍTEM PRESUPUESTARIO]],Tabla2[#All],2,0)</f>
        <v>VEHÍCULOS (SERVICIO PARA MANTENIMIENTO Y REPARACIÓN)</v>
      </c>
      <c r="X307" s="57">
        <v>100</v>
      </c>
      <c r="Y307" s="57">
        <f>100-30+30-40</f>
        <v>60</v>
      </c>
      <c r="Z307" s="58">
        <v>0</v>
      </c>
      <c r="AA307" s="58">
        <v>0</v>
      </c>
      <c r="AB307" s="58">
        <v>0</v>
      </c>
      <c r="AC307" s="58">
        <v>20</v>
      </c>
      <c r="AD307" s="58">
        <v>0</v>
      </c>
      <c r="AE307" s="58">
        <v>20</v>
      </c>
      <c r="AF307" s="58">
        <v>0</v>
      </c>
      <c r="AG307" s="58">
        <v>0</v>
      </c>
      <c r="AH307" s="58">
        <v>0</v>
      </c>
      <c r="AI307" s="58">
        <v>0</v>
      </c>
      <c r="AJ307" s="58">
        <v>0</v>
      </c>
      <c r="AK307" s="58">
        <v>20</v>
      </c>
      <c r="AL307" s="75">
        <f>+SUBTOTAL(9,Tabla6[[#This Row],[ENE]:[DIC]])</f>
        <v>60</v>
      </c>
      <c r="AM307" s="76" t="str">
        <f t="shared" si="4"/>
        <v>OK</v>
      </c>
      <c r="AN307" s="60">
        <v>60</v>
      </c>
      <c r="AO307" s="61">
        <f>+Tabla6[[#This Row],[PRESUPUESTO VIGENTE]]-Tabla6[[#This Row],[CERTIFICACIÓN PAPP]]</f>
        <v>0</v>
      </c>
      <c r="AP307" s="59" t="s">
        <v>87</v>
      </c>
    </row>
    <row r="308" spans="1:42" ht="93" customHeight="1" x14ac:dyDescent="0.25">
      <c r="A308" s="62" t="s">
        <v>78</v>
      </c>
      <c r="B308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308" s="64" t="s">
        <v>79</v>
      </c>
      <c r="D308" s="64" t="s">
        <v>80</v>
      </c>
      <c r="E308" s="64" t="s">
        <v>81</v>
      </c>
      <c r="F308" s="64" t="s">
        <v>82</v>
      </c>
      <c r="G308" s="64" t="s">
        <v>83</v>
      </c>
      <c r="H308" s="65" t="str">
        <f>VLOOKUP(Tabla6[[#This Row],[DIRECCIÓN]],DIRECCIÓN[#All],2,0)</f>
        <v>ADMINISTRACIÓN CENTRAL</v>
      </c>
      <c r="I308" s="66" t="s">
        <v>944</v>
      </c>
      <c r="J308" s="67">
        <v>1</v>
      </c>
      <c r="K308" s="68" t="str">
        <f>VLOOKUP(Tabla6[[#This Row],[DIRECCIÓN GENERAL / COORDINACIÓN / SUBDIRECCIÓN]],Tabla37[[#All],[Columna1]:[EOD]],2,0)</f>
        <v>266_0001</v>
      </c>
      <c r="L308" s="69">
        <f>VLOOKUP(Tabla6[[#This Row],[OBJETIVOS PND]],Listas!$A$1:$C$3,3,0)</f>
        <v>1</v>
      </c>
      <c r="M308" s="70">
        <f>VLOOKUP(Tabla6[[#This Row],[PG]],Listas2!$G$14:$K$16,5,0)</f>
        <v>0</v>
      </c>
      <c r="N308" s="71">
        <v>1</v>
      </c>
      <c r="O308" s="72">
        <v>2101</v>
      </c>
      <c r="P308" s="73" t="str">
        <f>VLOOKUP(Tabla6[[#This Row],[GEO]],Listas!$A$48:$B$77,2,0)</f>
        <v>LAGO AGRIO</v>
      </c>
      <c r="Q308" s="70">
        <f>VLOOKUP(Tabla6[[#This Row],[PG]],Listas2!$G$14:$K$16,3,0)</f>
        <v>1</v>
      </c>
      <c r="R308" s="73">
        <f>VLOOKUP(Tabla6[[#This Row],[PG]],Listas2!H313:'Listas2'!$G$14:$K$16,4,0)</f>
        <v>0</v>
      </c>
      <c r="S308" s="73">
        <f>VLOOKUP(Tabla6[[#This Row],[PG]],Listas2!$G$14:$K$16,2,0)</f>
        <v>0</v>
      </c>
      <c r="T308" s="66" t="s">
        <v>84</v>
      </c>
      <c r="U308" s="74" t="s">
        <v>91</v>
      </c>
      <c r="V308" s="66">
        <v>530704</v>
      </c>
      <c r="W308" s="63" t="str">
        <f>VLOOKUP(Tabla6[[#This Row],[ÍTEM PRESUPUESTARIO]],Tabla2[#All],2,0)</f>
        <v xml:space="preserve">MANTENIMIENTO Y REPARACIÓN DE EQUIPOS Y SISTEMAS INFORMÁTICOS </v>
      </c>
      <c r="X308" s="57">
        <v>0</v>
      </c>
      <c r="Y308" s="57">
        <f>800-266.06-266.07</f>
        <v>267.87000000000006</v>
      </c>
      <c r="Z308" s="58">
        <v>0</v>
      </c>
      <c r="AA308" s="58">
        <v>0</v>
      </c>
      <c r="AB308" s="58">
        <v>0</v>
      </c>
      <c r="AC308" s="58">
        <v>0</v>
      </c>
      <c r="AD308" s="58">
        <v>0</v>
      </c>
      <c r="AE308" s="58">
        <v>0</v>
      </c>
      <c r="AF308" s="58">
        <v>0</v>
      </c>
      <c r="AG308" s="58">
        <v>0</v>
      </c>
      <c r="AH308" s="58">
        <v>0</v>
      </c>
      <c r="AI308" s="58">
        <v>267.87000000000006</v>
      </c>
      <c r="AJ308" s="58">
        <v>0</v>
      </c>
      <c r="AK308" s="58">
        <v>0</v>
      </c>
      <c r="AL308" s="75">
        <f>+SUBTOTAL(9,Tabla6[[#This Row],[ENE]:[DIC]])</f>
        <v>267.87000000000006</v>
      </c>
      <c r="AM308" s="76" t="str">
        <f t="shared" si="4"/>
        <v>OK</v>
      </c>
      <c r="AN308" s="60">
        <v>267.87</v>
      </c>
      <c r="AO308" s="61">
        <f>+Tabla6[[#This Row],[PRESUPUESTO VIGENTE]]-Tabla6[[#This Row],[CERTIFICACIÓN PAPP]]</f>
        <v>0</v>
      </c>
      <c r="AP308" s="59">
        <v>0</v>
      </c>
    </row>
    <row r="309" spans="1:42" ht="93" customHeight="1" x14ac:dyDescent="0.25">
      <c r="A309" s="62" t="s">
        <v>78</v>
      </c>
      <c r="B309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309" s="64" t="s">
        <v>79</v>
      </c>
      <c r="D309" s="64" t="s">
        <v>80</v>
      </c>
      <c r="E309" s="64" t="s">
        <v>81</v>
      </c>
      <c r="F309" s="64" t="s">
        <v>82</v>
      </c>
      <c r="G309" s="64" t="s">
        <v>83</v>
      </c>
      <c r="H309" s="65" t="str">
        <f>VLOOKUP(Tabla6[[#This Row],[DIRECCIÓN]],DIRECCIÓN[#All],2,0)</f>
        <v>ADMINISTRACIÓN CENTRAL</v>
      </c>
      <c r="I309" s="66" t="s">
        <v>808</v>
      </c>
      <c r="J309" s="67">
        <v>1</v>
      </c>
      <c r="K309" s="68" t="str">
        <f>VLOOKUP(Tabla6[[#This Row],[DIRECCIÓN GENERAL / COORDINACIÓN / SUBDIRECCIÓN]],Tabla37[[#All],[Columna1]:[EOD]],2,0)</f>
        <v>266_0001</v>
      </c>
      <c r="L309" s="69">
        <f>VLOOKUP(Tabla6[[#This Row],[OBJETIVOS PND]],Listas!$A$1:$C$3,3,0)</f>
        <v>1</v>
      </c>
      <c r="M309" s="70">
        <f>VLOOKUP(Tabla6[[#This Row],[PG]],Listas2!$G$14:$K$16,5,0)</f>
        <v>0</v>
      </c>
      <c r="N309" s="71">
        <v>1</v>
      </c>
      <c r="O309" s="72">
        <v>2101</v>
      </c>
      <c r="P309" s="73" t="str">
        <f>VLOOKUP(Tabla6[[#This Row],[GEO]],Listas!$A$48:$B$77,2,0)</f>
        <v>LAGO AGRIO</v>
      </c>
      <c r="Q309" s="70">
        <f>VLOOKUP(Tabla6[[#This Row],[PG]],Listas2!$G$14:$K$16,3,0)</f>
        <v>1</v>
      </c>
      <c r="R309" s="73">
        <f>VLOOKUP(Tabla6[[#This Row],[PG]],Listas2!H314:'Listas2'!$G$14:$K$16,4,0)</f>
        <v>0</v>
      </c>
      <c r="S309" s="73">
        <f>VLOOKUP(Tabla6[[#This Row],[PG]],Listas2!$G$14:$K$16,2,0)</f>
        <v>0</v>
      </c>
      <c r="T309" s="66" t="s">
        <v>84</v>
      </c>
      <c r="U309" s="74">
        <v>53</v>
      </c>
      <c r="V309" s="66">
        <v>530802</v>
      </c>
      <c r="W309" s="63" t="str">
        <f>VLOOKUP(Tabla6[[#This Row],[ÍTEM PRESUPUESTARIO]],Tabla2[#All],2,0)</f>
        <v>VESTUARIO, LENCERÍA, PRENDAS DE PROTECCIÓN Y ACCESORIOS PARA UNIFORMES DEL PERSONAL DE PROTECCIÓN, VIGILANCIA Y SEGURIDAD</v>
      </c>
      <c r="X309" s="57">
        <v>1744</v>
      </c>
      <c r="Y309" s="57">
        <f>1744-788.39-11.31</f>
        <v>944.30000000000007</v>
      </c>
      <c r="Z309" s="58">
        <v>0</v>
      </c>
      <c r="AA309" s="58">
        <v>0</v>
      </c>
      <c r="AB309" s="58">
        <v>0</v>
      </c>
      <c r="AC309" s="58">
        <v>0</v>
      </c>
      <c r="AD309" s="58">
        <v>0</v>
      </c>
      <c r="AE309" s="58">
        <v>0</v>
      </c>
      <c r="AF309" s="58">
        <v>0</v>
      </c>
      <c r="AG309" s="58">
        <v>944.3</v>
      </c>
      <c r="AH309" s="58">
        <v>0</v>
      </c>
      <c r="AI309" s="58">
        <v>0</v>
      </c>
      <c r="AJ309" s="58">
        <v>0</v>
      </c>
      <c r="AK309" s="58">
        <v>0</v>
      </c>
      <c r="AL309" s="75">
        <f>+SUBTOTAL(9,Tabla6[[#This Row],[ENE]:[DIC]])</f>
        <v>944.3</v>
      </c>
      <c r="AM309" s="76" t="str">
        <f t="shared" si="4"/>
        <v>OK</v>
      </c>
      <c r="AN309" s="60">
        <v>944.3</v>
      </c>
      <c r="AO309" s="61">
        <f>+Tabla6[[#This Row],[PRESUPUESTO VIGENTE]]-Tabla6[[#This Row],[CERTIFICACIÓN PAPP]]</f>
        <v>0</v>
      </c>
      <c r="AP309" s="59">
        <v>0</v>
      </c>
    </row>
    <row r="310" spans="1:42" ht="93" customHeight="1" x14ac:dyDescent="0.25">
      <c r="A310" s="62" t="s">
        <v>78</v>
      </c>
      <c r="B310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310" s="64" t="s">
        <v>79</v>
      </c>
      <c r="D310" s="64" t="s">
        <v>80</v>
      </c>
      <c r="E310" s="64" t="s">
        <v>81</v>
      </c>
      <c r="F310" s="64" t="s">
        <v>82</v>
      </c>
      <c r="G310" s="64" t="s">
        <v>83</v>
      </c>
      <c r="H310" s="65" t="str">
        <f>VLOOKUP(Tabla6[[#This Row],[DIRECCIÓN]],DIRECCIÓN[#All],2,0)</f>
        <v>ADMINISTRACIÓN CENTRAL</v>
      </c>
      <c r="I310" s="66" t="s">
        <v>809</v>
      </c>
      <c r="J310" s="67">
        <v>1</v>
      </c>
      <c r="K310" s="68" t="str">
        <f>VLOOKUP(Tabla6[[#This Row],[DIRECCIÓN GENERAL / COORDINACIÓN / SUBDIRECCIÓN]],Tabla37[[#All],[Columna1]:[EOD]],2,0)</f>
        <v>266_0001</v>
      </c>
      <c r="L310" s="69">
        <f>VLOOKUP(Tabla6[[#This Row],[OBJETIVOS PND]],Listas!$A$1:$C$3,3,0)</f>
        <v>1</v>
      </c>
      <c r="M310" s="70">
        <f>VLOOKUP(Tabla6[[#This Row],[PG]],Listas2!$G$14:$K$16,5,0)</f>
        <v>0</v>
      </c>
      <c r="N310" s="71">
        <v>1</v>
      </c>
      <c r="O310" s="72">
        <v>2101</v>
      </c>
      <c r="P310" s="73" t="str">
        <f>VLOOKUP(Tabla6[[#This Row],[GEO]],Listas!$A$48:$B$77,2,0)</f>
        <v>LAGO AGRIO</v>
      </c>
      <c r="Q310" s="70">
        <f>VLOOKUP(Tabla6[[#This Row],[PG]],Listas2!$G$14:$K$16,3,0)</f>
        <v>1</v>
      </c>
      <c r="R310" s="73">
        <f>VLOOKUP(Tabla6[[#This Row],[PG]],Listas2!H315:'Listas2'!$G$14:$K$16,4,0)</f>
        <v>0</v>
      </c>
      <c r="S310" s="73">
        <f>VLOOKUP(Tabla6[[#This Row],[PG]],Listas2!$G$14:$K$16,2,0)</f>
        <v>0</v>
      </c>
      <c r="T310" s="66" t="s">
        <v>84</v>
      </c>
      <c r="U310" s="74">
        <v>53</v>
      </c>
      <c r="V310" s="66">
        <v>530803</v>
      </c>
      <c r="W310" s="63" t="str">
        <f>VLOOKUP(Tabla6[[#This Row],[ÍTEM PRESUPUESTARIO]],Tabla2[#All],2,0)</f>
        <v>LUBRICANTES</v>
      </c>
      <c r="X310" s="57">
        <v>643</v>
      </c>
      <c r="Y310" s="57">
        <f>643-13.16-0.07</f>
        <v>629.77</v>
      </c>
      <c r="Z310" s="58">
        <v>0</v>
      </c>
      <c r="AA310" s="58">
        <v>0</v>
      </c>
      <c r="AB310" s="58">
        <v>54.14</v>
      </c>
      <c r="AC310" s="58">
        <v>0</v>
      </c>
      <c r="AD310" s="58">
        <v>80.3</v>
      </c>
      <c r="AE310" s="58">
        <v>0</v>
      </c>
      <c r="AF310" s="58">
        <v>51.14</v>
      </c>
      <c r="AG310" s="58">
        <v>77.3</v>
      </c>
      <c r="AH310" s="58">
        <v>0</v>
      </c>
      <c r="AI310" s="58">
        <v>0</v>
      </c>
      <c r="AJ310" s="58">
        <v>57.04</v>
      </c>
      <c r="AK310" s="58">
        <v>309.84999999999997</v>
      </c>
      <c r="AL310" s="75">
        <f>+SUBTOTAL(9,Tabla6[[#This Row],[ENE]:[DIC]])</f>
        <v>629.77</v>
      </c>
      <c r="AM310" s="76" t="str">
        <f t="shared" si="4"/>
        <v>OK</v>
      </c>
      <c r="AN310" s="60">
        <v>629.77</v>
      </c>
      <c r="AO310" s="61">
        <f>+Tabla6[[#This Row],[PRESUPUESTO VIGENTE]]-Tabla6[[#This Row],[CERTIFICACIÓN PAPP]]</f>
        <v>0</v>
      </c>
      <c r="AP310" s="59" t="s">
        <v>87</v>
      </c>
    </row>
    <row r="311" spans="1:42" ht="93" customHeight="1" x14ac:dyDescent="0.25">
      <c r="A311" s="62" t="s">
        <v>78</v>
      </c>
      <c r="B311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311" s="64" t="s">
        <v>79</v>
      </c>
      <c r="D311" s="64" t="s">
        <v>80</v>
      </c>
      <c r="E311" s="64" t="s">
        <v>81</v>
      </c>
      <c r="F311" s="64" t="s">
        <v>82</v>
      </c>
      <c r="G311" s="64" t="s">
        <v>83</v>
      </c>
      <c r="H311" s="65" t="str">
        <f>VLOOKUP(Tabla6[[#This Row],[DIRECCIÓN]],DIRECCIÓN[#All],2,0)</f>
        <v>ADMINISTRACIÓN CENTRAL</v>
      </c>
      <c r="I311" s="66" t="s">
        <v>938</v>
      </c>
      <c r="J311" s="67">
        <v>1</v>
      </c>
      <c r="K311" s="68" t="str">
        <f>VLOOKUP(Tabla6[[#This Row],[DIRECCIÓN GENERAL / COORDINACIÓN / SUBDIRECCIÓN]],Tabla37[[#All],[Columna1]:[EOD]],2,0)</f>
        <v>266_0001</v>
      </c>
      <c r="L311" s="69">
        <f>VLOOKUP(Tabla6[[#This Row],[OBJETIVOS PND]],Listas!$A$1:$C$3,3,0)</f>
        <v>1</v>
      </c>
      <c r="M311" s="70">
        <f>VLOOKUP(Tabla6[[#This Row],[PG]],Listas2!$G$14:$K$16,5,0)</f>
        <v>0</v>
      </c>
      <c r="N311" s="71">
        <v>1</v>
      </c>
      <c r="O311" s="72">
        <v>2101</v>
      </c>
      <c r="P311" s="73" t="str">
        <f>VLOOKUP(Tabla6[[#This Row],[GEO]],Listas!$A$48:$B$77,2,0)</f>
        <v>LAGO AGRIO</v>
      </c>
      <c r="Q311" s="70">
        <f>VLOOKUP(Tabla6[[#This Row],[PG]],Listas2!$G$14:$K$16,3,0)</f>
        <v>1</v>
      </c>
      <c r="R311" s="73">
        <f>VLOOKUP(Tabla6[[#This Row],[PG]],Listas2!H316:'Listas2'!$G$14:$K$16,4,0)</f>
        <v>0</v>
      </c>
      <c r="S311" s="73">
        <f>VLOOKUP(Tabla6[[#This Row],[PG]],Listas2!$G$14:$K$16,2,0)</f>
        <v>0</v>
      </c>
      <c r="T311" s="66" t="s">
        <v>84</v>
      </c>
      <c r="U311" s="74">
        <v>53</v>
      </c>
      <c r="V311" s="66">
        <v>530803</v>
      </c>
      <c r="W311" s="63" t="str">
        <f>VLOOKUP(Tabla6[[#This Row],[ÍTEM PRESUPUESTARIO]],Tabla2[#All],2,0)</f>
        <v>LUBRICANTES</v>
      </c>
      <c r="X311" s="57">
        <v>2600</v>
      </c>
      <c r="Y311" s="57">
        <f>2600-2600</f>
        <v>0</v>
      </c>
      <c r="Z311" s="58">
        <v>0</v>
      </c>
      <c r="AA311" s="58">
        <v>0</v>
      </c>
      <c r="AB311" s="58">
        <v>0</v>
      </c>
      <c r="AC311" s="58">
        <v>0</v>
      </c>
      <c r="AD311" s="58">
        <v>0</v>
      </c>
      <c r="AE311" s="58">
        <v>0</v>
      </c>
      <c r="AF311" s="58">
        <v>0</v>
      </c>
      <c r="AG311" s="58">
        <v>0</v>
      </c>
      <c r="AH311" s="58">
        <v>0</v>
      </c>
      <c r="AI311" s="58">
        <v>0</v>
      </c>
      <c r="AJ311" s="58">
        <v>0</v>
      </c>
      <c r="AK311" s="58">
        <v>0</v>
      </c>
      <c r="AL311" s="75">
        <f>+SUBTOTAL(9,Tabla6[[#This Row],[ENE]:[DIC]])</f>
        <v>0</v>
      </c>
      <c r="AM311" s="76" t="str">
        <f t="shared" si="4"/>
        <v>OK</v>
      </c>
      <c r="AN311" s="60">
        <v>0</v>
      </c>
      <c r="AO311" s="61">
        <f>+Tabla6[[#This Row],[PRESUPUESTO VIGENTE]]-Tabla6[[#This Row],[CERTIFICACIÓN PAPP]]</f>
        <v>0</v>
      </c>
      <c r="AP311" s="59">
        <v>0</v>
      </c>
    </row>
    <row r="312" spans="1:42" ht="93" customHeight="1" x14ac:dyDescent="0.25">
      <c r="A312" s="62" t="s">
        <v>78</v>
      </c>
      <c r="B312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312" s="64" t="s">
        <v>79</v>
      </c>
      <c r="D312" s="64" t="s">
        <v>80</v>
      </c>
      <c r="E312" s="64" t="s">
        <v>81</v>
      </c>
      <c r="F312" s="64" t="s">
        <v>82</v>
      </c>
      <c r="G312" s="64" t="s">
        <v>83</v>
      </c>
      <c r="H312" s="65" t="str">
        <f>VLOOKUP(Tabla6[[#This Row],[DIRECCIÓN]],DIRECCIÓN[#All],2,0)</f>
        <v>ADMINISTRACIÓN CENTRAL</v>
      </c>
      <c r="I312" s="66" t="s">
        <v>939</v>
      </c>
      <c r="J312" s="67">
        <v>1</v>
      </c>
      <c r="K312" s="68" t="str">
        <f>VLOOKUP(Tabla6[[#This Row],[DIRECCIÓN GENERAL / COORDINACIÓN / SUBDIRECCIÓN]],Tabla37[[#All],[Columna1]:[EOD]],2,0)</f>
        <v>266_0001</v>
      </c>
      <c r="L312" s="69">
        <f>VLOOKUP(Tabla6[[#This Row],[OBJETIVOS PND]],Listas!$A$1:$C$3,3,0)</f>
        <v>1</v>
      </c>
      <c r="M312" s="70">
        <f>VLOOKUP(Tabla6[[#This Row],[PG]],Listas2!$G$14:$K$16,5,0)</f>
        <v>0</v>
      </c>
      <c r="N312" s="71">
        <v>1</v>
      </c>
      <c r="O312" s="72">
        <v>2101</v>
      </c>
      <c r="P312" s="73" t="str">
        <f>VLOOKUP(Tabla6[[#This Row],[GEO]],Listas!$A$48:$B$77,2,0)</f>
        <v>LAGO AGRIO</v>
      </c>
      <c r="Q312" s="70">
        <f>VLOOKUP(Tabla6[[#This Row],[PG]],Listas2!$G$14:$K$16,3,0)</f>
        <v>1</v>
      </c>
      <c r="R312" s="73">
        <f>VLOOKUP(Tabla6[[#This Row],[PG]],Listas2!H317:'Listas2'!$G$14:$K$16,4,0)</f>
        <v>0</v>
      </c>
      <c r="S312" s="73">
        <f>VLOOKUP(Tabla6[[#This Row],[PG]],Listas2!$G$14:$K$16,2,0)</f>
        <v>0</v>
      </c>
      <c r="T312" s="66" t="s">
        <v>84</v>
      </c>
      <c r="U312" s="74">
        <v>53</v>
      </c>
      <c r="V312" s="66">
        <v>530803</v>
      </c>
      <c r="W312" s="63" t="str">
        <f>VLOOKUP(Tabla6[[#This Row],[ÍTEM PRESUPUESTARIO]],Tabla2[#All],2,0)</f>
        <v>LUBRICANTES</v>
      </c>
      <c r="X312" s="57">
        <v>100</v>
      </c>
      <c r="Y312" s="57">
        <f>100-100</f>
        <v>0</v>
      </c>
      <c r="Z312" s="58">
        <v>0</v>
      </c>
      <c r="AA312" s="58">
        <v>0</v>
      </c>
      <c r="AB312" s="58">
        <v>0</v>
      </c>
      <c r="AC312" s="58">
        <v>0</v>
      </c>
      <c r="AD312" s="58">
        <v>0</v>
      </c>
      <c r="AE312" s="58">
        <v>0</v>
      </c>
      <c r="AF312" s="58">
        <v>0</v>
      </c>
      <c r="AG312" s="58">
        <v>0</v>
      </c>
      <c r="AH312" s="58">
        <v>0</v>
      </c>
      <c r="AI312" s="58">
        <v>0</v>
      </c>
      <c r="AJ312" s="58">
        <v>0</v>
      </c>
      <c r="AK312" s="58">
        <v>0</v>
      </c>
      <c r="AL312" s="75">
        <f>+SUBTOTAL(9,Tabla6[[#This Row],[ENE]:[DIC]])</f>
        <v>0</v>
      </c>
      <c r="AM312" s="76" t="str">
        <f t="shared" si="4"/>
        <v>OK</v>
      </c>
      <c r="AN312" s="60">
        <v>0</v>
      </c>
      <c r="AO312" s="61">
        <f>+Tabla6[[#This Row],[PRESUPUESTO VIGENTE]]-Tabla6[[#This Row],[CERTIFICACIÓN PAPP]]</f>
        <v>0</v>
      </c>
      <c r="AP312" s="59">
        <v>0</v>
      </c>
    </row>
    <row r="313" spans="1:42" ht="93" customHeight="1" x14ac:dyDescent="0.25">
      <c r="A313" s="62" t="s">
        <v>78</v>
      </c>
      <c r="B313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313" s="64" t="s">
        <v>79</v>
      </c>
      <c r="D313" s="64" t="s">
        <v>80</v>
      </c>
      <c r="E313" s="64" t="s">
        <v>81</v>
      </c>
      <c r="F313" s="64" t="s">
        <v>82</v>
      </c>
      <c r="G313" s="64" t="s">
        <v>83</v>
      </c>
      <c r="H313" s="65" t="str">
        <f>VLOOKUP(Tabla6[[#This Row],[DIRECCIÓN]],DIRECCIÓN[#All],2,0)</f>
        <v>ADMINISTRACIÓN CENTRAL</v>
      </c>
      <c r="I313" s="66" t="s">
        <v>945</v>
      </c>
      <c r="J313" s="67">
        <v>2</v>
      </c>
      <c r="K313" s="68" t="str">
        <f>VLOOKUP(Tabla6[[#This Row],[DIRECCIÓN GENERAL / COORDINACIÓN / SUBDIRECCIÓN]],Tabla37[[#All],[Columna1]:[EOD]],2,0)</f>
        <v>266_0001</v>
      </c>
      <c r="L313" s="69">
        <f>VLOOKUP(Tabla6[[#This Row],[OBJETIVOS PND]],Listas!$A$1:$C$3,3,0)</f>
        <v>1</v>
      </c>
      <c r="M313" s="70">
        <f>VLOOKUP(Tabla6[[#This Row],[PG]],Listas2!$G$14:$K$16,5,0)</f>
        <v>0</v>
      </c>
      <c r="N313" s="71">
        <v>1</v>
      </c>
      <c r="O313" s="72">
        <v>2101</v>
      </c>
      <c r="P313" s="73" t="str">
        <f>VLOOKUP(Tabla6[[#This Row],[GEO]],Listas!$A$48:$B$77,2,0)</f>
        <v>LAGO AGRIO</v>
      </c>
      <c r="Q313" s="70">
        <f>VLOOKUP(Tabla6[[#This Row],[PG]],Listas2!$G$14:$K$16,3,0)</f>
        <v>1</v>
      </c>
      <c r="R313" s="73">
        <f>VLOOKUP(Tabla6[[#This Row],[PG]],Listas2!H318:'Listas2'!$G$14:$K$16,4,0)</f>
        <v>0</v>
      </c>
      <c r="S313" s="73">
        <f>VLOOKUP(Tabla6[[#This Row],[PG]],Listas2!$G$14:$K$16,2,0)</f>
        <v>0</v>
      </c>
      <c r="T313" s="66" t="s">
        <v>84</v>
      </c>
      <c r="U313" s="74">
        <v>53</v>
      </c>
      <c r="V313" s="66">
        <v>530803</v>
      </c>
      <c r="W313" s="63" t="str">
        <f>VLOOKUP(Tabla6[[#This Row],[ÍTEM PRESUPUESTARIO]],Tabla2[#All],2,0)</f>
        <v>LUBRICANTES</v>
      </c>
      <c r="X313" s="57">
        <v>0</v>
      </c>
      <c r="Y313" s="57">
        <f>1000-800-177.11</f>
        <v>22.889999999999986</v>
      </c>
      <c r="Z313" s="58">
        <v>0</v>
      </c>
      <c r="AA313" s="58">
        <v>0</v>
      </c>
      <c r="AB313" s="58">
        <v>0</v>
      </c>
      <c r="AC313" s="58">
        <v>0</v>
      </c>
      <c r="AD313" s="58">
        <v>0</v>
      </c>
      <c r="AE313" s="58">
        <v>0</v>
      </c>
      <c r="AF313" s="58">
        <v>22.889999999999986</v>
      </c>
      <c r="AG313" s="58">
        <v>0</v>
      </c>
      <c r="AH313" s="58">
        <v>0</v>
      </c>
      <c r="AI313" s="58">
        <v>0</v>
      </c>
      <c r="AJ313" s="58">
        <v>0</v>
      </c>
      <c r="AK313" s="58">
        <v>0</v>
      </c>
      <c r="AL313" s="75">
        <f>+SUBTOTAL(9,Tabla6[[#This Row],[ENE]:[DIC]])</f>
        <v>22.889999999999986</v>
      </c>
      <c r="AM313" s="76" t="str">
        <f t="shared" si="4"/>
        <v>OK</v>
      </c>
      <c r="AN313" s="60">
        <v>22.89</v>
      </c>
      <c r="AO313" s="61">
        <f>+Tabla6[[#This Row],[PRESUPUESTO VIGENTE]]-Tabla6[[#This Row],[CERTIFICACIÓN PAPP]]</f>
        <v>0</v>
      </c>
      <c r="AP313" s="59">
        <v>0</v>
      </c>
    </row>
    <row r="314" spans="1:42" ht="93" customHeight="1" x14ac:dyDescent="0.25">
      <c r="A314" s="62" t="s">
        <v>78</v>
      </c>
      <c r="B314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314" s="64" t="s">
        <v>79</v>
      </c>
      <c r="D314" s="64" t="s">
        <v>80</v>
      </c>
      <c r="E314" s="64" t="s">
        <v>81</v>
      </c>
      <c r="F314" s="64" t="s">
        <v>82</v>
      </c>
      <c r="G314" s="64" t="s">
        <v>83</v>
      </c>
      <c r="H314" s="65" t="str">
        <f>VLOOKUP(Tabla6[[#This Row],[DIRECCIÓN]],DIRECCIÓN[#All],2,0)</f>
        <v>ADMINISTRACIÓN CENTRAL</v>
      </c>
      <c r="I314" s="66" t="s">
        <v>811</v>
      </c>
      <c r="J314" s="67">
        <v>2</v>
      </c>
      <c r="K314" s="68" t="str">
        <f>VLOOKUP(Tabla6[[#This Row],[DIRECCIÓN GENERAL / COORDINACIÓN / SUBDIRECCIÓN]],Tabla37[[#All],[Columna1]:[EOD]],2,0)</f>
        <v>266_0001</v>
      </c>
      <c r="L314" s="69">
        <f>VLOOKUP(Tabla6[[#This Row],[OBJETIVOS PND]],Listas!$A$1:$C$3,3,0)</f>
        <v>1</v>
      </c>
      <c r="M314" s="70">
        <f>VLOOKUP(Tabla6[[#This Row],[PG]],Listas2!$G$14:$K$16,5,0)</f>
        <v>0</v>
      </c>
      <c r="N314" s="71">
        <v>1</v>
      </c>
      <c r="O314" s="72">
        <v>2101</v>
      </c>
      <c r="P314" s="73" t="str">
        <f>VLOOKUP(Tabla6[[#This Row],[GEO]],Listas!$A$48:$B$77,2,0)</f>
        <v>LAGO AGRIO</v>
      </c>
      <c r="Q314" s="70">
        <f>VLOOKUP(Tabla6[[#This Row],[PG]],Listas2!$G$14:$K$16,3,0)</f>
        <v>1</v>
      </c>
      <c r="R314" s="73">
        <f>VLOOKUP(Tabla6[[#This Row],[PG]],Listas2!H319:'Listas2'!$G$14:$K$16,4,0)</f>
        <v>0</v>
      </c>
      <c r="S314" s="73">
        <f>VLOOKUP(Tabla6[[#This Row],[PG]],Listas2!$G$14:$K$16,2,0)</f>
        <v>0</v>
      </c>
      <c r="T314" s="66" t="s">
        <v>84</v>
      </c>
      <c r="U314" s="74">
        <v>53</v>
      </c>
      <c r="V314" s="66">
        <v>530804</v>
      </c>
      <c r="W314" s="63" t="str">
        <f>VLOOKUP(Tabla6[[#This Row],[ÍTEM PRESUPUESTARIO]],Tabla2[#All],2,0)</f>
        <v>MATERIALES DE OFICINA</v>
      </c>
      <c r="X314" s="57">
        <v>100</v>
      </c>
      <c r="Y314" s="57">
        <f>100+400-459.02</f>
        <v>40.980000000000018</v>
      </c>
      <c r="Z314" s="58">
        <v>0</v>
      </c>
      <c r="AA314" s="58">
        <v>0</v>
      </c>
      <c r="AB314" s="58">
        <v>0</v>
      </c>
      <c r="AC314" s="58">
        <v>0</v>
      </c>
      <c r="AD314" s="58">
        <v>40.98</v>
      </c>
      <c r="AE314" s="58">
        <v>0</v>
      </c>
      <c r="AF314" s="58">
        <v>0</v>
      </c>
      <c r="AG314" s="58">
        <v>0</v>
      </c>
      <c r="AH314" s="58">
        <v>0</v>
      </c>
      <c r="AI314" s="58">
        <v>0</v>
      </c>
      <c r="AJ314" s="58">
        <v>0</v>
      </c>
      <c r="AK314" s="58">
        <v>0</v>
      </c>
      <c r="AL314" s="75">
        <f>+SUBTOTAL(9,Tabla6[[#This Row],[ENE]:[DIC]])</f>
        <v>40.98</v>
      </c>
      <c r="AM314" s="76" t="str">
        <f t="shared" si="4"/>
        <v>OK</v>
      </c>
      <c r="AN314" s="60">
        <v>40.98</v>
      </c>
      <c r="AO314" s="61">
        <f>+Tabla6[[#This Row],[PRESUPUESTO VIGENTE]]-Tabla6[[#This Row],[CERTIFICACIÓN PAPP]]</f>
        <v>0</v>
      </c>
      <c r="AP314" s="59" t="s">
        <v>87</v>
      </c>
    </row>
    <row r="315" spans="1:42" ht="93" customHeight="1" x14ac:dyDescent="0.25">
      <c r="A315" s="62" t="s">
        <v>78</v>
      </c>
      <c r="B315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315" s="64" t="s">
        <v>79</v>
      </c>
      <c r="D315" s="64" t="s">
        <v>80</v>
      </c>
      <c r="E315" s="64" t="s">
        <v>81</v>
      </c>
      <c r="F315" s="64" t="s">
        <v>82</v>
      </c>
      <c r="G315" s="64" t="s">
        <v>83</v>
      </c>
      <c r="H315" s="65" t="str">
        <f>VLOOKUP(Tabla6[[#This Row],[DIRECCIÓN]],DIRECCIÓN[#All],2,0)</f>
        <v>ADMINISTRACIÓN CENTRAL</v>
      </c>
      <c r="I315" s="66" t="s">
        <v>946</v>
      </c>
      <c r="J315" s="67">
        <v>1</v>
      </c>
      <c r="K315" s="68" t="str">
        <f>VLOOKUP(Tabla6[[#This Row],[DIRECCIÓN GENERAL / COORDINACIÓN / SUBDIRECCIÓN]],Tabla37[[#All],[Columna1]:[EOD]],2,0)</f>
        <v>266_0001</v>
      </c>
      <c r="L315" s="69">
        <f>VLOOKUP(Tabla6[[#This Row],[OBJETIVOS PND]],Listas!$A$1:$C$3,3,0)</f>
        <v>1</v>
      </c>
      <c r="M315" s="70">
        <f>VLOOKUP(Tabla6[[#This Row],[PG]],Listas2!$G$14:$K$16,5,0)</f>
        <v>0</v>
      </c>
      <c r="N315" s="71">
        <v>1</v>
      </c>
      <c r="O315" s="72">
        <v>2101</v>
      </c>
      <c r="P315" s="73" t="str">
        <f>VLOOKUP(Tabla6[[#This Row],[GEO]],Listas!$A$48:$B$77,2,0)</f>
        <v>LAGO AGRIO</v>
      </c>
      <c r="Q315" s="70">
        <f>VLOOKUP(Tabla6[[#This Row],[PG]],Listas2!$G$14:$K$16,3,0)</f>
        <v>1</v>
      </c>
      <c r="R315" s="73">
        <f>VLOOKUP(Tabla6[[#This Row],[PG]],Listas2!H320:'Listas2'!$G$14:$K$16,4,0)</f>
        <v>0</v>
      </c>
      <c r="S315" s="73">
        <f>VLOOKUP(Tabla6[[#This Row],[PG]],Listas2!$G$14:$K$16,2,0)</f>
        <v>0</v>
      </c>
      <c r="T315" s="66" t="s">
        <v>84</v>
      </c>
      <c r="U315" s="74">
        <v>53</v>
      </c>
      <c r="V315" s="66">
        <v>530804</v>
      </c>
      <c r="W315" s="63" t="str">
        <f>VLOOKUP(Tabla6[[#This Row],[ÍTEM PRESUPUESTARIO]],Tabla2[#All],2,0)</f>
        <v>MATERIALES DE OFICINA</v>
      </c>
      <c r="X315" s="57">
        <v>1340</v>
      </c>
      <c r="Y315" s="57">
        <f>1340-840.84</f>
        <v>499.15999999999997</v>
      </c>
      <c r="Z315" s="58">
        <v>0</v>
      </c>
      <c r="AA315" s="58">
        <v>0</v>
      </c>
      <c r="AB315" s="58">
        <v>0</v>
      </c>
      <c r="AC315" s="58">
        <v>350</v>
      </c>
      <c r="AD315" s="58">
        <v>0</v>
      </c>
      <c r="AE315" s="58">
        <v>149.16</v>
      </c>
      <c r="AF315" s="58">
        <v>0</v>
      </c>
      <c r="AG315" s="58">
        <v>0</v>
      </c>
      <c r="AH315" s="58">
        <v>0</v>
      </c>
      <c r="AI315" s="58">
        <v>0</v>
      </c>
      <c r="AJ315" s="58">
        <v>0</v>
      </c>
      <c r="AK315" s="58">
        <v>0</v>
      </c>
      <c r="AL315" s="75">
        <f>+SUBTOTAL(9,Tabla6[[#This Row],[ENE]:[DIC]])</f>
        <v>499.15999999999997</v>
      </c>
      <c r="AM315" s="76" t="str">
        <f t="shared" si="4"/>
        <v>OK</v>
      </c>
      <c r="AN315" s="60">
        <f>163.4+335.76</f>
        <v>499.15999999999997</v>
      </c>
      <c r="AO315" s="61">
        <f>+Tabla6[[#This Row],[PRESUPUESTO VIGENTE]]-Tabla6[[#This Row],[CERTIFICACIÓN PAPP]]</f>
        <v>0</v>
      </c>
      <c r="AP315" s="59" t="s">
        <v>87</v>
      </c>
    </row>
    <row r="316" spans="1:42" ht="93" customHeight="1" x14ac:dyDescent="0.25">
      <c r="A316" s="62" t="s">
        <v>78</v>
      </c>
      <c r="B316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316" s="64" t="s">
        <v>85</v>
      </c>
      <c r="D316" s="64" t="s">
        <v>80</v>
      </c>
      <c r="E316" s="64" t="s">
        <v>81</v>
      </c>
      <c r="F316" s="64" t="s">
        <v>82</v>
      </c>
      <c r="G316" s="64" t="s">
        <v>86</v>
      </c>
      <c r="H316" s="65" t="str">
        <f>VLOOKUP(Tabla6[[#This Row],[DIRECCIÓN]],DIRECCIÓN[#All],2,0)</f>
        <v>COMUNICACIÓN SOCIAL</v>
      </c>
      <c r="I316" s="66" t="s">
        <v>947</v>
      </c>
      <c r="J316" s="67">
        <v>2</v>
      </c>
      <c r="K316" s="68" t="str">
        <f>VLOOKUP(Tabla6[[#This Row],[DIRECCIÓN GENERAL / COORDINACIÓN / SUBDIRECCIÓN]],Tabla37[[#All],[Columna1]:[EOD]],2,0)</f>
        <v>266_0001</v>
      </c>
      <c r="L316" s="69">
        <f>VLOOKUP(Tabla6[[#This Row],[OBJETIVOS PND]],Listas!$A$1:$C$3,3,0)</f>
        <v>1</v>
      </c>
      <c r="M316" s="70">
        <f>VLOOKUP(Tabla6[[#This Row],[PG]],Listas2!$G$14:$K$16,5,0)</f>
        <v>0</v>
      </c>
      <c r="N316" s="71">
        <v>1</v>
      </c>
      <c r="O316" s="72">
        <v>2101</v>
      </c>
      <c r="P316" s="73" t="str">
        <f>VLOOKUP(Tabla6[[#This Row],[GEO]],Listas!$A$48:$B$77,2,0)</f>
        <v>LAGO AGRIO</v>
      </c>
      <c r="Q316" s="70">
        <f>VLOOKUP(Tabla6[[#This Row],[PG]],Listas2!$G$14:$K$16,3,0)</f>
        <v>1</v>
      </c>
      <c r="R316" s="73">
        <f>VLOOKUP(Tabla6[[#This Row],[PG]],Listas2!H321:'Listas2'!$G$14:$K$16,4,0)</f>
        <v>0</v>
      </c>
      <c r="S316" s="73">
        <f>VLOOKUP(Tabla6[[#This Row],[PG]],Listas2!$G$14:$K$16,2,0)</f>
        <v>0</v>
      </c>
      <c r="T316" s="66" t="s">
        <v>84</v>
      </c>
      <c r="U316" s="74">
        <v>53</v>
      </c>
      <c r="V316" s="66">
        <v>530804</v>
      </c>
      <c r="W316" s="63" t="str">
        <f>VLOOKUP(Tabla6[[#This Row],[ÍTEM PRESUPUESTARIO]],Tabla2[#All],2,0)</f>
        <v>MATERIALES DE OFICINA</v>
      </c>
      <c r="X316" s="57">
        <v>0</v>
      </c>
      <c r="Y316" s="57">
        <f>675-165</f>
        <v>510</v>
      </c>
      <c r="Z316" s="58">
        <v>0</v>
      </c>
      <c r="AA316" s="58">
        <v>0</v>
      </c>
      <c r="AB316" s="58">
        <v>0</v>
      </c>
      <c r="AC316" s="58">
        <v>0</v>
      </c>
      <c r="AD316" s="58">
        <v>510</v>
      </c>
      <c r="AE316" s="58">
        <v>0</v>
      </c>
      <c r="AF316" s="58">
        <v>0</v>
      </c>
      <c r="AG316" s="58">
        <v>0</v>
      </c>
      <c r="AH316" s="58">
        <v>0</v>
      </c>
      <c r="AI316" s="58">
        <v>0</v>
      </c>
      <c r="AJ316" s="58">
        <v>0</v>
      </c>
      <c r="AK316" s="58">
        <v>0</v>
      </c>
      <c r="AL316" s="75">
        <f>+SUBTOTAL(9,Tabla6[[#This Row],[ENE]:[DIC]])</f>
        <v>510</v>
      </c>
      <c r="AM316" s="76" t="str">
        <f t="shared" si="4"/>
        <v>OK</v>
      </c>
      <c r="AN316" s="60">
        <v>510</v>
      </c>
      <c r="AO316" s="61">
        <f>+Tabla6[[#This Row],[PRESUPUESTO VIGENTE]]-Tabla6[[#This Row],[CERTIFICACIÓN PAPP]]</f>
        <v>0</v>
      </c>
      <c r="AP316" s="59">
        <v>0</v>
      </c>
    </row>
    <row r="317" spans="1:42" ht="93" customHeight="1" x14ac:dyDescent="0.25">
      <c r="A317" s="62" t="s">
        <v>78</v>
      </c>
      <c r="B317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317" s="64" t="s">
        <v>79</v>
      </c>
      <c r="D317" s="64" t="s">
        <v>80</v>
      </c>
      <c r="E317" s="64" t="s">
        <v>81</v>
      </c>
      <c r="F317" s="64" t="s">
        <v>82</v>
      </c>
      <c r="G317" s="64" t="s">
        <v>83</v>
      </c>
      <c r="H317" s="65" t="str">
        <f>VLOOKUP(Tabla6[[#This Row],[DIRECCIÓN]],DIRECCIÓN[#All],2,0)</f>
        <v>ADMINISTRACIÓN CENTRAL</v>
      </c>
      <c r="I317" s="66" t="s">
        <v>948</v>
      </c>
      <c r="J317" s="67">
        <v>1</v>
      </c>
      <c r="K317" s="68" t="str">
        <f>VLOOKUP(Tabla6[[#This Row],[DIRECCIÓN GENERAL / COORDINACIÓN / SUBDIRECCIÓN]],Tabla37[[#All],[Columna1]:[EOD]],2,0)</f>
        <v>266_0001</v>
      </c>
      <c r="L317" s="69">
        <f>VLOOKUP(Tabla6[[#This Row],[OBJETIVOS PND]],Listas!$A$1:$C$3,3,0)</f>
        <v>1</v>
      </c>
      <c r="M317" s="70">
        <f>VLOOKUP(Tabla6[[#This Row],[PG]],Listas2!$G$14:$K$16,5,0)</f>
        <v>0</v>
      </c>
      <c r="N317" s="71">
        <v>1</v>
      </c>
      <c r="O317" s="72">
        <v>2101</v>
      </c>
      <c r="P317" s="73" t="str">
        <f>VLOOKUP(Tabla6[[#This Row],[GEO]],Listas!$A$48:$B$77,2,0)</f>
        <v>LAGO AGRIO</v>
      </c>
      <c r="Q317" s="70">
        <f>VLOOKUP(Tabla6[[#This Row],[PG]],Listas2!$G$14:$K$16,3,0)</f>
        <v>1</v>
      </c>
      <c r="R317" s="73">
        <f>VLOOKUP(Tabla6[[#This Row],[PG]],Listas2!H322:'Listas2'!$G$14:$K$16,4,0)</f>
        <v>0</v>
      </c>
      <c r="S317" s="73">
        <f>VLOOKUP(Tabla6[[#This Row],[PG]],Listas2!$G$14:$K$16,2,0)</f>
        <v>0</v>
      </c>
      <c r="T317" s="66" t="s">
        <v>84</v>
      </c>
      <c r="U317" s="74">
        <v>53</v>
      </c>
      <c r="V317" s="66">
        <v>530804</v>
      </c>
      <c r="W317" s="63" t="str">
        <f>VLOOKUP(Tabla6[[#This Row],[ÍTEM PRESUPUESTARIO]],Tabla2[#All],2,0)</f>
        <v>MATERIALES DE OFICINA</v>
      </c>
      <c r="X317" s="57">
        <v>0</v>
      </c>
      <c r="Y317" s="57">
        <f>598-299+129.15-428.15</f>
        <v>0</v>
      </c>
      <c r="Z317" s="58">
        <v>0</v>
      </c>
      <c r="AA317" s="58">
        <v>0</v>
      </c>
      <c r="AB317" s="58">
        <v>0</v>
      </c>
      <c r="AC317" s="58">
        <v>0</v>
      </c>
      <c r="AD317" s="58">
        <v>0</v>
      </c>
      <c r="AE317" s="58">
        <v>0</v>
      </c>
      <c r="AF317" s="58">
        <v>0</v>
      </c>
      <c r="AG317" s="58">
        <v>0</v>
      </c>
      <c r="AH317" s="58">
        <v>0</v>
      </c>
      <c r="AI317" s="58">
        <v>0</v>
      </c>
      <c r="AJ317" s="58">
        <v>0</v>
      </c>
      <c r="AK317" s="58">
        <v>0</v>
      </c>
      <c r="AL317" s="75">
        <f>+SUBTOTAL(9,Tabla6[[#This Row],[ENE]:[DIC]])</f>
        <v>0</v>
      </c>
      <c r="AM317" s="76" t="str">
        <f t="shared" si="4"/>
        <v>OK</v>
      </c>
      <c r="AN317" s="60">
        <v>0</v>
      </c>
      <c r="AO317" s="61">
        <f>+Tabla6[[#This Row],[PRESUPUESTO VIGENTE]]-Tabla6[[#This Row],[CERTIFICACIÓN PAPP]]</f>
        <v>0</v>
      </c>
      <c r="AP317" s="59">
        <v>0</v>
      </c>
    </row>
    <row r="318" spans="1:42" ht="93" customHeight="1" x14ac:dyDescent="0.25">
      <c r="A318" s="62" t="s">
        <v>78</v>
      </c>
      <c r="B318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318" s="64" t="s">
        <v>79</v>
      </c>
      <c r="D318" s="64" t="s">
        <v>80</v>
      </c>
      <c r="E318" s="64" t="s">
        <v>81</v>
      </c>
      <c r="F318" s="64" t="s">
        <v>82</v>
      </c>
      <c r="G318" s="64" t="s">
        <v>83</v>
      </c>
      <c r="H318" s="65" t="str">
        <f>VLOOKUP(Tabla6[[#This Row],[DIRECCIÓN]],DIRECCIÓN[#All],2,0)</f>
        <v>ADMINISTRACIÓN CENTRAL</v>
      </c>
      <c r="I318" s="66" t="s">
        <v>949</v>
      </c>
      <c r="J318" s="67">
        <v>2</v>
      </c>
      <c r="K318" s="68" t="str">
        <f>VLOOKUP(Tabla6[[#This Row],[DIRECCIÓN GENERAL / COORDINACIÓN / SUBDIRECCIÓN]],Tabla37[[#All],[Columna1]:[EOD]],2,0)</f>
        <v>266_0001</v>
      </c>
      <c r="L318" s="69">
        <f>VLOOKUP(Tabla6[[#This Row],[OBJETIVOS PND]],Listas!$A$1:$C$3,3,0)</f>
        <v>1</v>
      </c>
      <c r="M318" s="70">
        <f>VLOOKUP(Tabla6[[#This Row],[PG]],Listas2!$G$14:$K$16,5,0)</f>
        <v>0</v>
      </c>
      <c r="N318" s="71">
        <v>1</v>
      </c>
      <c r="O318" s="72">
        <v>2101</v>
      </c>
      <c r="P318" s="73" t="str">
        <f>VLOOKUP(Tabla6[[#This Row],[GEO]],Listas!$A$48:$B$77,2,0)</f>
        <v>LAGO AGRIO</v>
      </c>
      <c r="Q318" s="70">
        <f>VLOOKUP(Tabla6[[#This Row],[PG]],Listas2!$G$14:$K$16,3,0)</f>
        <v>1</v>
      </c>
      <c r="R318" s="73">
        <f>VLOOKUP(Tabla6[[#This Row],[PG]],Listas2!H323:'Listas2'!$G$14:$K$16,4,0)</f>
        <v>0</v>
      </c>
      <c r="S318" s="73">
        <f>VLOOKUP(Tabla6[[#This Row],[PG]],Listas2!$G$14:$K$16,2,0)</f>
        <v>0</v>
      </c>
      <c r="T318" s="66" t="s">
        <v>84</v>
      </c>
      <c r="U318" s="74">
        <v>53</v>
      </c>
      <c r="V318" s="66">
        <v>530804</v>
      </c>
      <c r="W318" s="63" t="str">
        <f>VLOOKUP(Tabla6[[#This Row],[ÍTEM PRESUPUESTARIO]],Tabla2[#All],2,0)</f>
        <v>MATERIALES DE OFICINA</v>
      </c>
      <c r="X318" s="57">
        <v>0</v>
      </c>
      <c r="Y318" s="57">
        <f>868.53-868.53</f>
        <v>0</v>
      </c>
      <c r="Z318" s="58">
        <v>0</v>
      </c>
      <c r="AA318" s="58">
        <v>0</v>
      </c>
      <c r="AB318" s="58">
        <v>0</v>
      </c>
      <c r="AC318" s="58">
        <v>0</v>
      </c>
      <c r="AD318" s="58">
        <v>0</v>
      </c>
      <c r="AE318" s="58">
        <v>0</v>
      </c>
      <c r="AF318" s="58">
        <v>0</v>
      </c>
      <c r="AG318" s="58">
        <v>0</v>
      </c>
      <c r="AH318" s="58">
        <v>0</v>
      </c>
      <c r="AI318" s="58">
        <v>0</v>
      </c>
      <c r="AJ318" s="58">
        <v>0</v>
      </c>
      <c r="AK318" s="58">
        <v>0</v>
      </c>
      <c r="AL318" s="75">
        <f>+SUBTOTAL(9,Tabla6[[#This Row],[ENE]:[DIC]])</f>
        <v>0</v>
      </c>
      <c r="AM318" s="76" t="str">
        <f t="shared" si="4"/>
        <v>OK</v>
      </c>
      <c r="AN318" s="60">
        <v>0</v>
      </c>
      <c r="AO318" s="61">
        <f>+Tabla6[[#This Row],[PRESUPUESTO VIGENTE]]-Tabla6[[#This Row],[CERTIFICACIÓN PAPP]]</f>
        <v>0</v>
      </c>
      <c r="AP318" s="59">
        <v>0</v>
      </c>
    </row>
    <row r="319" spans="1:42" ht="93" customHeight="1" x14ac:dyDescent="0.25">
      <c r="A319" s="62" t="s">
        <v>78</v>
      </c>
      <c r="B319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319" s="64" t="s">
        <v>79</v>
      </c>
      <c r="D319" s="64" t="s">
        <v>80</v>
      </c>
      <c r="E319" s="64" t="s">
        <v>81</v>
      </c>
      <c r="F319" s="64" t="s">
        <v>82</v>
      </c>
      <c r="G319" s="64" t="s">
        <v>83</v>
      </c>
      <c r="H319" s="65" t="str">
        <f>VLOOKUP(Tabla6[[#This Row],[DIRECCIÓN]],DIRECCIÓN[#All],2,0)</f>
        <v>ADMINISTRACIÓN CENTRAL</v>
      </c>
      <c r="I319" s="66" t="s">
        <v>950</v>
      </c>
      <c r="J319" s="67">
        <v>1</v>
      </c>
      <c r="K319" s="68" t="str">
        <f>VLOOKUP(Tabla6[[#This Row],[DIRECCIÓN GENERAL / COORDINACIÓN / SUBDIRECCIÓN]],Tabla37[[#All],[Columna1]:[EOD]],2,0)</f>
        <v>266_0001</v>
      </c>
      <c r="L319" s="69">
        <f>VLOOKUP(Tabla6[[#This Row],[OBJETIVOS PND]],Listas!$A$1:$C$3,3,0)</f>
        <v>1</v>
      </c>
      <c r="M319" s="70">
        <f>VLOOKUP(Tabla6[[#This Row],[PG]],Listas2!$G$14:$K$16,5,0)</f>
        <v>0</v>
      </c>
      <c r="N319" s="71">
        <v>1</v>
      </c>
      <c r="O319" s="72">
        <v>2101</v>
      </c>
      <c r="P319" s="73" t="str">
        <f>VLOOKUP(Tabla6[[#This Row],[GEO]],Listas!$A$48:$B$77,2,0)</f>
        <v>LAGO AGRIO</v>
      </c>
      <c r="Q319" s="70">
        <f>VLOOKUP(Tabla6[[#This Row],[PG]],Listas2!$G$14:$K$16,3,0)</f>
        <v>1</v>
      </c>
      <c r="R319" s="73">
        <f>VLOOKUP(Tabla6[[#This Row],[PG]],Listas2!H324:'Listas2'!$G$14:$K$16,4,0)</f>
        <v>0</v>
      </c>
      <c r="S319" s="73">
        <f>VLOOKUP(Tabla6[[#This Row],[PG]],Listas2!$G$14:$K$16,2,0)</f>
        <v>0</v>
      </c>
      <c r="T319" s="66" t="s">
        <v>84</v>
      </c>
      <c r="U319" s="74">
        <v>53</v>
      </c>
      <c r="V319" s="66">
        <v>530805</v>
      </c>
      <c r="W319" s="63" t="str">
        <f>VLOOKUP(Tabla6[[#This Row],[ÍTEM PRESUPUESTARIO]],Tabla2[#All],2,0)</f>
        <v>MATERIALES DE ASEO</v>
      </c>
      <c r="X319" s="57">
        <v>500</v>
      </c>
      <c r="Y319" s="57">
        <f>500-311.52</f>
        <v>188.48000000000002</v>
      </c>
      <c r="Z319" s="58">
        <v>0</v>
      </c>
      <c r="AA319" s="58">
        <v>0</v>
      </c>
      <c r="AB319" s="58">
        <v>0</v>
      </c>
      <c r="AC319" s="58">
        <v>0</v>
      </c>
      <c r="AD319" s="58">
        <v>0</v>
      </c>
      <c r="AE319" s="58">
        <v>188.48</v>
      </c>
      <c r="AF319" s="58">
        <v>0</v>
      </c>
      <c r="AG319" s="58">
        <v>0</v>
      </c>
      <c r="AH319" s="58">
        <v>0</v>
      </c>
      <c r="AI319" s="58">
        <v>0</v>
      </c>
      <c r="AJ319" s="58">
        <v>0</v>
      </c>
      <c r="AK319" s="58">
        <v>0</v>
      </c>
      <c r="AL319" s="75">
        <f>+SUBTOTAL(9,Tabla6[[#This Row],[ENE]:[DIC]])</f>
        <v>188.48</v>
      </c>
      <c r="AM319" s="76" t="str">
        <f t="shared" si="4"/>
        <v>OK</v>
      </c>
      <c r="AN319" s="60">
        <v>188.48</v>
      </c>
      <c r="AO319" s="61">
        <f>+Tabla6[[#This Row],[PRESUPUESTO VIGENTE]]-Tabla6[[#This Row],[CERTIFICACIÓN PAPP]]</f>
        <v>0</v>
      </c>
      <c r="AP319" s="59">
        <v>0</v>
      </c>
    </row>
    <row r="320" spans="1:42" ht="93" customHeight="1" x14ac:dyDescent="0.25">
      <c r="A320" s="62" t="s">
        <v>78</v>
      </c>
      <c r="B320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320" s="64" t="s">
        <v>79</v>
      </c>
      <c r="D320" s="64" t="s">
        <v>80</v>
      </c>
      <c r="E320" s="64" t="s">
        <v>81</v>
      </c>
      <c r="F320" s="64" t="s">
        <v>82</v>
      </c>
      <c r="G320" s="64" t="s">
        <v>83</v>
      </c>
      <c r="H320" s="65" t="str">
        <f>VLOOKUP(Tabla6[[#This Row],[DIRECCIÓN]],DIRECCIÓN[#All],2,0)</f>
        <v>ADMINISTRACIÓN CENTRAL</v>
      </c>
      <c r="I320" s="66" t="s">
        <v>951</v>
      </c>
      <c r="J320" s="67">
        <v>1</v>
      </c>
      <c r="K320" s="68" t="str">
        <f>VLOOKUP(Tabla6[[#This Row],[DIRECCIÓN GENERAL / COORDINACIÓN / SUBDIRECCIÓN]],Tabla37[[#All],[Columna1]:[EOD]],2,0)</f>
        <v>266_0001</v>
      </c>
      <c r="L320" s="69">
        <f>VLOOKUP(Tabla6[[#This Row],[OBJETIVOS PND]],Listas!$A$1:$C$3,3,0)</f>
        <v>1</v>
      </c>
      <c r="M320" s="70">
        <f>VLOOKUP(Tabla6[[#This Row],[PG]],Listas2!$G$14:$K$16,5,0)</f>
        <v>0</v>
      </c>
      <c r="N320" s="71">
        <v>1</v>
      </c>
      <c r="O320" s="72">
        <v>2101</v>
      </c>
      <c r="P320" s="73" t="str">
        <f>VLOOKUP(Tabla6[[#This Row],[GEO]],Listas!$A$48:$B$77,2,0)</f>
        <v>LAGO AGRIO</v>
      </c>
      <c r="Q320" s="70">
        <f>VLOOKUP(Tabla6[[#This Row],[PG]],Listas2!$G$14:$K$16,3,0)</f>
        <v>1</v>
      </c>
      <c r="R320" s="73">
        <f>VLOOKUP(Tabla6[[#This Row],[PG]],Listas2!H325:'Listas2'!$G$14:$K$16,4,0)</f>
        <v>0</v>
      </c>
      <c r="S320" s="73">
        <f>VLOOKUP(Tabla6[[#This Row],[PG]],Listas2!$G$14:$K$16,2,0)</f>
        <v>0</v>
      </c>
      <c r="T320" s="66" t="s">
        <v>84</v>
      </c>
      <c r="U320" s="74">
        <v>53</v>
      </c>
      <c r="V320" s="66">
        <v>530807</v>
      </c>
      <c r="W320" s="63" t="str">
        <f>VLOOKUP(Tabla6[[#This Row],[ÍTEM PRESUPUESTARIO]],Tabla2[#All],2,0)</f>
        <v>MATERIALES DE IMPRESIÓN, FOTOGRAFÍA, REPRODUCCIÓN Y PUBLICACIONES</v>
      </c>
      <c r="X320" s="57">
        <v>2500</v>
      </c>
      <c r="Y320" s="57">
        <f>2500+730-612.26</f>
        <v>2617.7399999999998</v>
      </c>
      <c r="Z320" s="58">
        <v>0</v>
      </c>
      <c r="AA320" s="58">
        <v>0</v>
      </c>
      <c r="AB320" s="58">
        <v>0</v>
      </c>
      <c r="AC320" s="58">
        <v>0</v>
      </c>
      <c r="AD320" s="58">
        <v>0</v>
      </c>
      <c r="AE320" s="58">
        <v>0</v>
      </c>
      <c r="AF320" s="58">
        <v>2330.4</v>
      </c>
      <c r="AG320" s="58">
        <v>287.33999999999997</v>
      </c>
      <c r="AH320" s="58">
        <v>0</v>
      </c>
      <c r="AI320" s="58">
        <v>0</v>
      </c>
      <c r="AJ320" s="58">
        <v>0</v>
      </c>
      <c r="AK320" s="58">
        <v>0</v>
      </c>
      <c r="AL320" s="75">
        <f>+SUBTOTAL(9,Tabla6[[#This Row],[ENE]:[DIC]])</f>
        <v>2617.7400000000002</v>
      </c>
      <c r="AM320" s="76" t="str">
        <f t="shared" si="4"/>
        <v>OK</v>
      </c>
      <c r="AN320" s="60">
        <v>2617.7399999999998</v>
      </c>
      <c r="AO320" s="61">
        <f>+Tabla6[[#This Row],[PRESUPUESTO VIGENTE]]-Tabla6[[#This Row],[CERTIFICACIÓN PAPP]]</f>
        <v>0</v>
      </c>
      <c r="AP320" s="59" t="s">
        <v>87</v>
      </c>
    </row>
    <row r="321" spans="1:42" ht="93" customHeight="1" x14ac:dyDescent="0.25">
      <c r="A321" s="62" t="s">
        <v>78</v>
      </c>
      <c r="B321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321" s="64" t="s">
        <v>79</v>
      </c>
      <c r="D321" s="64" t="s">
        <v>80</v>
      </c>
      <c r="E321" s="64" t="s">
        <v>81</v>
      </c>
      <c r="F321" s="64" t="s">
        <v>82</v>
      </c>
      <c r="G321" s="64" t="s">
        <v>83</v>
      </c>
      <c r="H321" s="65" t="str">
        <f>VLOOKUP(Tabla6[[#This Row],[DIRECCIÓN]],DIRECCIÓN[#All],2,0)</f>
        <v>ADMINISTRACIÓN CENTRAL</v>
      </c>
      <c r="I321" s="66" t="s">
        <v>948</v>
      </c>
      <c r="J321" s="67">
        <v>1</v>
      </c>
      <c r="K321" s="68" t="str">
        <f>VLOOKUP(Tabla6[[#This Row],[DIRECCIÓN GENERAL / COORDINACIÓN / SUBDIRECCIÓN]],Tabla37[[#All],[Columna1]:[EOD]],2,0)</f>
        <v>266_0001</v>
      </c>
      <c r="L321" s="69">
        <f>VLOOKUP(Tabla6[[#This Row],[OBJETIVOS PND]],Listas!$A$1:$C$3,3,0)</f>
        <v>1</v>
      </c>
      <c r="M321" s="70">
        <f>VLOOKUP(Tabla6[[#This Row],[PG]],Listas2!$G$14:$K$16,5,0)</f>
        <v>0</v>
      </c>
      <c r="N321" s="71">
        <v>1</v>
      </c>
      <c r="O321" s="72">
        <v>2101</v>
      </c>
      <c r="P321" s="73" t="str">
        <f>VLOOKUP(Tabla6[[#This Row],[GEO]],Listas!$A$48:$B$77,2,0)</f>
        <v>LAGO AGRIO</v>
      </c>
      <c r="Q321" s="70">
        <f>VLOOKUP(Tabla6[[#This Row],[PG]],Listas2!$G$14:$K$16,3,0)</f>
        <v>1</v>
      </c>
      <c r="R321" s="73">
        <f>VLOOKUP(Tabla6[[#This Row],[PG]],Listas2!H326:'Listas2'!$G$14:$K$16,4,0)</f>
        <v>0</v>
      </c>
      <c r="S321" s="73">
        <f>VLOOKUP(Tabla6[[#This Row],[PG]],Listas2!$G$14:$K$16,2,0)</f>
        <v>0</v>
      </c>
      <c r="T321" s="66" t="s">
        <v>84</v>
      </c>
      <c r="U321" s="74">
        <v>53</v>
      </c>
      <c r="V321" s="66">
        <v>530807</v>
      </c>
      <c r="W321" s="63" t="str">
        <f>VLOOKUP(Tabla6[[#This Row],[ÍTEM PRESUPUESTARIO]],Tabla2[#All],2,0)</f>
        <v>MATERIALES DE IMPRESIÓN, FOTOGRAFÍA, REPRODUCCIÓN Y PUBLICACIONES</v>
      </c>
      <c r="X321" s="57">
        <v>0</v>
      </c>
      <c r="Y321" s="57">
        <f>584-574.8+378.3-387.5</f>
        <v>0</v>
      </c>
      <c r="Z321" s="58">
        <v>0</v>
      </c>
      <c r="AA321" s="58">
        <v>0</v>
      </c>
      <c r="AB321" s="58">
        <v>0</v>
      </c>
      <c r="AC321" s="58">
        <v>0</v>
      </c>
      <c r="AD321" s="58">
        <v>0</v>
      </c>
      <c r="AE321" s="58">
        <v>0</v>
      </c>
      <c r="AF321" s="58">
        <v>0</v>
      </c>
      <c r="AG321" s="58">
        <v>0</v>
      </c>
      <c r="AH321" s="58">
        <v>0</v>
      </c>
      <c r="AI321" s="58">
        <v>0</v>
      </c>
      <c r="AJ321" s="58">
        <v>0</v>
      </c>
      <c r="AK321" s="58">
        <v>0</v>
      </c>
      <c r="AL321" s="75">
        <f>+SUBTOTAL(9,Tabla6[[#This Row],[ENE]:[DIC]])</f>
        <v>0</v>
      </c>
      <c r="AM321" s="76" t="str">
        <f t="shared" si="4"/>
        <v>OK</v>
      </c>
      <c r="AN321" s="60">
        <v>0</v>
      </c>
      <c r="AO321" s="61">
        <f>+Tabla6[[#This Row],[PRESUPUESTO VIGENTE]]-Tabla6[[#This Row],[CERTIFICACIÓN PAPP]]</f>
        <v>0</v>
      </c>
      <c r="AP321" s="59">
        <v>0</v>
      </c>
    </row>
    <row r="322" spans="1:42" ht="93" customHeight="1" x14ac:dyDescent="0.25">
      <c r="A322" s="62" t="s">
        <v>78</v>
      </c>
      <c r="B322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322" s="64" t="s">
        <v>79</v>
      </c>
      <c r="D322" s="64" t="s">
        <v>80</v>
      </c>
      <c r="E322" s="64" t="s">
        <v>81</v>
      </c>
      <c r="F322" s="64" t="s">
        <v>82</v>
      </c>
      <c r="G322" s="64" t="s">
        <v>83</v>
      </c>
      <c r="H322" s="65" t="str">
        <f>VLOOKUP(Tabla6[[#This Row],[DIRECCIÓN]],DIRECCIÓN[#All],2,0)</f>
        <v>ADMINISTRACIÓN CENTRAL</v>
      </c>
      <c r="I322" s="66" t="s">
        <v>792</v>
      </c>
      <c r="J322" s="67">
        <v>1</v>
      </c>
      <c r="K322" s="68" t="str">
        <f>VLOOKUP(Tabla6[[#This Row],[DIRECCIÓN GENERAL / COORDINACIÓN / SUBDIRECCIÓN]],Tabla37[[#All],[Columna1]:[EOD]],2,0)</f>
        <v>266_0001</v>
      </c>
      <c r="L322" s="69">
        <f>VLOOKUP(Tabla6[[#This Row],[OBJETIVOS PND]],Listas!$A$1:$C$3,3,0)</f>
        <v>1</v>
      </c>
      <c r="M322" s="70">
        <f>VLOOKUP(Tabla6[[#This Row],[PG]],Listas2!$G$14:$K$16,5,0)</f>
        <v>0</v>
      </c>
      <c r="N322" s="71">
        <v>1</v>
      </c>
      <c r="O322" s="72">
        <v>2101</v>
      </c>
      <c r="P322" s="73" t="str">
        <f>VLOOKUP(Tabla6[[#This Row],[GEO]],Listas!$A$48:$B$77,2,0)</f>
        <v>LAGO AGRIO</v>
      </c>
      <c r="Q322" s="70">
        <f>VLOOKUP(Tabla6[[#This Row],[PG]],Listas2!$G$14:$K$16,3,0)</f>
        <v>1</v>
      </c>
      <c r="R322" s="73">
        <f>VLOOKUP(Tabla6[[#This Row],[PG]],Listas2!H327:'Listas2'!$G$14:$K$16,4,0)</f>
        <v>0</v>
      </c>
      <c r="S322" s="73">
        <f>VLOOKUP(Tabla6[[#This Row],[PG]],Listas2!$G$14:$K$16,2,0)</f>
        <v>0</v>
      </c>
      <c r="T322" s="66" t="s">
        <v>84</v>
      </c>
      <c r="U322" s="74">
        <v>53</v>
      </c>
      <c r="V322" s="66">
        <v>530811</v>
      </c>
      <c r="W322" s="63" t="str">
        <f>VLOOKUP(Tabla6[[#This Row],[ÍTEM PRESUPUESTARIO]],Tabla2[#All],2,0)</f>
        <v>INSUMOS, MATERIALES Y SUMINISTROS PARA CONSTRUCCIÓN, ELECTRICIDAD, PLOMERÍA, CARPINTERÍA, SEÑALIZACIÓN VIAL, NAVEGACIÓN, CONTRA INCENDIOS Y PLACAS</v>
      </c>
      <c r="X322" s="57">
        <v>250</v>
      </c>
      <c r="Y322" s="57">
        <f>250-58.97+58.97-60.95</f>
        <v>189.05</v>
      </c>
      <c r="Z322" s="58">
        <v>0</v>
      </c>
      <c r="AA322" s="58">
        <v>0</v>
      </c>
      <c r="AB322" s="58">
        <v>0</v>
      </c>
      <c r="AC322" s="58">
        <v>68.25</v>
      </c>
      <c r="AD322" s="58">
        <v>0</v>
      </c>
      <c r="AE322" s="58">
        <v>120.8</v>
      </c>
      <c r="AF322" s="58">
        <v>0</v>
      </c>
      <c r="AG322" s="58">
        <v>0</v>
      </c>
      <c r="AH322" s="58">
        <v>0</v>
      </c>
      <c r="AI322" s="58">
        <v>0</v>
      </c>
      <c r="AJ322" s="58">
        <v>0</v>
      </c>
      <c r="AK322" s="58">
        <v>0</v>
      </c>
      <c r="AL322" s="75">
        <f>+SUBTOTAL(9,Tabla6[[#This Row],[ENE]:[DIC]])</f>
        <v>189.05</v>
      </c>
      <c r="AM322" s="76" t="str">
        <f t="shared" si="4"/>
        <v>OK</v>
      </c>
      <c r="AN322" s="60">
        <v>189.05</v>
      </c>
      <c r="AO322" s="61">
        <f>+Tabla6[[#This Row],[PRESUPUESTO VIGENTE]]-Tabla6[[#This Row],[CERTIFICACIÓN PAPP]]</f>
        <v>0</v>
      </c>
      <c r="AP322" s="59" t="s">
        <v>87</v>
      </c>
    </row>
    <row r="323" spans="1:42" ht="93" customHeight="1" x14ac:dyDescent="0.25">
      <c r="A323" s="62" t="s">
        <v>78</v>
      </c>
      <c r="B323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323" s="64" t="s">
        <v>79</v>
      </c>
      <c r="D323" s="64" t="s">
        <v>80</v>
      </c>
      <c r="E323" s="64" t="s">
        <v>81</v>
      </c>
      <c r="F323" s="64" t="s">
        <v>82</v>
      </c>
      <c r="G323" s="64" t="s">
        <v>83</v>
      </c>
      <c r="H323" s="65" t="str">
        <f>VLOOKUP(Tabla6[[#This Row],[DIRECCIÓN]],DIRECCIÓN[#All],2,0)</f>
        <v>ADMINISTRACIÓN CENTRAL</v>
      </c>
      <c r="I323" s="66" t="s">
        <v>952</v>
      </c>
      <c r="J323" s="67">
        <v>1</v>
      </c>
      <c r="K323" s="68" t="str">
        <f>VLOOKUP(Tabla6[[#This Row],[DIRECCIÓN GENERAL / COORDINACIÓN / SUBDIRECCIÓN]],Tabla37[[#All],[Columna1]:[EOD]],2,0)</f>
        <v>266_0001</v>
      </c>
      <c r="L323" s="69">
        <f>VLOOKUP(Tabla6[[#This Row],[OBJETIVOS PND]],Listas!$A$1:$C$3,3,0)</f>
        <v>1</v>
      </c>
      <c r="M323" s="70">
        <f>VLOOKUP(Tabla6[[#This Row],[PG]],Listas2!$G$14:$K$16,5,0)</f>
        <v>0</v>
      </c>
      <c r="N323" s="71">
        <v>1</v>
      </c>
      <c r="O323" s="72">
        <v>2101</v>
      </c>
      <c r="P323" s="73" t="str">
        <f>VLOOKUP(Tabla6[[#This Row],[GEO]],Listas!$A$48:$B$77,2,0)</f>
        <v>LAGO AGRIO</v>
      </c>
      <c r="Q323" s="70">
        <f>VLOOKUP(Tabla6[[#This Row],[PG]],Listas2!$G$14:$K$16,3,0)</f>
        <v>1</v>
      </c>
      <c r="R323" s="73">
        <f>VLOOKUP(Tabla6[[#This Row],[PG]],Listas2!H328:'Listas2'!$G$14:$K$16,4,0)</f>
        <v>0</v>
      </c>
      <c r="S323" s="73">
        <f>VLOOKUP(Tabla6[[#This Row],[PG]],Listas2!$G$14:$K$16,2,0)</f>
        <v>0</v>
      </c>
      <c r="T323" s="66" t="s">
        <v>84</v>
      </c>
      <c r="U323" s="74">
        <v>53</v>
      </c>
      <c r="V323" s="66">
        <v>530811</v>
      </c>
      <c r="W323" s="63" t="str">
        <f>VLOOKUP(Tabla6[[#This Row],[ÍTEM PRESUPUESTARIO]],Tabla2[#All],2,0)</f>
        <v>INSUMOS, MATERIALES Y SUMINISTROS PARA CONSTRUCCIÓN, ELECTRICIDAD, PLOMERÍA, CARPINTERÍA, SEÑALIZACIÓN VIAL, NAVEGACIÓN, CONTRA INCENDIOS Y PLACAS</v>
      </c>
      <c r="X323" s="57">
        <v>1500</v>
      </c>
      <c r="Y323" s="57">
        <f>1500+500+1000+500-1024.07</f>
        <v>2475.9300000000003</v>
      </c>
      <c r="Z323" s="58">
        <v>0</v>
      </c>
      <c r="AA323" s="58">
        <v>0</v>
      </c>
      <c r="AB323" s="58">
        <v>0</v>
      </c>
      <c r="AC323" s="58">
        <v>0</v>
      </c>
      <c r="AD323" s="58">
        <v>0</v>
      </c>
      <c r="AE323" s="58">
        <v>0</v>
      </c>
      <c r="AF323" s="58">
        <v>2475.9300000000003</v>
      </c>
      <c r="AG323" s="58">
        <v>0</v>
      </c>
      <c r="AH323" s="58">
        <v>0</v>
      </c>
      <c r="AI323" s="58">
        <v>0</v>
      </c>
      <c r="AJ323" s="58">
        <v>0</v>
      </c>
      <c r="AK323" s="58">
        <v>0</v>
      </c>
      <c r="AL323" s="75">
        <f>+SUBTOTAL(9,Tabla6[[#This Row],[ENE]:[DIC]])</f>
        <v>2475.9300000000003</v>
      </c>
      <c r="AM323" s="76" t="str">
        <f t="shared" si="4"/>
        <v>OK</v>
      </c>
      <c r="AN323" s="60">
        <v>2475.9299999999998</v>
      </c>
      <c r="AO323" s="61">
        <f>+Tabla6[[#This Row],[PRESUPUESTO VIGENTE]]-Tabla6[[#This Row],[CERTIFICACIÓN PAPP]]</f>
        <v>0</v>
      </c>
      <c r="AP323" s="59" t="s">
        <v>87</v>
      </c>
    </row>
    <row r="324" spans="1:42" ht="93" customHeight="1" x14ac:dyDescent="0.25">
      <c r="A324" s="62" t="s">
        <v>78</v>
      </c>
      <c r="B324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324" s="64" t="s">
        <v>85</v>
      </c>
      <c r="D324" s="64" t="s">
        <v>80</v>
      </c>
      <c r="E324" s="64" t="s">
        <v>81</v>
      </c>
      <c r="F324" s="64" t="s">
        <v>82</v>
      </c>
      <c r="G324" s="64" t="s">
        <v>86</v>
      </c>
      <c r="H324" s="65" t="str">
        <f>VLOOKUP(Tabla6[[#This Row],[DIRECCIÓN]],DIRECCIÓN[#All],2,0)</f>
        <v>COMUNICACIÓN SOCIAL</v>
      </c>
      <c r="I324" s="66" t="s">
        <v>947</v>
      </c>
      <c r="J324" s="67">
        <v>2</v>
      </c>
      <c r="K324" s="68" t="str">
        <f>VLOOKUP(Tabla6[[#This Row],[DIRECCIÓN GENERAL / COORDINACIÓN / SUBDIRECCIÓN]],Tabla37[[#All],[Columna1]:[EOD]],2,0)</f>
        <v>266_0001</v>
      </c>
      <c r="L324" s="69">
        <f>VLOOKUP(Tabla6[[#This Row],[OBJETIVOS PND]],Listas!$A$1:$C$3,3,0)</f>
        <v>1</v>
      </c>
      <c r="M324" s="70">
        <f>VLOOKUP(Tabla6[[#This Row],[PG]],Listas2!$G$14:$K$16,5,0)</f>
        <v>0</v>
      </c>
      <c r="N324" s="71">
        <v>1</v>
      </c>
      <c r="O324" s="72">
        <v>2101</v>
      </c>
      <c r="P324" s="73" t="str">
        <f>VLOOKUP(Tabla6[[#This Row],[GEO]],Listas!$A$48:$B$77,2,0)</f>
        <v>LAGO AGRIO</v>
      </c>
      <c r="Q324" s="70">
        <f>VLOOKUP(Tabla6[[#This Row],[PG]],Listas2!$G$14:$K$16,3,0)</f>
        <v>1</v>
      </c>
      <c r="R324" s="73">
        <f>VLOOKUP(Tabla6[[#This Row],[PG]],Listas2!H329:'Listas2'!$G$14:$K$16,4,0)</f>
        <v>0</v>
      </c>
      <c r="S324" s="73">
        <f>VLOOKUP(Tabla6[[#This Row],[PG]],Listas2!$G$14:$K$16,2,0)</f>
        <v>0</v>
      </c>
      <c r="T324" s="66" t="s">
        <v>84</v>
      </c>
      <c r="U324" s="74">
        <v>53</v>
      </c>
      <c r="V324" s="66">
        <v>530811</v>
      </c>
      <c r="W324" s="63" t="str">
        <f>VLOOKUP(Tabla6[[#This Row],[ÍTEM PRESUPUESTARIO]],Tabla2[#All],2,0)</f>
        <v>INSUMOS, MATERIALES Y SUMINISTROS PARA CONSTRUCCIÓN, ELECTRICIDAD, PLOMERÍA, CARPINTERÍA, SEÑALIZACIÓN VIAL, NAVEGACIÓN, CONTRA INCENDIOS Y PLACAS</v>
      </c>
      <c r="X324" s="57">
        <v>0</v>
      </c>
      <c r="Y324" s="57">
        <v>470</v>
      </c>
      <c r="Z324" s="58">
        <v>0</v>
      </c>
      <c r="AA324" s="58">
        <v>0</v>
      </c>
      <c r="AB324" s="58">
        <v>0</v>
      </c>
      <c r="AC324" s="58">
        <v>0</v>
      </c>
      <c r="AD324" s="58">
        <v>470</v>
      </c>
      <c r="AE324" s="58">
        <v>0</v>
      </c>
      <c r="AF324" s="58">
        <v>0</v>
      </c>
      <c r="AG324" s="58">
        <v>0</v>
      </c>
      <c r="AH324" s="58">
        <v>0</v>
      </c>
      <c r="AI324" s="58">
        <v>0</v>
      </c>
      <c r="AJ324" s="58">
        <v>0</v>
      </c>
      <c r="AK324" s="58">
        <v>0</v>
      </c>
      <c r="AL324" s="75">
        <f>+SUBTOTAL(9,Tabla6[[#This Row],[ENE]:[DIC]])</f>
        <v>470</v>
      </c>
      <c r="AM324" s="76" t="str">
        <f t="shared" si="4"/>
        <v>OK</v>
      </c>
      <c r="AN324" s="60">
        <v>470</v>
      </c>
      <c r="AO324" s="61">
        <f>+Tabla6[[#This Row],[PRESUPUESTO VIGENTE]]-Tabla6[[#This Row],[CERTIFICACIÓN PAPP]]</f>
        <v>0</v>
      </c>
      <c r="AP324" s="59">
        <v>0</v>
      </c>
    </row>
    <row r="325" spans="1:42" ht="93" customHeight="1" x14ac:dyDescent="0.25">
      <c r="A325" s="62" t="s">
        <v>78</v>
      </c>
      <c r="B325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325" s="64" t="s">
        <v>79</v>
      </c>
      <c r="D325" s="64" t="s">
        <v>80</v>
      </c>
      <c r="E325" s="64" t="s">
        <v>81</v>
      </c>
      <c r="F325" s="64" t="s">
        <v>82</v>
      </c>
      <c r="G325" s="64" t="s">
        <v>83</v>
      </c>
      <c r="H325" s="65" t="str">
        <f>VLOOKUP(Tabla6[[#This Row],[DIRECCIÓN]],DIRECCIÓN[#All],2,0)</f>
        <v>ADMINISTRACIÓN CENTRAL</v>
      </c>
      <c r="I325" s="66" t="s">
        <v>819</v>
      </c>
      <c r="J325" s="67">
        <v>1</v>
      </c>
      <c r="K325" s="68" t="str">
        <f>VLOOKUP(Tabla6[[#This Row],[DIRECCIÓN GENERAL / COORDINACIÓN / SUBDIRECCIÓN]],Tabla37[[#All],[Columna1]:[EOD]],2,0)</f>
        <v>266_0001</v>
      </c>
      <c r="L325" s="69">
        <f>VLOOKUP(Tabla6[[#This Row],[OBJETIVOS PND]],Listas!$A$1:$C$3,3,0)</f>
        <v>1</v>
      </c>
      <c r="M325" s="70">
        <f>VLOOKUP(Tabla6[[#This Row],[PG]],Listas2!$G$14:$K$16,5,0)</f>
        <v>0</v>
      </c>
      <c r="N325" s="71">
        <v>1</v>
      </c>
      <c r="O325" s="72">
        <v>2101</v>
      </c>
      <c r="P325" s="73" t="str">
        <f>VLOOKUP(Tabla6[[#This Row],[GEO]],Listas!$A$48:$B$77,2,0)</f>
        <v>LAGO AGRIO</v>
      </c>
      <c r="Q325" s="70">
        <f>VLOOKUP(Tabla6[[#This Row],[PG]],Listas2!$G$14:$K$16,3,0)</f>
        <v>1</v>
      </c>
      <c r="R325" s="73">
        <f>VLOOKUP(Tabla6[[#This Row],[PG]],Listas2!H330:'Listas2'!$G$14:$K$16,4,0)</f>
        <v>0</v>
      </c>
      <c r="S325" s="73">
        <f>VLOOKUP(Tabla6[[#This Row],[PG]],Listas2!$G$14:$K$16,2,0)</f>
        <v>0</v>
      </c>
      <c r="T325" s="66" t="s">
        <v>84</v>
      </c>
      <c r="U325" s="74">
        <v>53</v>
      </c>
      <c r="V325" s="66">
        <v>530813</v>
      </c>
      <c r="W325" s="63" t="str">
        <f>VLOOKUP(Tabla6[[#This Row],[ÍTEM PRESUPUESTARIO]],Tabla2[#All],2,0)</f>
        <v>REPUESTOS Y ACCESORIOS</v>
      </c>
      <c r="X325" s="57">
        <v>1823</v>
      </c>
      <c r="Y325" s="57">
        <f>1823-125.74</f>
        <v>1697.26</v>
      </c>
      <c r="Z325" s="58">
        <v>0</v>
      </c>
      <c r="AA325" s="58">
        <v>0</v>
      </c>
      <c r="AB325" s="58">
        <v>521.95000000000005</v>
      </c>
      <c r="AC325" s="58">
        <v>0</v>
      </c>
      <c r="AD325" s="58">
        <v>333.13</v>
      </c>
      <c r="AE325" s="58">
        <v>0</v>
      </c>
      <c r="AF325" s="58">
        <v>106.67</v>
      </c>
      <c r="AG325" s="58">
        <v>117.23</v>
      </c>
      <c r="AH325" s="58">
        <v>0</v>
      </c>
      <c r="AI325" s="58">
        <v>0</v>
      </c>
      <c r="AJ325" s="58">
        <v>276.60000000000002</v>
      </c>
      <c r="AK325" s="58">
        <v>341.68000000000006</v>
      </c>
      <c r="AL325" s="75">
        <f>+SUBTOTAL(9,Tabla6[[#This Row],[ENE]:[DIC]])</f>
        <v>1697.26</v>
      </c>
      <c r="AM325" s="76" t="str">
        <f t="shared" si="4"/>
        <v>OK</v>
      </c>
      <c r="AN325" s="60">
        <v>1697.26</v>
      </c>
      <c r="AO325" s="61">
        <f>+Tabla6[[#This Row],[PRESUPUESTO VIGENTE]]-Tabla6[[#This Row],[CERTIFICACIÓN PAPP]]</f>
        <v>0</v>
      </c>
      <c r="AP325" s="59" t="s">
        <v>87</v>
      </c>
    </row>
    <row r="326" spans="1:42" ht="93" customHeight="1" x14ac:dyDescent="0.25">
      <c r="A326" s="62" t="s">
        <v>78</v>
      </c>
      <c r="B326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326" s="64" t="s">
        <v>79</v>
      </c>
      <c r="D326" s="64" t="s">
        <v>80</v>
      </c>
      <c r="E326" s="64" t="s">
        <v>81</v>
      </c>
      <c r="F326" s="64" t="s">
        <v>82</v>
      </c>
      <c r="G326" s="64" t="s">
        <v>83</v>
      </c>
      <c r="H326" s="65" t="str">
        <f>VLOOKUP(Tabla6[[#This Row],[DIRECCIÓN]],DIRECCIÓN[#All],2,0)</f>
        <v>ADMINISTRACIÓN CENTRAL</v>
      </c>
      <c r="I326" s="66" t="s">
        <v>820</v>
      </c>
      <c r="J326" s="67">
        <v>1</v>
      </c>
      <c r="K326" s="68" t="str">
        <f>VLOOKUP(Tabla6[[#This Row],[DIRECCIÓN GENERAL / COORDINACIÓN / SUBDIRECCIÓN]],Tabla37[[#All],[Columna1]:[EOD]],2,0)</f>
        <v>266_0001</v>
      </c>
      <c r="L326" s="69">
        <f>VLOOKUP(Tabla6[[#This Row],[OBJETIVOS PND]],Listas!$A$1:$C$3,3,0)</f>
        <v>1</v>
      </c>
      <c r="M326" s="70">
        <f>VLOOKUP(Tabla6[[#This Row],[PG]],Listas2!$G$14:$K$16,5,0)</f>
        <v>0</v>
      </c>
      <c r="N326" s="71">
        <v>1</v>
      </c>
      <c r="O326" s="72">
        <v>2101</v>
      </c>
      <c r="P326" s="73" t="str">
        <f>VLOOKUP(Tabla6[[#This Row],[GEO]],Listas!$A$48:$B$77,2,0)</f>
        <v>LAGO AGRIO</v>
      </c>
      <c r="Q326" s="70">
        <f>VLOOKUP(Tabla6[[#This Row],[PG]],Listas2!$G$14:$K$16,3,0)</f>
        <v>1</v>
      </c>
      <c r="R326" s="73">
        <f>VLOOKUP(Tabla6[[#This Row],[PG]],Listas2!H331:'Listas2'!$G$14:$K$16,4,0)</f>
        <v>0</v>
      </c>
      <c r="S326" s="73">
        <f>VLOOKUP(Tabla6[[#This Row],[PG]],Listas2!$G$14:$K$16,2,0)</f>
        <v>0</v>
      </c>
      <c r="T326" s="66" t="s">
        <v>84</v>
      </c>
      <c r="U326" s="74">
        <v>53</v>
      </c>
      <c r="V326" s="66">
        <v>530813</v>
      </c>
      <c r="W326" s="63" t="str">
        <f>VLOOKUP(Tabla6[[#This Row],[ÍTEM PRESUPUESTARIO]],Tabla2[#All],2,0)</f>
        <v>REPUESTOS Y ACCESORIOS</v>
      </c>
      <c r="X326" s="57">
        <v>700</v>
      </c>
      <c r="Y326" s="57">
        <f>700+835.58-689.66-139.66-59</f>
        <v>647.26</v>
      </c>
      <c r="Z326" s="58">
        <v>0</v>
      </c>
      <c r="AA326" s="58">
        <v>0</v>
      </c>
      <c r="AB326" s="58">
        <v>0</v>
      </c>
      <c r="AC326" s="58">
        <v>0</v>
      </c>
      <c r="AD326" s="58">
        <v>0</v>
      </c>
      <c r="AE326" s="58">
        <v>0</v>
      </c>
      <c r="AF326" s="58">
        <v>0</v>
      </c>
      <c r="AG326" s="58">
        <v>0</v>
      </c>
      <c r="AH326" s="58">
        <v>0</v>
      </c>
      <c r="AI326" s="58">
        <v>647.26</v>
      </c>
      <c r="AJ326" s="58">
        <v>0</v>
      </c>
      <c r="AK326" s="58">
        <v>0</v>
      </c>
      <c r="AL326" s="75">
        <f>+SUBTOTAL(9,Tabla6[[#This Row],[ENE]:[DIC]])</f>
        <v>647.26</v>
      </c>
      <c r="AM326" s="76" t="str">
        <f t="shared" si="4"/>
        <v>OK</v>
      </c>
      <c r="AN326" s="60">
        <v>647.26</v>
      </c>
      <c r="AO326" s="61">
        <f>+Tabla6[[#This Row],[PRESUPUESTO VIGENTE]]-Tabla6[[#This Row],[CERTIFICACIÓN PAPP]]</f>
        <v>0</v>
      </c>
      <c r="AP326" s="59">
        <v>0</v>
      </c>
    </row>
    <row r="327" spans="1:42" ht="93" customHeight="1" x14ac:dyDescent="0.25">
      <c r="A327" s="62" t="s">
        <v>78</v>
      </c>
      <c r="B327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327" s="64" t="s">
        <v>79</v>
      </c>
      <c r="D327" s="64" t="s">
        <v>80</v>
      </c>
      <c r="E327" s="64" t="s">
        <v>81</v>
      </c>
      <c r="F327" s="64" t="s">
        <v>82</v>
      </c>
      <c r="G327" s="64" t="s">
        <v>83</v>
      </c>
      <c r="H327" s="65" t="str">
        <f>VLOOKUP(Tabla6[[#This Row],[DIRECCIÓN]],DIRECCIÓN[#All],2,0)</f>
        <v>ADMINISTRACIÓN CENTRAL</v>
      </c>
      <c r="I327" s="66" t="s">
        <v>792</v>
      </c>
      <c r="J327" s="67">
        <v>1</v>
      </c>
      <c r="K327" s="68" t="str">
        <f>VLOOKUP(Tabla6[[#This Row],[DIRECCIÓN GENERAL / COORDINACIÓN / SUBDIRECCIÓN]],Tabla37[[#All],[Columna1]:[EOD]],2,0)</f>
        <v>266_0001</v>
      </c>
      <c r="L327" s="69">
        <f>VLOOKUP(Tabla6[[#This Row],[OBJETIVOS PND]],Listas!$A$1:$C$3,3,0)</f>
        <v>1</v>
      </c>
      <c r="M327" s="70">
        <f>VLOOKUP(Tabla6[[#This Row],[PG]],Listas2!$G$14:$K$16,5,0)</f>
        <v>0</v>
      </c>
      <c r="N327" s="71">
        <v>1</v>
      </c>
      <c r="O327" s="72">
        <v>2101</v>
      </c>
      <c r="P327" s="73" t="str">
        <f>VLOOKUP(Tabla6[[#This Row],[GEO]],Listas!$A$48:$B$77,2,0)</f>
        <v>LAGO AGRIO</v>
      </c>
      <c r="Q327" s="70">
        <f>VLOOKUP(Tabla6[[#This Row],[PG]],Listas2!$G$14:$K$16,3,0)</f>
        <v>1</v>
      </c>
      <c r="R327" s="73">
        <f>VLOOKUP(Tabla6[[#This Row],[PG]],Listas2!H332:'Listas2'!$G$14:$K$16,4,0)</f>
        <v>0</v>
      </c>
      <c r="S327" s="73">
        <f>VLOOKUP(Tabla6[[#This Row],[PG]],Listas2!$G$14:$K$16,2,0)</f>
        <v>0</v>
      </c>
      <c r="T327" s="66" t="s">
        <v>84</v>
      </c>
      <c r="U327" s="74">
        <v>53</v>
      </c>
      <c r="V327" s="66">
        <v>530813</v>
      </c>
      <c r="W327" s="63" t="str">
        <f>VLOOKUP(Tabla6[[#This Row],[ÍTEM PRESUPUESTARIO]],Tabla2[#All],2,0)</f>
        <v>REPUESTOS Y ACCESORIOS</v>
      </c>
      <c r="X327" s="57">
        <v>100</v>
      </c>
      <c r="Y327" s="57">
        <v>100</v>
      </c>
      <c r="Z327" s="58">
        <v>0</v>
      </c>
      <c r="AA327" s="58">
        <v>0</v>
      </c>
      <c r="AB327" s="58">
        <v>0</v>
      </c>
      <c r="AC327" s="58">
        <v>20</v>
      </c>
      <c r="AD327" s="58">
        <v>0</v>
      </c>
      <c r="AE327" s="58">
        <v>20</v>
      </c>
      <c r="AF327" s="58">
        <v>0</v>
      </c>
      <c r="AG327" s="58">
        <v>0</v>
      </c>
      <c r="AH327" s="58">
        <v>0</v>
      </c>
      <c r="AI327" s="58">
        <v>0</v>
      </c>
      <c r="AJ327" s="58">
        <v>0</v>
      </c>
      <c r="AK327" s="58">
        <v>60</v>
      </c>
      <c r="AL327" s="75">
        <f>+SUBTOTAL(9,Tabla6[[#This Row],[ENE]:[DIC]])</f>
        <v>100</v>
      </c>
      <c r="AM327" s="76" t="str">
        <f t="shared" si="4"/>
        <v>OK</v>
      </c>
      <c r="AN327" s="60">
        <v>100</v>
      </c>
      <c r="AO327" s="61">
        <f>+Tabla6[[#This Row],[PRESUPUESTO VIGENTE]]-Tabla6[[#This Row],[CERTIFICACIÓN PAPP]]</f>
        <v>0</v>
      </c>
      <c r="AP327" s="59" t="s">
        <v>87</v>
      </c>
    </row>
    <row r="328" spans="1:42" ht="93" customHeight="1" x14ac:dyDescent="0.25">
      <c r="A328" s="62" t="s">
        <v>78</v>
      </c>
      <c r="B328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328" s="64" t="s">
        <v>79</v>
      </c>
      <c r="D328" s="64" t="s">
        <v>80</v>
      </c>
      <c r="E328" s="64" t="s">
        <v>81</v>
      </c>
      <c r="F328" s="64" t="s">
        <v>82</v>
      </c>
      <c r="G328" s="64" t="s">
        <v>83</v>
      </c>
      <c r="H328" s="65" t="str">
        <f>VLOOKUP(Tabla6[[#This Row],[DIRECCIÓN]],DIRECCIÓN[#All],2,0)</f>
        <v>ADMINISTRACIÓN CENTRAL</v>
      </c>
      <c r="I328" s="66" t="s">
        <v>953</v>
      </c>
      <c r="J328" s="67">
        <v>2</v>
      </c>
      <c r="K328" s="68" t="str">
        <f>VLOOKUP(Tabla6[[#This Row],[DIRECCIÓN GENERAL / COORDINACIÓN / SUBDIRECCIÓN]],Tabla37[[#All],[Columna1]:[EOD]],2,0)</f>
        <v>266_0001</v>
      </c>
      <c r="L328" s="69">
        <f>VLOOKUP(Tabla6[[#This Row],[OBJETIVOS PND]],Listas!$A$1:$C$3,3,0)</f>
        <v>1</v>
      </c>
      <c r="M328" s="70">
        <f>VLOOKUP(Tabla6[[#This Row],[PG]],Listas2!$G$14:$K$16,5,0)</f>
        <v>0</v>
      </c>
      <c r="N328" s="71">
        <v>1</v>
      </c>
      <c r="O328" s="72">
        <v>2101</v>
      </c>
      <c r="P328" s="73" t="str">
        <f>VLOOKUP(Tabla6[[#This Row],[GEO]],Listas!$A$48:$B$77,2,0)</f>
        <v>LAGO AGRIO</v>
      </c>
      <c r="Q328" s="70">
        <f>VLOOKUP(Tabla6[[#This Row],[PG]],Listas2!$G$14:$K$16,3,0)</f>
        <v>1</v>
      </c>
      <c r="R328" s="73">
        <f>VLOOKUP(Tabla6[[#This Row],[PG]],Listas2!H333:'Listas2'!$G$14:$K$16,4,0)</f>
        <v>0</v>
      </c>
      <c r="S328" s="73">
        <f>VLOOKUP(Tabla6[[#This Row],[PG]],Listas2!$G$14:$K$16,2,0)</f>
        <v>0</v>
      </c>
      <c r="T328" s="66" t="s">
        <v>84</v>
      </c>
      <c r="U328" s="74">
        <v>53</v>
      </c>
      <c r="V328" s="66">
        <v>530813</v>
      </c>
      <c r="W328" s="63" t="str">
        <f>VLOOKUP(Tabla6[[#This Row],[ÍTEM PRESUPUESTARIO]],Tabla2[#All],2,0)</f>
        <v>REPUESTOS Y ACCESORIOS</v>
      </c>
      <c r="X328" s="57">
        <v>0</v>
      </c>
      <c r="Y328" s="57">
        <f>2000-1500-300.38</f>
        <v>199.62</v>
      </c>
      <c r="Z328" s="58">
        <v>0</v>
      </c>
      <c r="AA328" s="58">
        <v>0</v>
      </c>
      <c r="AB328" s="58">
        <v>0</v>
      </c>
      <c r="AC328" s="58">
        <v>0</v>
      </c>
      <c r="AD328" s="58">
        <v>0</v>
      </c>
      <c r="AE328" s="58">
        <v>0</v>
      </c>
      <c r="AF328" s="58">
        <v>199.62</v>
      </c>
      <c r="AG328" s="58">
        <v>0</v>
      </c>
      <c r="AH328" s="58">
        <v>0</v>
      </c>
      <c r="AI328" s="58">
        <v>0</v>
      </c>
      <c r="AJ328" s="58">
        <v>0</v>
      </c>
      <c r="AK328" s="58">
        <v>0</v>
      </c>
      <c r="AL328" s="75">
        <f>+SUBTOTAL(9,Tabla6[[#This Row],[ENE]:[DIC]])</f>
        <v>199.62</v>
      </c>
      <c r="AM328" s="76" t="str">
        <f t="shared" si="4"/>
        <v>OK</v>
      </c>
      <c r="AN328" s="60">
        <v>199.62</v>
      </c>
      <c r="AO328" s="61">
        <f>+Tabla6[[#This Row],[PRESUPUESTO VIGENTE]]-Tabla6[[#This Row],[CERTIFICACIÓN PAPP]]</f>
        <v>0</v>
      </c>
      <c r="AP328" s="59">
        <v>0</v>
      </c>
    </row>
    <row r="329" spans="1:42" ht="93" customHeight="1" x14ac:dyDescent="0.25">
      <c r="A329" s="62" t="s">
        <v>78</v>
      </c>
      <c r="B329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329" s="64" t="s">
        <v>79</v>
      </c>
      <c r="D329" s="64" t="s">
        <v>80</v>
      </c>
      <c r="E329" s="64" t="s">
        <v>81</v>
      </c>
      <c r="F329" s="64" t="s">
        <v>82</v>
      </c>
      <c r="G329" s="64" t="s">
        <v>83</v>
      </c>
      <c r="H329" s="65" t="str">
        <f>VLOOKUP(Tabla6[[#This Row],[DIRECCIÓN]],DIRECCIÓN[#All],2,0)</f>
        <v>ADMINISTRACIÓN CENTRAL</v>
      </c>
      <c r="I329" s="66" t="s">
        <v>954</v>
      </c>
      <c r="J329" s="67">
        <v>2</v>
      </c>
      <c r="K329" s="68" t="str">
        <f>VLOOKUP(Tabla6[[#This Row],[DIRECCIÓN GENERAL / COORDINACIÓN / SUBDIRECCIÓN]],Tabla37[[#All],[Columna1]:[EOD]],2,0)</f>
        <v>266_0001</v>
      </c>
      <c r="L329" s="69">
        <f>VLOOKUP(Tabla6[[#This Row],[OBJETIVOS PND]],Listas!$A$1:$C$3,3,0)</f>
        <v>1</v>
      </c>
      <c r="M329" s="70">
        <f>VLOOKUP(Tabla6[[#This Row],[PG]],Listas2!$G$14:$K$16,5,0)</f>
        <v>0</v>
      </c>
      <c r="N329" s="71">
        <v>1</v>
      </c>
      <c r="O329" s="72">
        <v>2101</v>
      </c>
      <c r="P329" s="73" t="str">
        <f>VLOOKUP(Tabla6[[#This Row],[GEO]],Listas!$A$48:$B$77,2,0)</f>
        <v>LAGO AGRIO</v>
      </c>
      <c r="Q329" s="70">
        <f>VLOOKUP(Tabla6[[#This Row],[PG]],Listas2!$G$14:$K$16,3,0)</f>
        <v>1</v>
      </c>
      <c r="R329" s="73">
        <f>VLOOKUP(Tabla6[[#This Row],[PG]],Listas2!H334:'Listas2'!$G$14:$K$16,4,0)</f>
        <v>0</v>
      </c>
      <c r="S329" s="73">
        <f>VLOOKUP(Tabla6[[#This Row],[PG]],Listas2!$G$14:$K$16,2,0)</f>
        <v>0</v>
      </c>
      <c r="T329" s="66" t="s">
        <v>84</v>
      </c>
      <c r="U329" s="74">
        <v>53</v>
      </c>
      <c r="V329" s="66">
        <v>530813</v>
      </c>
      <c r="W329" s="63" t="str">
        <f>VLOOKUP(Tabla6[[#This Row],[ÍTEM PRESUPUESTARIO]],Tabla2[#All],2,0)</f>
        <v>REPUESTOS Y ACCESORIOS</v>
      </c>
      <c r="X329" s="57">
        <v>0</v>
      </c>
      <c r="Y329" s="57">
        <f>450-152-298</f>
        <v>0</v>
      </c>
      <c r="Z329" s="58">
        <v>0</v>
      </c>
      <c r="AA329" s="58">
        <v>0</v>
      </c>
      <c r="AB329" s="58">
        <v>0</v>
      </c>
      <c r="AC329" s="58">
        <v>0</v>
      </c>
      <c r="AD329" s="58">
        <v>0</v>
      </c>
      <c r="AE329" s="58">
        <v>0</v>
      </c>
      <c r="AF329" s="58">
        <v>0</v>
      </c>
      <c r="AG329" s="58">
        <v>0</v>
      </c>
      <c r="AH329" s="58">
        <v>0</v>
      </c>
      <c r="AI329" s="58">
        <v>0</v>
      </c>
      <c r="AJ329" s="58">
        <v>0</v>
      </c>
      <c r="AK329" s="58">
        <v>0</v>
      </c>
      <c r="AL329" s="75">
        <f>+SUBTOTAL(9,Tabla6[[#This Row],[ENE]:[DIC]])</f>
        <v>0</v>
      </c>
      <c r="AM329" s="76" t="str">
        <f t="shared" ref="AM329:AM346" si="5">IF(AL329=Y329,"OK",Y329-AL329)</f>
        <v>OK</v>
      </c>
      <c r="AN329" s="60">
        <v>0</v>
      </c>
      <c r="AO329" s="61">
        <f>+Tabla6[[#This Row],[PRESUPUESTO VIGENTE]]-Tabla6[[#This Row],[CERTIFICACIÓN PAPP]]</f>
        <v>0</v>
      </c>
      <c r="AP329" s="59">
        <v>0</v>
      </c>
    </row>
    <row r="330" spans="1:42" ht="93" customHeight="1" x14ac:dyDescent="0.25">
      <c r="A330" s="62" t="s">
        <v>78</v>
      </c>
      <c r="B330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330" s="64" t="s">
        <v>79</v>
      </c>
      <c r="D330" s="64" t="s">
        <v>80</v>
      </c>
      <c r="E330" s="64" t="s">
        <v>81</v>
      </c>
      <c r="F330" s="64" t="s">
        <v>82</v>
      </c>
      <c r="G330" s="64" t="s">
        <v>83</v>
      </c>
      <c r="H330" s="65" t="str">
        <f>VLOOKUP(Tabla6[[#This Row],[DIRECCIÓN]],DIRECCIÓN[#All],2,0)</f>
        <v>ADMINISTRACIÓN CENTRAL</v>
      </c>
      <c r="I330" s="66" t="s">
        <v>955</v>
      </c>
      <c r="J330" s="67">
        <v>2</v>
      </c>
      <c r="K330" s="68" t="str">
        <f>VLOOKUP(Tabla6[[#This Row],[DIRECCIÓN GENERAL / COORDINACIÓN / SUBDIRECCIÓN]],Tabla37[[#All],[Columna1]:[EOD]],2,0)</f>
        <v>266_0001</v>
      </c>
      <c r="L330" s="69">
        <f>VLOOKUP(Tabla6[[#This Row],[OBJETIVOS PND]],Listas!$A$1:$C$3,3,0)</f>
        <v>1</v>
      </c>
      <c r="M330" s="70">
        <f>VLOOKUP(Tabla6[[#This Row],[PG]],Listas2!$G$14:$K$16,5,0)</f>
        <v>0</v>
      </c>
      <c r="N330" s="71">
        <v>1</v>
      </c>
      <c r="O330" s="72">
        <v>2101</v>
      </c>
      <c r="P330" s="73" t="str">
        <f>VLOOKUP(Tabla6[[#This Row],[GEO]],Listas!$A$48:$B$77,2,0)</f>
        <v>LAGO AGRIO</v>
      </c>
      <c r="Q330" s="70">
        <f>VLOOKUP(Tabla6[[#This Row],[PG]],Listas2!$G$14:$K$16,3,0)</f>
        <v>1</v>
      </c>
      <c r="R330" s="73">
        <f>VLOOKUP(Tabla6[[#This Row],[PG]],Listas2!H335:'Listas2'!$G$14:$K$16,4,0)</f>
        <v>0</v>
      </c>
      <c r="S330" s="73">
        <f>VLOOKUP(Tabla6[[#This Row],[PG]],Listas2!$G$14:$K$16,2,0)</f>
        <v>0</v>
      </c>
      <c r="T330" s="66" t="s">
        <v>84</v>
      </c>
      <c r="U330" s="74">
        <v>53</v>
      </c>
      <c r="V330" s="66">
        <v>530813</v>
      </c>
      <c r="W330" s="63" t="str">
        <f>VLOOKUP(Tabla6[[#This Row],[ÍTEM PRESUPUESTARIO]],Tabla2[#All],2,0)</f>
        <v>REPUESTOS Y ACCESORIOS</v>
      </c>
      <c r="X330" s="57">
        <v>0</v>
      </c>
      <c r="Y330" s="57">
        <v>970</v>
      </c>
      <c r="Z330" s="58">
        <v>0</v>
      </c>
      <c r="AA330" s="58">
        <v>0</v>
      </c>
      <c r="AB330" s="58">
        <v>0</v>
      </c>
      <c r="AC330" s="58">
        <v>0</v>
      </c>
      <c r="AD330" s="58">
        <v>0</v>
      </c>
      <c r="AE330" s="58">
        <v>0</v>
      </c>
      <c r="AF330" s="58">
        <v>0</v>
      </c>
      <c r="AG330" s="58">
        <v>0</v>
      </c>
      <c r="AH330" s="58">
        <v>0</v>
      </c>
      <c r="AI330" s="58">
        <v>0</v>
      </c>
      <c r="AJ330" s="58">
        <v>0</v>
      </c>
      <c r="AK330" s="58">
        <v>970</v>
      </c>
      <c r="AL330" s="75">
        <f>+SUBTOTAL(9,Tabla6[[#This Row],[ENE]:[DIC]])</f>
        <v>970</v>
      </c>
      <c r="AM330" s="76" t="str">
        <f t="shared" si="5"/>
        <v>OK</v>
      </c>
      <c r="AN330" s="60">
        <v>970</v>
      </c>
      <c r="AO330" s="61">
        <f>+Tabla6[[#This Row],[PRESUPUESTO VIGENTE]]-Tabla6[[#This Row],[CERTIFICACIÓN PAPP]]</f>
        <v>0</v>
      </c>
      <c r="AP330" s="59">
        <v>0</v>
      </c>
    </row>
    <row r="331" spans="1:42" ht="93" customHeight="1" x14ac:dyDescent="0.25">
      <c r="A331" s="62" t="s">
        <v>78</v>
      </c>
      <c r="B331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331" s="64" t="s">
        <v>79</v>
      </c>
      <c r="D331" s="64" t="s">
        <v>80</v>
      </c>
      <c r="E331" s="64" t="s">
        <v>81</v>
      </c>
      <c r="F331" s="64" t="s">
        <v>82</v>
      </c>
      <c r="G331" s="64" t="s">
        <v>83</v>
      </c>
      <c r="H331" s="65" t="str">
        <f>VLOOKUP(Tabla6[[#This Row],[DIRECCIÓN]],DIRECCIÓN[#All],2,0)</f>
        <v>ADMINISTRACIÓN CENTRAL</v>
      </c>
      <c r="I331" s="66" t="s">
        <v>956</v>
      </c>
      <c r="J331" s="67">
        <v>2</v>
      </c>
      <c r="K331" s="68" t="str">
        <f>VLOOKUP(Tabla6[[#This Row],[DIRECCIÓN GENERAL / COORDINACIÓN / SUBDIRECCIÓN]],Tabla37[[#All],[Columna1]:[EOD]],2,0)</f>
        <v>266_0001</v>
      </c>
      <c r="L331" s="69">
        <f>VLOOKUP(Tabla6[[#This Row],[OBJETIVOS PND]],Listas!$A$1:$C$3,3,0)</f>
        <v>1</v>
      </c>
      <c r="M331" s="70">
        <f>VLOOKUP(Tabla6[[#This Row],[PG]],Listas2!$G$14:$K$16,5,0)</f>
        <v>0</v>
      </c>
      <c r="N331" s="71">
        <v>1</v>
      </c>
      <c r="O331" s="72">
        <v>2101</v>
      </c>
      <c r="P331" s="73" t="str">
        <f>VLOOKUP(Tabla6[[#This Row],[GEO]],Listas!$A$48:$B$77,2,0)</f>
        <v>LAGO AGRIO</v>
      </c>
      <c r="Q331" s="70">
        <f>VLOOKUP(Tabla6[[#This Row],[PG]],Listas2!$G$14:$K$16,3,0)</f>
        <v>1</v>
      </c>
      <c r="R331" s="73">
        <f>VLOOKUP(Tabla6[[#This Row],[PG]],Listas2!H336:'Listas2'!$G$14:$K$16,4,0)</f>
        <v>0</v>
      </c>
      <c r="S331" s="73">
        <f>VLOOKUP(Tabla6[[#This Row],[PG]],Listas2!$G$14:$K$16,2,0)</f>
        <v>0</v>
      </c>
      <c r="T331" s="66" t="s">
        <v>84</v>
      </c>
      <c r="U331" s="74">
        <v>53</v>
      </c>
      <c r="V331" s="66">
        <v>530820</v>
      </c>
      <c r="W331" s="63" t="str">
        <f>VLOOKUP(Tabla6[[#This Row],[ÍTEM PRESUPUESTARIO]],Tabla2[#All],2,0)</f>
        <v>MENAJE Y ACCESORIOS DESCARTABLES</v>
      </c>
      <c r="X331" s="57">
        <v>300</v>
      </c>
      <c r="Y331" s="57">
        <f>300-134.48</f>
        <v>165.52</v>
      </c>
      <c r="Z331" s="58">
        <v>0</v>
      </c>
      <c r="AA331" s="58">
        <v>0</v>
      </c>
      <c r="AB331" s="58">
        <v>0</v>
      </c>
      <c r="AC331" s="58">
        <v>0</v>
      </c>
      <c r="AD331" s="58">
        <v>0</v>
      </c>
      <c r="AE331" s="58">
        <v>0</v>
      </c>
      <c r="AF331" s="58">
        <v>165.52</v>
      </c>
      <c r="AG331" s="58">
        <v>0</v>
      </c>
      <c r="AH331" s="58">
        <v>0</v>
      </c>
      <c r="AI331" s="58">
        <v>0</v>
      </c>
      <c r="AJ331" s="58">
        <v>0</v>
      </c>
      <c r="AK331" s="58">
        <v>0</v>
      </c>
      <c r="AL331" s="75">
        <f>+SUBTOTAL(9,Tabla6[[#This Row],[ENE]:[DIC]])</f>
        <v>165.52</v>
      </c>
      <c r="AM331" s="76" t="str">
        <f t="shared" si="5"/>
        <v>OK</v>
      </c>
      <c r="AN331" s="60">
        <v>165.52</v>
      </c>
      <c r="AO331" s="61">
        <f>+Tabla6[[#This Row],[PRESUPUESTO VIGENTE]]-Tabla6[[#This Row],[CERTIFICACIÓN PAPP]]</f>
        <v>0</v>
      </c>
      <c r="AP331" s="59">
        <v>0</v>
      </c>
    </row>
    <row r="332" spans="1:42" ht="93" customHeight="1" x14ac:dyDescent="0.25">
      <c r="A332" s="62" t="s">
        <v>78</v>
      </c>
      <c r="B332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332" s="64" t="s">
        <v>85</v>
      </c>
      <c r="D332" s="64" t="s">
        <v>80</v>
      </c>
      <c r="E332" s="64" t="s">
        <v>81</v>
      </c>
      <c r="F332" s="64" t="s">
        <v>82</v>
      </c>
      <c r="G332" s="64" t="s">
        <v>86</v>
      </c>
      <c r="H332" s="65" t="str">
        <f>VLOOKUP(Tabla6[[#This Row],[DIRECCIÓN]],DIRECCIÓN[#All],2,0)</f>
        <v>COMUNICACIÓN SOCIAL</v>
      </c>
      <c r="I332" s="66" t="s">
        <v>947</v>
      </c>
      <c r="J332" s="67">
        <v>2</v>
      </c>
      <c r="K332" s="68" t="str">
        <f>VLOOKUP(Tabla6[[#This Row],[DIRECCIÓN GENERAL / COORDINACIÓN / SUBDIRECCIÓN]],Tabla37[[#All],[Columna1]:[EOD]],2,0)</f>
        <v>266_0001</v>
      </c>
      <c r="L332" s="69">
        <f>VLOOKUP(Tabla6[[#This Row],[OBJETIVOS PND]],Listas!$A$1:$C$3,3,0)</f>
        <v>1</v>
      </c>
      <c r="M332" s="70">
        <f>VLOOKUP(Tabla6[[#This Row],[PG]],Listas2!$G$14:$K$16,5,0)</f>
        <v>0</v>
      </c>
      <c r="N332" s="71">
        <v>1</v>
      </c>
      <c r="O332" s="72">
        <v>2101</v>
      </c>
      <c r="P332" s="73" t="str">
        <f>VLOOKUP(Tabla6[[#This Row],[GEO]],Listas!$A$48:$B$77,2,0)</f>
        <v>LAGO AGRIO</v>
      </c>
      <c r="Q332" s="70">
        <f>VLOOKUP(Tabla6[[#This Row],[PG]],Listas2!$G$14:$K$16,3,0)</f>
        <v>1</v>
      </c>
      <c r="R332" s="73">
        <f>VLOOKUP(Tabla6[[#This Row],[PG]],Listas2!H337:'Listas2'!$G$14:$K$16,4,0)</f>
        <v>0</v>
      </c>
      <c r="S332" s="73">
        <f>VLOOKUP(Tabla6[[#This Row],[PG]],Listas2!$G$14:$K$16,2,0)</f>
        <v>0</v>
      </c>
      <c r="T332" s="66" t="s">
        <v>84</v>
      </c>
      <c r="U332" s="74">
        <v>53</v>
      </c>
      <c r="V332" s="66">
        <v>530824</v>
      </c>
      <c r="W332" s="63" t="str">
        <f>VLOOKUP(Tabla6[[#This Row],[ÍTEM PRESUPUESTARIO]],Tabla2[#All],2,0)</f>
        <v>INSUMOS, BIENES Y MATERIALES PARA PRODUCCIÓN DE PROGRAMAS DE RADIO, TELEVISIÓN, EVENTOS CULTURALES, ARTÍSTICOS Y ENTRETENIMIENTO EN GENERAL</v>
      </c>
      <c r="X332" s="57">
        <v>0</v>
      </c>
      <c r="Y332" s="57">
        <f>275-95</f>
        <v>180</v>
      </c>
      <c r="Z332" s="58">
        <v>0</v>
      </c>
      <c r="AA332" s="58">
        <v>0</v>
      </c>
      <c r="AB332" s="58">
        <v>0</v>
      </c>
      <c r="AC332" s="58">
        <v>0</v>
      </c>
      <c r="AD332" s="58">
        <v>180</v>
      </c>
      <c r="AE332" s="58">
        <v>0</v>
      </c>
      <c r="AF332" s="58">
        <v>0</v>
      </c>
      <c r="AG332" s="58">
        <v>0</v>
      </c>
      <c r="AH332" s="58">
        <v>0</v>
      </c>
      <c r="AI332" s="58">
        <v>0</v>
      </c>
      <c r="AJ332" s="58">
        <v>0</v>
      </c>
      <c r="AK332" s="58">
        <v>0</v>
      </c>
      <c r="AL332" s="75">
        <f>+SUBTOTAL(9,Tabla6[[#This Row],[ENE]:[DIC]])</f>
        <v>180</v>
      </c>
      <c r="AM332" s="76" t="str">
        <f t="shared" si="5"/>
        <v>OK</v>
      </c>
      <c r="AN332" s="60">
        <v>180</v>
      </c>
      <c r="AO332" s="61">
        <f>+Tabla6[[#This Row],[PRESUPUESTO VIGENTE]]-Tabla6[[#This Row],[CERTIFICACIÓN PAPP]]</f>
        <v>0</v>
      </c>
      <c r="AP332" s="59">
        <v>0</v>
      </c>
    </row>
    <row r="333" spans="1:42" ht="93" customHeight="1" x14ac:dyDescent="0.25">
      <c r="A333" s="62" t="s">
        <v>78</v>
      </c>
      <c r="B333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333" s="64" t="s">
        <v>85</v>
      </c>
      <c r="D333" s="64" t="s">
        <v>80</v>
      </c>
      <c r="E333" s="64" t="s">
        <v>81</v>
      </c>
      <c r="F333" s="64" t="s">
        <v>82</v>
      </c>
      <c r="G333" s="64" t="s">
        <v>86</v>
      </c>
      <c r="H333" s="65" t="str">
        <f>VLOOKUP(Tabla6[[#This Row],[DIRECCIÓN]],DIRECCIÓN[#All],2,0)</f>
        <v>COMUNICACIÓN SOCIAL</v>
      </c>
      <c r="I333" s="66" t="s">
        <v>947</v>
      </c>
      <c r="J333" s="67">
        <v>2</v>
      </c>
      <c r="K333" s="68" t="str">
        <f>VLOOKUP(Tabla6[[#This Row],[DIRECCIÓN GENERAL / COORDINACIÓN / SUBDIRECCIÓN]],Tabla37[[#All],[Columna1]:[EOD]],2,0)</f>
        <v>266_0001</v>
      </c>
      <c r="L333" s="69">
        <f>VLOOKUP(Tabla6[[#This Row],[OBJETIVOS PND]],Listas!$A$1:$C$3,3,0)</f>
        <v>1</v>
      </c>
      <c r="M333" s="70">
        <f>VLOOKUP(Tabla6[[#This Row],[PG]],Listas2!$G$14:$K$16,5,0)</f>
        <v>0</v>
      </c>
      <c r="N333" s="71">
        <v>1</v>
      </c>
      <c r="O333" s="72">
        <v>2101</v>
      </c>
      <c r="P333" s="73" t="str">
        <f>VLOOKUP(Tabla6[[#This Row],[GEO]],Listas!$A$48:$B$77,2,0)</f>
        <v>LAGO AGRIO</v>
      </c>
      <c r="Q333" s="70">
        <f>VLOOKUP(Tabla6[[#This Row],[PG]],Listas2!$G$14:$K$16,3,0)</f>
        <v>1</v>
      </c>
      <c r="R333" s="73">
        <f>VLOOKUP(Tabla6[[#This Row],[PG]],Listas2!H338:'Listas2'!$G$14:$K$16,4,0)</f>
        <v>0</v>
      </c>
      <c r="S333" s="73">
        <f>VLOOKUP(Tabla6[[#This Row],[PG]],Listas2!$G$14:$K$16,2,0)</f>
        <v>0</v>
      </c>
      <c r="T333" s="66" t="s">
        <v>84</v>
      </c>
      <c r="U333" s="74">
        <v>53</v>
      </c>
      <c r="V333" s="66">
        <v>531403</v>
      </c>
      <c r="W333" s="63" t="str">
        <f>VLOOKUP(Tabla6[[#This Row],[ÍTEM PRESUPUESTARIO]],Tabla2[#All],2,0)</f>
        <v xml:space="preserve">MOBILIARIO </v>
      </c>
      <c r="X333" s="57">
        <v>0</v>
      </c>
      <c r="Y333" s="57">
        <f>150-10</f>
        <v>140</v>
      </c>
      <c r="Z333" s="58">
        <v>0</v>
      </c>
      <c r="AA333" s="58">
        <v>0</v>
      </c>
      <c r="AB333" s="58">
        <v>0</v>
      </c>
      <c r="AC333" s="58">
        <v>0</v>
      </c>
      <c r="AD333" s="58">
        <v>140</v>
      </c>
      <c r="AE333" s="58">
        <v>0</v>
      </c>
      <c r="AF333" s="58">
        <v>0</v>
      </c>
      <c r="AG333" s="58">
        <v>0</v>
      </c>
      <c r="AH333" s="58">
        <v>0</v>
      </c>
      <c r="AI333" s="58">
        <v>0</v>
      </c>
      <c r="AJ333" s="58">
        <v>0</v>
      </c>
      <c r="AK333" s="58">
        <v>0</v>
      </c>
      <c r="AL333" s="75">
        <f>+SUBTOTAL(9,Tabla6[[#This Row],[ENE]:[DIC]])</f>
        <v>140</v>
      </c>
      <c r="AM333" s="76" t="str">
        <f t="shared" si="5"/>
        <v>OK</v>
      </c>
      <c r="AN333" s="60">
        <v>140</v>
      </c>
      <c r="AO333" s="61">
        <f>+Tabla6[[#This Row],[PRESUPUESTO VIGENTE]]-Tabla6[[#This Row],[CERTIFICACIÓN PAPP]]</f>
        <v>0</v>
      </c>
      <c r="AP333" s="59">
        <v>0</v>
      </c>
    </row>
    <row r="334" spans="1:42" ht="93" customHeight="1" x14ac:dyDescent="0.25">
      <c r="A334" s="62" t="s">
        <v>78</v>
      </c>
      <c r="B334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334" s="64" t="s">
        <v>79</v>
      </c>
      <c r="D334" s="64" t="s">
        <v>80</v>
      </c>
      <c r="E334" s="64" t="s">
        <v>81</v>
      </c>
      <c r="F334" s="64" t="s">
        <v>82</v>
      </c>
      <c r="G334" s="64" t="s">
        <v>83</v>
      </c>
      <c r="H334" s="65" t="str">
        <f>VLOOKUP(Tabla6[[#This Row],[DIRECCIÓN]],DIRECCIÓN[#All],2,0)</f>
        <v>ADMINISTRACIÓN CENTRAL</v>
      </c>
      <c r="I334" s="66" t="s">
        <v>957</v>
      </c>
      <c r="J334" s="67">
        <v>2</v>
      </c>
      <c r="K334" s="68" t="str">
        <f>VLOOKUP(Tabla6[[#This Row],[DIRECCIÓN GENERAL / COORDINACIÓN / SUBDIRECCIÓN]],Tabla37[[#All],[Columna1]:[EOD]],2,0)</f>
        <v>266_0001</v>
      </c>
      <c r="L334" s="69">
        <f>VLOOKUP(Tabla6[[#This Row],[OBJETIVOS PND]],Listas!$A$1:$C$3,3,0)</f>
        <v>1</v>
      </c>
      <c r="M334" s="70">
        <f>VLOOKUP(Tabla6[[#This Row],[PG]],Listas2!$G$14:$K$16,5,0)</f>
        <v>0</v>
      </c>
      <c r="N334" s="71">
        <v>1</v>
      </c>
      <c r="O334" s="72">
        <v>2101</v>
      </c>
      <c r="P334" s="73" t="str">
        <f>VLOOKUP(Tabla6[[#This Row],[GEO]],Listas!$A$48:$B$77,2,0)</f>
        <v>LAGO AGRIO</v>
      </c>
      <c r="Q334" s="70">
        <f>VLOOKUP(Tabla6[[#This Row],[PG]],Listas2!$G$14:$K$16,3,0)</f>
        <v>1</v>
      </c>
      <c r="R334" s="73">
        <f>VLOOKUP(Tabla6[[#This Row],[PG]],Listas2!H339:'Listas2'!$G$14:$K$16,4,0)</f>
        <v>0</v>
      </c>
      <c r="S334" s="73">
        <f>VLOOKUP(Tabla6[[#This Row],[PG]],Listas2!$G$14:$K$16,2,0)</f>
        <v>0</v>
      </c>
      <c r="T334" s="66" t="s">
        <v>84</v>
      </c>
      <c r="U334" s="74">
        <v>53</v>
      </c>
      <c r="V334" s="66">
        <v>531404</v>
      </c>
      <c r="W334" s="63" t="str">
        <f>VLOOKUP(Tabla6[[#This Row],[ÍTEM PRESUPUESTARIO]],Tabla2[#All],2,0)</f>
        <v>MAQUINARIAS Y EQUIPOS</v>
      </c>
      <c r="X334" s="57">
        <v>0</v>
      </c>
      <c r="Y334" s="57">
        <f>1500-750-750</f>
        <v>0</v>
      </c>
      <c r="Z334" s="58">
        <v>0</v>
      </c>
      <c r="AA334" s="58">
        <v>0</v>
      </c>
      <c r="AB334" s="58">
        <v>0</v>
      </c>
      <c r="AC334" s="58">
        <v>0</v>
      </c>
      <c r="AD334" s="58">
        <v>0</v>
      </c>
      <c r="AE334" s="58">
        <v>0</v>
      </c>
      <c r="AF334" s="58">
        <v>0</v>
      </c>
      <c r="AG334" s="58">
        <v>0</v>
      </c>
      <c r="AH334" s="58">
        <v>0</v>
      </c>
      <c r="AI334" s="58">
        <v>0</v>
      </c>
      <c r="AJ334" s="58">
        <v>0</v>
      </c>
      <c r="AK334" s="58">
        <v>0</v>
      </c>
      <c r="AL334" s="75">
        <f>+SUBTOTAL(9,Tabla6[[#This Row],[ENE]:[DIC]])</f>
        <v>0</v>
      </c>
      <c r="AM334" s="76" t="str">
        <f t="shared" si="5"/>
        <v>OK</v>
      </c>
      <c r="AN334" s="60">
        <v>0</v>
      </c>
      <c r="AO334" s="61">
        <f>+Tabla6[[#This Row],[PRESUPUESTO VIGENTE]]-Tabla6[[#This Row],[CERTIFICACIÓN PAPP]]</f>
        <v>0</v>
      </c>
      <c r="AP334" s="59">
        <v>0</v>
      </c>
    </row>
    <row r="335" spans="1:42" ht="93" customHeight="1" x14ac:dyDescent="0.25">
      <c r="A335" s="62" t="s">
        <v>78</v>
      </c>
      <c r="B335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335" s="64" t="s">
        <v>79</v>
      </c>
      <c r="D335" s="64" t="s">
        <v>80</v>
      </c>
      <c r="E335" s="64" t="s">
        <v>81</v>
      </c>
      <c r="F335" s="64" t="s">
        <v>82</v>
      </c>
      <c r="G335" s="64" t="s">
        <v>83</v>
      </c>
      <c r="H335" s="65" t="str">
        <f>VLOOKUP(Tabla6[[#This Row],[DIRECCIÓN]],DIRECCIÓN[#All],2,0)</f>
        <v>ADMINISTRACIÓN CENTRAL</v>
      </c>
      <c r="I335" s="66" t="s">
        <v>824</v>
      </c>
      <c r="J335" s="67">
        <v>1</v>
      </c>
      <c r="K335" s="68" t="str">
        <f>VLOOKUP(Tabla6[[#This Row],[DIRECCIÓN GENERAL / COORDINACIÓN / SUBDIRECCIÓN]],Tabla37[[#All],[Columna1]:[EOD]],2,0)</f>
        <v>266_0001</v>
      </c>
      <c r="L335" s="69">
        <f>VLOOKUP(Tabla6[[#This Row],[OBJETIVOS PND]],Listas!$A$1:$C$3,3,0)</f>
        <v>1</v>
      </c>
      <c r="M335" s="70">
        <f>VLOOKUP(Tabla6[[#This Row],[PG]],Listas2!$G$14:$K$16,5,0)</f>
        <v>0</v>
      </c>
      <c r="N335" s="71">
        <v>1</v>
      </c>
      <c r="O335" s="72">
        <v>2101</v>
      </c>
      <c r="P335" s="73" t="str">
        <f>VLOOKUP(Tabla6[[#This Row],[GEO]],Listas!$A$48:$B$77,2,0)</f>
        <v>LAGO AGRIO</v>
      </c>
      <c r="Q335" s="70">
        <f>VLOOKUP(Tabla6[[#This Row],[PG]],Listas2!$G$14:$K$16,3,0)</f>
        <v>1</v>
      </c>
      <c r="R335" s="73">
        <f>VLOOKUP(Tabla6[[#This Row],[PG]],Listas2!H340:'Listas2'!$G$14:$K$16,4,0)</f>
        <v>0</v>
      </c>
      <c r="S335" s="73">
        <f>VLOOKUP(Tabla6[[#This Row],[PG]],Listas2!$G$14:$K$16,2,0)</f>
        <v>0</v>
      </c>
      <c r="T335" s="66" t="s">
        <v>84</v>
      </c>
      <c r="U335" s="74">
        <v>53</v>
      </c>
      <c r="V335" s="66">
        <v>531406</v>
      </c>
      <c r="W335" s="63" t="str">
        <f>VLOOKUP(Tabla6[[#This Row],[ÍTEM PRESUPUESTARIO]],Tabla2[#All],2,0)</f>
        <v>HERRAMIENTAS Y EQUIPOS MENORES</v>
      </c>
      <c r="X335" s="57">
        <v>1300</v>
      </c>
      <c r="Y335" s="57">
        <f>1300+800-1050+1050-2000-100</f>
        <v>0</v>
      </c>
      <c r="Z335" s="58">
        <v>0</v>
      </c>
      <c r="AA335" s="58">
        <v>0</v>
      </c>
      <c r="AB335" s="58">
        <v>0</v>
      </c>
      <c r="AC335" s="58">
        <v>0</v>
      </c>
      <c r="AD335" s="58">
        <v>0</v>
      </c>
      <c r="AE335" s="58">
        <v>0</v>
      </c>
      <c r="AF335" s="58">
        <v>0</v>
      </c>
      <c r="AG335" s="58">
        <v>0</v>
      </c>
      <c r="AH335" s="58">
        <v>0</v>
      </c>
      <c r="AI335" s="58">
        <v>0</v>
      </c>
      <c r="AJ335" s="58">
        <v>0</v>
      </c>
      <c r="AK335" s="58">
        <v>0</v>
      </c>
      <c r="AL335" s="75">
        <f>+SUBTOTAL(9,Tabla6[[#This Row],[ENE]:[DIC]])</f>
        <v>0</v>
      </c>
      <c r="AM335" s="76" t="str">
        <f t="shared" si="5"/>
        <v>OK</v>
      </c>
      <c r="AN335" s="60">
        <v>0</v>
      </c>
      <c r="AO335" s="61">
        <f>+Tabla6[[#This Row],[PRESUPUESTO VIGENTE]]-Tabla6[[#This Row],[CERTIFICACIÓN PAPP]]</f>
        <v>0</v>
      </c>
      <c r="AP335" s="59" t="s">
        <v>87</v>
      </c>
    </row>
    <row r="336" spans="1:42" ht="93" customHeight="1" x14ac:dyDescent="0.25">
      <c r="A336" s="62" t="s">
        <v>78</v>
      </c>
      <c r="B336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336" s="64" t="s">
        <v>79</v>
      </c>
      <c r="D336" s="64" t="s">
        <v>80</v>
      </c>
      <c r="E336" s="64" t="s">
        <v>81</v>
      </c>
      <c r="F336" s="64" t="s">
        <v>82</v>
      </c>
      <c r="G336" s="64" t="s">
        <v>83</v>
      </c>
      <c r="H336" s="65" t="str">
        <f>VLOOKUP(Tabla6[[#This Row],[DIRECCIÓN]],DIRECCIÓN[#All],2,0)</f>
        <v>ADMINISTRACIÓN CENTRAL</v>
      </c>
      <c r="I336" s="66" t="s">
        <v>826</v>
      </c>
      <c r="J336" s="67">
        <v>1</v>
      </c>
      <c r="K336" s="68" t="str">
        <f>VLOOKUP(Tabla6[[#This Row],[DIRECCIÓN GENERAL / COORDINACIÓN / SUBDIRECCIÓN]],Tabla37[[#All],[Columna1]:[EOD]],2,0)</f>
        <v>266_0001</v>
      </c>
      <c r="L336" s="69">
        <f>VLOOKUP(Tabla6[[#This Row],[OBJETIVOS PND]],Listas!$A$1:$C$3,3,0)</f>
        <v>1</v>
      </c>
      <c r="M336" s="70">
        <f>VLOOKUP(Tabla6[[#This Row],[PG]],Listas2!$G$14:$K$16,5,0)</f>
        <v>0</v>
      </c>
      <c r="N336" s="71">
        <v>1</v>
      </c>
      <c r="O336" s="72">
        <v>2101</v>
      </c>
      <c r="P336" s="73" t="str">
        <f>VLOOKUP(Tabla6[[#This Row],[GEO]],Listas!$A$48:$B$77,2,0)</f>
        <v>LAGO AGRIO</v>
      </c>
      <c r="Q336" s="70">
        <f>VLOOKUP(Tabla6[[#This Row],[PG]],Listas2!$G$14:$K$16,3,0)</f>
        <v>1</v>
      </c>
      <c r="R336" s="73">
        <f>VLOOKUP(Tabla6[[#This Row],[PG]],Listas2!H341:'Listas2'!$G$14:$K$16,4,0)</f>
        <v>0</v>
      </c>
      <c r="S336" s="73">
        <f>VLOOKUP(Tabla6[[#This Row],[PG]],Listas2!$G$14:$K$16,2,0)</f>
        <v>0</v>
      </c>
      <c r="T336" s="66" t="s">
        <v>84</v>
      </c>
      <c r="U336" s="74">
        <v>57</v>
      </c>
      <c r="V336" s="66">
        <v>570102</v>
      </c>
      <c r="W336" s="63" t="str">
        <f>VLOOKUP(Tabla6[[#This Row],[ÍTEM PRESUPUESTARIO]],Tabla2[#All],2,0)</f>
        <v>TASAS GENERALES, IMPUESTOS, CONTRIBUCIONES, PERMISOS, LICENCIAS Y PATENTES</v>
      </c>
      <c r="X336" s="57">
        <v>500</v>
      </c>
      <c r="Y336" s="57">
        <v>500</v>
      </c>
      <c r="Z336" s="58">
        <v>0</v>
      </c>
      <c r="AA336" s="58">
        <v>0</v>
      </c>
      <c r="AB336" s="58">
        <v>500</v>
      </c>
      <c r="AC336" s="58">
        <v>0</v>
      </c>
      <c r="AD336" s="58">
        <v>0</v>
      </c>
      <c r="AE336" s="58">
        <v>0</v>
      </c>
      <c r="AF336" s="58">
        <v>0</v>
      </c>
      <c r="AG336" s="58">
        <v>0</v>
      </c>
      <c r="AH336" s="58">
        <v>0</v>
      </c>
      <c r="AI336" s="58">
        <v>0</v>
      </c>
      <c r="AJ336" s="58">
        <v>0</v>
      </c>
      <c r="AK336" s="58">
        <v>0</v>
      </c>
      <c r="AL336" s="75">
        <f>+SUBTOTAL(9,Tabla6[[#This Row],[ENE]:[DIC]])</f>
        <v>500</v>
      </c>
      <c r="AM336" s="76" t="str">
        <f t="shared" si="5"/>
        <v>OK</v>
      </c>
      <c r="AN336" s="60">
        <v>500</v>
      </c>
      <c r="AO336" s="61">
        <f>+Tabla6[[#This Row],[PRESUPUESTO VIGENTE]]-Tabla6[[#This Row],[CERTIFICACIÓN PAPP]]</f>
        <v>0</v>
      </c>
      <c r="AP336" s="59">
        <v>0</v>
      </c>
    </row>
    <row r="337" spans="1:42" ht="93" customHeight="1" x14ac:dyDescent="0.25">
      <c r="A337" s="62" t="s">
        <v>78</v>
      </c>
      <c r="B337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337" s="64" t="s">
        <v>79</v>
      </c>
      <c r="D337" s="64" t="s">
        <v>80</v>
      </c>
      <c r="E337" s="64" t="s">
        <v>81</v>
      </c>
      <c r="F337" s="64" t="s">
        <v>82</v>
      </c>
      <c r="G337" s="64" t="s">
        <v>83</v>
      </c>
      <c r="H337" s="65" t="str">
        <f>VLOOKUP(Tabla6[[#This Row],[DIRECCIÓN]],DIRECCIÓN[#All],2,0)</f>
        <v>ADMINISTRACIÓN CENTRAL</v>
      </c>
      <c r="I337" s="66" t="s">
        <v>827</v>
      </c>
      <c r="J337" s="67">
        <v>1</v>
      </c>
      <c r="K337" s="68" t="str">
        <f>VLOOKUP(Tabla6[[#This Row],[DIRECCIÓN GENERAL / COORDINACIÓN / SUBDIRECCIÓN]],Tabla37[[#All],[Columna1]:[EOD]],2,0)</f>
        <v>266_0001</v>
      </c>
      <c r="L337" s="69">
        <f>VLOOKUP(Tabla6[[#This Row],[OBJETIVOS PND]],Listas!$A$1:$C$3,3,0)</f>
        <v>1</v>
      </c>
      <c r="M337" s="70">
        <f>VLOOKUP(Tabla6[[#This Row],[PG]],Listas2!$G$14:$K$16,5,0)</f>
        <v>0</v>
      </c>
      <c r="N337" s="71">
        <v>1</v>
      </c>
      <c r="O337" s="72">
        <v>2101</v>
      </c>
      <c r="P337" s="73" t="str">
        <f>VLOOKUP(Tabla6[[#This Row],[GEO]],Listas!$A$48:$B$77,2,0)</f>
        <v>LAGO AGRIO</v>
      </c>
      <c r="Q337" s="70">
        <f>VLOOKUP(Tabla6[[#This Row],[PG]],Listas2!$G$14:$K$16,3,0)</f>
        <v>1</v>
      </c>
      <c r="R337" s="73">
        <f>VLOOKUP(Tabla6[[#This Row],[PG]],Listas2!H342:'Listas2'!$G$14:$K$16,4,0)</f>
        <v>0</v>
      </c>
      <c r="S337" s="73">
        <f>VLOOKUP(Tabla6[[#This Row],[PG]],Listas2!$G$14:$K$16,2,0)</f>
        <v>0</v>
      </c>
      <c r="T337" s="66" t="s">
        <v>84</v>
      </c>
      <c r="U337" s="74">
        <v>57</v>
      </c>
      <c r="V337" s="66">
        <v>570102</v>
      </c>
      <c r="W337" s="63" t="str">
        <f>VLOOKUP(Tabla6[[#This Row],[ÍTEM PRESUPUESTARIO]],Tabla2[#All],2,0)</f>
        <v>TASAS GENERALES, IMPUESTOS, CONTRIBUCIONES, PERMISOS, LICENCIAS Y PATENTES</v>
      </c>
      <c r="X337" s="57">
        <v>200</v>
      </c>
      <c r="Y337" s="57">
        <f>200+300-17.15</f>
        <v>482.85</v>
      </c>
      <c r="Z337" s="58">
        <v>0</v>
      </c>
      <c r="AA337" s="58">
        <v>482.85</v>
      </c>
      <c r="AB337" s="58">
        <v>0</v>
      </c>
      <c r="AC337" s="58">
        <v>0</v>
      </c>
      <c r="AD337" s="58">
        <v>0</v>
      </c>
      <c r="AE337" s="58">
        <v>0</v>
      </c>
      <c r="AF337" s="58">
        <v>0</v>
      </c>
      <c r="AG337" s="58">
        <v>0</v>
      </c>
      <c r="AH337" s="58">
        <v>0</v>
      </c>
      <c r="AI337" s="58">
        <v>0</v>
      </c>
      <c r="AJ337" s="58">
        <v>0</v>
      </c>
      <c r="AK337" s="58">
        <v>0</v>
      </c>
      <c r="AL337" s="75">
        <f>+SUBTOTAL(9,Tabla6[[#This Row],[ENE]:[DIC]])</f>
        <v>482.85</v>
      </c>
      <c r="AM337" s="76" t="str">
        <f t="shared" si="5"/>
        <v>OK</v>
      </c>
      <c r="AN337" s="60">
        <v>482.85</v>
      </c>
      <c r="AO337" s="61">
        <f>+Tabla6[[#This Row],[PRESUPUESTO VIGENTE]]-Tabla6[[#This Row],[CERTIFICACIÓN PAPP]]</f>
        <v>0</v>
      </c>
      <c r="AP337" s="59">
        <v>0</v>
      </c>
    </row>
    <row r="338" spans="1:42" ht="93" customHeight="1" x14ac:dyDescent="0.25">
      <c r="A338" s="62" t="s">
        <v>78</v>
      </c>
      <c r="B338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338" s="64" t="s">
        <v>79</v>
      </c>
      <c r="D338" s="64" t="s">
        <v>80</v>
      </c>
      <c r="E338" s="64" t="s">
        <v>81</v>
      </c>
      <c r="F338" s="64" t="s">
        <v>82</v>
      </c>
      <c r="G338" s="64" t="s">
        <v>83</v>
      </c>
      <c r="H338" s="65" t="str">
        <f>VLOOKUP(Tabla6[[#This Row],[DIRECCIÓN]],DIRECCIÓN[#All],2,0)</f>
        <v>ADMINISTRACIÓN CENTRAL</v>
      </c>
      <c r="I338" s="66" t="s">
        <v>792</v>
      </c>
      <c r="J338" s="67">
        <v>1</v>
      </c>
      <c r="K338" s="68" t="str">
        <f>VLOOKUP(Tabla6[[#This Row],[DIRECCIÓN GENERAL / COORDINACIÓN / SUBDIRECCIÓN]],Tabla37[[#All],[Columna1]:[EOD]],2,0)</f>
        <v>266_0001</v>
      </c>
      <c r="L338" s="69">
        <f>VLOOKUP(Tabla6[[#This Row],[OBJETIVOS PND]],Listas!$A$1:$C$3,3,0)</f>
        <v>1</v>
      </c>
      <c r="M338" s="70">
        <f>VLOOKUP(Tabla6[[#This Row],[PG]],Listas2!$G$14:$K$16,5,0)</f>
        <v>0</v>
      </c>
      <c r="N338" s="71">
        <v>1</v>
      </c>
      <c r="O338" s="72">
        <v>2101</v>
      </c>
      <c r="P338" s="73" t="str">
        <f>VLOOKUP(Tabla6[[#This Row],[GEO]],Listas!$A$48:$B$77,2,0)</f>
        <v>LAGO AGRIO</v>
      </c>
      <c r="Q338" s="70">
        <f>VLOOKUP(Tabla6[[#This Row],[PG]],Listas2!$G$14:$K$16,3,0)</f>
        <v>1</v>
      </c>
      <c r="R338" s="73">
        <f>VLOOKUP(Tabla6[[#This Row],[PG]],Listas2!H343:'Listas2'!$G$14:$K$16,4,0)</f>
        <v>0</v>
      </c>
      <c r="S338" s="73">
        <f>VLOOKUP(Tabla6[[#This Row],[PG]],Listas2!$G$14:$K$16,2,0)</f>
        <v>0</v>
      </c>
      <c r="T338" s="66" t="s">
        <v>84</v>
      </c>
      <c r="U338" s="74">
        <v>57</v>
      </c>
      <c r="V338" s="66">
        <v>570102</v>
      </c>
      <c r="W338" s="63" t="str">
        <f>VLOOKUP(Tabla6[[#This Row],[ÍTEM PRESUPUESTARIO]],Tabla2[#All],2,0)</f>
        <v>TASAS GENERALES, IMPUESTOS, CONTRIBUCIONES, PERMISOS, LICENCIAS Y PATENTES</v>
      </c>
      <c r="X338" s="57">
        <v>150</v>
      </c>
      <c r="Y338" s="57">
        <f>150-50.34</f>
        <v>99.66</v>
      </c>
      <c r="Z338" s="58">
        <v>0</v>
      </c>
      <c r="AA338" s="58">
        <v>0</v>
      </c>
      <c r="AB338" s="58">
        <v>0</v>
      </c>
      <c r="AC338" s="58">
        <v>42.08</v>
      </c>
      <c r="AD338" s="58">
        <v>0</v>
      </c>
      <c r="AE338" s="58">
        <v>50</v>
      </c>
      <c r="AF338" s="58">
        <v>0</v>
      </c>
      <c r="AG338" s="58">
        <v>0</v>
      </c>
      <c r="AH338" s="58">
        <v>0</v>
      </c>
      <c r="AI338" s="58">
        <v>0</v>
      </c>
      <c r="AJ338" s="58">
        <v>0</v>
      </c>
      <c r="AK338" s="58">
        <v>7.58</v>
      </c>
      <c r="AL338" s="75">
        <f>+SUBTOTAL(9,Tabla6[[#This Row],[ENE]:[DIC]])</f>
        <v>99.66</v>
      </c>
      <c r="AM338" s="76" t="str">
        <f t="shared" si="5"/>
        <v>OK</v>
      </c>
      <c r="AN338" s="60">
        <v>99.66</v>
      </c>
      <c r="AO338" s="61">
        <f>+Tabla6[[#This Row],[PRESUPUESTO VIGENTE]]-Tabla6[[#This Row],[CERTIFICACIÓN PAPP]]</f>
        <v>0</v>
      </c>
      <c r="AP338" s="59" t="s">
        <v>87</v>
      </c>
    </row>
    <row r="339" spans="1:42" ht="93" customHeight="1" x14ac:dyDescent="0.25">
      <c r="A339" s="62" t="s">
        <v>78</v>
      </c>
      <c r="B339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339" s="64" t="s">
        <v>79</v>
      </c>
      <c r="D339" s="64" t="s">
        <v>80</v>
      </c>
      <c r="E339" s="64" t="s">
        <v>81</v>
      </c>
      <c r="F339" s="64" t="s">
        <v>82</v>
      </c>
      <c r="G339" s="64" t="s">
        <v>83</v>
      </c>
      <c r="H339" s="65" t="str">
        <f>VLOOKUP(Tabla6[[#This Row],[DIRECCIÓN]],DIRECCIÓN[#All],2,0)</f>
        <v>ADMINISTRACIÓN CENTRAL</v>
      </c>
      <c r="I339" s="66" t="s">
        <v>958</v>
      </c>
      <c r="J339" s="67">
        <v>1</v>
      </c>
      <c r="K339" s="68" t="str">
        <f>VLOOKUP(Tabla6[[#This Row],[DIRECCIÓN GENERAL / COORDINACIÓN / SUBDIRECCIÓN]],Tabla37[[#All],[Columna1]:[EOD]],2,0)</f>
        <v>266_0001</v>
      </c>
      <c r="L339" s="69">
        <f>VLOOKUP(Tabla6[[#This Row],[OBJETIVOS PND]],Listas!$A$1:$C$3,3,0)</f>
        <v>1</v>
      </c>
      <c r="M339" s="70">
        <f>VLOOKUP(Tabla6[[#This Row],[PG]],Listas2!$G$14:$K$16,5,0)</f>
        <v>0</v>
      </c>
      <c r="N339" s="71">
        <v>1</v>
      </c>
      <c r="O339" s="72">
        <v>2101</v>
      </c>
      <c r="P339" s="73" t="str">
        <f>VLOOKUP(Tabla6[[#This Row],[GEO]],Listas!$A$48:$B$77,2,0)</f>
        <v>LAGO AGRIO</v>
      </c>
      <c r="Q339" s="70">
        <f>VLOOKUP(Tabla6[[#This Row],[PG]],Listas2!$G$14:$K$16,3,0)</f>
        <v>1</v>
      </c>
      <c r="R339" s="73">
        <f>VLOOKUP(Tabla6[[#This Row],[PG]],Listas2!H344:'Listas2'!$G$14:$K$16,4,0)</f>
        <v>0</v>
      </c>
      <c r="S339" s="73">
        <f>VLOOKUP(Tabla6[[#This Row],[PG]],Listas2!$G$14:$K$16,2,0)</f>
        <v>0</v>
      </c>
      <c r="T339" s="66" t="s">
        <v>84</v>
      </c>
      <c r="U339" s="74">
        <v>57</v>
      </c>
      <c r="V339" s="66">
        <v>570102</v>
      </c>
      <c r="W339" s="63" t="str">
        <f>VLOOKUP(Tabla6[[#This Row],[ÍTEM PRESUPUESTARIO]],Tabla2[#All],2,0)</f>
        <v>TASAS GENERALES, IMPUESTOS, CONTRIBUCIONES, PERMISOS, LICENCIAS Y PATENTES</v>
      </c>
      <c r="X339" s="57">
        <v>200</v>
      </c>
      <c r="Y339" s="57">
        <f>200-200</f>
        <v>0</v>
      </c>
      <c r="Z339" s="58">
        <v>0</v>
      </c>
      <c r="AA339" s="58">
        <v>0</v>
      </c>
      <c r="AB339" s="58">
        <v>0</v>
      </c>
      <c r="AC339" s="58">
        <v>0</v>
      </c>
      <c r="AD339" s="58">
        <v>0</v>
      </c>
      <c r="AE339" s="58">
        <v>0</v>
      </c>
      <c r="AF339" s="58">
        <v>0</v>
      </c>
      <c r="AG339" s="58">
        <v>0</v>
      </c>
      <c r="AH339" s="58">
        <v>0</v>
      </c>
      <c r="AI339" s="58">
        <v>0</v>
      </c>
      <c r="AJ339" s="58">
        <v>0</v>
      </c>
      <c r="AK339" s="58">
        <v>0</v>
      </c>
      <c r="AL339" s="75">
        <f>+SUBTOTAL(9,Tabla6[[#This Row],[ENE]:[DIC]])</f>
        <v>0</v>
      </c>
      <c r="AM339" s="76" t="str">
        <f t="shared" si="5"/>
        <v>OK</v>
      </c>
      <c r="AN339" s="60">
        <v>0</v>
      </c>
      <c r="AO339" s="61">
        <f>+Tabla6[[#This Row],[PRESUPUESTO VIGENTE]]-Tabla6[[#This Row],[CERTIFICACIÓN PAPP]]</f>
        <v>0</v>
      </c>
      <c r="AP339" s="59">
        <v>0</v>
      </c>
    </row>
    <row r="340" spans="1:42" ht="93" customHeight="1" x14ac:dyDescent="0.25">
      <c r="A340" s="62" t="s">
        <v>88</v>
      </c>
      <c r="B340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340" s="64" t="s">
        <v>89</v>
      </c>
      <c r="D340" s="64" t="s">
        <v>80</v>
      </c>
      <c r="E340" s="64" t="s">
        <v>81</v>
      </c>
      <c r="F340" s="64" t="s">
        <v>82</v>
      </c>
      <c r="G340" s="64" t="s">
        <v>90</v>
      </c>
      <c r="H340" s="65" t="str">
        <f>VLOOKUP(Tabla6[[#This Row],[DIRECCIÓN]],DIRECCIÓN[#All],2,0)</f>
        <v>TECNOLOGÍA</v>
      </c>
      <c r="I340" s="66" t="s">
        <v>828</v>
      </c>
      <c r="J340" s="67">
        <v>1</v>
      </c>
      <c r="K340" s="68" t="str">
        <f>VLOOKUP(Tabla6[[#This Row],[DIRECCIÓN GENERAL / COORDINACIÓN / SUBDIRECCIÓN]],Tabla37[[#All],[Columna1]:[EOD]],2,0)</f>
        <v>266_0001</v>
      </c>
      <c r="L340" s="69">
        <f>VLOOKUP(Tabla6[[#This Row],[OBJETIVOS PND]],Listas!$A$1:$C$3,3,0)</f>
        <v>55</v>
      </c>
      <c r="M340" s="70">
        <f>VLOOKUP(Tabla6[[#This Row],[PG]],Listas2!$G$14:$K$16,5,0)</f>
        <v>0</v>
      </c>
      <c r="N340" s="71">
        <v>3</v>
      </c>
      <c r="O340" s="72">
        <v>2101</v>
      </c>
      <c r="P340" s="73" t="str">
        <f>VLOOKUP(Tabla6[[#This Row],[GEO]],Listas!$A$48:$B$77,2,0)</f>
        <v>LAGO AGRIO</v>
      </c>
      <c r="Q340" s="70">
        <f>VLOOKUP(Tabla6[[#This Row],[PG]],Listas2!$G$14:$K$16,3,0)</f>
        <v>1</v>
      </c>
      <c r="R340" s="73">
        <f>VLOOKUP(Tabla6[[#This Row],[PG]],Listas2!H345:'Listas2'!$G$14:$K$16,4,0)</f>
        <v>0</v>
      </c>
      <c r="S340" s="73">
        <f>VLOOKUP(Tabla6[[#This Row],[PG]],Listas2!$G$14:$K$16,2,0)</f>
        <v>0</v>
      </c>
      <c r="T340" s="66" t="s">
        <v>84</v>
      </c>
      <c r="U340" s="74">
        <v>53</v>
      </c>
      <c r="V340" s="66">
        <v>530105</v>
      </c>
      <c r="W340" s="63" t="str">
        <f>VLOOKUP(Tabla6[[#This Row],[ÍTEM PRESUPUESTARIO]],Tabla2[#All],2,0)</f>
        <v>TELECOMUNICACIONES</v>
      </c>
      <c r="X340" s="57">
        <v>9053</v>
      </c>
      <c r="Y340" s="57">
        <f>9053-1638.89</f>
        <v>7414.11</v>
      </c>
      <c r="Z340" s="58">
        <v>7414.11</v>
      </c>
      <c r="AA340" s="58">
        <v>0</v>
      </c>
      <c r="AB340" s="58">
        <v>0</v>
      </c>
      <c r="AC340" s="58">
        <v>0</v>
      </c>
      <c r="AD340" s="58">
        <v>0</v>
      </c>
      <c r="AE340" s="58">
        <v>0</v>
      </c>
      <c r="AF340" s="58">
        <v>0</v>
      </c>
      <c r="AG340" s="58">
        <v>0</v>
      </c>
      <c r="AH340" s="58">
        <v>0</v>
      </c>
      <c r="AI340" s="58">
        <v>0</v>
      </c>
      <c r="AJ340" s="58">
        <v>0</v>
      </c>
      <c r="AK340" s="58">
        <v>0</v>
      </c>
      <c r="AL340" s="75">
        <f>+SUBTOTAL(9,Tabla6[[#This Row],[ENE]:[DIC]])</f>
        <v>7414.11</v>
      </c>
      <c r="AM340" s="76" t="str">
        <f t="shared" si="5"/>
        <v>OK</v>
      </c>
      <c r="AN340" s="60">
        <v>7414.11</v>
      </c>
      <c r="AO340" s="61">
        <f>+Tabla6[[#This Row],[PRESUPUESTO VIGENTE]]-Tabla6[[#This Row],[CERTIFICACIÓN PAPP]]</f>
        <v>0</v>
      </c>
      <c r="AP340" s="59">
        <v>0</v>
      </c>
    </row>
    <row r="341" spans="1:42" ht="93" customHeight="1" x14ac:dyDescent="0.25">
      <c r="A341" s="62" t="s">
        <v>88</v>
      </c>
      <c r="B341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341" s="64" t="s">
        <v>89</v>
      </c>
      <c r="D341" s="64" t="s">
        <v>80</v>
      </c>
      <c r="E341" s="64" t="s">
        <v>81</v>
      </c>
      <c r="F341" s="64" t="s">
        <v>82</v>
      </c>
      <c r="G341" s="64" t="s">
        <v>90</v>
      </c>
      <c r="H341" s="65" t="str">
        <f>VLOOKUP(Tabla6[[#This Row],[DIRECCIÓN]],DIRECCIÓN[#All],2,0)</f>
        <v>TECNOLOGÍA</v>
      </c>
      <c r="I341" s="66" t="s">
        <v>829</v>
      </c>
      <c r="J341" s="67">
        <v>1</v>
      </c>
      <c r="K341" s="68" t="str">
        <f>VLOOKUP(Tabla6[[#This Row],[DIRECCIÓN GENERAL / COORDINACIÓN / SUBDIRECCIÓN]],Tabla37[[#All],[Columna1]:[EOD]],2,0)</f>
        <v>266_0001</v>
      </c>
      <c r="L341" s="69">
        <f>VLOOKUP(Tabla6[[#This Row],[OBJETIVOS PND]],Listas!$A$1:$C$3,3,0)</f>
        <v>55</v>
      </c>
      <c r="M341" s="70">
        <f>VLOOKUP(Tabla6[[#This Row],[PG]],Listas2!$G$14:$K$16,5,0)</f>
        <v>0</v>
      </c>
      <c r="N341" s="71">
        <v>3</v>
      </c>
      <c r="O341" s="72">
        <v>2101</v>
      </c>
      <c r="P341" s="73" t="str">
        <f>VLOOKUP(Tabla6[[#This Row],[GEO]],Listas!$A$48:$B$77,2,0)</f>
        <v>LAGO AGRIO</v>
      </c>
      <c r="Q341" s="70">
        <f>VLOOKUP(Tabla6[[#This Row],[PG]],Listas2!$G$14:$K$16,3,0)</f>
        <v>1</v>
      </c>
      <c r="R341" s="73">
        <f>VLOOKUP(Tabla6[[#This Row],[PG]],Listas2!H346:'Listas2'!$G$14:$K$16,4,0)</f>
        <v>0</v>
      </c>
      <c r="S341" s="73">
        <f>VLOOKUP(Tabla6[[#This Row],[PG]],Listas2!$G$14:$K$16,2,0)</f>
        <v>0</v>
      </c>
      <c r="T341" s="66" t="s">
        <v>84</v>
      </c>
      <c r="U341" s="74">
        <v>53</v>
      </c>
      <c r="V341" s="66">
        <v>530105</v>
      </c>
      <c r="W341" s="63" t="str">
        <f>VLOOKUP(Tabla6[[#This Row],[ÍTEM PRESUPUESTARIO]],Tabla2[#All],2,0)</f>
        <v>TELECOMUNICACIONES</v>
      </c>
      <c r="X341" s="57">
        <v>116779</v>
      </c>
      <c r="Y341" s="57">
        <f>116779-44616.01-36409.51</f>
        <v>35753.479999999989</v>
      </c>
      <c r="Z341" s="58">
        <v>0</v>
      </c>
      <c r="AA341" s="58">
        <v>6560</v>
      </c>
      <c r="AB341" s="58">
        <v>6560</v>
      </c>
      <c r="AC341" s="58">
        <v>6560</v>
      </c>
      <c r="AD341" s="58">
        <v>3500</v>
      </c>
      <c r="AE341" s="58">
        <v>3500</v>
      </c>
      <c r="AF341" s="58">
        <v>3500</v>
      </c>
      <c r="AG341" s="58">
        <v>3500</v>
      </c>
      <c r="AH341" s="58">
        <v>2073.48</v>
      </c>
      <c r="AI341" s="58">
        <v>0</v>
      </c>
      <c r="AJ341" s="58">
        <v>0</v>
      </c>
      <c r="AK341" s="58">
        <v>0</v>
      </c>
      <c r="AL341" s="75">
        <f>+SUBTOTAL(9,Tabla6[[#This Row],[ENE]:[DIC]])</f>
        <v>35753.480000000003</v>
      </c>
      <c r="AM341" s="76" t="str">
        <f t="shared" si="5"/>
        <v>OK</v>
      </c>
      <c r="AN341" s="60">
        <v>26390.82</v>
      </c>
      <c r="AO341" s="61">
        <f>+Tabla6[[#This Row],[PRESUPUESTO VIGENTE]]-Tabla6[[#This Row],[CERTIFICACIÓN PAPP]]</f>
        <v>9362.6599999999889</v>
      </c>
      <c r="AP341" s="59" t="s">
        <v>87</v>
      </c>
    </row>
    <row r="342" spans="1:42" ht="93" customHeight="1" x14ac:dyDescent="0.25">
      <c r="A342" s="62" t="s">
        <v>88</v>
      </c>
      <c r="B342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342" s="64" t="s">
        <v>89</v>
      </c>
      <c r="D342" s="64" t="s">
        <v>80</v>
      </c>
      <c r="E342" s="64" t="s">
        <v>81</v>
      </c>
      <c r="F342" s="64" t="s">
        <v>82</v>
      </c>
      <c r="G342" s="64" t="s">
        <v>90</v>
      </c>
      <c r="H342" s="65" t="str">
        <f>VLOOKUP(Tabla6[[#This Row],[DIRECCIÓN]],DIRECCIÓN[#All],2,0)</f>
        <v>TECNOLOGÍA</v>
      </c>
      <c r="I342" s="66" t="s">
        <v>830</v>
      </c>
      <c r="J342" s="67">
        <v>2</v>
      </c>
      <c r="K342" s="68" t="str">
        <f>VLOOKUP(Tabla6[[#This Row],[DIRECCIÓN GENERAL / COORDINACIÓN / SUBDIRECCIÓN]],Tabla37[[#All],[Columna1]:[EOD]],2,0)</f>
        <v>266_0001</v>
      </c>
      <c r="L342" s="69">
        <f>VLOOKUP(Tabla6[[#This Row],[OBJETIVOS PND]],Listas!$A$1:$C$3,3,0)</f>
        <v>55</v>
      </c>
      <c r="M342" s="70">
        <f>VLOOKUP(Tabla6[[#This Row],[PG]],Listas2!$G$14:$K$16,5,0)</f>
        <v>0</v>
      </c>
      <c r="N342" s="71">
        <v>3</v>
      </c>
      <c r="O342" s="72">
        <v>2101</v>
      </c>
      <c r="P342" s="73" t="str">
        <f>VLOOKUP(Tabla6[[#This Row],[GEO]],Listas!$A$48:$B$77,2,0)</f>
        <v>LAGO AGRIO</v>
      </c>
      <c r="Q342" s="70">
        <f>VLOOKUP(Tabla6[[#This Row],[PG]],Listas2!$G$14:$K$16,3,0)</f>
        <v>1</v>
      </c>
      <c r="R342" s="73">
        <f>VLOOKUP(Tabla6[[#This Row],[PG]],Listas2!H347:'Listas2'!$G$14:$K$16,4,0)</f>
        <v>0</v>
      </c>
      <c r="S342" s="73">
        <f>VLOOKUP(Tabla6[[#This Row],[PG]],Listas2!$G$14:$K$16,2,0)</f>
        <v>0</v>
      </c>
      <c r="T342" s="66" t="s">
        <v>84</v>
      </c>
      <c r="U342" s="74">
        <v>53</v>
      </c>
      <c r="V342" s="66">
        <v>530702</v>
      </c>
      <c r="W342" s="63" t="str">
        <f>VLOOKUP(Tabla6[[#This Row],[ÍTEM PRESUPUESTARIO]],Tabla2[#All],2,0)</f>
        <v>ARRENDAMIENTO Y LICENCIAS DE USO DE PAQUETES INFORMÁTICOS</v>
      </c>
      <c r="X342" s="57">
        <v>3207</v>
      </c>
      <c r="Y342" s="57">
        <f>3207-72.12</f>
        <v>3134.88</v>
      </c>
      <c r="Z342" s="58">
        <v>0</v>
      </c>
      <c r="AA342" s="58">
        <v>0</v>
      </c>
      <c r="AB342" s="58">
        <v>3134.88</v>
      </c>
      <c r="AC342" s="58">
        <v>0</v>
      </c>
      <c r="AD342" s="58">
        <v>0</v>
      </c>
      <c r="AE342" s="58">
        <v>0</v>
      </c>
      <c r="AF342" s="58">
        <v>0</v>
      </c>
      <c r="AG342" s="58">
        <v>0</v>
      </c>
      <c r="AH342" s="58">
        <v>0</v>
      </c>
      <c r="AI342" s="58">
        <v>0</v>
      </c>
      <c r="AJ342" s="58">
        <v>0</v>
      </c>
      <c r="AK342" s="58">
        <v>0</v>
      </c>
      <c r="AL342" s="75">
        <f>+SUBTOTAL(9,Tabla6[[#This Row],[ENE]:[DIC]])</f>
        <v>3134.88</v>
      </c>
      <c r="AM342" s="76" t="str">
        <f t="shared" si="5"/>
        <v>OK</v>
      </c>
      <c r="AN342" s="60">
        <v>2799</v>
      </c>
      <c r="AO342" s="61">
        <f>+Tabla6[[#This Row],[PRESUPUESTO VIGENTE]]-Tabla6[[#This Row],[CERTIFICACIÓN PAPP]]</f>
        <v>335.88000000000011</v>
      </c>
      <c r="AP342" s="59">
        <v>0</v>
      </c>
    </row>
    <row r="343" spans="1:42" ht="93" customHeight="1" x14ac:dyDescent="0.25">
      <c r="A343" s="62" t="s">
        <v>88</v>
      </c>
      <c r="B343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343" s="64" t="s">
        <v>89</v>
      </c>
      <c r="D343" s="64" t="s">
        <v>80</v>
      </c>
      <c r="E343" s="64" t="s">
        <v>81</v>
      </c>
      <c r="F343" s="64" t="s">
        <v>82</v>
      </c>
      <c r="G343" s="64" t="s">
        <v>90</v>
      </c>
      <c r="H343" s="65" t="str">
        <f>VLOOKUP(Tabla6[[#This Row],[DIRECCIÓN]],DIRECCIÓN[#All],2,0)</f>
        <v>TECNOLOGÍA</v>
      </c>
      <c r="I343" s="66" t="s">
        <v>832</v>
      </c>
      <c r="J343" s="67">
        <v>2</v>
      </c>
      <c r="K343" s="68" t="str">
        <f>VLOOKUP(Tabla6[[#This Row],[DIRECCIÓN GENERAL / COORDINACIÓN / SUBDIRECCIÓN]],Tabla37[[#All],[Columna1]:[EOD]],2,0)</f>
        <v>266_0001</v>
      </c>
      <c r="L343" s="69">
        <f>VLOOKUP(Tabla6[[#This Row],[OBJETIVOS PND]],Listas!$A$1:$C$3,3,0)</f>
        <v>55</v>
      </c>
      <c r="M343" s="70">
        <f>VLOOKUP(Tabla6[[#This Row],[PG]],Listas2!$G$14:$K$16,5,0)</f>
        <v>0</v>
      </c>
      <c r="N343" s="71">
        <v>3</v>
      </c>
      <c r="O343" s="72">
        <v>2101</v>
      </c>
      <c r="P343" s="73" t="str">
        <f>VLOOKUP(Tabla6[[#This Row],[GEO]],Listas!$A$48:$B$77,2,0)</f>
        <v>LAGO AGRIO</v>
      </c>
      <c r="Q343" s="70">
        <f>VLOOKUP(Tabla6[[#This Row],[PG]],Listas2!$G$14:$K$16,3,0)</f>
        <v>1</v>
      </c>
      <c r="R343" s="73">
        <f>VLOOKUP(Tabla6[[#This Row],[PG]],Listas2!H348:'Listas2'!$G$14:$K$16,4,0)</f>
        <v>0</v>
      </c>
      <c r="S343" s="73">
        <f>VLOOKUP(Tabla6[[#This Row],[PG]],Listas2!$G$14:$K$16,2,0)</f>
        <v>0</v>
      </c>
      <c r="T343" s="66" t="s">
        <v>84</v>
      </c>
      <c r="U343" s="74">
        <v>53</v>
      </c>
      <c r="V343" s="66">
        <v>530811</v>
      </c>
      <c r="W343" s="63" t="str">
        <f>VLOOKUP(Tabla6[[#This Row],[ÍTEM PRESUPUESTARIO]],Tabla2[#All],2,0)</f>
        <v>INSUMOS, MATERIALES Y SUMINISTROS PARA CONSTRUCCIÓN, ELECTRICIDAD, PLOMERÍA, CARPINTERÍA, SEÑALIZACIÓN VIAL, NAVEGACIÓN, CONTRA INCENDIOS Y PLACAS</v>
      </c>
      <c r="X343" s="57">
        <v>1500</v>
      </c>
      <c r="Y343" s="57">
        <f>1500-1256.7</f>
        <v>243.29999999999995</v>
      </c>
      <c r="Z343" s="58">
        <v>0</v>
      </c>
      <c r="AA343" s="58">
        <v>0</v>
      </c>
      <c r="AB343" s="58">
        <v>0</v>
      </c>
      <c r="AC343" s="58">
        <v>0</v>
      </c>
      <c r="AD343" s="58">
        <v>243.3</v>
      </c>
      <c r="AE343" s="58">
        <v>0</v>
      </c>
      <c r="AF343" s="58">
        <v>0</v>
      </c>
      <c r="AG343" s="58">
        <v>0</v>
      </c>
      <c r="AH343" s="58">
        <v>0</v>
      </c>
      <c r="AI343" s="58">
        <v>0</v>
      </c>
      <c r="AJ343" s="58">
        <v>0</v>
      </c>
      <c r="AK343" s="58">
        <v>0</v>
      </c>
      <c r="AL343" s="75">
        <f>+SUBTOTAL(9,Tabla6[[#This Row],[ENE]:[DIC]])</f>
        <v>243.3</v>
      </c>
      <c r="AM343" s="76" t="str">
        <f t="shared" si="5"/>
        <v>OK</v>
      </c>
      <c r="AN343" s="60">
        <v>243.3</v>
      </c>
      <c r="AO343" s="61">
        <f>+Tabla6[[#This Row],[PRESUPUESTO VIGENTE]]-Tabla6[[#This Row],[CERTIFICACIÓN PAPP]]</f>
        <v>0</v>
      </c>
      <c r="AP343" s="59">
        <v>0</v>
      </c>
    </row>
    <row r="344" spans="1:42" ht="93" customHeight="1" x14ac:dyDescent="0.25">
      <c r="A344" s="62" t="s">
        <v>88</v>
      </c>
      <c r="B344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344" s="64" t="s">
        <v>89</v>
      </c>
      <c r="D344" s="64" t="s">
        <v>80</v>
      </c>
      <c r="E344" s="64" t="s">
        <v>81</v>
      </c>
      <c r="F344" s="64" t="s">
        <v>82</v>
      </c>
      <c r="G344" s="64" t="s">
        <v>90</v>
      </c>
      <c r="H344" s="65" t="str">
        <f>VLOOKUP(Tabla6[[#This Row],[DIRECCIÓN]],DIRECCIÓN[#All],2,0)</f>
        <v>TECNOLOGÍA</v>
      </c>
      <c r="I344" s="66" t="s">
        <v>792</v>
      </c>
      <c r="J344" s="67">
        <v>2</v>
      </c>
      <c r="K344" s="68" t="str">
        <f>VLOOKUP(Tabla6[[#This Row],[DIRECCIÓN GENERAL / COORDINACIÓN / SUBDIRECCIÓN]],Tabla37[[#All],[Columna1]:[EOD]],2,0)</f>
        <v>266_0001</v>
      </c>
      <c r="L344" s="69">
        <f>VLOOKUP(Tabla6[[#This Row],[OBJETIVOS PND]],Listas!$A$1:$C$3,3,0)</f>
        <v>55</v>
      </c>
      <c r="M344" s="70">
        <f>VLOOKUP(Tabla6[[#This Row],[PG]],Listas2!$G$14:$K$16,5,0)</f>
        <v>0</v>
      </c>
      <c r="N344" s="71">
        <v>3</v>
      </c>
      <c r="O344" s="72">
        <v>2101</v>
      </c>
      <c r="P344" s="73" t="str">
        <f>VLOOKUP(Tabla6[[#This Row],[GEO]],Listas!$A$48:$B$77,2,0)</f>
        <v>LAGO AGRIO</v>
      </c>
      <c r="Q344" s="70">
        <f>VLOOKUP(Tabla6[[#This Row],[PG]],Listas2!$G$14:$K$16,3,0)</f>
        <v>1</v>
      </c>
      <c r="R344" s="73">
        <f>VLOOKUP(Tabla6[[#This Row],[PG]],Listas2!H349:'Listas2'!$G$14:$K$16,4,0)</f>
        <v>0</v>
      </c>
      <c r="S344" s="73">
        <f>VLOOKUP(Tabla6[[#This Row],[PG]],Listas2!$G$14:$K$16,2,0)</f>
        <v>0</v>
      </c>
      <c r="T344" s="66" t="s">
        <v>84</v>
      </c>
      <c r="U344" s="74">
        <v>53</v>
      </c>
      <c r="V344" s="66">
        <v>530811</v>
      </c>
      <c r="W344" s="63" t="str">
        <f>VLOOKUP(Tabla6[[#This Row],[ÍTEM PRESUPUESTARIO]],Tabla2[#All],2,0)</f>
        <v>INSUMOS, MATERIALES Y SUMINISTROS PARA CONSTRUCCIÓN, ELECTRICIDAD, PLOMERÍA, CARPINTERÍA, SEÑALIZACIÓN VIAL, NAVEGACIÓN, CONTRA INCENDIOS Y PLACAS</v>
      </c>
      <c r="X344" s="57">
        <v>300</v>
      </c>
      <c r="Y344" s="57">
        <f>300-150-75.85</f>
        <v>74.150000000000006</v>
      </c>
      <c r="Z344" s="58">
        <v>0</v>
      </c>
      <c r="AA344" s="58">
        <v>0</v>
      </c>
      <c r="AB344" s="58">
        <v>0</v>
      </c>
      <c r="AC344" s="58">
        <v>50</v>
      </c>
      <c r="AD344" s="58">
        <v>0</v>
      </c>
      <c r="AE344" s="58">
        <v>24.15</v>
      </c>
      <c r="AF344" s="58">
        <v>0</v>
      </c>
      <c r="AG344" s="58">
        <v>0</v>
      </c>
      <c r="AH344" s="58">
        <v>0</v>
      </c>
      <c r="AI344" s="58">
        <v>0</v>
      </c>
      <c r="AJ344" s="58">
        <v>0</v>
      </c>
      <c r="AK344" s="58">
        <v>0</v>
      </c>
      <c r="AL344" s="75">
        <f>+SUBTOTAL(9,Tabla6[[#This Row],[ENE]:[DIC]])</f>
        <v>74.150000000000006</v>
      </c>
      <c r="AM344" s="76" t="str">
        <f t="shared" si="5"/>
        <v>OK</v>
      </c>
      <c r="AN344" s="60">
        <v>74.150000000000006</v>
      </c>
      <c r="AO344" s="61">
        <f>+Tabla6[[#This Row],[PRESUPUESTO VIGENTE]]-Tabla6[[#This Row],[CERTIFICACIÓN PAPP]]</f>
        <v>0</v>
      </c>
      <c r="AP344" s="59" t="s">
        <v>87</v>
      </c>
    </row>
    <row r="345" spans="1:42" ht="93" customHeight="1" x14ac:dyDescent="0.25">
      <c r="A345" s="62" t="s">
        <v>88</v>
      </c>
      <c r="B345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345" s="64" t="s">
        <v>89</v>
      </c>
      <c r="D345" s="64" t="s">
        <v>80</v>
      </c>
      <c r="E345" s="64" t="s">
        <v>81</v>
      </c>
      <c r="F345" s="64" t="s">
        <v>82</v>
      </c>
      <c r="G345" s="64" t="s">
        <v>90</v>
      </c>
      <c r="H345" s="65" t="str">
        <f>VLOOKUP(Tabla6[[#This Row],[DIRECCIÓN]],DIRECCIÓN[#All],2,0)</f>
        <v>TECNOLOGÍA</v>
      </c>
      <c r="I345" s="66" t="s">
        <v>959</v>
      </c>
      <c r="J345" s="67">
        <v>2</v>
      </c>
      <c r="K345" s="68" t="str">
        <f>VLOOKUP(Tabla6[[#This Row],[DIRECCIÓN GENERAL / COORDINACIÓN / SUBDIRECCIÓN]],Tabla37[[#All],[Columna1]:[EOD]],2,0)</f>
        <v>266_0001</v>
      </c>
      <c r="L345" s="69">
        <f>VLOOKUP(Tabla6[[#This Row],[OBJETIVOS PND]],Listas!$A$1:$C$3,3,0)</f>
        <v>55</v>
      </c>
      <c r="M345" s="70">
        <f>VLOOKUP(Tabla6[[#This Row],[PG]],Listas2!$G$14:$K$16,5,0)</f>
        <v>0</v>
      </c>
      <c r="N345" s="71">
        <v>3</v>
      </c>
      <c r="O345" s="72">
        <v>2101</v>
      </c>
      <c r="P345" s="73" t="str">
        <f>VLOOKUP(Tabla6[[#This Row],[GEO]],Listas!$A$48:$B$77,2,0)</f>
        <v>LAGO AGRIO</v>
      </c>
      <c r="Q345" s="70">
        <f>VLOOKUP(Tabla6[[#This Row],[PG]],Listas2!$G$14:$K$16,3,0)</f>
        <v>1</v>
      </c>
      <c r="R345" s="73">
        <f>VLOOKUP(Tabla6[[#This Row],[PG]],Listas2!H350:'Listas2'!$G$14:$K$16,4,0)</f>
        <v>0</v>
      </c>
      <c r="S345" s="73">
        <f>VLOOKUP(Tabla6[[#This Row],[PG]],Listas2!$G$14:$K$16,2,0)</f>
        <v>0</v>
      </c>
      <c r="T345" s="66" t="s">
        <v>84</v>
      </c>
      <c r="U345" s="74">
        <v>53</v>
      </c>
      <c r="V345" s="66">
        <v>530813</v>
      </c>
      <c r="W345" s="63" t="str">
        <f>VLOOKUP(Tabla6[[#This Row],[ÍTEM PRESUPUESTARIO]],Tabla2[#All],2,0)</f>
        <v>REPUESTOS Y ACCESORIOS</v>
      </c>
      <c r="X345" s="57">
        <v>5400</v>
      </c>
      <c r="Y345" s="57">
        <f>5400-5400</f>
        <v>0</v>
      </c>
      <c r="Z345" s="58">
        <v>0</v>
      </c>
      <c r="AA345" s="58">
        <v>0</v>
      </c>
      <c r="AB345" s="58">
        <v>0</v>
      </c>
      <c r="AC345" s="58">
        <v>0</v>
      </c>
      <c r="AD345" s="58">
        <v>0</v>
      </c>
      <c r="AE345" s="58">
        <v>0</v>
      </c>
      <c r="AF345" s="58">
        <v>0</v>
      </c>
      <c r="AG345" s="58">
        <v>0</v>
      </c>
      <c r="AH345" s="58">
        <v>0</v>
      </c>
      <c r="AI345" s="58">
        <v>0</v>
      </c>
      <c r="AJ345" s="58">
        <v>0</v>
      </c>
      <c r="AK345" s="58">
        <v>0</v>
      </c>
      <c r="AL345" s="75">
        <f>+SUBTOTAL(9,Tabla6[[#This Row],[ENE]:[DIC]])</f>
        <v>0</v>
      </c>
      <c r="AM345" s="76" t="str">
        <f t="shared" si="5"/>
        <v>OK</v>
      </c>
      <c r="AN345" s="60">
        <v>0</v>
      </c>
      <c r="AO345" s="61">
        <f>+Tabla6[[#This Row],[PRESUPUESTO VIGENTE]]-Tabla6[[#This Row],[CERTIFICACIÓN PAPP]]</f>
        <v>0</v>
      </c>
      <c r="AP345" s="59">
        <v>0</v>
      </c>
    </row>
    <row r="346" spans="1:42" ht="93" customHeight="1" x14ac:dyDescent="0.25">
      <c r="A346" s="62" t="s">
        <v>88</v>
      </c>
      <c r="B346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346" s="64" t="s">
        <v>89</v>
      </c>
      <c r="D346" s="64" t="s">
        <v>80</v>
      </c>
      <c r="E346" s="64" t="s">
        <v>81</v>
      </c>
      <c r="F346" s="64" t="s">
        <v>82</v>
      </c>
      <c r="G346" s="64" t="s">
        <v>90</v>
      </c>
      <c r="H346" s="65" t="str">
        <f>VLOOKUP(Tabla6[[#This Row],[DIRECCIÓN]],DIRECCIÓN[#All],2,0)</f>
        <v>TECNOLOGÍA</v>
      </c>
      <c r="I346" s="66" t="s">
        <v>834</v>
      </c>
      <c r="J346" s="67">
        <v>2</v>
      </c>
      <c r="K346" s="68" t="str">
        <f>VLOOKUP(Tabla6[[#This Row],[DIRECCIÓN GENERAL / COORDINACIÓN / SUBDIRECCIÓN]],Tabla37[[#All],[Columna1]:[EOD]],2,0)</f>
        <v>266_0001</v>
      </c>
      <c r="L346" s="69">
        <f>VLOOKUP(Tabla6[[#This Row],[OBJETIVOS PND]],Listas!$A$1:$C$3,3,0)</f>
        <v>55</v>
      </c>
      <c r="M346" s="70">
        <f>VLOOKUP(Tabla6[[#This Row],[PG]],Listas2!$G$14:$K$16,5,0)</f>
        <v>0</v>
      </c>
      <c r="N346" s="71">
        <v>3</v>
      </c>
      <c r="O346" s="72">
        <v>2101</v>
      </c>
      <c r="P346" s="73" t="str">
        <f>VLOOKUP(Tabla6[[#This Row],[GEO]],Listas!$A$48:$B$77,2,0)</f>
        <v>LAGO AGRIO</v>
      </c>
      <c r="Q346" s="70">
        <f>VLOOKUP(Tabla6[[#This Row],[PG]],Listas2!$G$14:$K$16,3,0)</f>
        <v>1</v>
      </c>
      <c r="R346" s="73">
        <f>VLOOKUP(Tabla6[[#This Row],[PG]],Listas2!H351:'Listas2'!$G$14:$K$16,4,0)</f>
        <v>0</v>
      </c>
      <c r="S346" s="73">
        <f>VLOOKUP(Tabla6[[#This Row],[PG]],Listas2!$G$14:$K$16,2,0)</f>
        <v>0</v>
      </c>
      <c r="T346" s="66" t="s">
        <v>84</v>
      </c>
      <c r="U346" s="74">
        <v>53</v>
      </c>
      <c r="V346" s="66">
        <v>530813</v>
      </c>
      <c r="W346" s="63" t="str">
        <f>VLOOKUP(Tabla6[[#This Row],[ÍTEM PRESUPUESTARIO]],Tabla2[#All],2,0)</f>
        <v>REPUESTOS Y ACCESORIOS</v>
      </c>
      <c r="X346" s="57">
        <v>2459</v>
      </c>
      <c r="Y346" s="57">
        <f>2459-2459</f>
        <v>0</v>
      </c>
      <c r="Z346" s="58">
        <v>0</v>
      </c>
      <c r="AA346" s="58">
        <v>0</v>
      </c>
      <c r="AB346" s="58">
        <v>0</v>
      </c>
      <c r="AC346" s="58">
        <v>0</v>
      </c>
      <c r="AD346" s="58">
        <v>0</v>
      </c>
      <c r="AE346" s="58">
        <v>0</v>
      </c>
      <c r="AF346" s="58">
        <v>0</v>
      </c>
      <c r="AG346" s="58">
        <v>0</v>
      </c>
      <c r="AH346" s="58">
        <v>0</v>
      </c>
      <c r="AI346" s="58">
        <v>0</v>
      </c>
      <c r="AJ346" s="58">
        <v>0</v>
      </c>
      <c r="AK346" s="58">
        <v>0</v>
      </c>
      <c r="AL346" s="75">
        <f>+SUBTOTAL(9,Tabla6[[#This Row],[ENE]:[DIC]])</f>
        <v>0</v>
      </c>
      <c r="AM346" s="76" t="str">
        <f t="shared" si="5"/>
        <v>OK</v>
      </c>
      <c r="AN346" s="60">
        <v>0</v>
      </c>
      <c r="AO346" s="61">
        <f>+Tabla6[[#This Row],[PRESUPUESTO VIGENTE]]-Tabla6[[#This Row],[CERTIFICACIÓN PAPP]]</f>
        <v>0</v>
      </c>
      <c r="AP346" s="59" t="s">
        <v>87</v>
      </c>
    </row>
    <row r="347" spans="1:42" ht="93" customHeight="1" x14ac:dyDescent="0.25">
      <c r="A347" s="62" t="s">
        <v>88</v>
      </c>
      <c r="B347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347" s="64" t="s">
        <v>89</v>
      </c>
      <c r="D347" s="64" t="s">
        <v>80</v>
      </c>
      <c r="E347" s="64" t="s">
        <v>81</v>
      </c>
      <c r="F347" s="64" t="s">
        <v>82</v>
      </c>
      <c r="G347" s="64" t="s">
        <v>90</v>
      </c>
      <c r="H347" s="65" t="str">
        <f>VLOOKUP(Tabla6[[#This Row],[DIRECCIÓN]],DIRECCIÓN[#All],2,0)</f>
        <v>TECNOLOGÍA</v>
      </c>
      <c r="I347" s="66" t="s">
        <v>835</v>
      </c>
      <c r="J347" s="67">
        <v>2</v>
      </c>
      <c r="K347" s="68" t="str">
        <f>VLOOKUP(Tabla6[[#This Row],[DIRECCIÓN GENERAL / COORDINACIÓN / SUBDIRECCIÓN]],Tabla37[[#All],[Columna1]:[EOD]],2,0)</f>
        <v>266_0001</v>
      </c>
      <c r="L347" s="69">
        <f>VLOOKUP(Tabla6[[#This Row],[OBJETIVOS PND]],Listas!$A$1:$C$3,3,0)</f>
        <v>55</v>
      </c>
      <c r="M347" s="70">
        <f>VLOOKUP(Tabla6[[#This Row],[PG]],Listas2!$G$14:$K$16,5,0)</f>
        <v>0</v>
      </c>
      <c r="N347" s="71">
        <v>3</v>
      </c>
      <c r="O347" s="72">
        <v>2101</v>
      </c>
      <c r="P347" s="73" t="str">
        <f>VLOOKUP(Tabla6[[#This Row],[GEO]],Listas!$A$48:$B$77,2,0)</f>
        <v>LAGO AGRIO</v>
      </c>
      <c r="Q347" s="70">
        <f>VLOOKUP(Tabla6[[#This Row],[PG]],Listas2!$G$14:$K$16,3,0)</f>
        <v>1</v>
      </c>
      <c r="R347" s="73">
        <f>VLOOKUP(Tabla6[[#This Row],[PG]],Listas2!H352:'Listas2'!$G$14:$K$16,4,0)</f>
        <v>0</v>
      </c>
      <c r="S347" s="73">
        <f>VLOOKUP(Tabla6[[#This Row],[PG]],Listas2!$G$14:$K$16,2,0)</f>
        <v>0</v>
      </c>
      <c r="T347" s="66" t="s">
        <v>84</v>
      </c>
      <c r="U347" s="74">
        <v>53</v>
      </c>
      <c r="V347" s="66">
        <v>530813</v>
      </c>
      <c r="W347" s="63" t="str">
        <f>VLOOKUP(Tabla6[[#This Row],[ÍTEM PRESUPUESTARIO]],Tabla2[#All],2,0)</f>
        <v>REPUESTOS Y ACCESORIOS</v>
      </c>
      <c r="X347" s="57">
        <v>0</v>
      </c>
      <c r="Y347" s="57">
        <f>5761.84-2551.34</f>
        <v>3210.5</v>
      </c>
      <c r="Z347" s="58">
        <v>0</v>
      </c>
      <c r="AA347" s="58">
        <v>0</v>
      </c>
      <c r="AB347" s="58">
        <v>0</v>
      </c>
      <c r="AC347" s="58">
        <v>0</v>
      </c>
      <c r="AD347" s="58">
        <v>0</v>
      </c>
      <c r="AE347" s="58">
        <v>3210.5</v>
      </c>
      <c r="AF347" s="58">
        <v>0</v>
      </c>
      <c r="AG347" s="58">
        <v>0</v>
      </c>
      <c r="AH347" s="58">
        <v>0</v>
      </c>
      <c r="AI347" s="58">
        <v>0</v>
      </c>
      <c r="AJ347" s="58">
        <v>0</v>
      </c>
      <c r="AK347" s="58">
        <v>0</v>
      </c>
      <c r="AL347" s="75">
        <f>+SUBTOTAL(9,Tabla6[[#This Row],[ENE]:[DIC]])</f>
        <v>3210.5</v>
      </c>
      <c r="AM347" s="76" t="str">
        <f>IF(AL347=Y347,"OK",Y347-AL347)</f>
        <v>OK</v>
      </c>
      <c r="AN347" s="60">
        <v>3210.5</v>
      </c>
      <c r="AO347" s="61">
        <f>+Tabla6[[#This Row],[PRESUPUESTO VIGENTE]]-Tabla6[[#This Row],[CERTIFICACIÓN PAPP]]</f>
        <v>0</v>
      </c>
      <c r="AP347" s="59">
        <v>0</v>
      </c>
    </row>
    <row r="348" spans="1:42" ht="93" customHeight="1" x14ac:dyDescent="0.25">
      <c r="A348" s="62" t="s">
        <v>78</v>
      </c>
      <c r="B348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348" s="64" t="s">
        <v>79</v>
      </c>
      <c r="D348" s="64" t="s">
        <v>80</v>
      </c>
      <c r="E348" s="64" t="s">
        <v>81</v>
      </c>
      <c r="F348" s="64" t="s">
        <v>96</v>
      </c>
      <c r="G348" s="64" t="s">
        <v>92</v>
      </c>
      <c r="H348" s="65" t="str">
        <f>VLOOKUP(Tabla6[[#This Row],[DIRECCIÓN]],DIRECCIÓN[#All],2,0)</f>
        <v>ADMINISTRACIÓN CENTRAL</v>
      </c>
      <c r="I348" s="66" t="s">
        <v>93</v>
      </c>
      <c r="J348" s="67">
        <v>1</v>
      </c>
      <c r="K348" s="68" t="str">
        <f>VLOOKUP(Tabla6[[#This Row],[DIRECCIÓN GENERAL / COORDINACIÓN / SUBDIRECCIÓN]],Tabla37[[#All],[Columna1]:[EOD]],2,0)</f>
        <v>266_0003</v>
      </c>
      <c r="L348" s="69">
        <f>VLOOKUP(Tabla6[[#This Row],[OBJETIVOS PND]],Listas!$A$1:$C$3,3,0)</f>
        <v>1</v>
      </c>
      <c r="M348" s="70">
        <f>VLOOKUP(Tabla6[[#This Row],[PG]],Listas2!$G$14:$K$16,5,0)</f>
        <v>0</v>
      </c>
      <c r="N348" s="71">
        <v>1</v>
      </c>
      <c r="O348" s="72">
        <v>600</v>
      </c>
      <c r="P348" s="73" t="str">
        <f>VLOOKUP(Tabla6[[#This Row],[GEO]],Listas!$A$48:$B$77,2,0)</f>
        <v>CHIMBORAZO</v>
      </c>
      <c r="Q348" s="70">
        <f>VLOOKUP(Tabla6[[#This Row],[PG]],Listas2!$G$14:$K$16,3,0)</f>
        <v>1</v>
      </c>
      <c r="R348" s="73">
        <f>VLOOKUP(Tabla6[[#This Row],[PG]],Listas2!H14:'Listas2'!$G$14:$K$16,4,0)</f>
        <v>0</v>
      </c>
      <c r="S348" s="73">
        <f>VLOOKUP(Tabla6[[#This Row],[PG]],Listas2!$G$14:$K$16,2,0)</f>
        <v>0</v>
      </c>
      <c r="T348" s="66" t="s">
        <v>84</v>
      </c>
      <c r="U348" s="74">
        <v>51</v>
      </c>
      <c r="V348" s="66">
        <v>510105</v>
      </c>
      <c r="W348" s="63" t="str">
        <f>VLOOKUP(Tabla6[[#This Row],[ÍTEM PRESUPUESTARIO]],Tabla2[#All],2,0)</f>
        <v>REMUNERACIONES UNIFICADAS</v>
      </c>
      <c r="X348" s="57">
        <v>129552</v>
      </c>
      <c r="Y348" s="57">
        <f>129552-2368-495.5-200-1582.77</f>
        <v>124905.73</v>
      </c>
      <c r="Z348" s="58">
        <v>10598.66</v>
      </c>
      <c r="AA348" s="58">
        <v>10598.66</v>
      </c>
      <c r="AB348" s="58">
        <v>10598.66</v>
      </c>
      <c r="AC348" s="58">
        <v>10598.66</v>
      </c>
      <c r="AD348" s="58">
        <v>10598.66</v>
      </c>
      <c r="AE348" s="58">
        <v>10598.66</v>
      </c>
      <c r="AF348" s="58">
        <v>10598.66</v>
      </c>
      <c r="AG348" s="58">
        <v>10598.66</v>
      </c>
      <c r="AH348" s="58">
        <v>10598.66</v>
      </c>
      <c r="AI348" s="58">
        <v>10598.66</v>
      </c>
      <c r="AJ348" s="58">
        <v>10598.66</v>
      </c>
      <c r="AK348" s="58">
        <v>8320.4699999999993</v>
      </c>
      <c r="AL348" s="75">
        <f>+SUBTOTAL(9,Tabla6[[#This Row],[ENE]:[DIC]])</f>
        <v>124905.73000000003</v>
      </c>
      <c r="AM348" s="76" t="str">
        <f t="shared" ref="AM348:AM379" si="6">IF(AL348=Y348,"OK",Y348-AL348)</f>
        <v>OK</v>
      </c>
      <c r="AN348" s="60">
        <v>0</v>
      </c>
      <c r="AO348" s="61">
        <f>+Tabla6[[#This Row],[PRESUPUESTO VIGENTE]]-Tabla6[[#This Row],[CERTIFICACIÓN PAPP]]</f>
        <v>124905.73</v>
      </c>
      <c r="AP348" s="59">
        <v>0</v>
      </c>
    </row>
    <row r="349" spans="1:42" ht="93" customHeight="1" x14ac:dyDescent="0.25">
      <c r="A349" s="62" t="s">
        <v>78</v>
      </c>
      <c r="B349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349" s="64" t="s">
        <v>79</v>
      </c>
      <c r="D349" s="64" t="s">
        <v>80</v>
      </c>
      <c r="E349" s="64" t="s">
        <v>81</v>
      </c>
      <c r="F349" s="64" t="s">
        <v>96</v>
      </c>
      <c r="G349" s="64" t="s">
        <v>92</v>
      </c>
      <c r="H349" s="65" t="str">
        <f>VLOOKUP(Tabla6[[#This Row],[DIRECCIÓN]],DIRECCIÓN[#All],2,0)</f>
        <v>ADMINISTRACIÓN CENTRAL</v>
      </c>
      <c r="I349" s="66" t="s">
        <v>93</v>
      </c>
      <c r="J349" s="67">
        <v>1</v>
      </c>
      <c r="K349" s="68" t="str">
        <f>VLOOKUP(Tabla6[[#This Row],[DIRECCIÓN GENERAL / COORDINACIÓN / SUBDIRECCIÓN]],Tabla37[[#All],[Columna1]:[EOD]],2,0)</f>
        <v>266_0003</v>
      </c>
      <c r="L349" s="69">
        <f>VLOOKUP(Tabla6[[#This Row],[OBJETIVOS PND]],Listas!$A$1:$C$3,3,0)</f>
        <v>1</v>
      </c>
      <c r="M349" s="70">
        <f>VLOOKUP(Tabla6[[#This Row],[PG]],Listas2!$G$14:$K$16,5,0)</f>
        <v>0</v>
      </c>
      <c r="N349" s="71">
        <v>1</v>
      </c>
      <c r="O349" s="72">
        <v>600</v>
      </c>
      <c r="P349" s="73" t="str">
        <f>VLOOKUP(Tabla6[[#This Row],[GEO]],Listas!$A$48:$B$77,2,0)</f>
        <v>CHIMBORAZO</v>
      </c>
      <c r="Q349" s="70">
        <f>VLOOKUP(Tabla6[[#This Row],[PG]],Listas2!$G$14:$K$16,3,0)</f>
        <v>1</v>
      </c>
      <c r="R349" s="73">
        <f>VLOOKUP(Tabla6[[#This Row],[PG]],Listas2!H15:'Listas2'!$G$14:$K$16,4,0)</f>
        <v>0</v>
      </c>
      <c r="S349" s="73">
        <f>VLOOKUP(Tabla6[[#This Row],[PG]],Listas2!$G$14:$K$16,2,0)</f>
        <v>0</v>
      </c>
      <c r="T349" s="66" t="s">
        <v>84</v>
      </c>
      <c r="U349" s="74">
        <v>51</v>
      </c>
      <c r="V349" s="66">
        <v>510106</v>
      </c>
      <c r="W349" s="63" t="str">
        <f>VLOOKUP(Tabla6[[#This Row],[ÍTEM PRESUPUESTARIO]],Tabla2[#All],2,0)</f>
        <v>SALARIOS UNIFICADOS</v>
      </c>
      <c r="X349" s="57">
        <v>29508</v>
      </c>
      <c r="Y349" s="57">
        <v>29508</v>
      </c>
      <c r="Z349" s="58">
        <v>2459</v>
      </c>
      <c r="AA349" s="58">
        <v>2459</v>
      </c>
      <c r="AB349" s="58">
        <v>2459</v>
      </c>
      <c r="AC349" s="58">
        <v>2459</v>
      </c>
      <c r="AD349" s="58">
        <v>2459</v>
      </c>
      <c r="AE349" s="58">
        <v>2459</v>
      </c>
      <c r="AF349" s="58">
        <v>2459</v>
      </c>
      <c r="AG349" s="58">
        <v>2459</v>
      </c>
      <c r="AH349" s="58">
        <v>2459</v>
      </c>
      <c r="AI349" s="58">
        <v>2459</v>
      </c>
      <c r="AJ349" s="58">
        <v>2459</v>
      </c>
      <c r="AK349" s="58">
        <v>2459</v>
      </c>
      <c r="AL349" s="75">
        <f>+SUBTOTAL(9,Tabla6[[#This Row],[ENE]:[DIC]])</f>
        <v>29508</v>
      </c>
      <c r="AM349" s="76" t="str">
        <f t="shared" si="6"/>
        <v>OK</v>
      </c>
      <c r="AN349" s="60">
        <v>0</v>
      </c>
      <c r="AO349" s="61">
        <f>+Tabla6[[#This Row],[PRESUPUESTO VIGENTE]]-Tabla6[[#This Row],[CERTIFICACIÓN PAPP]]</f>
        <v>29508</v>
      </c>
      <c r="AP349" s="59">
        <v>0</v>
      </c>
    </row>
    <row r="350" spans="1:42" ht="93" customHeight="1" x14ac:dyDescent="0.25">
      <c r="A350" s="62" t="s">
        <v>78</v>
      </c>
      <c r="B350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350" s="64" t="s">
        <v>79</v>
      </c>
      <c r="D350" s="64" t="s">
        <v>80</v>
      </c>
      <c r="E350" s="64" t="s">
        <v>81</v>
      </c>
      <c r="F350" s="64" t="s">
        <v>96</v>
      </c>
      <c r="G350" s="64" t="s">
        <v>92</v>
      </c>
      <c r="H350" s="65" t="str">
        <f>VLOOKUP(Tabla6[[#This Row],[DIRECCIÓN]],DIRECCIÓN[#All],2,0)</f>
        <v>ADMINISTRACIÓN CENTRAL</v>
      </c>
      <c r="I350" s="66" t="s">
        <v>93</v>
      </c>
      <c r="J350" s="67">
        <v>1</v>
      </c>
      <c r="K350" s="68" t="str">
        <f>VLOOKUP(Tabla6[[#This Row],[DIRECCIÓN GENERAL / COORDINACIÓN / SUBDIRECCIÓN]],Tabla37[[#All],[Columna1]:[EOD]],2,0)</f>
        <v>266_0003</v>
      </c>
      <c r="L350" s="69">
        <f>VLOOKUP(Tabla6[[#This Row],[OBJETIVOS PND]],Listas!$A$1:$C$3,3,0)</f>
        <v>1</v>
      </c>
      <c r="M350" s="70">
        <f>VLOOKUP(Tabla6[[#This Row],[PG]],Listas2!$G$14:$K$16,5,0)</f>
        <v>0</v>
      </c>
      <c r="N350" s="71">
        <v>1</v>
      </c>
      <c r="O350" s="72">
        <v>600</v>
      </c>
      <c r="P350" s="73" t="str">
        <f>VLOOKUP(Tabla6[[#This Row],[GEO]],Listas!$A$48:$B$77,2,0)</f>
        <v>CHIMBORAZO</v>
      </c>
      <c r="Q350" s="70">
        <f>VLOOKUP(Tabla6[[#This Row],[PG]],Listas2!$G$14:$K$16,3,0)</f>
        <v>1</v>
      </c>
      <c r="R350" s="73">
        <f>VLOOKUP(Tabla6[[#This Row],[PG]],Listas2!H16:'Listas2'!$G$14:$K$16,4,0)</f>
        <v>0</v>
      </c>
      <c r="S350" s="73">
        <f>VLOOKUP(Tabla6[[#This Row],[PG]],Listas2!$G$14:$K$16,2,0)</f>
        <v>0</v>
      </c>
      <c r="T350" s="66" t="s">
        <v>84</v>
      </c>
      <c r="U350" s="74">
        <v>51</v>
      </c>
      <c r="V350" s="66">
        <v>510203</v>
      </c>
      <c r="W350" s="63" t="str">
        <f>VLOOKUP(Tabla6[[#This Row],[ÍTEM PRESUPUESTARIO]],Tabla2[#All],2,0)</f>
        <v>DÉCIMO TERCER SUELDO</v>
      </c>
      <c r="X350" s="57">
        <v>13255</v>
      </c>
      <c r="Y350" s="57">
        <f>13255-197-623.49</f>
        <v>12434.51</v>
      </c>
      <c r="Z350" s="58">
        <v>0</v>
      </c>
      <c r="AA350" s="58">
        <v>0</v>
      </c>
      <c r="AB350" s="58">
        <v>0</v>
      </c>
      <c r="AC350" s="58">
        <v>0</v>
      </c>
      <c r="AD350" s="58">
        <v>0</v>
      </c>
      <c r="AE350" s="58">
        <v>0</v>
      </c>
      <c r="AF350" s="58">
        <v>0</v>
      </c>
      <c r="AG350" s="58">
        <v>0</v>
      </c>
      <c r="AH350" s="58">
        <v>0</v>
      </c>
      <c r="AI350" s="58">
        <v>0</v>
      </c>
      <c r="AJ350" s="58">
        <v>0</v>
      </c>
      <c r="AK350" s="58">
        <v>12434.51</v>
      </c>
      <c r="AL350" s="75">
        <f>+SUBTOTAL(9,Tabla6[[#This Row],[ENE]:[DIC]])</f>
        <v>12434.51</v>
      </c>
      <c r="AM350" s="76" t="str">
        <f t="shared" si="6"/>
        <v>OK</v>
      </c>
      <c r="AN350" s="60">
        <v>0</v>
      </c>
      <c r="AO350" s="61">
        <f>+Tabla6[[#This Row],[PRESUPUESTO VIGENTE]]-Tabla6[[#This Row],[CERTIFICACIÓN PAPP]]</f>
        <v>12434.51</v>
      </c>
      <c r="AP350" s="59">
        <v>0</v>
      </c>
    </row>
    <row r="351" spans="1:42" ht="93" customHeight="1" x14ac:dyDescent="0.25">
      <c r="A351" s="62" t="s">
        <v>78</v>
      </c>
      <c r="B351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351" s="64" t="s">
        <v>79</v>
      </c>
      <c r="D351" s="64" t="s">
        <v>80</v>
      </c>
      <c r="E351" s="64" t="s">
        <v>81</v>
      </c>
      <c r="F351" s="64" t="s">
        <v>96</v>
      </c>
      <c r="G351" s="64" t="s">
        <v>92</v>
      </c>
      <c r="H351" s="65" t="str">
        <f>VLOOKUP(Tabla6[[#This Row],[DIRECCIÓN]],DIRECCIÓN[#All],2,0)</f>
        <v>ADMINISTRACIÓN CENTRAL</v>
      </c>
      <c r="I351" s="66" t="s">
        <v>93</v>
      </c>
      <c r="J351" s="67">
        <v>1</v>
      </c>
      <c r="K351" s="68" t="str">
        <f>VLOOKUP(Tabla6[[#This Row],[DIRECCIÓN GENERAL / COORDINACIÓN / SUBDIRECCIÓN]],Tabla37[[#All],[Columna1]:[EOD]],2,0)</f>
        <v>266_0003</v>
      </c>
      <c r="L351" s="69">
        <f>VLOOKUP(Tabla6[[#This Row],[OBJETIVOS PND]],Listas!$A$1:$C$3,3,0)</f>
        <v>1</v>
      </c>
      <c r="M351" s="70">
        <f>VLOOKUP(Tabla6[[#This Row],[PG]],Listas2!$G$14:$K$16,5,0)</f>
        <v>0</v>
      </c>
      <c r="N351" s="71">
        <v>1</v>
      </c>
      <c r="O351" s="72">
        <v>600</v>
      </c>
      <c r="P351" s="73" t="str">
        <f>VLOOKUP(Tabla6[[#This Row],[GEO]],Listas!$A$48:$B$77,2,0)</f>
        <v>CHIMBORAZO</v>
      </c>
      <c r="Q351" s="70">
        <f>VLOOKUP(Tabla6[[#This Row],[PG]],Listas2!$G$14:$K$16,3,0)</f>
        <v>1</v>
      </c>
      <c r="R351" s="73">
        <f>VLOOKUP(Tabla6[[#This Row],[PG]],Listas2!H17:'Listas2'!$G$14:$K$16,4,0)</f>
        <v>0</v>
      </c>
      <c r="S351" s="73">
        <f>VLOOKUP(Tabla6[[#This Row],[PG]],Listas2!$G$14:$K$16,2,0)</f>
        <v>0</v>
      </c>
      <c r="T351" s="66" t="s">
        <v>84</v>
      </c>
      <c r="U351" s="74">
        <v>51</v>
      </c>
      <c r="V351" s="66">
        <v>510204</v>
      </c>
      <c r="W351" s="63" t="str">
        <f>VLOOKUP(Tabla6[[#This Row],[ÍTEM PRESUPUESTARIO]],Tabla2[#All],2,0)</f>
        <v>DÉCIMO CUARTO SUELDO</v>
      </c>
      <c r="X351" s="57">
        <v>5525</v>
      </c>
      <c r="Y351" s="57">
        <f>5525+287.5-959.6</f>
        <v>4852.8999999999996</v>
      </c>
      <c r="Z351" s="58">
        <v>0</v>
      </c>
      <c r="AA351" s="58">
        <v>0</v>
      </c>
      <c r="AB351" s="58">
        <v>0</v>
      </c>
      <c r="AC351" s="58">
        <v>0</v>
      </c>
      <c r="AD351" s="58">
        <v>0</v>
      </c>
      <c r="AE351" s="58">
        <v>0</v>
      </c>
      <c r="AF351" s="58">
        <v>0</v>
      </c>
      <c r="AG351" s="58">
        <v>4852.8999999999996</v>
      </c>
      <c r="AH351" s="58">
        <v>0</v>
      </c>
      <c r="AI351" s="58">
        <v>0</v>
      </c>
      <c r="AJ351" s="58">
        <v>0</v>
      </c>
      <c r="AK351" s="58">
        <v>0</v>
      </c>
      <c r="AL351" s="75">
        <f>+SUBTOTAL(9,Tabla6[[#This Row],[ENE]:[DIC]])</f>
        <v>4852.8999999999996</v>
      </c>
      <c r="AM351" s="76" t="str">
        <f t="shared" si="6"/>
        <v>OK</v>
      </c>
      <c r="AN351" s="60">
        <v>0</v>
      </c>
      <c r="AO351" s="61">
        <f>+Tabla6[[#This Row],[PRESUPUESTO VIGENTE]]-Tabla6[[#This Row],[CERTIFICACIÓN PAPP]]</f>
        <v>4852.8999999999996</v>
      </c>
      <c r="AP351" s="59">
        <v>0</v>
      </c>
    </row>
    <row r="352" spans="1:42" ht="93" customHeight="1" x14ac:dyDescent="0.25">
      <c r="A352" s="62" t="s">
        <v>78</v>
      </c>
      <c r="B352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352" s="64" t="s">
        <v>79</v>
      </c>
      <c r="D352" s="64" t="s">
        <v>80</v>
      </c>
      <c r="E352" s="64" t="s">
        <v>81</v>
      </c>
      <c r="F352" s="64" t="s">
        <v>96</v>
      </c>
      <c r="G352" s="64" t="s">
        <v>92</v>
      </c>
      <c r="H352" s="65" t="str">
        <f>VLOOKUP(Tabla6[[#This Row],[DIRECCIÓN]],DIRECCIÓN[#All],2,0)</f>
        <v>ADMINISTRACIÓN CENTRAL</v>
      </c>
      <c r="I352" s="66" t="s">
        <v>93</v>
      </c>
      <c r="J352" s="67">
        <v>1</v>
      </c>
      <c r="K352" s="68" t="str">
        <f>VLOOKUP(Tabla6[[#This Row],[DIRECCIÓN GENERAL / COORDINACIÓN / SUBDIRECCIÓN]],Tabla37[[#All],[Columna1]:[EOD]],2,0)</f>
        <v>266_0003</v>
      </c>
      <c r="L352" s="69">
        <f>VLOOKUP(Tabla6[[#This Row],[OBJETIVOS PND]],Listas!$A$1:$C$3,3,0)</f>
        <v>1</v>
      </c>
      <c r="M352" s="70">
        <f>VLOOKUP(Tabla6[[#This Row],[PG]],Listas2!$G$14:$K$16,5,0)</f>
        <v>0</v>
      </c>
      <c r="N352" s="71">
        <v>1</v>
      </c>
      <c r="O352" s="72">
        <v>600</v>
      </c>
      <c r="P352" s="73" t="str">
        <f>VLOOKUP(Tabla6[[#This Row],[GEO]],Listas!$A$48:$B$77,2,0)</f>
        <v>CHIMBORAZO</v>
      </c>
      <c r="Q352" s="70">
        <f>VLOOKUP(Tabla6[[#This Row],[PG]],Listas2!$G$14:$K$16,3,0)</f>
        <v>1</v>
      </c>
      <c r="R352" s="73">
        <f>VLOOKUP(Tabla6[[#This Row],[PG]],Listas2!H18:'Listas2'!$G$14:$K$16,4,0)</f>
        <v>0</v>
      </c>
      <c r="S352" s="73">
        <f>VLOOKUP(Tabla6[[#This Row],[PG]],Listas2!$G$14:$K$16,2,0)</f>
        <v>0</v>
      </c>
      <c r="T352" s="66" t="s">
        <v>84</v>
      </c>
      <c r="U352" s="74">
        <v>51</v>
      </c>
      <c r="V352" s="66">
        <v>510509</v>
      </c>
      <c r="W352" s="63" t="str">
        <f>VLOOKUP(Tabla6[[#This Row],[ÍTEM PRESUPUESTARIO]],Tabla2[#All],2,0)</f>
        <v>HORAS EXTRAORDINARIAS Y SUPLEMENTARIAS</v>
      </c>
      <c r="X352" s="57">
        <v>0</v>
      </c>
      <c r="Y352" s="57">
        <f>612+200-95.51</f>
        <v>716.49</v>
      </c>
      <c r="Z352" s="58">
        <v>0</v>
      </c>
      <c r="AA352" s="58">
        <v>612</v>
      </c>
      <c r="AB352" s="58">
        <v>0</v>
      </c>
      <c r="AC352" s="58">
        <v>0</v>
      </c>
      <c r="AD352" s="58">
        <v>0</v>
      </c>
      <c r="AE352" s="58">
        <v>0</v>
      </c>
      <c r="AF352" s="58">
        <v>0</v>
      </c>
      <c r="AG352" s="58">
        <v>0</v>
      </c>
      <c r="AH352" s="58">
        <v>104.49</v>
      </c>
      <c r="AI352" s="58">
        <v>0</v>
      </c>
      <c r="AJ352" s="58">
        <v>0</v>
      </c>
      <c r="AK352" s="58">
        <v>0</v>
      </c>
      <c r="AL352" s="75">
        <f>+SUBTOTAL(9,Tabla6[[#This Row],[ENE]:[DIC]])</f>
        <v>716.49</v>
      </c>
      <c r="AM352" s="76" t="str">
        <f t="shared" si="6"/>
        <v>OK</v>
      </c>
      <c r="AN352" s="60">
        <v>0</v>
      </c>
      <c r="AO352" s="61">
        <f>+Tabla6[[#This Row],[PRESUPUESTO VIGENTE]]-Tabla6[[#This Row],[CERTIFICACIÓN PAPP]]</f>
        <v>716.49</v>
      </c>
      <c r="AP352" s="59">
        <v>0</v>
      </c>
    </row>
    <row r="353" spans="1:42" ht="93" customHeight="1" x14ac:dyDescent="0.25">
      <c r="A353" s="62" t="s">
        <v>78</v>
      </c>
      <c r="B353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353" s="64" t="s">
        <v>79</v>
      </c>
      <c r="D353" s="64" t="s">
        <v>80</v>
      </c>
      <c r="E353" s="64" t="s">
        <v>81</v>
      </c>
      <c r="F353" s="64" t="s">
        <v>96</v>
      </c>
      <c r="G353" s="64" t="s">
        <v>92</v>
      </c>
      <c r="H353" s="65" t="str">
        <f>VLOOKUP(Tabla6[[#This Row],[DIRECCIÓN]],DIRECCIÓN[#All],2,0)</f>
        <v>ADMINISTRACIÓN CENTRAL</v>
      </c>
      <c r="I353" s="66" t="s">
        <v>93</v>
      </c>
      <c r="J353" s="67">
        <v>1</v>
      </c>
      <c r="K353" s="68" t="str">
        <f>VLOOKUP(Tabla6[[#This Row],[DIRECCIÓN GENERAL / COORDINACIÓN / SUBDIRECCIÓN]],Tabla37[[#All],[Columna1]:[EOD]],2,0)</f>
        <v>266_0003</v>
      </c>
      <c r="L353" s="69">
        <f>VLOOKUP(Tabla6[[#This Row],[OBJETIVOS PND]],Listas!$A$1:$C$3,3,0)</f>
        <v>1</v>
      </c>
      <c r="M353" s="70">
        <f>VLOOKUP(Tabla6[[#This Row],[PG]],Listas2!$G$14:$K$16,5,0)</f>
        <v>0</v>
      </c>
      <c r="N353" s="71">
        <v>1</v>
      </c>
      <c r="O353" s="72">
        <v>600</v>
      </c>
      <c r="P353" s="73" t="str">
        <f>VLOOKUP(Tabla6[[#This Row],[GEO]],Listas!$A$48:$B$77,2,0)</f>
        <v>CHIMBORAZO</v>
      </c>
      <c r="Q353" s="70">
        <f>VLOOKUP(Tabla6[[#This Row],[PG]],Listas2!$G$14:$K$16,3,0)</f>
        <v>1</v>
      </c>
      <c r="R353" s="73">
        <f>VLOOKUP(Tabla6[[#This Row],[PG]],Listas2!H19:'Listas2'!$G$14:$K$16,4,0)</f>
        <v>0</v>
      </c>
      <c r="S353" s="73">
        <f>VLOOKUP(Tabla6[[#This Row],[PG]],Listas2!$G$14:$K$16,2,0)</f>
        <v>0</v>
      </c>
      <c r="T353" s="66" t="s">
        <v>84</v>
      </c>
      <c r="U353" s="74">
        <v>51</v>
      </c>
      <c r="V353" s="66">
        <v>510601</v>
      </c>
      <c r="W353" s="63" t="str">
        <f>VLOOKUP(Tabla6[[#This Row],[ÍTEM PRESUPUESTARIO]],Tabla2[#All],2,0)</f>
        <v>APORTE PATRONAL</v>
      </c>
      <c r="X353" s="57">
        <v>16088</v>
      </c>
      <c r="Y353" s="57">
        <f>16088-362.09</f>
        <v>15725.91</v>
      </c>
      <c r="Z353" s="58">
        <v>1340</v>
      </c>
      <c r="AA353" s="58">
        <v>1340</v>
      </c>
      <c r="AB353" s="58">
        <v>1340</v>
      </c>
      <c r="AC353" s="58">
        <v>1340</v>
      </c>
      <c r="AD353" s="58">
        <v>1341</v>
      </c>
      <c r="AE353" s="58">
        <v>1341</v>
      </c>
      <c r="AF353" s="58">
        <v>1341</v>
      </c>
      <c r="AG353" s="58">
        <v>1341</v>
      </c>
      <c r="AH353" s="58">
        <v>1341</v>
      </c>
      <c r="AI353" s="58">
        <v>1341</v>
      </c>
      <c r="AJ353" s="58">
        <v>1341</v>
      </c>
      <c r="AK353" s="58">
        <v>978.91</v>
      </c>
      <c r="AL353" s="75">
        <f>+SUBTOTAL(9,Tabla6[[#This Row],[ENE]:[DIC]])</f>
        <v>15725.91</v>
      </c>
      <c r="AM353" s="76" t="str">
        <f t="shared" si="6"/>
        <v>OK</v>
      </c>
      <c r="AN353" s="60">
        <v>0</v>
      </c>
      <c r="AO353" s="61">
        <f>+Tabla6[[#This Row],[PRESUPUESTO VIGENTE]]-Tabla6[[#This Row],[CERTIFICACIÓN PAPP]]</f>
        <v>15725.91</v>
      </c>
      <c r="AP353" s="59">
        <v>0</v>
      </c>
    </row>
    <row r="354" spans="1:42" ht="93" customHeight="1" x14ac:dyDescent="0.25">
      <c r="A354" s="62" t="s">
        <v>78</v>
      </c>
      <c r="B354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354" s="64" t="s">
        <v>79</v>
      </c>
      <c r="D354" s="64" t="s">
        <v>80</v>
      </c>
      <c r="E354" s="64" t="s">
        <v>81</v>
      </c>
      <c r="F354" s="64" t="s">
        <v>96</v>
      </c>
      <c r="G354" s="64" t="s">
        <v>92</v>
      </c>
      <c r="H354" s="65" t="str">
        <f>VLOOKUP(Tabla6[[#This Row],[DIRECCIÓN]],DIRECCIÓN[#All],2,0)</f>
        <v>ADMINISTRACIÓN CENTRAL</v>
      </c>
      <c r="I354" s="66" t="s">
        <v>93</v>
      </c>
      <c r="J354" s="67">
        <v>1</v>
      </c>
      <c r="K354" s="68" t="str">
        <f>VLOOKUP(Tabla6[[#This Row],[DIRECCIÓN GENERAL / COORDINACIÓN / SUBDIRECCIÓN]],Tabla37[[#All],[Columna1]:[EOD]],2,0)</f>
        <v>266_0003</v>
      </c>
      <c r="L354" s="69">
        <f>VLOOKUP(Tabla6[[#This Row],[OBJETIVOS PND]],Listas!$A$1:$C$3,3,0)</f>
        <v>1</v>
      </c>
      <c r="M354" s="70">
        <f>VLOOKUP(Tabla6[[#This Row],[PG]],Listas2!$G$14:$K$16,5,0)</f>
        <v>0</v>
      </c>
      <c r="N354" s="71">
        <v>1</v>
      </c>
      <c r="O354" s="72">
        <v>600</v>
      </c>
      <c r="P354" s="73" t="str">
        <f>VLOOKUP(Tabla6[[#This Row],[GEO]],Listas!$A$48:$B$77,2,0)</f>
        <v>CHIMBORAZO</v>
      </c>
      <c r="Q354" s="70">
        <f>VLOOKUP(Tabla6[[#This Row],[PG]],Listas2!$G$14:$K$16,3,0)</f>
        <v>1</v>
      </c>
      <c r="R354" s="73">
        <f>VLOOKUP(Tabla6[[#This Row],[PG]],Listas2!H20:'Listas2'!$G$14:$K$16,4,0)</f>
        <v>0</v>
      </c>
      <c r="S354" s="73">
        <f>VLOOKUP(Tabla6[[#This Row],[PG]],Listas2!$G$14:$K$16,2,0)</f>
        <v>0</v>
      </c>
      <c r="T354" s="66" t="s">
        <v>84</v>
      </c>
      <c r="U354" s="74">
        <v>51</v>
      </c>
      <c r="V354" s="66">
        <v>510602</v>
      </c>
      <c r="W354" s="63" t="str">
        <f>VLOOKUP(Tabla6[[#This Row],[ÍTEM PRESUPUESTARIO]],Tabla2[#All],2,0)</f>
        <v>FONDO DE RESERVA</v>
      </c>
      <c r="X354" s="57">
        <v>13255</v>
      </c>
      <c r="Y354" s="57">
        <f>13255-197-3006-371.55</f>
        <v>9680.4500000000007</v>
      </c>
      <c r="Z354" s="58">
        <v>837.67</v>
      </c>
      <c r="AA354" s="58">
        <v>837.67</v>
      </c>
      <c r="AB354" s="58">
        <v>837.67</v>
      </c>
      <c r="AC354" s="58">
        <v>837.67</v>
      </c>
      <c r="AD354" s="58">
        <v>837.67</v>
      </c>
      <c r="AE354" s="58">
        <v>837.67</v>
      </c>
      <c r="AF354" s="58">
        <v>837.67</v>
      </c>
      <c r="AG354" s="58">
        <v>837.67</v>
      </c>
      <c r="AH354" s="58">
        <v>837.67</v>
      </c>
      <c r="AI354" s="58">
        <v>837.67</v>
      </c>
      <c r="AJ354" s="58">
        <v>837.67</v>
      </c>
      <c r="AK354" s="58">
        <v>466.08</v>
      </c>
      <c r="AL354" s="75">
        <f>+SUBTOTAL(9,Tabla6[[#This Row],[ENE]:[DIC]])</f>
        <v>9680.4499999999989</v>
      </c>
      <c r="AM354" s="76" t="str">
        <f t="shared" si="6"/>
        <v>OK</v>
      </c>
      <c r="AN354" s="60">
        <v>0</v>
      </c>
      <c r="AO354" s="61">
        <f>+Tabla6[[#This Row],[PRESUPUESTO VIGENTE]]-Tabla6[[#This Row],[CERTIFICACIÓN PAPP]]</f>
        <v>9680.4500000000007</v>
      </c>
      <c r="AP354" s="59">
        <v>0</v>
      </c>
    </row>
    <row r="355" spans="1:42" ht="93" customHeight="1" x14ac:dyDescent="0.25">
      <c r="A355" s="62" t="s">
        <v>78</v>
      </c>
      <c r="B355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355" s="64" t="s">
        <v>79</v>
      </c>
      <c r="D355" s="64" t="s">
        <v>80</v>
      </c>
      <c r="E355" s="64" t="s">
        <v>81</v>
      </c>
      <c r="F355" s="64" t="s">
        <v>96</v>
      </c>
      <c r="G355" s="64" t="s">
        <v>92</v>
      </c>
      <c r="H355" s="65" t="str">
        <f>VLOOKUP(Tabla6[[#This Row],[DIRECCIÓN]],DIRECCIÓN[#All],2,0)</f>
        <v>ADMINISTRACIÓN CENTRAL</v>
      </c>
      <c r="I355" s="66" t="s">
        <v>93</v>
      </c>
      <c r="J355" s="67">
        <v>1</v>
      </c>
      <c r="K355" s="68" t="str">
        <f>VLOOKUP(Tabla6[[#This Row],[DIRECCIÓN GENERAL / COORDINACIÓN / SUBDIRECCIÓN]],Tabla37[[#All],[Columna1]:[EOD]],2,0)</f>
        <v>266_0003</v>
      </c>
      <c r="L355" s="69">
        <f>VLOOKUP(Tabla6[[#This Row],[OBJETIVOS PND]],Listas!$A$1:$C$3,3,0)</f>
        <v>1</v>
      </c>
      <c r="M355" s="70">
        <f>VLOOKUP(Tabla6[[#This Row],[PG]],Listas2!$G$14:$K$16,5,0)</f>
        <v>0</v>
      </c>
      <c r="N355" s="71">
        <v>1</v>
      </c>
      <c r="O355" s="72">
        <v>600</v>
      </c>
      <c r="P355" s="73" t="str">
        <f>VLOOKUP(Tabla6[[#This Row],[GEO]],Listas!$A$48:$B$77,2,0)</f>
        <v>CHIMBORAZO</v>
      </c>
      <c r="Q355" s="70">
        <f>VLOOKUP(Tabla6[[#This Row],[PG]],Listas2!$G$14:$K$16,3,0)</f>
        <v>1</v>
      </c>
      <c r="R355" s="73">
        <f>VLOOKUP(Tabla6[[#This Row],[PG]],Listas2!H21:'Listas2'!$G$14:$K$16,4,0)</f>
        <v>0</v>
      </c>
      <c r="S355" s="73">
        <f>VLOOKUP(Tabla6[[#This Row],[PG]],Listas2!$G$14:$K$16,2,0)</f>
        <v>0</v>
      </c>
      <c r="T355" s="66" t="s">
        <v>84</v>
      </c>
      <c r="U355" s="74">
        <v>51</v>
      </c>
      <c r="V355" s="66">
        <v>510707</v>
      </c>
      <c r="W355" s="63" t="str">
        <f>VLOOKUP(Tabla6[[#This Row],[ÍTEM PRESUPUESTARIO]],Tabla2[#All],2,0)</f>
        <v>COMPENSACIÓN POR VACACIONES NO GOZADAS POR CESACIÓN DE FUNCIONES</v>
      </c>
      <c r="X355" s="57">
        <v>0</v>
      </c>
      <c r="Y355" s="57">
        <f>489.71-489.71</f>
        <v>0</v>
      </c>
      <c r="Z355" s="58">
        <v>0</v>
      </c>
      <c r="AA355" s="58">
        <v>0</v>
      </c>
      <c r="AB355" s="58">
        <v>0</v>
      </c>
      <c r="AC355" s="58">
        <v>0</v>
      </c>
      <c r="AD355" s="58">
        <v>0</v>
      </c>
      <c r="AE355" s="58">
        <v>0</v>
      </c>
      <c r="AF355" s="58">
        <v>0</v>
      </c>
      <c r="AG355" s="58">
        <v>0</v>
      </c>
      <c r="AH355" s="58">
        <v>0</v>
      </c>
      <c r="AI355" s="58">
        <v>0</v>
      </c>
      <c r="AJ355" s="58">
        <v>0</v>
      </c>
      <c r="AK355" s="58">
        <v>0</v>
      </c>
      <c r="AL355" s="75">
        <f>+SUBTOTAL(9,Tabla6[[#This Row],[ENE]:[DIC]])</f>
        <v>0</v>
      </c>
      <c r="AM355" s="76" t="str">
        <f t="shared" si="6"/>
        <v>OK</v>
      </c>
      <c r="AN355" s="60">
        <v>0</v>
      </c>
      <c r="AO355" s="61">
        <f>+Tabla6[[#This Row],[PRESUPUESTO VIGENTE]]-Tabla6[[#This Row],[CERTIFICACIÓN PAPP]]</f>
        <v>0</v>
      </c>
      <c r="AP355" s="59">
        <v>0</v>
      </c>
    </row>
    <row r="356" spans="1:42" ht="93" customHeight="1" x14ac:dyDescent="0.25">
      <c r="A356" s="62" t="s">
        <v>88</v>
      </c>
      <c r="B356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356" s="64" t="s">
        <v>89</v>
      </c>
      <c r="D356" s="64" t="s">
        <v>80</v>
      </c>
      <c r="E356" s="64" t="s">
        <v>81</v>
      </c>
      <c r="F356" s="64" t="s">
        <v>96</v>
      </c>
      <c r="G356" s="64" t="s">
        <v>9</v>
      </c>
      <c r="H356" s="65" t="str">
        <f>VLOOKUP(Tabla6[[#This Row],[DIRECCIÓN]],DIRECCIÓN[#All],2,0)</f>
        <v>OPERACIONES</v>
      </c>
      <c r="I356" s="66" t="s">
        <v>93</v>
      </c>
      <c r="J356" s="67">
        <v>1</v>
      </c>
      <c r="K356" s="68" t="str">
        <f>VLOOKUP(Tabla6[[#This Row],[DIRECCIÓN GENERAL / COORDINACIÓN / SUBDIRECCIÓN]],Tabla37[[#All],[Columna1]:[EOD]],2,0)</f>
        <v>266_0003</v>
      </c>
      <c r="L356" s="69">
        <f>VLOOKUP(Tabla6[[#This Row],[OBJETIVOS PND]],Listas!$A$1:$C$3,3,0)</f>
        <v>55</v>
      </c>
      <c r="M356" s="70">
        <f>VLOOKUP(Tabla6[[#This Row],[PG]],Listas2!$G$14:$K$16,5,0)</f>
        <v>0</v>
      </c>
      <c r="N356" s="71">
        <v>2</v>
      </c>
      <c r="O356" s="72">
        <v>600</v>
      </c>
      <c r="P356" s="73" t="str">
        <f>VLOOKUP(Tabla6[[#This Row],[GEO]],Listas!$A$48:$B$77,2,0)</f>
        <v>CHIMBORAZO</v>
      </c>
      <c r="Q356" s="70">
        <f>VLOOKUP(Tabla6[[#This Row],[PG]],Listas2!$G$14:$K$16,3,0)</f>
        <v>1</v>
      </c>
      <c r="R356" s="73">
        <f>VLOOKUP(Tabla6[[#This Row],[PG]],Listas2!H22:'Listas2'!$G$14:$K$16,4,0)</f>
        <v>0</v>
      </c>
      <c r="S356" s="73">
        <f>VLOOKUP(Tabla6[[#This Row],[PG]],Listas2!$G$14:$K$16,2,0)</f>
        <v>0</v>
      </c>
      <c r="T356" s="66" t="s">
        <v>84</v>
      </c>
      <c r="U356" s="74">
        <v>51</v>
      </c>
      <c r="V356" s="66">
        <v>510105</v>
      </c>
      <c r="W356" s="63" t="str">
        <f>VLOOKUP(Tabla6[[#This Row],[ÍTEM PRESUPUESTARIO]],Tabla2[#All],2,0)</f>
        <v>REMUNERACIONES UNIFICADAS</v>
      </c>
      <c r="X356" s="57">
        <v>421644</v>
      </c>
      <c r="Y356" s="57">
        <f>421644-398.25-7664.74</f>
        <v>413581.01</v>
      </c>
      <c r="Z356" s="58">
        <v>35103.81</v>
      </c>
      <c r="AA356" s="58">
        <v>35103.81</v>
      </c>
      <c r="AB356" s="58">
        <v>35103.81</v>
      </c>
      <c r="AC356" s="58">
        <v>35103.81</v>
      </c>
      <c r="AD356" s="58">
        <v>35103.81</v>
      </c>
      <c r="AE356" s="58">
        <v>35103.81</v>
      </c>
      <c r="AF356" s="58">
        <v>35103.81</v>
      </c>
      <c r="AG356" s="58">
        <v>35103.81</v>
      </c>
      <c r="AH356" s="58">
        <v>35103.81</v>
      </c>
      <c r="AI356" s="58">
        <v>35103.81</v>
      </c>
      <c r="AJ356" s="58">
        <v>35103.81</v>
      </c>
      <c r="AK356" s="58">
        <v>27439.1</v>
      </c>
      <c r="AL356" s="75">
        <f>+SUBTOTAL(9,Tabla6[[#This Row],[ENE]:[DIC]])</f>
        <v>413581.00999999995</v>
      </c>
      <c r="AM356" s="76" t="str">
        <f t="shared" si="6"/>
        <v>OK</v>
      </c>
      <c r="AN356" s="60">
        <v>0</v>
      </c>
      <c r="AO356" s="61">
        <f>+Tabla6[[#This Row],[PRESUPUESTO VIGENTE]]-Tabla6[[#This Row],[CERTIFICACIÓN PAPP]]</f>
        <v>413581.01</v>
      </c>
      <c r="AP356" s="59">
        <v>0</v>
      </c>
    </row>
    <row r="357" spans="1:42" ht="93" customHeight="1" x14ac:dyDescent="0.25">
      <c r="A357" s="62" t="s">
        <v>88</v>
      </c>
      <c r="B357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357" s="64" t="s">
        <v>89</v>
      </c>
      <c r="D357" s="64" t="s">
        <v>80</v>
      </c>
      <c r="E357" s="64" t="s">
        <v>81</v>
      </c>
      <c r="F357" s="64" t="s">
        <v>96</v>
      </c>
      <c r="G357" s="64" t="s">
        <v>9</v>
      </c>
      <c r="H357" s="65" t="str">
        <f>VLOOKUP(Tabla6[[#This Row],[DIRECCIÓN]],DIRECCIÓN[#All],2,0)</f>
        <v>OPERACIONES</v>
      </c>
      <c r="I357" s="66" t="s">
        <v>93</v>
      </c>
      <c r="J357" s="67">
        <v>1</v>
      </c>
      <c r="K357" s="68" t="str">
        <f>VLOOKUP(Tabla6[[#This Row],[DIRECCIÓN GENERAL / COORDINACIÓN / SUBDIRECCIÓN]],Tabla37[[#All],[Columna1]:[EOD]],2,0)</f>
        <v>266_0003</v>
      </c>
      <c r="L357" s="69">
        <f>VLOOKUP(Tabla6[[#This Row],[OBJETIVOS PND]],Listas!$A$1:$C$3,3,0)</f>
        <v>55</v>
      </c>
      <c r="M357" s="70">
        <f>VLOOKUP(Tabla6[[#This Row],[PG]],Listas2!$G$14:$K$16,5,0)</f>
        <v>0</v>
      </c>
      <c r="N357" s="71">
        <v>2</v>
      </c>
      <c r="O357" s="72">
        <v>600</v>
      </c>
      <c r="P357" s="73" t="str">
        <f>VLOOKUP(Tabla6[[#This Row],[GEO]],Listas!$A$48:$B$77,2,0)</f>
        <v>CHIMBORAZO</v>
      </c>
      <c r="Q357" s="70">
        <f>VLOOKUP(Tabla6[[#This Row],[PG]],Listas2!$G$14:$K$16,3,0)</f>
        <v>1</v>
      </c>
      <c r="R357" s="73">
        <f>VLOOKUP(Tabla6[[#This Row],[PG]],Listas2!H23:'Listas2'!$G$14:$K$16,4,0)</f>
        <v>0</v>
      </c>
      <c r="S357" s="73">
        <f>VLOOKUP(Tabla6[[#This Row],[PG]],Listas2!$G$14:$K$16,2,0)</f>
        <v>0</v>
      </c>
      <c r="T357" s="66" t="s">
        <v>84</v>
      </c>
      <c r="U357" s="74">
        <v>51</v>
      </c>
      <c r="V357" s="66">
        <v>510203</v>
      </c>
      <c r="W357" s="63" t="str">
        <f>VLOOKUP(Tabla6[[#This Row],[ÍTEM PRESUPUESTARIO]],Tabla2[#All],2,0)</f>
        <v>DÉCIMO TERCER SUELDO</v>
      </c>
      <c r="X357" s="57">
        <v>37815</v>
      </c>
      <c r="Y357" s="57">
        <f>37815-573.91</f>
        <v>37241.089999999997</v>
      </c>
      <c r="Z357" s="58">
        <v>0</v>
      </c>
      <c r="AA357" s="58">
        <v>0</v>
      </c>
      <c r="AB357" s="58">
        <v>0</v>
      </c>
      <c r="AC357" s="58">
        <v>0</v>
      </c>
      <c r="AD357" s="58">
        <v>0</v>
      </c>
      <c r="AE357" s="58">
        <v>0</v>
      </c>
      <c r="AF357" s="58">
        <v>0</v>
      </c>
      <c r="AG357" s="58">
        <v>0</v>
      </c>
      <c r="AH357" s="58">
        <v>0</v>
      </c>
      <c r="AI357" s="58">
        <v>0</v>
      </c>
      <c r="AJ357" s="58">
        <v>0</v>
      </c>
      <c r="AK357" s="58">
        <v>37241.089999999997</v>
      </c>
      <c r="AL357" s="75">
        <f>+SUBTOTAL(9,Tabla6[[#This Row],[ENE]:[DIC]])</f>
        <v>37241.089999999997</v>
      </c>
      <c r="AM357" s="76" t="str">
        <f t="shared" si="6"/>
        <v>OK</v>
      </c>
      <c r="AN357" s="60">
        <v>0</v>
      </c>
      <c r="AO357" s="61">
        <f>+Tabla6[[#This Row],[PRESUPUESTO VIGENTE]]-Tabla6[[#This Row],[CERTIFICACIÓN PAPP]]</f>
        <v>37241.089999999997</v>
      </c>
      <c r="AP357" s="59">
        <v>0</v>
      </c>
    </row>
    <row r="358" spans="1:42" ht="93" customHeight="1" x14ac:dyDescent="0.25">
      <c r="A358" s="62" t="s">
        <v>88</v>
      </c>
      <c r="B358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358" s="64" t="s">
        <v>89</v>
      </c>
      <c r="D358" s="64" t="s">
        <v>80</v>
      </c>
      <c r="E358" s="64" t="s">
        <v>81</v>
      </c>
      <c r="F358" s="64" t="s">
        <v>96</v>
      </c>
      <c r="G358" s="64" t="s">
        <v>9</v>
      </c>
      <c r="H358" s="65" t="str">
        <f>VLOOKUP(Tabla6[[#This Row],[DIRECCIÓN]],DIRECCIÓN[#All],2,0)</f>
        <v>OPERACIONES</v>
      </c>
      <c r="I358" s="66" t="s">
        <v>93</v>
      </c>
      <c r="J358" s="67">
        <v>1</v>
      </c>
      <c r="K358" s="68" t="str">
        <f>VLOOKUP(Tabla6[[#This Row],[DIRECCIÓN GENERAL / COORDINACIÓN / SUBDIRECCIÓN]],Tabla37[[#All],[Columna1]:[EOD]],2,0)</f>
        <v>266_0003</v>
      </c>
      <c r="L358" s="69">
        <f>VLOOKUP(Tabla6[[#This Row],[OBJETIVOS PND]],Listas!$A$1:$C$3,3,0)</f>
        <v>55</v>
      </c>
      <c r="M358" s="70">
        <f>VLOOKUP(Tabla6[[#This Row],[PG]],Listas2!$G$14:$K$16,5,0)</f>
        <v>0</v>
      </c>
      <c r="N358" s="71">
        <v>2</v>
      </c>
      <c r="O358" s="72">
        <v>600</v>
      </c>
      <c r="P358" s="73" t="str">
        <f>VLOOKUP(Tabla6[[#This Row],[GEO]],Listas!$A$48:$B$77,2,0)</f>
        <v>CHIMBORAZO</v>
      </c>
      <c r="Q358" s="70">
        <f>VLOOKUP(Tabla6[[#This Row],[PG]],Listas2!$G$14:$K$16,3,0)</f>
        <v>1</v>
      </c>
      <c r="R358" s="73">
        <f>VLOOKUP(Tabla6[[#This Row],[PG]],Listas2!H24:'Listas2'!$G$14:$K$16,4,0)</f>
        <v>0</v>
      </c>
      <c r="S358" s="73">
        <f>VLOOKUP(Tabla6[[#This Row],[PG]],Listas2!$G$14:$K$16,2,0)</f>
        <v>0</v>
      </c>
      <c r="T358" s="66" t="s">
        <v>84</v>
      </c>
      <c r="U358" s="74">
        <v>51</v>
      </c>
      <c r="V358" s="66">
        <v>510204</v>
      </c>
      <c r="W358" s="63" t="str">
        <f>VLOOKUP(Tabla6[[#This Row],[ÍTEM PRESUPUESTARIO]],Tabla2[#All],2,0)</f>
        <v>DÉCIMO CUARTO SUELDO</v>
      </c>
      <c r="X358" s="57">
        <v>19550</v>
      </c>
      <c r="Y358" s="57">
        <f>19550+1150-291.8</f>
        <v>20408.2</v>
      </c>
      <c r="Z358" s="58">
        <v>0</v>
      </c>
      <c r="AA358" s="58">
        <v>0</v>
      </c>
      <c r="AB358" s="58">
        <v>0</v>
      </c>
      <c r="AC358" s="58">
        <v>0</v>
      </c>
      <c r="AD358" s="58">
        <v>0</v>
      </c>
      <c r="AE358" s="58">
        <v>0</v>
      </c>
      <c r="AF358" s="58">
        <v>0</v>
      </c>
      <c r="AG358" s="58">
        <v>20408.2</v>
      </c>
      <c r="AH358" s="58">
        <v>0</v>
      </c>
      <c r="AI358" s="58">
        <v>0</v>
      </c>
      <c r="AJ358" s="58">
        <v>0</v>
      </c>
      <c r="AK358" s="58">
        <v>0</v>
      </c>
      <c r="AL358" s="75">
        <f>+SUBTOTAL(9,Tabla6[[#This Row],[ENE]:[DIC]])</f>
        <v>20408.2</v>
      </c>
      <c r="AM358" s="76" t="str">
        <f t="shared" si="6"/>
        <v>OK</v>
      </c>
      <c r="AN358" s="60">
        <v>0</v>
      </c>
      <c r="AO358" s="61">
        <f>+Tabla6[[#This Row],[PRESUPUESTO VIGENTE]]-Tabla6[[#This Row],[CERTIFICACIÓN PAPP]]</f>
        <v>20408.2</v>
      </c>
      <c r="AP358" s="59">
        <v>0</v>
      </c>
    </row>
    <row r="359" spans="1:42" ht="93" customHeight="1" x14ac:dyDescent="0.25">
      <c r="A359" s="62" t="s">
        <v>88</v>
      </c>
      <c r="B359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359" s="64" t="s">
        <v>89</v>
      </c>
      <c r="D359" s="64" t="s">
        <v>80</v>
      </c>
      <c r="E359" s="64" t="s">
        <v>81</v>
      </c>
      <c r="F359" s="64" t="s">
        <v>96</v>
      </c>
      <c r="G359" s="64" t="s">
        <v>9</v>
      </c>
      <c r="H359" s="65" t="str">
        <f>VLOOKUP(Tabla6[[#This Row],[DIRECCIÓN]],DIRECCIÓN[#All],2,0)</f>
        <v>OPERACIONES</v>
      </c>
      <c r="I359" s="66" t="s">
        <v>93</v>
      </c>
      <c r="J359" s="67">
        <v>1</v>
      </c>
      <c r="K359" s="68" t="str">
        <f>VLOOKUP(Tabla6[[#This Row],[DIRECCIÓN GENERAL / COORDINACIÓN / SUBDIRECCIÓN]],Tabla37[[#All],[Columna1]:[EOD]],2,0)</f>
        <v>266_0003</v>
      </c>
      <c r="L359" s="69">
        <f>VLOOKUP(Tabla6[[#This Row],[OBJETIVOS PND]],Listas!$A$1:$C$3,3,0)</f>
        <v>55</v>
      </c>
      <c r="M359" s="70">
        <f>VLOOKUP(Tabla6[[#This Row],[PG]],Listas2!$G$14:$K$16,5,0)</f>
        <v>0</v>
      </c>
      <c r="N359" s="71">
        <v>2</v>
      </c>
      <c r="O359" s="72">
        <v>600</v>
      </c>
      <c r="P359" s="73" t="str">
        <f>VLOOKUP(Tabla6[[#This Row],[GEO]],Listas!$A$48:$B$77,2,0)</f>
        <v>CHIMBORAZO</v>
      </c>
      <c r="Q359" s="70">
        <f>VLOOKUP(Tabla6[[#This Row],[PG]],Listas2!$G$14:$K$16,3,0)</f>
        <v>1</v>
      </c>
      <c r="R359" s="73">
        <f>VLOOKUP(Tabla6[[#This Row],[PG]],Listas2!H25:'Listas2'!$G$14:$K$16,4,0)</f>
        <v>0</v>
      </c>
      <c r="S359" s="73">
        <f>VLOOKUP(Tabla6[[#This Row],[PG]],Listas2!$G$14:$K$16,2,0)</f>
        <v>0</v>
      </c>
      <c r="T359" s="66" t="s">
        <v>84</v>
      </c>
      <c r="U359" s="74">
        <v>51</v>
      </c>
      <c r="V359" s="66">
        <v>510510</v>
      </c>
      <c r="W359" s="63" t="str">
        <f>VLOOKUP(Tabla6[[#This Row],[ÍTEM PRESUPUESTARIO]],Tabla2[#All],2,0)</f>
        <v>SERVICIOS PERSONALES POR CONTRATO</v>
      </c>
      <c r="X359" s="57">
        <v>32136</v>
      </c>
      <c r="Y359" s="57">
        <v>32136</v>
      </c>
      <c r="Z359" s="58">
        <v>2678</v>
      </c>
      <c r="AA359" s="58">
        <v>2678</v>
      </c>
      <c r="AB359" s="58">
        <v>2678</v>
      </c>
      <c r="AC359" s="58">
        <v>2678</v>
      </c>
      <c r="AD359" s="58">
        <v>2678</v>
      </c>
      <c r="AE359" s="58">
        <v>2678</v>
      </c>
      <c r="AF359" s="58">
        <v>2678</v>
      </c>
      <c r="AG359" s="58">
        <v>2678</v>
      </c>
      <c r="AH359" s="58">
        <v>2678</v>
      </c>
      <c r="AI359" s="58">
        <v>2678</v>
      </c>
      <c r="AJ359" s="58">
        <v>2678</v>
      </c>
      <c r="AK359" s="58">
        <v>2678</v>
      </c>
      <c r="AL359" s="75">
        <f>+SUBTOTAL(9,Tabla6[[#This Row],[ENE]:[DIC]])</f>
        <v>32136</v>
      </c>
      <c r="AM359" s="76" t="str">
        <f t="shared" si="6"/>
        <v>OK</v>
      </c>
      <c r="AN359" s="60">
        <v>0</v>
      </c>
      <c r="AO359" s="61">
        <f>+Tabla6[[#This Row],[PRESUPUESTO VIGENTE]]-Tabla6[[#This Row],[CERTIFICACIÓN PAPP]]</f>
        <v>32136</v>
      </c>
      <c r="AP359" s="59">
        <v>0</v>
      </c>
    </row>
    <row r="360" spans="1:42" ht="93" customHeight="1" x14ac:dyDescent="0.25">
      <c r="A360" s="62" t="s">
        <v>88</v>
      </c>
      <c r="B360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360" s="64" t="s">
        <v>89</v>
      </c>
      <c r="D360" s="64" t="s">
        <v>80</v>
      </c>
      <c r="E360" s="64" t="s">
        <v>81</v>
      </c>
      <c r="F360" s="64" t="s">
        <v>96</v>
      </c>
      <c r="G360" s="64" t="s">
        <v>9</v>
      </c>
      <c r="H360" s="65" t="str">
        <f>VLOOKUP(Tabla6[[#This Row],[DIRECCIÓN]],DIRECCIÓN[#All],2,0)</f>
        <v>OPERACIONES</v>
      </c>
      <c r="I360" s="66" t="s">
        <v>93</v>
      </c>
      <c r="J360" s="67">
        <v>1</v>
      </c>
      <c r="K360" s="68" t="str">
        <f>VLOOKUP(Tabla6[[#This Row],[DIRECCIÓN GENERAL / COORDINACIÓN / SUBDIRECCIÓN]],Tabla37[[#All],[Columna1]:[EOD]],2,0)</f>
        <v>266_0003</v>
      </c>
      <c r="L360" s="69">
        <f>VLOOKUP(Tabla6[[#This Row],[OBJETIVOS PND]],Listas!$A$1:$C$3,3,0)</f>
        <v>55</v>
      </c>
      <c r="M360" s="70">
        <f>VLOOKUP(Tabla6[[#This Row],[PG]],Listas2!$G$14:$K$16,5,0)</f>
        <v>0</v>
      </c>
      <c r="N360" s="71">
        <v>2</v>
      </c>
      <c r="O360" s="72">
        <v>600</v>
      </c>
      <c r="P360" s="73" t="str">
        <f>VLOOKUP(Tabla6[[#This Row],[GEO]],Listas!$A$48:$B$77,2,0)</f>
        <v>CHIMBORAZO</v>
      </c>
      <c r="Q360" s="70">
        <f>VLOOKUP(Tabla6[[#This Row],[PG]],Listas2!$G$14:$K$16,3,0)</f>
        <v>1</v>
      </c>
      <c r="R360" s="73">
        <f>VLOOKUP(Tabla6[[#This Row],[PG]],Listas2!H26:'Listas2'!$G$14:$K$16,4,0)</f>
        <v>0</v>
      </c>
      <c r="S360" s="73">
        <f>VLOOKUP(Tabla6[[#This Row],[PG]],Listas2!$G$14:$K$16,2,0)</f>
        <v>0</v>
      </c>
      <c r="T360" s="66" t="s">
        <v>84</v>
      </c>
      <c r="U360" s="74">
        <v>51</v>
      </c>
      <c r="V360" s="66">
        <v>510512</v>
      </c>
      <c r="W360" s="63" t="str">
        <f>VLOOKUP(Tabla6[[#This Row],[ÍTEM PRESUPUESTARIO]],Tabla2[#All],2,0)</f>
        <v xml:space="preserve">SUBROGACIÓN </v>
      </c>
      <c r="X360" s="57">
        <v>0</v>
      </c>
      <c r="Y360" s="57">
        <f>1434-857.33</f>
        <v>576.66999999999996</v>
      </c>
      <c r="Z360" s="58">
        <v>0</v>
      </c>
      <c r="AA360" s="58">
        <v>576.66999999999996</v>
      </c>
      <c r="AB360" s="58">
        <v>0</v>
      </c>
      <c r="AC360" s="58">
        <v>0</v>
      </c>
      <c r="AD360" s="58">
        <v>0</v>
      </c>
      <c r="AE360" s="58">
        <v>0</v>
      </c>
      <c r="AF360" s="58">
        <v>0</v>
      </c>
      <c r="AG360" s="58">
        <v>0</v>
      </c>
      <c r="AH360" s="58">
        <v>0</v>
      </c>
      <c r="AI360" s="58">
        <v>0</v>
      </c>
      <c r="AJ360" s="58">
        <v>0</v>
      </c>
      <c r="AK360" s="58">
        <v>0</v>
      </c>
      <c r="AL360" s="75">
        <f>+SUBTOTAL(9,Tabla6[[#This Row],[ENE]:[DIC]])</f>
        <v>576.66999999999996</v>
      </c>
      <c r="AM360" s="76" t="str">
        <f t="shared" si="6"/>
        <v>OK</v>
      </c>
      <c r="AN360" s="60">
        <v>0</v>
      </c>
      <c r="AO360" s="61">
        <f>+Tabla6[[#This Row],[PRESUPUESTO VIGENTE]]-Tabla6[[#This Row],[CERTIFICACIÓN PAPP]]</f>
        <v>576.66999999999996</v>
      </c>
      <c r="AP360" s="59">
        <v>0</v>
      </c>
    </row>
    <row r="361" spans="1:42" ht="93" customHeight="1" x14ac:dyDescent="0.25">
      <c r="A361" s="62" t="s">
        <v>88</v>
      </c>
      <c r="B361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361" s="64" t="s">
        <v>89</v>
      </c>
      <c r="D361" s="64" t="s">
        <v>80</v>
      </c>
      <c r="E361" s="64" t="s">
        <v>81</v>
      </c>
      <c r="F361" s="64" t="s">
        <v>96</v>
      </c>
      <c r="G361" s="64" t="s">
        <v>9</v>
      </c>
      <c r="H361" s="65" t="str">
        <f>VLOOKUP(Tabla6[[#This Row],[DIRECCIÓN]],DIRECCIÓN[#All],2,0)</f>
        <v>OPERACIONES</v>
      </c>
      <c r="I361" s="66" t="s">
        <v>93</v>
      </c>
      <c r="J361" s="67">
        <v>1</v>
      </c>
      <c r="K361" s="68" t="str">
        <f>VLOOKUP(Tabla6[[#This Row],[DIRECCIÓN GENERAL / COORDINACIÓN / SUBDIRECCIÓN]],Tabla37[[#All],[Columna1]:[EOD]],2,0)</f>
        <v>266_0003</v>
      </c>
      <c r="L361" s="69">
        <f>VLOOKUP(Tabla6[[#This Row],[OBJETIVOS PND]],Listas!$A$1:$C$3,3,0)</f>
        <v>55</v>
      </c>
      <c r="M361" s="70">
        <f>VLOOKUP(Tabla6[[#This Row],[PG]],Listas2!$G$14:$K$16,5,0)</f>
        <v>0</v>
      </c>
      <c r="N361" s="71">
        <v>2</v>
      </c>
      <c r="O361" s="72">
        <v>600</v>
      </c>
      <c r="P361" s="73" t="str">
        <f>VLOOKUP(Tabla6[[#This Row],[GEO]],Listas!$A$48:$B$77,2,0)</f>
        <v>CHIMBORAZO</v>
      </c>
      <c r="Q361" s="70">
        <f>VLOOKUP(Tabla6[[#This Row],[PG]],Listas2!$G$14:$K$16,3,0)</f>
        <v>1</v>
      </c>
      <c r="R361" s="73">
        <f>VLOOKUP(Tabla6[[#This Row],[PG]],Listas2!H27:'Listas2'!$G$14:$K$16,4,0)</f>
        <v>0</v>
      </c>
      <c r="S361" s="73">
        <f>VLOOKUP(Tabla6[[#This Row],[PG]],Listas2!$G$14:$K$16,2,0)</f>
        <v>0</v>
      </c>
      <c r="T361" s="66" t="s">
        <v>84</v>
      </c>
      <c r="U361" s="74">
        <v>51</v>
      </c>
      <c r="V361" s="66">
        <v>510513</v>
      </c>
      <c r="W361" s="63" t="str">
        <f>VLOOKUP(Tabla6[[#This Row],[ÍTEM PRESUPUESTARIO]],Tabla2[#All],2,0)</f>
        <v>ENCARGOS</v>
      </c>
      <c r="X361" s="57">
        <v>0</v>
      </c>
      <c r="Y361" s="57">
        <f>692-92.27</f>
        <v>599.73</v>
      </c>
      <c r="Z361" s="58">
        <v>0</v>
      </c>
      <c r="AA361" s="58">
        <v>599.73</v>
      </c>
      <c r="AB361" s="58">
        <v>0</v>
      </c>
      <c r="AC361" s="58">
        <v>0</v>
      </c>
      <c r="AD361" s="58">
        <v>0</v>
      </c>
      <c r="AE361" s="58">
        <v>0</v>
      </c>
      <c r="AF361" s="58">
        <v>0</v>
      </c>
      <c r="AG361" s="58">
        <v>0</v>
      </c>
      <c r="AH361" s="58">
        <v>0</v>
      </c>
      <c r="AI361" s="58">
        <v>0</v>
      </c>
      <c r="AJ361" s="58">
        <v>0</v>
      </c>
      <c r="AK361" s="58">
        <v>0</v>
      </c>
      <c r="AL361" s="75">
        <f>+SUBTOTAL(9,Tabla6[[#This Row],[ENE]:[DIC]])</f>
        <v>599.73</v>
      </c>
      <c r="AM361" s="76" t="str">
        <f t="shared" si="6"/>
        <v>OK</v>
      </c>
      <c r="AN361" s="60">
        <v>0</v>
      </c>
      <c r="AO361" s="61">
        <f>+Tabla6[[#This Row],[PRESUPUESTO VIGENTE]]-Tabla6[[#This Row],[CERTIFICACIÓN PAPP]]</f>
        <v>599.73</v>
      </c>
      <c r="AP361" s="59">
        <v>0</v>
      </c>
    </row>
    <row r="362" spans="1:42" ht="93" customHeight="1" x14ac:dyDescent="0.25">
      <c r="A362" s="62" t="s">
        <v>88</v>
      </c>
      <c r="B362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362" s="64" t="s">
        <v>89</v>
      </c>
      <c r="D362" s="64" t="s">
        <v>80</v>
      </c>
      <c r="E362" s="64" t="s">
        <v>81</v>
      </c>
      <c r="F362" s="64" t="s">
        <v>96</v>
      </c>
      <c r="G362" s="64" t="s">
        <v>9</v>
      </c>
      <c r="H362" s="65" t="str">
        <f>VLOOKUP(Tabla6[[#This Row],[DIRECCIÓN]],DIRECCIÓN[#All],2,0)</f>
        <v>OPERACIONES</v>
      </c>
      <c r="I362" s="66" t="s">
        <v>93</v>
      </c>
      <c r="J362" s="67">
        <v>1</v>
      </c>
      <c r="K362" s="68" t="str">
        <f>VLOOKUP(Tabla6[[#This Row],[DIRECCIÓN GENERAL / COORDINACIÓN / SUBDIRECCIÓN]],Tabla37[[#All],[Columna1]:[EOD]],2,0)</f>
        <v>266_0003</v>
      </c>
      <c r="L362" s="69">
        <f>VLOOKUP(Tabla6[[#This Row],[OBJETIVOS PND]],Listas!$A$1:$C$3,3,0)</f>
        <v>55</v>
      </c>
      <c r="M362" s="70">
        <f>VLOOKUP(Tabla6[[#This Row],[PG]],Listas2!$G$14:$K$16,5,0)</f>
        <v>0</v>
      </c>
      <c r="N362" s="71">
        <v>2</v>
      </c>
      <c r="O362" s="72">
        <v>600</v>
      </c>
      <c r="P362" s="73" t="str">
        <f>VLOOKUP(Tabla6[[#This Row],[GEO]],Listas!$A$48:$B$77,2,0)</f>
        <v>CHIMBORAZO</v>
      </c>
      <c r="Q362" s="70">
        <f>VLOOKUP(Tabla6[[#This Row],[PG]],Listas2!$G$14:$K$16,3,0)</f>
        <v>1</v>
      </c>
      <c r="R362" s="73">
        <f>VLOOKUP(Tabla6[[#This Row],[PG]],Listas2!H28:'Listas2'!$G$14:$K$16,4,0)</f>
        <v>0</v>
      </c>
      <c r="S362" s="73">
        <f>VLOOKUP(Tabla6[[#This Row],[PG]],Listas2!$G$14:$K$16,2,0)</f>
        <v>0</v>
      </c>
      <c r="T362" s="66" t="s">
        <v>84</v>
      </c>
      <c r="U362" s="74">
        <v>51</v>
      </c>
      <c r="V362" s="66">
        <v>510601</v>
      </c>
      <c r="W362" s="63" t="str">
        <f>VLOOKUP(Tabla6[[#This Row],[ÍTEM PRESUPUESTARIO]],Tabla2[#All],2,0)</f>
        <v>APORTE PATRONAL</v>
      </c>
      <c r="X362" s="57">
        <v>43790</v>
      </c>
      <c r="Y362" s="57">
        <f>43790-662.29</f>
        <v>43127.71</v>
      </c>
      <c r="Z362" s="58">
        <v>3649</v>
      </c>
      <c r="AA362" s="58">
        <v>3649</v>
      </c>
      <c r="AB362" s="58">
        <v>3649</v>
      </c>
      <c r="AC362" s="58">
        <v>3649</v>
      </c>
      <c r="AD362" s="58">
        <v>3649</v>
      </c>
      <c r="AE362" s="58">
        <v>3649</v>
      </c>
      <c r="AF362" s="58">
        <v>3649</v>
      </c>
      <c r="AG362" s="58">
        <v>3649</v>
      </c>
      <c r="AH362" s="58">
        <v>3649</v>
      </c>
      <c r="AI362" s="58">
        <v>3649</v>
      </c>
      <c r="AJ362" s="58">
        <v>3649</v>
      </c>
      <c r="AK362" s="58">
        <v>2988.71</v>
      </c>
      <c r="AL362" s="75">
        <f>+SUBTOTAL(9,Tabla6[[#This Row],[ENE]:[DIC]])</f>
        <v>43127.71</v>
      </c>
      <c r="AM362" s="76" t="str">
        <f t="shared" si="6"/>
        <v>OK</v>
      </c>
      <c r="AN362" s="60">
        <v>0</v>
      </c>
      <c r="AO362" s="61">
        <f>+Tabla6[[#This Row],[PRESUPUESTO VIGENTE]]-Tabla6[[#This Row],[CERTIFICACIÓN PAPP]]</f>
        <v>43127.71</v>
      </c>
      <c r="AP362" s="59">
        <v>0</v>
      </c>
    </row>
    <row r="363" spans="1:42" ht="93" customHeight="1" x14ac:dyDescent="0.25">
      <c r="A363" s="62" t="s">
        <v>88</v>
      </c>
      <c r="B363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363" s="64" t="s">
        <v>89</v>
      </c>
      <c r="D363" s="64" t="s">
        <v>80</v>
      </c>
      <c r="E363" s="64" t="s">
        <v>81</v>
      </c>
      <c r="F363" s="64" t="s">
        <v>96</v>
      </c>
      <c r="G363" s="64" t="s">
        <v>9</v>
      </c>
      <c r="H363" s="65" t="str">
        <f>VLOOKUP(Tabla6[[#This Row],[DIRECCIÓN]],DIRECCIÓN[#All],2,0)</f>
        <v>OPERACIONES</v>
      </c>
      <c r="I363" s="66" t="s">
        <v>93</v>
      </c>
      <c r="J363" s="67">
        <v>1</v>
      </c>
      <c r="K363" s="68" t="str">
        <f>VLOOKUP(Tabla6[[#This Row],[DIRECCIÓN GENERAL / COORDINACIÓN / SUBDIRECCIÓN]],Tabla37[[#All],[Columna1]:[EOD]],2,0)</f>
        <v>266_0003</v>
      </c>
      <c r="L363" s="69">
        <f>VLOOKUP(Tabla6[[#This Row],[OBJETIVOS PND]],Listas!$A$1:$C$3,3,0)</f>
        <v>55</v>
      </c>
      <c r="M363" s="70">
        <f>VLOOKUP(Tabla6[[#This Row],[PG]],Listas2!$G$14:$K$16,5,0)</f>
        <v>0</v>
      </c>
      <c r="N363" s="71">
        <v>2</v>
      </c>
      <c r="O363" s="72">
        <v>600</v>
      </c>
      <c r="P363" s="73" t="str">
        <f>VLOOKUP(Tabla6[[#This Row],[GEO]],Listas!$A$48:$B$77,2,0)</f>
        <v>CHIMBORAZO</v>
      </c>
      <c r="Q363" s="70">
        <f>VLOOKUP(Tabla6[[#This Row],[PG]],Listas2!$G$14:$K$16,3,0)</f>
        <v>1</v>
      </c>
      <c r="R363" s="73">
        <f>VLOOKUP(Tabla6[[#This Row],[PG]],Listas2!H29:'Listas2'!$G$14:$K$16,4,0)</f>
        <v>0</v>
      </c>
      <c r="S363" s="73">
        <f>VLOOKUP(Tabla6[[#This Row],[PG]],Listas2!$G$14:$K$16,2,0)</f>
        <v>0</v>
      </c>
      <c r="T363" s="66" t="s">
        <v>84</v>
      </c>
      <c r="U363" s="74">
        <v>51</v>
      </c>
      <c r="V363" s="66">
        <v>510602</v>
      </c>
      <c r="W363" s="63" t="str">
        <f>VLOOKUP(Tabla6[[#This Row],[ÍTEM PRESUPUESTARIO]],Tabla2[#All],2,0)</f>
        <v>FONDO DE RESERVA</v>
      </c>
      <c r="X363" s="57">
        <v>37815</v>
      </c>
      <c r="Y363" s="57">
        <f>37815-1411.03</f>
        <v>36403.97</v>
      </c>
      <c r="Z363" s="58">
        <v>3151</v>
      </c>
      <c r="AA363" s="58">
        <v>3151</v>
      </c>
      <c r="AB363" s="58">
        <v>3151</v>
      </c>
      <c r="AC363" s="58">
        <v>3151</v>
      </c>
      <c r="AD363" s="58">
        <v>3151</v>
      </c>
      <c r="AE363" s="58">
        <v>3151</v>
      </c>
      <c r="AF363" s="58">
        <v>3151</v>
      </c>
      <c r="AG363" s="58">
        <v>3151</v>
      </c>
      <c r="AH363" s="58">
        <v>3151</v>
      </c>
      <c r="AI363" s="58">
        <v>3151</v>
      </c>
      <c r="AJ363" s="58">
        <v>3151</v>
      </c>
      <c r="AK363" s="58">
        <v>1742.97</v>
      </c>
      <c r="AL363" s="75">
        <f>+SUBTOTAL(9,Tabla6[[#This Row],[ENE]:[DIC]])</f>
        <v>36403.97</v>
      </c>
      <c r="AM363" s="76" t="str">
        <f t="shared" si="6"/>
        <v>OK</v>
      </c>
      <c r="AN363" s="60">
        <v>0</v>
      </c>
      <c r="AO363" s="61">
        <f>+Tabla6[[#This Row],[PRESUPUESTO VIGENTE]]-Tabla6[[#This Row],[CERTIFICACIÓN PAPP]]</f>
        <v>36403.97</v>
      </c>
      <c r="AP363" s="59">
        <v>0</v>
      </c>
    </row>
    <row r="364" spans="1:42" ht="93" customHeight="1" x14ac:dyDescent="0.25">
      <c r="A364" s="62" t="s">
        <v>88</v>
      </c>
      <c r="B364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364" s="64" t="s">
        <v>89</v>
      </c>
      <c r="D364" s="64" t="s">
        <v>80</v>
      </c>
      <c r="E364" s="64" t="s">
        <v>81</v>
      </c>
      <c r="F364" s="64" t="s">
        <v>96</v>
      </c>
      <c r="G364" s="64" t="s">
        <v>9</v>
      </c>
      <c r="H364" s="65" t="str">
        <f>VLOOKUP(Tabla6[[#This Row],[DIRECCIÓN]],DIRECCIÓN[#All],2,0)</f>
        <v>OPERACIONES</v>
      </c>
      <c r="I364" s="66" t="s">
        <v>93</v>
      </c>
      <c r="J364" s="67">
        <v>1</v>
      </c>
      <c r="K364" s="68" t="str">
        <f>VLOOKUP(Tabla6[[#This Row],[DIRECCIÓN GENERAL / COORDINACIÓN / SUBDIRECCIÓN]],Tabla37[[#All],[Columna1]:[EOD]],2,0)</f>
        <v>266_0003</v>
      </c>
      <c r="L364" s="69">
        <f>VLOOKUP(Tabla6[[#This Row],[OBJETIVOS PND]],Listas!$A$1:$C$3,3,0)</f>
        <v>55</v>
      </c>
      <c r="M364" s="70">
        <f>VLOOKUP(Tabla6[[#This Row],[PG]],Listas2!$G$14:$K$16,5,0)</f>
        <v>0</v>
      </c>
      <c r="N364" s="71">
        <v>2</v>
      </c>
      <c r="O364" s="72">
        <v>600</v>
      </c>
      <c r="P364" s="73" t="str">
        <f>VLOOKUP(Tabla6[[#This Row],[GEO]],Listas!$A$48:$B$77,2,0)</f>
        <v>CHIMBORAZO</v>
      </c>
      <c r="Q364" s="70">
        <f>VLOOKUP(Tabla6[[#This Row],[PG]],Listas2!$G$14:$K$16,3,0)</f>
        <v>1</v>
      </c>
      <c r="R364" s="73">
        <f>VLOOKUP(Tabla6[[#This Row],[PG]],Listas2!H30:'Listas2'!$G$14:$K$16,4,0)</f>
        <v>0</v>
      </c>
      <c r="S364" s="73">
        <f>VLOOKUP(Tabla6[[#This Row],[PG]],Listas2!$G$14:$K$16,2,0)</f>
        <v>0</v>
      </c>
      <c r="T364" s="66" t="s">
        <v>84</v>
      </c>
      <c r="U364" s="74">
        <v>51</v>
      </c>
      <c r="V364" s="66">
        <v>510709</v>
      </c>
      <c r="W364" s="63" t="str">
        <f>VLOOKUP(Tabla6[[#This Row],[ÍTEM PRESUPUESTARIO]],Tabla2[#All],2,0)</f>
        <v>POR RENUNCIA VOLUNTARIA</v>
      </c>
      <c r="X364" s="57">
        <v>0</v>
      </c>
      <c r="Y364" s="57">
        <v>398.25</v>
      </c>
      <c r="Z364" s="58">
        <v>0</v>
      </c>
      <c r="AA364" s="58">
        <v>0</v>
      </c>
      <c r="AB364" s="58">
        <v>0</v>
      </c>
      <c r="AC364" s="58">
        <v>0</v>
      </c>
      <c r="AD364" s="58">
        <v>0</v>
      </c>
      <c r="AE364" s="58">
        <v>0</v>
      </c>
      <c r="AF364" s="58">
        <v>398.25</v>
      </c>
      <c r="AG364" s="58">
        <v>0</v>
      </c>
      <c r="AH364" s="58">
        <v>0</v>
      </c>
      <c r="AI364" s="58">
        <v>0</v>
      </c>
      <c r="AJ364" s="58">
        <v>0</v>
      </c>
      <c r="AK364" s="58">
        <v>0</v>
      </c>
      <c r="AL364" s="75">
        <f>+SUBTOTAL(9,Tabla6[[#This Row],[ENE]:[DIC]])</f>
        <v>398.25</v>
      </c>
      <c r="AM364" s="76" t="str">
        <f t="shared" si="6"/>
        <v>OK</v>
      </c>
      <c r="AN364" s="60">
        <v>0</v>
      </c>
      <c r="AO364" s="61">
        <f>+Tabla6[[#This Row],[PRESUPUESTO VIGENTE]]-Tabla6[[#This Row],[CERTIFICACIÓN PAPP]]</f>
        <v>398.25</v>
      </c>
      <c r="AP364" s="59">
        <v>0</v>
      </c>
    </row>
    <row r="365" spans="1:42" ht="93" customHeight="1" x14ac:dyDescent="0.25">
      <c r="A365" s="62" t="s">
        <v>88</v>
      </c>
      <c r="B365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365" s="64" t="s">
        <v>89</v>
      </c>
      <c r="D365" s="64" t="s">
        <v>80</v>
      </c>
      <c r="E365" s="64" t="s">
        <v>81</v>
      </c>
      <c r="F365" s="64" t="s">
        <v>96</v>
      </c>
      <c r="G365" s="64" t="s">
        <v>10</v>
      </c>
      <c r="H365" s="65" t="str">
        <f>VLOOKUP(Tabla6[[#This Row],[DIRECCIÓN]],DIRECCIÓN[#All],2,0)</f>
        <v>TECNOLOGÍA</v>
      </c>
      <c r="I365" s="66" t="s">
        <v>93</v>
      </c>
      <c r="J365" s="67">
        <v>1</v>
      </c>
      <c r="K365" s="68" t="str">
        <f>VLOOKUP(Tabla6[[#This Row],[DIRECCIÓN GENERAL / COORDINACIÓN / SUBDIRECCIÓN]],Tabla37[[#All],[Columna1]:[EOD]],2,0)</f>
        <v>266_0003</v>
      </c>
      <c r="L365" s="69">
        <f>VLOOKUP(Tabla6[[#This Row],[OBJETIVOS PND]],Listas!$A$1:$C$3,3,0)</f>
        <v>55</v>
      </c>
      <c r="M365" s="70">
        <f>VLOOKUP(Tabla6[[#This Row],[PG]],Listas2!$G$14:$K$16,5,0)</f>
        <v>0</v>
      </c>
      <c r="N365" s="71">
        <v>3</v>
      </c>
      <c r="O365" s="72">
        <v>600</v>
      </c>
      <c r="P365" s="73" t="str">
        <f>VLOOKUP(Tabla6[[#This Row],[GEO]],Listas!$A$48:$B$77,2,0)</f>
        <v>CHIMBORAZO</v>
      </c>
      <c r="Q365" s="70">
        <f>VLOOKUP(Tabla6[[#This Row],[PG]],Listas2!$G$14:$K$16,3,0)</f>
        <v>1</v>
      </c>
      <c r="R365" s="73">
        <f>VLOOKUP(Tabla6[[#This Row],[PG]],Listas2!H31:'Listas2'!$G$14:$K$16,4,0)</f>
        <v>0</v>
      </c>
      <c r="S365" s="73">
        <f>VLOOKUP(Tabla6[[#This Row],[PG]],Listas2!$G$14:$K$16,2,0)</f>
        <v>0</v>
      </c>
      <c r="T365" s="66" t="s">
        <v>84</v>
      </c>
      <c r="U365" s="74">
        <v>51</v>
      </c>
      <c r="V365" s="66">
        <v>510105</v>
      </c>
      <c r="W365" s="63" t="str">
        <f>VLOOKUP(Tabla6[[#This Row],[ÍTEM PRESUPUESTARIO]],Tabla2[#All],2,0)</f>
        <v>REMUNERACIONES UNIFICADAS</v>
      </c>
      <c r="X365" s="57">
        <v>49200</v>
      </c>
      <c r="Y365" s="57">
        <v>49200</v>
      </c>
      <c r="Z365" s="58">
        <v>4100</v>
      </c>
      <c r="AA365" s="58">
        <v>4100</v>
      </c>
      <c r="AB365" s="58">
        <v>4100</v>
      </c>
      <c r="AC365" s="58">
        <v>4100</v>
      </c>
      <c r="AD365" s="58">
        <v>4100</v>
      </c>
      <c r="AE365" s="58">
        <v>4100</v>
      </c>
      <c r="AF365" s="58">
        <v>4100</v>
      </c>
      <c r="AG365" s="58">
        <v>4100</v>
      </c>
      <c r="AH365" s="58">
        <v>4100</v>
      </c>
      <c r="AI365" s="58">
        <v>4100</v>
      </c>
      <c r="AJ365" s="58">
        <v>4100</v>
      </c>
      <c r="AK365" s="58">
        <v>4100</v>
      </c>
      <c r="AL365" s="75">
        <f>+SUBTOTAL(9,Tabla6[[#This Row],[ENE]:[DIC]])</f>
        <v>49200</v>
      </c>
      <c r="AM365" s="76" t="str">
        <f t="shared" si="6"/>
        <v>OK</v>
      </c>
      <c r="AN365" s="60">
        <v>0</v>
      </c>
      <c r="AO365" s="61">
        <f>+Tabla6[[#This Row],[PRESUPUESTO VIGENTE]]-Tabla6[[#This Row],[CERTIFICACIÓN PAPP]]</f>
        <v>49200</v>
      </c>
      <c r="AP365" s="59">
        <v>0</v>
      </c>
    </row>
    <row r="366" spans="1:42" ht="93" customHeight="1" x14ac:dyDescent="0.25">
      <c r="A366" s="62" t="s">
        <v>88</v>
      </c>
      <c r="B366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366" s="64" t="s">
        <v>89</v>
      </c>
      <c r="D366" s="64" t="s">
        <v>80</v>
      </c>
      <c r="E366" s="64" t="s">
        <v>81</v>
      </c>
      <c r="F366" s="64" t="s">
        <v>96</v>
      </c>
      <c r="G366" s="64" t="s">
        <v>10</v>
      </c>
      <c r="H366" s="65" t="str">
        <f>VLOOKUP(Tabla6[[#This Row],[DIRECCIÓN]],DIRECCIÓN[#All],2,0)</f>
        <v>TECNOLOGÍA</v>
      </c>
      <c r="I366" s="66" t="s">
        <v>93</v>
      </c>
      <c r="J366" s="67">
        <v>1</v>
      </c>
      <c r="K366" s="68" t="str">
        <f>VLOOKUP(Tabla6[[#This Row],[DIRECCIÓN GENERAL / COORDINACIÓN / SUBDIRECCIÓN]],Tabla37[[#All],[Columna1]:[EOD]],2,0)</f>
        <v>266_0003</v>
      </c>
      <c r="L366" s="69">
        <f>VLOOKUP(Tabla6[[#This Row],[OBJETIVOS PND]],Listas!$A$1:$C$3,3,0)</f>
        <v>55</v>
      </c>
      <c r="M366" s="70">
        <f>VLOOKUP(Tabla6[[#This Row],[PG]],Listas2!$G$14:$K$16,5,0)</f>
        <v>0</v>
      </c>
      <c r="N366" s="71">
        <v>3</v>
      </c>
      <c r="O366" s="72">
        <v>600</v>
      </c>
      <c r="P366" s="73" t="str">
        <f>VLOOKUP(Tabla6[[#This Row],[GEO]],Listas!$A$48:$B$77,2,0)</f>
        <v>CHIMBORAZO</v>
      </c>
      <c r="Q366" s="70">
        <f>VLOOKUP(Tabla6[[#This Row],[PG]],Listas2!$G$14:$K$16,3,0)</f>
        <v>1</v>
      </c>
      <c r="R366" s="73">
        <f>VLOOKUP(Tabla6[[#This Row],[PG]],Listas2!H32:'Listas2'!$G$14:$K$16,4,0)</f>
        <v>0</v>
      </c>
      <c r="S366" s="73">
        <f>VLOOKUP(Tabla6[[#This Row],[PG]],Listas2!$G$14:$K$16,2,0)</f>
        <v>0</v>
      </c>
      <c r="T366" s="66" t="s">
        <v>84</v>
      </c>
      <c r="U366" s="74">
        <v>51</v>
      </c>
      <c r="V366" s="66">
        <v>510203</v>
      </c>
      <c r="W366" s="63" t="str">
        <f>VLOOKUP(Tabla6[[#This Row],[ÍTEM PRESUPUESTARIO]],Tabla2[#All],2,0)</f>
        <v>DÉCIMO TERCER SUELDO</v>
      </c>
      <c r="X366" s="57">
        <v>5312</v>
      </c>
      <c r="Y366" s="57">
        <v>5312</v>
      </c>
      <c r="Z366" s="58">
        <v>0</v>
      </c>
      <c r="AA366" s="58">
        <v>0</v>
      </c>
      <c r="AB366" s="58">
        <v>0</v>
      </c>
      <c r="AC366" s="58">
        <v>0</v>
      </c>
      <c r="AD366" s="58">
        <v>0</v>
      </c>
      <c r="AE366" s="58">
        <v>0</v>
      </c>
      <c r="AF366" s="58">
        <v>0</v>
      </c>
      <c r="AG366" s="58">
        <v>0</v>
      </c>
      <c r="AH366" s="58">
        <v>0</v>
      </c>
      <c r="AI366" s="58">
        <v>0</v>
      </c>
      <c r="AJ366" s="58">
        <v>0</v>
      </c>
      <c r="AK366" s="58">
        <v>5312</v>
      </c>
      <c r="AL366" s="75">
        <f>+SUBTOTAL(9,Tabla6[[#This Row],[ENE]:[DIC]])</f>
        <v>5312</v>
      </c>
      <c r="AM366" s="76" t="str">
        <f t="shared" si="6"/>
        <v>OK</v>
      </c>
      <c r="AN366" s="60">
        <v>0</v>
      </c>
      <c r="AO366" s="61">
        <f>+Tabla6[[#This Row],[PRESUPUESTO VIGENTE]]-Tabla6[[#This Row],[CERTIFICACIÓN PAPP]]</f>
        <v>5312</v>
      </c>
      <c r="AP366" s="59">
        <v>0</v>
      </c>
    </row>
    <row r="367" spans="1:42" ht="93" customHeight="1" x14ac:dyDescent="0.25">
      <c r="A367" s="62" t="s">
        <v>88</v>
      </c>
      <c r="B367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367" s="64" t="s">
        <v>89</v>
      </c>
      <c r="D367" s="64" t="s">
        <v>80</v>
      </c>
      <c r="E367" s="64" t="s">
        <v>81</v>
      </c>
      <c r="F367" s="64" t="s">
        <v>96</v>
      </c>
      <c r="G367" s="64" t="s">
        <v>10</v>
      </c>
      <c r="H367" s="65" t="str">
        <f>VLOOKUP(Tabla6[[#This Row],[DIRECCIÓN]],DIRECCIÓN[#All],2,0)</f>
        <v>TECNOLOGÍA</v>
      </c>
      <c r="I367" s="66" t="s">
        <v>93</v>
      </c>
      <c r="J367" s="67">
        <v>1</v>
      </c>
      <c r="K367" s="68" t="str">
        <f>VLOOKUP(Tabla6[[#This Row],[DIRECCIÓN GENERAL / COORDINACIÓN / SUBDIRECCIÓN]],Tabla37[[#All],[Columna1]:[EOD]],2,0)</f>
        <v>266_0003</v>
      </c>
      <c r="L367" s="69">
        <f>VLOOKUP(Tabla6[[#This Row],[OBJETIVOS PND]],Listas!$A$1:$C$3,3,0)</f>
        <v>55</v>
      </c>
      <c r="M367" s="70">
        <f>VLOOKUP(Tabla6[[#This Row],[PG]],Listas2!$G$14:$K$16,5,0)</f>
        <v>0</v>
      </c>
      <c r="N367" s="71">
        <v>3</v>
      </c>
      <c r="O367" s="72">
        <v>600</v>
      </c>
      <c r="P367" s="73" t="str">
        <f>VLOOKUP(Tabla6[[#This Row],[GEO]],Listas!$A$48:$B$77,2,0)</f>
        <v>CHIMBORAZO</v>
      </c>
      <c r="Q367" s="70">
        <f>VLOOKUP(Tabla6[[#This Row],[PG]],Listas2!$G$14:$K$16,3,0)</f>
        <v>1</v>
      </c>
      <c r="R367" s="73">
        <f>VLOOKUP(Tabla6[[#This Row],[PG]],Listas2!H33:'Listas2'!$G$14:$K$16,4,0)</f>
        <v>0</v>
      </c>
      <c r="S367" s="73">
        <f>VLOOKUP(Tabla6[[#This Row],[PG]],Listas2!$G$14:$K$16,2,0)</f>
        <v>0</v>
      </c>
      <c r="T367" s="66" t="s">
        <v>84</v>
      </c>
      <c r="U367" s="74">
        <v>51</v>
      </c>
      <c r="V367" s="66">
        <v>510204</v>
      </c>
      <c r="W367" s="63" t="str">
        <f>VLOOKUP(Tabla6[[#This Row],[ÍTEM PRESUPUESTARIO]],Tabla2[#All],2,0)</f>
        <v>DÉCIMO CUARTO SUELDO</v>
      </c>
      <c r="X367" s="57">
        <v>1700</v>
      </c>
      <c r="Y367" s="57">
        <f>1700+100</f>
        <v>1800</v>
      </c>
      <c r="Z367" s="58">
        <v>0</v>
      </c>
      <c r="AA367" s="58">
        <v>0</v>
      </c>
      <c r="AB367" s="58">
        <v>0</v>
      </c>
      <c r="AC367" s="58">
        <v>0</v>
      </c>
      <c r="AD367" s="58">
        <v>0</v>
      </c>
      <c r="AE367" s="58">
        <v>0</v>
      </c>
      <c r="AF367" s="58">
        <v>0</v>
      </c>
      <c r="AG367" s="58">
        <v>1800</v>
      </c>
      <c r="AH367" s="58">
        <v>0</v>
      </c>
      <c r="AI367" s="58">
        <v>0</v>
      </c>
      <c r="AJ367" s="58">
        <v>0</v>
      </c>
      <c r="AK367" s="58">
        <v>0</v>
      </c>
      <c r="AL367" s="75">
        <f>+SUBTOTAL(9,Tabla6[[#This Row],[ENE]:[DIC]])</f>
        <v>1800</v>
      </c>
      <c r="AM367" s="76" t="str">
        <f t="shared" si="6"/>
        <v>OK</v>
      </c>
      <c r="AN367" s="60">
        <v>0</v>
      </c>
      <c r="AO367" s="61">
        <f>+Tabla6[[#This Row],[PRESUPUESTO VIGENTE]]-Tabla6[[#This Row],[CERTIFICACIÓN PAPP]]</f>
        <v>1800</v>
      </c>
      <c r="AP367" s="59">
        <v>0</v>
      </c>
    </row>
    <row r="368" spans="1:42" ht="93" customHeight="1" x14ac:dyDescent="0.25">
      <c r="A368" s="62" t="s">
        <v>88</v>
      </c>
      <c r="B368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368" s="64" t="s">
        <v>89</v>
      </c>
      <c r="D368" s="64" t="s">
        <v>80</v>
      </c>
      <c r="E368" s="64" t="s">
        <v>81</v>
      </c>
      <c r="F368" s="64" t="s">
        <v>96</v>
      </c>
      <c r="G368" s="64" t="s">
        <v>10</v>
      </c>
      <c r="H368" s="65" t="str">
        <f>VLOOKUP(Tabla6[[#This Row],[DIRECCIÓN]],DIRECCIÓN[#All],2,0)</f>
        <v>TECNOLOGÍA</v>
      </c>
      <c r="I368" s="66" t="s">
        <v>93</v>
      </c>
      <c r="J368" s="67">
        <v>1</v>
      </c>
      <c r="K368" s="68" t="str">
        <f>VLOOKUP(Tabla6[[#This Row],[DIRECCIÓN GENERAL / COORDINACIÓN / SUBDIRECCIÓN]],Tabla37[[#All],[Columna1]:[EOD]],2,0)</f>
        <v>266_0003</v>
      </c>
      <c r="L368" s="69">
        <f>VLOOKUP(Tabla6[[#This Row],[OBJETIVOS PND]],Listas!$A$1:$C$3,3,0)</f>
        <v>55</v>
      </c>
      <c r="M368" s="70">
        <f>VLOOKUP(Tabla6[[#This Row],[PG]],Listas2!$G$14:$K$16,5,0)</f>
        <v>0</v>
      </c>
      <c r="N368" s="71">
        <v>3</v>
      </c>
      <c r="O368" s="72">
        <v>600</v>
      </c>
      <c r="P368" s="73" t="str">
        <f>VLOOKUP(Tabla6[[#This Row],[GEO]],Listas!$A$48:$B$77,2,0)</f>
        <v>CHIMBORAZO</v>
      </c>
      <c r="Q368" s="70">
        <f>VLOOKUP(Tabla6[[#This Row],[PG]],Listas2!$G$14:$K$16,3,0)</f>
        <v>1</v>
      </c>
      <c r="R368" s="73">
        <f>VLOOKUP(Tabla6[[#This Row],[PG]],Listas2!H34:'Listas2'!$G$14:$K$16,4,0)</f>
        <v>0</v>
      </c>
      <c r="S368" s="73">
        <f>VLOOKUP(Tabla6[[#This Row],[PG]],Listas2!$G$14:$K$16,2,0)</f>
        <v>0</v>
      </c>
      <c r="T368" s="66" t="s">
        <v>84</v>
      </c>
      <c r="U368" s="74">
        <v>51</v>
      </c>
      <c r="V368" s="66">
        <v>510510</v>
      </c>
      <c r="W368" s="63" t="str">
        <f>VLOOKUP(Tabla6[[#This Row],[ÍTEM PRESUPUESTARIO]],Tabla2[#All],2,0)</f>
        <v>SERVICIOS PERSONALES POR CONTRATO</v>
      </c>
      <c r="X368" s="57">
        <v>14544</v>
      </c>
      <c r="Y368" s="57">
        <v>14544</v>
      </c>
      <c r="Z368" s="58">
        <v>1212</v>
      </c>
      <c r="AA368" s="58">
        <v>1212</v>
      </c>
      <c r="AB368" s="58">
        <v>1212</v>
      </c>
      <c r="AC368" s="58">
        <v>1212</v>
      </c>
      <c r="AD368" s="58">
        <v>1212</v>
      </c>
      <c r="AE368" s="58">
        <v>1212</v>
      </c>
      <c r="AF368" s="58">
        <v>1212</v>
      </c>
      <c r="AG368" s="58">
        <v>1212</v>
      </c>
      <c r="AH368" s="58">
        <v>1212</v>
      </c>
      <c r="AI368" s="58">
        <v>1212</v>
      </c>
      <c r="AJ368" s="58">
        <v>1212</v>
      </c>
      <c r="AK368" s="58">
        <v>1212</v>
      </c>
      <c r="AL368" s="75">
        <f>+SUBTOTAL(9,Tabla6[[#This Row],[ENE]:[DIC]])</f>
        <v>14544</v>
      </c>
      <c r="AM368" s="76" t="str">
        <f t="shared" si="6"/>
        <v>OK</v>
      </c>
      <c r="AN368" s="60">
        <v>0</v>
      </c>
      <c r="AO368" s="61">
        <f>+Tabla6[[#This Row],[PRESUPUESTO VIGENTE]]-Tabla6[[#This Row],[CERTIFICACIÓN PAPP]]</f>
        <v>14544</v>
      </c>
      <c r="AP368" s="59">
        <v>0</v>
      </c>
    </row>
    <row r="369" spans="1:42" ht="93" customHeight="1" x14ac:dyDescent="0.25">
      <c r="A369" s="62" t="s">
        <v>88</v>
      </c>
      <c r="B369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369" s="64" t="s">
        <v>89</v>
      </c>
      <c r="D369" s="64" t="s">
        <v>80</v>
      </c>
      <c r="E369" s="64" t="s">
        <v>81</v>
      </c>
      <c r="F369" s="64" t="s">
        <v>96</v>
      </c>
      <c r="G369" s="64" t="s">
        <v>10</v>
      </c>
      <c r="H369" s="65" t="str">
        <f>VLOOKUP(Tabla6[[#This Row],[DIRECCIÓN]],DIRECCIÓN[#All],2,0)</f>
        <v>TECNOLOGÍA</v>
      </c>
      <c r="I369" s="66" t="s">
        <v>93</v>
      </c>
      <c r="J369" s="67">
        <v>1</v>
      </c>
      <c r="K369" s="68" t="str">
        <f>VLOOKUP(Tabla6[[#This Row],[DIRECCIÓN GENERAL / COORDINACIÓN / SUBDIRECCIÓN]],Tabla37[[#All],[Columna1]:[EOD]],2,0)</f>
        <v>266_0003</v>
      </c>
      <c r="L369" s="69">
        <f>VLOOKUP(Tabla6[[#This Row],[OBJETIVOS PND]],Listas!$A$1:$C$3,3,0)</f>
        <v>55</v>
      </c>
      <c r="M369" s="70">
        <f>VLOOKUP(Tabla6[[#This Row],[PG]],Listas2!$G$14:$K$16,5,0)</f>
        <v>0</v>
      </c>
      <c r="N369" s="71">
        <v>3</v>
      </c>
      <c r="O369" s="72">
        <v>600</v>
      </c>
      <c r="P369" s="73" t="str">
        <f>VLOOKUP(Tabla6[[#This Row],[GEO]],Listas!$A$48:$B$77,2,0)</f>
        <v>CHIMBORAZO</v>
      </c>
      <c r="Q369" s="70">
        <f>VLOOKUP(Tabla6[[#This Row],[PG]],Listas2!$G$14:$K$16,3,0)</f>
        <v>1</v>
      </c>
      <c r="R369" s="73">
        <f>VLOOKUP(Tabla6[[#This Row],[PG]],Listas2!H35:'Listas2'!$G$14:$K$16,4,0)</f>
        <v>0</v>
      </c>
      <c r="S369" s="73">
        <f>VLOOKUP(Tabla6[[#This Row],[PG]],Listas2!$G$14:$K$16,2,0)</f>
        <v>0</v>
      </c>
      <c r="T369" s="66" t="s">
        <v>84</v>
      </c>
      <c r="U369" s="74">
        <v>51</v>
      </c>
      <c r="V369" s="66">
        <v>510601</v>
      </c>
      <c r="W369" s="63" t="str">
        <f>VLOOKUP(Tabla6[[#This Row],[ÍTEM PRESUPUESTARIO]],Tabla2[#All],2,0)</f>
        <v>APORTE PATRONAL</v>
      </c>
      <c r="X369" s="57">
        <v>6152</v>
      </c>
      <c r="Y369" s="57">
        <f>6152-0.68</f>
        <v>6151.32</v>
      </c>
      <c r="Z369" s="58">
        <v>512</v>
      </c>
      <c r="AA369" s="58">
        <v>512</v>
      </c>
      <c r="AB369" s="58">
        <v>512</v>
      </c>
      <c r="AC369" s="58">
        <v>512</v>
      </c>
      <c r="AD369" s="58">
        <v>513</v>
      </c>
      <c r="AE369" s="58">
        <v>513</v>
      </c>
      <c r="AF369" s="58">
        <v>513</v>
      </c>
      <c r="AG369" s="58">
        <v>513</v>
      </c>
      <c r="AH369" s="58">
        <v>513</v>
      </c>
      <c r="AI369" s="58">
        <v>513</v>
      </c>
      <c r="AJ369" s="58">
        <v>513</v>
      </c>
      <c r="AK369" s="58">
        <v>512.32000000000005</v>
      </c>
      <c r="AL369" s="75">
        <f>+SUBTOTAL(9,Tabla6[[#This Row],[ENE]:[DIC]])</f>
        <v>6151.32</v>
      </c>
      <c r="AM369" s="76" t="str">
        <f t="shared" si="6"/>
        <v>OK</v>
      </c>
      <c r="AN369" s="60">
        <v>0</v>
      </c>
      <c r="AO369" s="61">
        <f>+Tabla6[[#This Row],[PRESUPUESTO VIGENTE]]-Tabla6[[#This Row],[CERTIFICACIÓN PAPP]]</f>
        <v>6151.32</v>
      </c>
      <c r="AP369" s="59">
        <v>0</v>
      </c>
    </row>
    <row r="370" spans="1:42" ht="93" customHeight="1" x14ac:dyDescent="0.25">
      <c r="A370" s="62" t="s">
        <v>88</v>
      </c>
      <c r="B370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370" s="64" t="s">
        <v>89</v>
      </c>
      <c r="D370" s="64" t="s">
        <v>80</v>
      </c>
      <c r="E370" s="64" t="s">
        <v>81</v>
      </c>
      <c r="F370" s="64" t="s">
        <v>96</v>
      </c>
      <c r="G370" s="64" t="s">
        <v>10</v>
      </c>
      <c r="H370" s="65" t="str">
        <f>VLOOKUP(Tabla6[[#This Row],[DIRECCIÓN]],DIRECCIÓN[#All],2,0)</f>
        <v>TECNOLOGÍA</v>
      </c>
      <c r="I370" s="66" t="s">
        <v>93</v>
      </c>
      <c r="J370" s="67">
        <v>1</v>
      </c>
      <c r="K370" s="68" t="str">
        <f>VLOOKUP(Tabla6[[#This Row],[DIRECCIÓN GENERAL / COORDINACIÓN / SUBDIRECCIÓN]],Tabla37[[#All],[Columna1]:[EOD]],2,0)</f>
        <v>266_0003</v>
      </c>
      <c r="L370" s="69">
        <f>VLOOKUP(Tabla6[[#This Row],[OBJETIVOS PND]],Listas!$A$1:$C$3,3,0)</f>
        <v>55</v>
      </c>
      <c r="M370" s="70">
        <f>VLOOKUP(Tabla6[[#This Row],[PG]],Listas2!$G$14:$K$16,5,0)</f>
        <v>0</v>
      </c>
      <c r="N370" s="71">
        <v>3</v>
      </c>
      <c r="O370" s="72">
        <v>600</v>
      </c>
      <c r="P370" s="73" t="str">
        <f>VLOOKUP(Tabla6[[#This Row],[GEO]],Listas!$A$48:$B$77,2,0)</f>
        <v>CHIMBORAZO</v>
      </c>
      <c r="Q370" s="70">
        <f>VLOOKUP(Tabla6[[#This Row],[PG]],Listas2!$G$14:$K$16,3,0)</f>
        <v>1</v>
      </c>
      <c r="R370" s="73">
        <f>VLOOKUP(Tabla6[[#This Row],[PG]],Listas2!H36:'Listas2'!$G$14:$K$16,4,0)</f>
        <v>0</v>
      </c>
      <c r="S370" s="73">
        <f>VLOOKUP(Tabla6[[#This Row],[PG]],Listas2!$G$14:$K$16,2,0)</f>
        <v>0</v>
      </c>
      <c r="T370" s="66" t="s">
        <v>84</v>
      </c>
      <c r="U370" s="74">
        <v>51</v>
      </c>
      <c r="V370" s="66">
        <v>510602</v>
      </c>
      <c r="W370" s="63" t="str">
        <f>VLOOKUP(Tabla6[[#This Row],[ÍTEM PRESUPUESTARIO]],Tabla2[#All],2,0)</f>
        <v>FONDO DE RESERVA</v>
      </c>
      <c r="X370" s="57">
        <v>5312</v>
      </c>
      <c r="Y370" s="57">
        <f>5312+918-1019+100-1.12</f>
        <v>5309.88</v>
      </c>
      <c r="Z370" s="58">
        <v>434.25</v>
      </c>
      <c r="AA370" s="58">
        <v>434.25</v>
      </c>
      <c r="AB370" s="58">
        <v>434.25</v>
      </c>
      <c r="AC370" s="58">
        <v>434.25</v>
      </c>
      <c r="AD370" s="58">
        <v>434.25</v>
      </c>
      <c r="AE370" s="58">
        <v>434.25</v>
      </c>
      <c r="AF370" s="58">
        <v>434.25</v>
      </c>
      <c r="AG370" s="58">
        <v>434.25</v>
      </c>
      <c r="AH370" s="58">
        <v>434.25</v>
      </c>
      <c r="AI370" s="58">
        <v>434.25</v>
      </c>
      <c r="AJ370" s="58">
        <v>434.25</v>
      </c>
      <c r="AK370" s="58">
        <v>533.13</v>
      </c>
      <c r="AL370" s="75">
        <f>+SUBTOTAL(9,Tabla6[[#This Row],[ENE]:[DIC]])</f>
        <v>5309.88</v>
      </c>
      <c r="AM370" s="76" t="str">
        <f t="shared" si="6"/>
        <v>OK</v>
      </c>
      <c r="AN370" s="60">
        <v>0</v>
      </c>
      <c r="AO370" s="61">
        <f>+Tabla6[[#This Row],[PRESUPUESTO VIGENTE]]-Tabla6[[#This Row],[CERTIFICACIÓN PAPP]]</f>
        <v>5309.88</v>
      </c>
      <c r="AP370" s="59">
        <v>0</v>
      </c>
    </row>
    <row r="371" spans="1:42" ht="93" customHeight="1" x14ac:dyDescent="0.25">
      <c r="A371" s="62" t="s">
        <v>78</v>
      </c>
      <c r="B371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371" s="64" t="s">
        <v>79</v>
      </c>
      <c r="D371" s="64" t="s">
        <v>80</v>
      </c>
      <c r="E371" s="64" t="s">
        <v>81</v>
      </c>
      <c r="F371" s="64" t="s">
        <v>96</v>
      </c>
      <c r="G371" s="64" t="s">
        <v>83</v>
      </c>
      <c r="H371" s="65" t="str">
        <f>VLOOKUP(Tabla6[[#This Row],[DIRECCIÓN]],DIRECCIÓN[#All],2,0)</f>
        <v>ADMINISTRACIÓN CENTRAL</v>
      </c>
      <c r="I371" s="66" t="s">
        <v>626</v>
      </c>
      <c r="J371" s="67">
        <v>1</v>
      </c>
      <c r="K371" s="68" t="str">
        <f>VLOOKUP(Tabla6[[#This Row],[DIRECCIÓN GENERAL / COORDINACIÓN / SUBDIRECCIÓN]],Tabla37[[#All],[Columna1]:[EOD]],2,0)</f>
        <v>266_0003</v>
      </c>
      <c r="L371" s="69">
        <f>VLOOKUP(Tabla6[[#This Row],[OBJETIVOS PND]],Listas!$A$1:$C$3,3,0)</f>
        <v>1</v>
      </c>
      <c r="M371" s="70">
        <f>VLOOKUP(Tabla6[[#This Row],[PG]],Listas2!$G$14:$K$16,5,0)</f>
        <v>0</v>
      </c>
      <c r="N371" s="71">
        <v>1</v>
      </c>
      <c r="O371" s="72">
        <v>601</v>
      </c>
      <c r="P371" s="73" t="str">
        <f>VLOOKUP(Tabla6[[#This Row],[GEO]],Listas!$A$48:$B$77,2,0)</f>
        <v>RIOBAMBA</v>
      </c>
      <c r="Q371" s="70">
        <f>VLOOKUP(Tabla6[[#This Row],[PG]],Listas2!$G$14:$K$16,3,0)</f>
        <v>1</v>
      </c>
      <c r="R371" s="73">
        <f>VLOOKUP(Tabla6[[#This Row],[PG]],Listas2!H37:'Listas2'!$G$14:$K$16,4,0)</f>
        <v>0</v>
      </c>
      <c r="S371" s="73">
        <f>VLOOKUP(Tabla6[[#This Row],[PG]],Listas2!$G$14:$K$16,2,0)</f>
        <v>0</v>
      </c>
      <c r="T371" s="66" t="s">
        <v>84</v>
      </c>
      <c r="U371" s="74">
        <v>53</v>
      </c>
      <c r="V371" s="66">
        <v>530101</v>
      </c>
      <c r="W371" s="63" t="str">
        <f>VLOOKUP(Tabla6[[#This Row],[ÍTEM PRESUPUESTARIO]],Tabla2[#All],2,0)</f>
        <v>AGUA POTABLE</v>
      </c>
      <c r="X371" s="57">
        <v>2600</v>
      </c>
      <c r="Y371" s="57">
        <f>2600-583.6</f>
        <v>2016.4</v>
      </c>
      <c r="Z371" s="58">
        <v>84</v>
      </c>
      <c r="AA371" s="58">
        <v>175.67</v>
      </c>
      <c r="AB371" s="58">
        <v>175.67</v>
      </c>
      <c r="AC371" s="58">
        <v>175.67</v>
      </c>
      <c r="AD371" s="58">
        <v>175.67</v>
      </c>
      <c r="AE371" s="58">
        <v>175.67</v>
      </c>
      <c r="AF371" s="58">
        <v>175.67</v>
      </c>
      <c r="AG371" s="58">
        <v>175.67</v>
      </c>
      <c r="AH371" s="58">
        <v>175.67</v>
      </c>
      <c r="AI371" s="58">
        <v>175.67</v>
      </c>
      <c r="AJ371" s="58">
        <v>175.67</v>
      </c>
      <c r="AK371" s="58">
        <v>175.7</v>
      </c>
      <c r="AL371" s="75">
        <f>+SUBTOTAL(9,Tabla6[[#This Row],[ENE]:[DIC]])</f>
        <v>2016.4</v>
      </c>
      <c r="AM371" s="76" t="str">
        <f t="shared" si="6"/>
        <v>OK</v>
      </c>
      <c r="AN371" s="60">
        <f>1961.72+500-143.45-301.87</f>
        <v>2016.4000000000005</v>
      </c>
      <c r="AO371" s="61">
        <f>+Tabla6[[#This Row],[PRESUPUESTO VIGENTE]]-Tabla6[[#This Row],[CERTIFICACIÓN PAPP]]</f>
        <v>0</v>
      </c>
      <c r="AP371" s="59">
        <v>0</v>
      </c>
    </row>
    <row r="372" spans="1:42" ht="93" customHeight="1" x14ac:dyDescent="0.25">
      <c r="A372" s="62" t="s">
        <v>78</v>
      </c>
      <c r="B372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372" s="64" t="s">
        <v>79</v>
      </c>
      <c r="D372" s="64" t="s">
        <v>80</v>
      </c>
      <c r="E372" s="64" t="s">
        <v>81</v>
      </c>
      <c r="F372" s="64" t="s">
        <v>96</v>
      </c>
      <c r="G372" s="64" t="s">
        <v>83</v>
      </c>
      <c r="H372" s="65" t="str">
        <f>VLOOKUP(Tabla6[[#This Row],[DIRECCIÓN]],DIRECCIÓN[#All],2,0)</f>
        <v>ADMINISTRACIÓN CENTRAL</v>
      </c>
      <c r="I372" s="66" t="s">
        <v>626</v>
      </c>
      <c r="J372" s="67">
        <v>1</v>
      </c>
      <c r="K372" s="68" t="str">
        <f>VLOOKUP(Tabla6[[#This Row],[DIRECCIÓN GENERAL / COORDINACIÓN / SUBDIRECCIÓN]],Tabla37[[#All],[Columna1]:[EOD]],2,0)</f>
        <v>266_0003</v>
      </c>
      <c r="L372" s="69">
        <f>VLOOKUP(Tabla6[[#This Row],[OBJETIVOS PND]],Listas!$A$1:$C$3,3,0)</f>
        <v>1</v>
      </c>
      <c r="M372" s="70">
        <f>VLOOKUP(Tabla6[[#This Row],[PG]],Listas2!$G$14:$K$16,5,0)</f>
        <v>0</v>
      </c>
      <c r="N372" s="71">
        <v>1</v>
      </c>
      <c r="O372" s="72">
        <v>601</v>
      </c>
      <c r="P372" s="73" t="str">
        <f>VLOOKUP(Tabla6[[#This Row],[GEO]],Listas!$A$48:$B$77,2,0)</f>
        <v>RIOBAMBA</v>
      </c>
      <c r="Q372" s="70">
        <f>VLOOKUP(Tabla6[[#This Row],[PG]],Listas2!$G$14:$K$16,3,0)</f>
        <v>1</v>
      </c>
      <c r="R372" s="73">
        <f>VLOOKUP(Tabla6[[#This Row],[PG]],Listas2!H38:'Listas2'!$G$14:$K$16,4,0)</f>
        <v>0</v>
      </c>
      <c r="S372" s="73">
        <f>VLOOKUP(Tabla6[[#This Row],[PG]],Listas2!$G$14:$K$16,2,0)</f>
        <v>0</v>
      </c>
      <c r="T372" s="66" t="s">
        <v>84</v>
      </c>
      <c r="U372" s="74">
        <v>53</v>
      </c>
      <c r="V372" s="66">
        <v>530104</v>
      </c>
      <c r="W372" s="63" t="str">
        <f>VLOOKUP(Tabla6[[#This Row],[ÍTEM PRESUPUESTARIO]],Tabla2[#All],2,0)</f>
        <v>ENERGÍA ELÉCTRICA</v>
      </c>
      <c r="X372" s="57">
        <v>33000</v>
      </c>
      <c r="Y372" s="57">
        <f>33000-300-1198.88</f>
        <v>31501.119999999999</v>
      </c>
      <c r="Z372" s="58">
        <v>2618.0100000000002</v>
      </c>
      <c r="AA372" s="58">
        <v>2625.73</v>
      </c>
      <c r="AB372" s="58">
        <v>2625.73</v>
      </c>
      <c r="AC372" s="58">
        <v>2625.73</v>
      </c>
      <c r="AD372" s="58">
        <v>2625.73</v>
      </c>
      <c r="AE372" s="58">
        <v>2625.73</v>
      </c>
      <c r="AF372" s="58">
        <v>2625.73</v>
      </c>
      <c r="AG372" s="58">
        <v>2625.73</v>
      </c>
      <c r="AH372" s="58">
        <v>2625.73</v>
      </c>
      <c r="AI372" s="58">
        <v>2625.73</v>
      </c>
      <c r="AJ372" s="58">
        <v>2625.73</v>
      </c>
      <c r="AK372" s="58">
        <v>2625.81</v>
      </c>
      <c r="AL372" s="75">
        <f>+SUBTOTAL(9,Tabla6[[#This Row],[ENE]:[DIC]])</f>
        <v>31501.119999999999</v>
      </c>
      <c r="AM372" s="76" t="str">
        <f t="shared" si="6"/>
        <v>OK</v>
      </c>
      <c r="AN372" s="60">
        <f>32287.65-786.53</f>
        <v>31501.120000000003</v>
      </c>
      <c r="AO372" s="61">
        <f>+Tabla6[[#This Row],[PRESUPUESTO VIGENTE]]-Tabla6[[#This Row],[CERTIFICACIÓN PAPP]]</f>
        <v>0</v>
      </c>
      <c r="AP372" s="59">
        <v>0</v>
      </c>
    </row>
    <row r="373" spans="1:42" ht="93" customHeight="1" x14ac:dyDescent="0.25">
      <c r="A373" s="62" t="s">
        <v>78</v>
      </c>
      <c r="B373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373" s="64" t="s">
        <v>79</v>
      </c>
      <c r="D373" s="64" t="s">
        <v>80</v>
      </c>
      <c r="E373" s="64" t="s">
        <v>81</v>
      </c>
      <c r="F373" s="64" t="s">
        <v>96</v>
      </c>
      <c r="G373" s="64" t="s">
        <v>83</v>
      </c>
      <c r="H373" s="65" t="str">
        <f>VLOOKUP(Tabla6[[#This Row],[DIRECCIÓN]],DIRECCIÓN[#All],2,0)</f>
        <v>ADMINISTRACIÓN CENTRAL</v>
      </c>
      <c r="I373" s="66" t="s">
        <v>627</v>
      </c>
      <c r="J373" s="67">
        <v>1</v>
      </c>
      <c r="K373" s="68" t="str">
        <f>VLOOKUP(Tabla6[[#This Row],[DIRECCIÓN GENERAL / COORDINACIÓN / SUBDIRECCIÓN]],Tabla37[[#All],[Columna1]:[EOD]],2,0)</f>
        <v>266_0003</v>
      </c>
      <c r="L373" s="69">
        <f>VLOOKUP(Tabla6[[#This Row],[OBJETIVOS PND]],Listas!$A$1:$C$3,3,0)</f>
        <v>1</v>
      </c>
      <c r="M373" s="70">
        <f>VLOOKUP(Tabla6[[#This Row],[PG]],Listas2!$G$14:$K$16,5,0)</f>
        <v>0</v>
      </c>
      <c r="N373" s="71">
        <v>1</v>
      </c>
      <c r="O373" s="72">
        <v>601</v>
      </c>
      <c r="P373" s="73" t="str">
        <f>VLOOKUP(Tabla6[[#This Row],[GEO]],Listas!$A$48:$B$77,2,0)</f>
        <v>RIOBAMBA</v>
      </c>
      <c r="Q373" s="70">
        <f>VLOOKUP(Tabla6[[#This Row],[PG]],Listas2!$G$14:$K$16,3,0)</f>
        <v>1</v>
      </c>
      <c r="R373" s="73">
        <f>VLOOKUP(Tabla6[[#This Row],[PG]],Listas2!H39:'Listas2'!$G$14:$K$16,4,0)</f>
        <v>0</v>
      </c>
      <c r="S373" s="73">
        <f>VLOOKUP(Tabla6[[#This Row],[PG]],Listas2!$G$14:$K$16,2,0)</f>
        <v>0</v>
      </c>
      <c r="T373" s="66" t="s">
        <v>84</v>
      </c>
      <c r="U373" s="74">
        <v>53</v>
      </c>
      <c r="V373" s="66">
        <v>530201</v>
      </c>
      <c r="W373" s="63" t="str">
        <f>VLOOKUP(Tabla6[[#This Row],[ÍTEM PRESUPUESTARIO]],Tabla2[#All],2,0)</f>
        <v>TRANSPORTE DE PERSONAL</v>
      </c>
      <c r="X373" s="57">
        <v>12498</v>
      </c>
      <c r="Y373" s="57">
        <f>12498+13070.44+0.01-1072.96</f>
        <v>24495.49</v>
      </c>
      <c r="Z373" s="58">
        <v>1091.3599999999999</v>
      </c>
      <c r="AA373" s="58">
        <v>2127.64</v>
      </c>
      <c r="AB373" s="58">
        <v>2127.64</v>
      </c>
      <c r="AC373" s="58">
        <v>2127.64</v>
      </c>
      <c r="AD373" s="58">
        <v>2127.64</v>
      </c>
      <c r="AE373" s="58">
        <v>2127.64</v>
      </c>
      <c r="AF373" s="58">
        <v>2127.64</v>
      </c>
      <c r="AG373" s="58">
        <v>2127.64</v>
      </c>
      <c r="AH373" s="58">
        <v>2127.64</v>
      </c>
      <c r="AI373" s="58">
        <v>2127.64</v>
      </c>
      <c r="AJ373" s="58">
        <v>2127.64</v>
      </c>
      <c r="AK373" s="58">
        <v>2127.73</v>
      </c>
      <c r="AL373" s="75">
        <f>+SUBTOTAL(9,Tabla6[[#This Row],[ENE]:[DIC]])</f>
        <v>24495.489999999994</v>
      </c>
      <c r="AM373" s="76" t="str">
        <f t="shared" si="6"/>
        <v>OK</v>
      </c>
      <c r="AN373" s="60">
        <f>25568.45-1072.96</f>
        <v>24495.49</v>
      </c>
      <c r="AO373" s="61">
        <f>+Tabla6[[#This Row],[PRESUPUESTO VIGENTE]]-Tabla6[[#This Row],[CERTIFICACIÓN PAPP]]</f>
        <v>0</v>
      </c>
      <c r="AP373" s="59">
        <v>0</v>
      </c>
    </row>
    <row r="374" spans="1:42" ht="93" customHeight="1" x14ac:dyDescent="0.25">
      <c r="A374" s="62" t="s">
        <v>78</v>
      </c>
      <c r="B374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374" s="64" t="s">
        <v>79</v>
      </c>
      <c r="D374" s="64" t="s">
        <v>80</v>
      </c>
      <c r="E374" s="64" t="s">
        <v>81</v>
      </c>
      <c r="F374" s="64" t="s">
        <v>96</v>
      </c>
      <c r="G374" s="64" t="s">
        <v>83</v>
      </c>
      <c r="H374" s="65" t="str">
        <f>VLOOKUP(Tabla6[[#This Row],[DIRECCIÓN]],DIRECCIÓN[#All],2,0)</f>
        <v>ADMINISTRACIÓN CENTRAL</v>
      </c>
      <c r="I374" s="66" t="s">
        <v>628</v>
      </c>
      <c r="J374" s="67">
        <v>1</v>
      </c>
      <c r="K374" s="68" t="str">
        <f>VLOOKUP(Tabla6[[#This Row],[DIRECCIÓN GENERAL / COORDINACIÓN / SUBDIRECCIÓN]],Tabla37[[#All],[Columna1]:[EOD]],2,0)</f>
        <v>266_0003</v>
      </c>
      <c r="L374" s="69">
        <f>VLOOKUP(Tabla6[[#This Row],[OBJETIVOS PND]],Listas!$A$1:$C$3,3,0)</f>
        <v>1</v>
      </c>
      <c r="M374" s="70">
        <f>VLOOKUP(Tabla6[[#This Row],[PG]],Listas2!$G$14:$K$16,5,0)</f>
        <v>0</v>
      </c>
      <c r="N374" s="71">
        <v>1</v>
      </c>
      <c r="O374" s="72">
        <v>601</v>
      </c>
      <c r="P374" s="73" t="str">
        <f>VLOOKUP(Tabla6[[#This Row],[GEO]],Listas!$A$48:$B$77,2,0)</f>
        <v>RIOBAMBA</v>
      </c>
      <c r="Q374" s="70">
        <f>VLOOKUP(Tabla6[[#This Row],[PG]],Listas2!$G$14:$K$16,3,0)</f>
        <v>1</v>
      </c>
      <c r="R374" s="73">
        <f>VLOOKUP(Tabla6[[#This Row],[PG]],Listas2!H40:'Listas2'!$G$14:$K$16,4,0)</f>
        <v>0</v>
      </c>
      <c r="S374" s="73">
        <f>VLOOKUP(Tabla6[[#This Row],[PG]],Listas2!$G$14:$K$16,2,0)</f>
        <v>0</v>
      </c>
      <c r="T374" s="66" t="s">
        <v>84</v>
      </c>
      <c r="U374" s="74">
        <v>53</v>
      </c>
      <c r="V374" s="66">
        <v>530203</v>
      </c>
      <c r="W374" s="63" t="str">
        <f>VLOOKUP(Tabla6[[#This Row],[ÍTEM PRESUPUESTARIO]],Tabla2[#All],2,0)</f>
        <v>ALMACENAMIENTO, EMBALAJE, DESEMBALAJE, ENVASE, DESENVASE Y RECARGA DE EXTINTORES</v>
      </c>
      <c r="X374" s="57">
        <v>0</v>
      </c>
      <c r="Y374" s="57">
        <v>490</v>
      </c>
      <c r="Z374" s="58">
        <v>0</v>
      </c>
      <c r="AA374" s="58">
        <v>0</v>
      </c>
      <c r="AB374" s="58">
        <v>0</v>
      </c>
      <c r="AC374" s="58">
        <v>0</v>
      </c>
      <c r="AD374" s="58">
        <v>0</v>
      </c>
      <c r="AE374" s="58">
        <v>0</v>
      </c>
      <c r="AF374" s="58">
        <v>0</v>
      </c>
      <c r="AG374" s="58">
        <v>0</v>
      </c>
      <c r="AH374" s="58">
        <v>0</v>
      </c>
      <c r="AI374" s="58">
        <v>0</v>
      </c>
      <c r="AJ374" s="58">
        <v>490</v>
      </c>
      <c r="AK374" s="58">
        <v>0</v>
      </c>
      <c r="AL374" s="75">
        <f>+SUBTOTAL(9,Tabla6[[#This Row],[ENE]:[DIC]])</f>
        <v>490</v>
      </c>
      <c r="AM374" s="76" t="str">
        <f t="shared" si="6"/>
        <v>OK</v>
      </c>
      <c r="AN374" s="60">
        <v>490</v>
      </c>
      <c r="AO374" s="61">
        <f>+Tabla6[[#This Row],[PRESUPUESTO VIGENTE]]-Tabla6[[#This Row],[CERTIFICACIÓN PAPP]]</f>
        <v>0</v>
      </c>
      <c r="AP374" s="59">
        <v>0</v>
      </c>
    </row>
    <row r="375" spans="1:42" ht="93" customHeight="1" x14ac:dyDescent="0.25">
      <c r="A375" s="62" t="s">
        <v>78</v>
      </c>
      <c r="B375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375" s="64" t="s">
        <v>85</v>
      </c>
      <c r="D375" s="64" t="s">
        <v>80</v>
      </c>
      <c r="E375" s="64" t="s">
        <v>81</v>
      </c>
      <c r="F375" s="64" t="s">
        <v>96</v>
      </c>
      <c r="G375" s="64" t="s">
        <v>86</v>
      </c>
      <c r="H375" s="65" t="str">
        <f>VLOOKUP(Tabla6[[#This Row],[DIRECCIÓN]],DIRECCIÓN[#All],2,0)</f>
        <v>COMUNICACIÓN SOCIAL</v>
      </c>
      <c r="I375" s="66" t="s">
        <v>629</v>
      </c>
      <c r="J375" s="67">
        <v>1</v>
      </c>
      <c r="K375" s="68" t="str">
        <f>VLOOKUP(Tabla6[[#This Row],[DIRECCIÓN GENERAL / COORDINACIÓN / SUBDIRECCIÓN]],Tabla37[[#All],[Columna1]:[EOD]],2,0)</f>
        <v>266_0003</v>
      </c>
      <c r="L375" s="69">
        <f>VLOOKUP(Tabla6[[#This Row],[OBJETIVOS PND]],Listas!$A$1:$C$3,3,0)</f>
        <v>1</v>
      </c>
      <c r="M375" s="70">
        <f>VLOOKUP(Tabla6[[#This Row],[PG]],Listas2!$G$14:$K$16,5,0)</f>
        <v>0</v>
      </c>
      <c r="N375" s="71">
        <v>1</v>
      </c>
      <c r="O375" s="72">
        <v>601</v>
      </c>
      <c r="P375" s="73" t="str">
        <f>VLOOKUP(Tabla6[[#This Row],[GEO]],Listas!$A$48:$B$77,2,0)</f>
        <v>RIOBAMBA</v>
      </c>
      <c r="Q375" s="70">
        <f>VLOOKUP(Tabla6[[#This Row],[PG]],Listas2!$G$14:$K$16,3,0)</f>
        <v>1</v>
      </c>
      <c r="R375" s="73">
        <f>VLOOKUP(Tabla6[[#This Row],[PG]],Listas2!H41:'Listas2'!$G$14:$K$16,4,0)</f>
        <v>0</v>
      </c>
      <c r="S375" s="73">
        <f>VLOOKUP(Tabla6[[#This Row],[PG]],Listas2!$G$14:$K$16,2,0)</f>
        <v>0</v>
      </c>
      <c r="T375" s="66" t="s">
        <v>84</v>
      </c>
      <c r="U375" s="74">
        <v>53</v>
      </c>
      <c r="V375" s="66">
        <v>530204</v>
      </c>
      <c r="W375" s="63" t="str">
        <f>VLOOKUP(Tabla6[[#This Row],[ÍTEM PRESUPUESTARIO]],Tabla2[#All],2,0)</f>
        <v>EDICIÓN, IMPRESIÓN, REPRODUCCIÓN, PUBLICACIONES, SUSCRIPCIONES, FOTOCOPIADO, TRADUCCIÓN, EMPASTADO, ENMARCACIÓN, SERIGRAFÍA, FOTOGRAFÍA, CARNETIZACIÓN, FILMACIÓN E IMÁGENES SATELITALES</v>
      </c>
      <c r="X375" s="57">
        <v>0</v>
      </c>
      <c r="Y375" s="57">
        <f>3731.66-1865.83+1284.17-2000-1150</f>
        <v>0</v>
      </c>
      <c r="Z375" s="58">
        <v>0</v>
      </c>
      <c r="AA375" s="58">
        <v>0</v>
      </c>
      <c r="AB375" s="58">
        <v>0</v>
      </c>
      <c r="AC375" s="58">
        <v>0</v>
      </c>
      <c r="AD375" s="58">
        <v>0</v>
      </c>
      <c r="AE375" s="58">
        <v>0</v>
      </c>
      <c r="AF375" s="58">
        <v>0</v>
      </c>
      <c r="AG375" s="58">
        <v>0</v>
      </c>
      <c r="AH375" s="58">
        <v>0</v>
      </c>
      <c r="AI375" s="58">
        <v>0</v>
      </c>
      <c r="AJ375" s="58">
        <v>0</v>
      </c>
      <c r="AK375" s="58">
        <v>0</v>
      </c>
      <c r="AL375" s="75">
        <f>+SUBTOTAL(9,Tabla6[[#This Row],[ENE]:[DIC]])</f>
        <v>0</v>
      </c>
      <c r="AM375" s="76" t="str">
        <f t="shared" si="6"/>
        <v>OK</v>
      </c>
      <c r="AN375" s="60">
        <v>0</v>
      </c>
      <c r="AO375" s="61">
        <f>+Tabla6[[#This Row],[PRESUPUESTO VIGENTE]]-Tabla6[[#This Row],[CERTIFICACIÓN PAPP]]</f>
        <v>0</v>
      </c>
      <c r="AP375" s="59">
        <v>0</v>
      </c>
    </row>
    <row r="376" spans="1:42" ht="93" customHeight="1" x14ac:dyDescent="0.25">
      <c r="A376" s="62" t="s">
        <v>78</v>
      </c>
      <c r="B376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376" s="64" t="s">
        <v>85</v>
      </c>
      <c r="D376" s="64" t="s">
        <v>80</v>
      </c>
      <c r="E376" s="64" t="s">
        <v>81</v>
      </c>
      <c r="F376" s="64" t="s">
        <v>96</v>
      </c>
      <c r="G376" s="64" t="s">
        <v>86</v>
      </c>
      <c r="H376" s="65" t="str">
        <f>VLOOKUP(Tabla6[[#This Row],[DIRECCIÓN]],DIRECCIÓN[#All],2,0)</f>
        <v>COMUNICACIÓN SOCIAL</v>
      </c>
      <c r="I376" s="66" t="s">
        <v>630</v>
      </c>
      <c r="J376" s="67">
        <v>1</v>
      </c>
      <c r="K376" s="68" t="str">
        <f>VLOOKUP(Tabla6[[#This Row],[DIRECCIÓN GENERAL / COORDINACIÓN / SUBDIRECCIÓN]],Tabla37[[#All],[Columna1]:[EOD]],2,0)</f>
        <v>266_0003</v>
      </c>
      <c r="L376" s="69">
        <f>VLOOKUP(Tabla6[[#This Row],[OBJETIVOS PND]],Listas!$A$1:$C$3,3,0)</f>
        <v>1</v>
      </c>
      <c r="M376" s="70">
        <f>VLOOKUP(Tabla6[[#This Row],[PG]],Listas2!$G$14:$K$16,5,0)</f>
        <v>0</v>
      </c>
      <c r="N376" s="71">
        <v>1</v>
      </c>
      <c r="O376" s="72">
        <v>601</v>
      </c>
      <c r="P376" s="73" t="str">
        <f>VLOOKUP(Tabla6[[#This Row],[GEO]],Listas!$A$48:$B$77,2,0)</f>
        <v>RIOBAMBA</v>
      </c>
      <c r="Q376" s="70">
        <f>VLOOKUP(Tabla6[[#This Row],[PG]],Listas2!$G$14:$K$16,3,0)</f>
        <v>1</v>
      </c>
      <c r="R376" s="73">
        <f>VLOOKUP(Tabla6[[#This Row],[PG]],Listas2!H42:'Listas2'!$G$14:$K$16,4,0)</f>
        <v>0</v>
      </c>
      <c r="S376" s="73">
        <f>VLOOKUP(Tabla6[[#This Row],[PG]],Listas2!$G$14:$K$16,2,0)</f>
        <v>0</v>
      </c>
      <c r="T376" s="66" t="s">
        <v>84</v>
      </c>
      <c r="U376" s="74">
        <v>53</v>
      </c>
      <c r="V376" s="66">
        <v>530207</v>
      </c>
      <c r="W376" s="63" t="str">
        <f>VLOOKUP(Tabla6[[#This Row],[ÍTEM PRESUPUESTARIO]],Tabla2[#All],2,0)</f>
        <v>DIFUSIÓN, INFORMACIÓN Y PUBLICIDAD</v>
      </c>
      <c r="X376" s="57">
        <v>0</v>
      </c>
      <c r="Y376" s="57">
        <v>512</v>
      </c>
      <c r="Z376" s="58">
        <v>0</v>
      </c>
      <c r="AA376" s="58">
        <v>0</v>
      </c>
      <c r="AB376" s="58">
        <v>0</v>
      </c>
      <c r="AC376" s="58">
        <v>0</v>
      </c>
      <c r="AD376" s="58">
        <v>0</v>
      </c>
      <c r="AE376" s="58">
        <v>0</v>
      </c>
      <c r="AF376" s="58">
        <v>0</v>
      </c>
      <c r="AG376" s="58">
        <v>0</v>
      </c>
      <c r="AH376" s="58">
        <v>0</v>
      </c>
      <c r="AI376" s="58">
        <v>0</v>
      </c>
      <c r="AJ376" s="58">
        <v>512</v>
      </c>
      <c r="AK376" s="58">
        <v>0</v>
      </c>
      <c r="AL376" s="75">
        <f>+SUBTOTAL(9,Tabla6[[#This Row],[ENE]:[DIC]])</f>
        <v>512</v>
      </c>
      <c r="AM376" s="76" t="str">
        <f t="shared" si="6"/>
        <v>OK</v>
      </c>
      <c r="AN376" s="60">
        <v>512</v>
      </c>
      <c r="AO376" s="61">
        <f>+Tabla6[[#This Row],[PRESUPUESTO VIGENTE]]-Tabla6[[#This Row],[CERTIFICACIÓN PAPP]]</f>
        <v>0</v>
      </c>
      <c r="AP376" s="59">
        <v>0</v>
      </c>
    </row>
    <row r="377" spans="1:42" ht="93" customHeight="1" x14ac:dyDescent="0.25">
      <c r="A377" s="62" t="s">
        <v>78</v>
      </c>
      <c r="B377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377" s="64" t="s">
        <v>79</v>
      </c>
      <c r="D377" s="64" t="s">
        <v>80</v>
      </c>
      <c r="E377" s="64" t="s">
        <v>81</v>
      </c>
      <c r="F377" s="64" t="s">
        <v>96</v>
      </c>
      <c r="G377" s="64" t="s">
        <v>83</v>
      </c>
      <c r="H377" s="65" t="str">
        <f>VLOOKUP(Tabla6[[#This Row],[DIRECCIÓN]],DIRECCIÓN[#All],2,0)</f>
        <v>ADMINISTRACIÓN CENTRAL</v>
      </c>
      <c r="I377" s="66" t="s">
        <v>631</v>
      </c>
      <c r="J377" s="67">
        <v>1</v>
      </c>
      <c r="K377" s="68" t="str">
        <f>VLOOKUP(Tabla6[[#This Row],[DIRECCIÓN GENERAL / COORDINACIÓN / SUBDIRECCIÓN]],Tabla37[[#All],[Columna1]:[EOD]],2,0)</f>
        <v>266_0003</v>
      </c>
      <c r="L377" s="69">
        <f>VLOOKUP(Tabla6[[#This Row],[OBJETIVOS PND]],Listas!$A$1:$C$3,3,0)</f>
        <v>1</v>
      </c>
      <c r="M377" s="70">
        <f>VLOOKUP(Tabla6[[#This Row],[PG]],Listas2!$G$14:$K$16,5,0)</f>
        <v>0</v>
      </c>
      <c r="N377" s="71">
        <v>1</v>
      </c>
      <c r="O377" s="72">
        <v>601</v>
      </c>
      <c r="P377" s="73" t="str">
        <f>VLOOKUP(Tabla6[[#This Row],[GEO]],Listas!$A$48:$B$77,2,0)</f>
        <v>RIOBAMBA</v>
      </c>
      <c r="Q377" s="70">
        <f>VLOOKUP(Tabla6[[#This Row],[PG]],Listas2!$G$14:$K$16,3,0)</f>
        <v>1</v>
      </c>
      <c r="R377" s="73">
        <f>VLOOKUP(Tabla6[[#This Row],[PG]],Listas2!H43:'Listas2'!$G$14:$K$16,4,0)</f>
        <v>0</v>
      </c>
      <c r="S377" s="73">
        <f>VLOOKUP(Tabla6[[#This Row],[PG]],Listas2!$G$14:$K$16,2,0)</f>
        <v>0</v>
      </c>
      <c r="T377" s="66" t="s">
        <v>84</v>
      </c>
      <c r="U377" s="74">
        <v>53</v>
      </c>
      <c r="V377" s="66">
        <v>530208</v>
      </c>
      <c r="W377" s="63" t="str">
        <f>VLOOKUP(Tabla6[[#This Row],[ÍTEM PRESUPUESTARIO]],Tabla2[#All],2,0)</f>
        <v>SERVICIO DE SEGURIDAD Y VIGILANCIA</v>
      </c>
      <c r="X377" s="57">
        <v>85893</v>
      </c>
      <c r="Y377" s="57">
        <f>85893-42731.12-1791.66+42946.92-1868.04-1051.83-0.01-816.2</f>
        <v>80581.06</v>
      </c>
      <c r="Z377" s="58">
        <v>0</v>
      </c>
      <c r="AA377" s="58">
        <v>6895.03</v>
      </c>
      <c r="AB377" s="58">
        <v>6895.03</v>
      </c>
      <c r="AC377" s="58">
        <v>6895.03</v>
      </c>
      <c r="AD377" s="58">
        <v>6895.03</v>
      </c>
      <c r="AE377" s="58">
        <v>6895.03</v>
      </c>
      <c r="AF377" s="58">
        <v>6895.07</v>
      </c>
      <c r="AG377" s="58">
        <v>7157.82</v>
      </c>
      <c r="AH377" s="58">
        <v>7157.82</v>
      </c>
      <c r="AI377" s="58">
        <v>7157.82</v>
      </c>
      <c r="AJ377" s="58">
        <v>7157.82</v>
      </c>
      <c r="AK377" s="58">
        <v>10579.56</v>
      </c>
      <c r="AL377" s="75">
        <f>+SUBTOTAL(9,Tabla6[[#This Row],[ENE]:[DIC]])</f>
        <v>80581.06</v>
      </c>
      <c r="AM377" s="76" t="str">
        <f t="shared" si="6"/>
        <v>OK</v>
      </c>
      <c r="AN377" s="60">
        <f>80581.05+0.01</f>
        <v>80581.06</v>
      </c>
      <c r="AO377" s="61">
        <f>+Tabla6[[#This Row],[PRESUPUESTO VIGENTE]]-Tabla6[[#This Row],[CERTIFICACIÓN PAPP]]</f>
        <v>0</v>
      </c>
      <c r="AP377" s="59">
        <v>0</v>
      </c>
    </row>
    <row r="378" spans="1:42" ht="93" customHeight="1" x14ac:dyDescent="0.25">
      <c r="A378" s="62" t="s">
        <v>78</v>
      </c>
      <c r="B378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378" s="64" t="s">
        <v>79</v>
      </c>
      <c r="D378" s="64" t="s">
        <v>80</v>
      </c>
      <c r="E378" s="64" t="s">
        <v>81</v>
      </c>
      <c r="F378" s="64" t="s">
        <v>96</v>
      </c>
      <c r="G378" s="64" t="s">
        <v>83</v>
      </c>
      <c r="H378" s="65" t="str">
        <f>VLOOKUP(Tabla6[[#This Row],[DIRECCIÓN]],DIRECCIÓN[#All],2,0)</f>
        <v>ADMINISTRACIÓN CENTRAL</v>
      </c>
      <c r="I378" s="66" t="s">
        <v>632</v>
      </c>
      <c r="J378" s="67">
        <v>1</v>
      </c>
      <c r="K378" s="68" t="str">
        <f>VLOOKUP(Tabla6[[#This Row],[DIRECCIÓN GENERAL / COORDINACIÓN / SUBDIRECCIÓN]],Tabla37[[#All],[Columna1]:[EOD]],2,0)</f>
        <v>266_0003</v>
      </c>
      <c r="L378" s="69">
        <f>VLOOKUP(Tabla6[[#This Row],[OBJETIVOS PND]],Listas!$A$1:$C$3,3,0)</f>
        <v>1</v>
      </c>
      <c r="M378" s="70">
        <f>VLOOKUP(Tabla6[[#This Row],[PG]],Listas2!$G$14:$K$16,5,0)</f>
        <v>0</v>
      </c>
      <c r="N378" s="71">
        <v>1</v>
      </c>
      <c r="O378" s="72">
        <v>601</v>
      </c>
      <c r="P378" s="73" t="str">
        <f>VLOOKUP(Tabla6[[#This Row],[GEO]],Listas!$A$48:$B$77,2,0)</f>
        <v>RIOBAMBA</v>
      </c>
      <c r="Q378" s="70">
        <f>VLOOKUP(Tabla6[[#This Row],[PG]],Listas2!$G$14:$K$16,3,0)</f>
        <v>1</v>
      </c>
      <c r="R378" s="73">
        <f>VLOOKUP(Tabla6[[#This Row],[PG]],Listas2!H44:'Listas2'!$G$14:$K$16,4,0)</f>
        <v>0</v>
      </c>
      <c r="S378" s="73">
        <f>VLOOKUP(Tabla6[[#This Row],[PG]],Listas2!$G$14:$K$16,2,0)</f>
        <v>0</v>
      </c>
      <c r="T378" s="66" t="s">
        <v>84</v>
      </c>
      <c r="U378" s="74">
        <v>53</v>
      </c>
      <c r="V378" s="66">
        <v>530209</v>
      </c>
      <c r="W378" s="63" t="str">
        <f>VLOOKUP(Tabla6[[#This Row],[ÍTEM PRESUPUESTARIO]],Tabla2[#All],2,0)</f>
        <v>SERVICIOS DE ASEO, LAVADO DE VESTIMENTA DE TRABAJO, FUMIGACIÓN, DESINFECCIÓN, LIMPIEZA DE INSTALACIONES, MANEJO DE DESECHOS CONTAMINADOS, RECUPERACIÓN Y CLASIFICACIÓN DE MATERIALES RECICLABLES</v>
      </c>
      <c r="X378" s="57">
        <v>1390</v>
      </c>
      <c r="Y378" s="57">
        <f>1390-261.25</f>
        <v>1128.75</v>
      </c>
      <c r="Z378" s="58">
        <v>1128.75</v>
      </c>
      <c r="AA378" s="58">
        <v>0</v>
      </c>
      <c r="AB378" s="58">
        <v>0</v>
      </c>
      <c r="AC378" s="58">
        <v>0</v>
      </c>
      <c r="AD378" s="58">
        <v>0</v>
      </c>
      <c r="AE378" s="58">
        <v>0</v>
      </c>
      <c r="AF378" s="58">
        <v>0</v>
      </c>
      <c r="AG378" s="58">
        <v>0</v>
      </c>
      <c r="AH378" s="58">
        <v>0</v>
      </c>
      <c r="AI378" s="58">
        <v>0</v>
      </c>
      <c r="AJ378" s="58">
        <v>0</v>
      </c>
      <c r="AK378" s="58">
        <v>0</v>
      </c>
      <c r="AL378" s="75">
        <f>+SUBTOTAL(9,Tabla6[[#This Row],[ENE]:[DIC]])</f>
        <v>1128.75</v>
      </c>
      <c r="AM378" s="76" t="str">
        <f t="shared" si="6"/>
        <v>OK</v>
      </c>
      <c r="AN378" s="60">
        <v>1128.75</v>
      </c>
      <c r="AO378" s="61">
        <f>+Tabla6[[#This Row],[PRESUPUESTO VIGENTE]]-Tabla6[[#This Row],[CERTIFICACIÓN PAPP]]</f>
        <v>0</v>
      </c>
      <c r="AP378" s="59">
        <v>0</v>
      </c>
    </row>
    <row r="379" spans="1:42" ht="93" customHeight="1" x14ac:dyDescent="0.25">
      <c r="A379" s="62" t="s">
        <v>78</v>
      </c>
      <c r="B379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379" s="64" t="s">
        <v>79</v>
      </c>
      <c r="D379" s="64" t="s">
        <v>80</v>
      </c>
      <c r="E379" s="64" t="s">
        <v>81</v>
      </c>
      <c r="F379" s="64" t="s">
        <v>96</v>
      </c>
      <c r="G379" s="64" t="s">
        <v>83</v>
      </c>
      <c r="H379" s="65" t="str">
        <f>VLOOKUP(Tabla6[[#This Row],[DIRECCIÓN]],DIRECCIÓN[#All],2,0)</f>
        <v>ADMINISTRACIÓN CENTRAL</v>
      </c>
      <c r="I379" s="66" t="s">
        <v>633</v>
      </c>
      <c r="J379" s="67">
        <v>1</v>
      </c>
      <c r="K379" s="68" t="str">
        <f>VLOOKUP(Tabla6[[#This Row],[DIRECCIÓN GENERAL / COORDINACIÓN / SUBDIRECCIÓN]],Tabla37[[#All],[Columna1]:[EOD]],2,0)</f>
        <v>266_0003</v>
      </c>
      <c r="L379" s="69">
        <f>VLOOKUP(Tabla6[[#This Row],[OBJETIVOS PND]],Listas!$A$1:$C$3,3,0)</f>
        <v>1</v>
      </c>
      <c r="M379" s="70">
        <f>VLOOKUP(Tabla6[[#This Row],[PG]],Listas2!$G$14:$K$16,5,0)</f>
        <v>0</v>
      </c>
      <c r="N379" s="71">
        <v>1</v>
      </c>
      <c r="O379" s="72">
        <v>601</v>
      </c>
      <c r="P379" s="73" t="str">
        <f>VLOOKUP(Tabla6[[#This Row],[GEO]],Listas!$A$48:$B$77,2,0)</f>
        <v>RIOBAMBA</v>
      </c>
      <c r="Q379" s="70">
        <f>VLOOKUP(Tabla6[[#This Row],[PG]],Listas2!$G$14:$K$16,3,0)</f>
        <v>1</v>
      </c>
      <c r="R379" s="73">
        <f>VLOOKUP(Tabla6[[#This Row],[PG]],Listas2!H45:'Listas2'!$G$14:$K$16,4,0)</f>
        <v>0</v>
      </c>
      <c r="S379" s="73">
        <f>VLOOKUP(Tabla6[[#This Row],[PG]],Listas2!$G$14:$K$16,2,0)</f>
        <v>0</v>
      </c>
      <c r="T379" s="66" t="s">
        <v>84</v>
      </c>
      <c r="U379" s="74">
        <v>53</v>
      </c>
      <c r="V379" s="66">
        <v>530209</v>
      </c>
      <c r="W379" s="63" t="str">
        <f>VLOOKUP(Tabla6[[#This Row],[ÍTEM PRESUPUESTARIO]],Tabla2[#All],2,0)</f>
        <v>SERVICIOS DE ASEO, LAVADO DE VESTIMENTA DE TRABAJO, FUMIGACIÓN, DESINFECCIÓN, LIMPIEZA DE INSTALACIONES, MANEJO DE DESECHOS CONTAMINADOS, RECUPERACIÓN Y CLASIFICACIÓN DE MATERIALES RECICLABLES</v>
      </c>
      <c r="X379" s="57">
        <v>40000</v>
      </c>
      <c r="Y379" s="57">
        <f>40000-11362-1193.24</f>
        <v>27444.76</v>
      </c>
      <c r="Z379" s="58">
        <v>0</v>
      </c>
      <c r="AA379" s="58">
        <v>2386.5</v>
      </c>
      <c r="AB379" s="58">
        <v>2386.5</v>
      </c>
      <c r="AC379" s="58">
        <v>2386.5</v>
      </c>
      <c r="AD379" s="58">
        <v>2386.5</v>
      </c>
      <c r="AE379" s="58">
        <v>2386.5</v>
      </c>
      <c r="AF379" s="58">
        <v>2386.5</v>
      </c>
      <c r="AG379" s="58">
        <v>2386.5</v>
      </c>
      <c r="AH379" s="58">
        <v>2386.5</v>
      </c>
      <c r="AI379" s="58">
        <v>2386.5</v>
      </c>
      <c r="AJ379" s="58">
        <v>2386.5</v>
      </c>
      <c r="AK379" s="58">
        <v>3579.76</v>
      </c>
      <c r="AL379" s="75">
        <f>+SUBTOTAL(9,Tabla6[[#This Row],[ENE]:[DIC]])</f>
        <v>27444.760000000002</v>
      </c>
      <c r="AM379" s="76" t="str">
        <f t="shared" si="6"/>
        <v>OK</v>
      </c>
      <c r="AN379" s="60">
        <v>27444.76</v>
      </c>
      <c r="AO379" s="61">
        <f>+Tabla6[[#This Row],[PRESUPUESTO VIGENTE]]-Tabla6[[#This Row],[CERTIFICACIÓN PAPP]]</f>
        <v>0</v>
      </c>
      <c r="AP379" s="59">
        <v>0</v>
      </c>
    </row>
    <row r="380" spans="1:42" ht="93" customHeight="1" x14ac:dyDescent="0.25">
      <c r="A380" s="62" t="s">
        <v>78</v>
      </c>
      <c r="B380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380" s="64" t="s">
        <v>79</v>
      </c>
      <c r="D380" s="64" t="s">
        <v>80</v>
      </c>
      <c r="E380" s="64" t="s">
        <v>81</v>
      </c>
      <c r="F380" s="64" t="s">
        <v>96</v>
      </c>
      <c r="G380" s="64" t="s">
        <v>83</v>
      </c>
      <c r="H380" s="65" t="str">
        <f>VLOOKUP(Tabla6[[#This Row],[DIRECCIÓN]],DIRECCIÓN[#All],2,0)</f>
        <v>ADMINISTRACIÓN CENTRAL</v>
      </c>
      <c r="I380" s="66" t="s">
        <v>634</v>
      </c>
      <c r="J380" s="67">
        <v>1</v>
      </c>
      <c r="K380" s="68" t="str">
        <f>VLOOKUP(Tabla6[[#This Row],[DIRECCIÓN GENERAL / COORDINACIÓN / SUBDIRECCIÓN]],Tabla37[[#All],[Columna1]:[EOD]],2,0)</f>
        <v>266_0003</v>
      </c>
      <c r="L380" s="69">
        <f>VLOOKUP(Tabla6[[#This Row],[OBJETIVOS PND]],Listas!$A$1:$C$3,3,0)</f>
        <v>1</v>
      </c>
      <c r="M380" s="70">
        <f>VLOOKUP(Tabla6[[#This Row],[PG]],Listas2!$G$14:$K$16,5,0)</f>
        <v>0</v>
      </c>
      <c r="N380" s="71">
        <v>1</v>
      </c>
      <c r="O380" s="72">
        <v>601</v>
      </c>
      <c r="P380" s="73" t="str">
        <f>VLOOKUP(Tabla6[[#This Row],[GEO]],Listas!$A$48:$B$77,2,0)</f>
        <v>RIOBAMBA</v>
      </c>
      <c r="Q380" s="70">
        <f>VLOOKUP(Tabla6[[#This Row],[PG]],Listas2!$G$14:$K$16,3,0)</f>
        <v>1</v>
      </c>
      <c r="R380" s="73">
        <f>VLOOKUP(Tabla6[[#This Row],[PG]],Listas2!H46:'Listas2'!$G$14:$K$16,4,0)</f>
        <v>0</v>
      </c>
      <c r="S380" s="73">
        <f>VLOOKUP(Tabla6[[#This Row],[PG]],Listas2!$G$14:$K$16,2,0)</f>
        <v>0</v>
      </c>
      <c r="T380" s="66" t="s">
        <v>84</v>
      </c>
      <c r="U380" s="74">
        <v>53</v>
      </c>
      <c r="V380" s="66">
        <v>530209</v>
      </c>
      <c r="W380" s="63" t="str">
        <f>VLOOKUP(Tabla6[[#This Row],[ÍTEM PRESUPUESTARIO]],Tabla2[#All],2,0)</f>
        <v>SERVICIOS DE ASEO, LAVADO DE VESTIMENTA DE TRABAJO, FUMIGACIÓN, DESINFECCIÓN, LIMPIEZA DE INSTALACIONES, MANEJO DE DESECHOS CONTAMINADOS, RECUPERACIÓN Y CLASIFICACIÓN DE MATERIALES RECICLABLES</v>
      </c>
      <c r="X380" s="57">
        <v>25000</v>
      </c>
      <c r="Y380" s="57">
        <f>25000-25000</f>
        <v>0</v>
      </c>
      <c r="Z380" s="58">
        <v>0</v>
      </c>
      <c r="AA380" s="58">
        <v>0</v>
      </c>
      <c r="AB380" s="58">
        <v>0</v>
      </c>
      <c r="AC380" s="58">
        <v>0</v>
      </c>
      <c r="AD380" s="58">
        <v>0</v>
      </c>
      <c r="AE380" s="58">
        <v>0</v>
      </c>
      <c r="AF380" s="58">
        <v>0</v>
      </c>
      <c r="AG380" s="58">
        <v>0</v>
      </c>
      <c r="AH380" s="58">
        <v>0</v>
      </c>
      <c r="AI380" s="58">
        <v>0</v>
      </c>
      <c r="AJ380" s="58">
        <v>0</v>
      </c>
      <c r="AK380" s="58">
        <v>0</v>
      </c>
      <c r="AL380" s="75">
        <f>+SUBTOTAL(9,Tabla6[[#This Row],[ENE]:[DIC]])</f>
        <v>0</v>
      </c>
      <c r="AM380" s="76" t="str">
        <f t="shared" ref="AM380:AM411" si="7">IF(AL380=Y380,"OK",Y380-AL380)</f>
        <v>OK</v>
      </c>
      <c r="AN380" s="60">
        <v>0</v>
      </c>
      <c r="AO380" s="61">
        <f>+Tabla6[[#This Row],[PRESUPUESTO VIGENTE]]-Tabla6[[#This Row],[CERTIFICACIÓN PAPP]]</f>
        <v>0</v>
      </c>
      <c r="AP380" s="59">
        <v>0</v>
      </c>
    </row>
    <row r="381" spans="1:42" ht="93" customHeight="1" x14ac:dyDescent="0.25">
      <c r="A381" s="62" t="s">
        <v>78</v>
      </c>
      <c r="B381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381" s="64" t="s">
        <v>79</v>
      </c>
      <c r="D381" s="64" t="s">
        <v>80</v>
      </c>
      <c r="E381" s="64" t="s">
        <v>81</v>
      </c>
      <c r="F381" s="64" t="s">
        <v>96</v>
      </c>
      <c r="G381" s="64" t="s">
        <v>83</v>
      </c>
      <c r="H381" s="65" t="str">
        <f>VLOOKUP(Tabla6[[#This Row],[DIRECCIÓN]],DIRECCIÓN[#All],2,0)</f>
        <v>ADMINISTRACIÓN CENTRAL</v>
      </c>
      <c r="I381" s="66" t="s">
        <v>635</v>
      </c>
      <c r="J381" s="67">
        <v>1</v>
      </c>
      <c r="K381" s="68" t="str">
        <f>VLOOKUP(Tabla6[[#This Row],[DIRECCIÓN GENERAL / COORDINACIÓN / SUBDIRECCIÓN]],Tabla37[[#All],[Columna1]:[EOD]],2,0)</f>
        <v>266_0003</v>
      </c>
      <c r="L381" s="69">
        <f>VLOOKUP(Tabla6[[#This Row],[OBJETIVOS PND]],Listas!$A$1:$C$3,3,0)</f>
        <v>1</v>
      </c>
      <c r="M381" s="70">
        <f>VLOOKUP(Tabla6[[#This Row],[PG]],Listas2!$G$14:$K$16,5,0)</f>
        <v>0</v>
      </c>
      <c r="N381" s="71">
        <v>1</v>
      </c>
      <c r="O381" s="72">
        <v>601</v>
      </c>
      <c r="P381" s="73" t="str">
        <f>VLOOKUP(Tabla6[[#This Row],[GEO]],Listas!$A$48:$B$77,2,0)</f>
        <v>RIOBAMBA</v>
      </c>
      <c r="Q381" s="70">
        <f>VLOOKUP(Tabla6[[#This Row],[PG]],Listas2!$G$14:$K$16,3,0)</f>
        <v>1</v>
      </c>
      <c r="R381" s="73">
        <f>VLOOKUP(Tabla6[[#This Row],[PG]],Listas2!H47:'Listas2'!$G$14:$K$16,4,0)</f>
        <v>0</v>
      </c>
      <c r="S381" s="73">
        <f>VLOOKUP(Tabla6[[#This Row],[PG]],Listas2!$G$14:$K$16,2,0)</f>
        <v>0</v>
      </c>
      <c r="T381" s="66" t="s">
        <v>84</v>
      </c>
      <c r="U381" s="74">
        <v>53</v>
      </c>
      <c r="V381" s="66">
        <v>530210</v>
      </c>
      <c r="W381" s="63" t="str">
        <f>VLOOKUP(Tabla6[[#This Row],[ÍTEM PRESUPUESTARIO]],Tabla2[#All],2,0)</f>
        <v>SERVICIO DE GUARDERÍA</v>
      </c>
      <c r="X381" s="57">
        <v>0</v>
      </c>
      <c r="Y381" s="57">
        <f>372+372-558</f>
        <v>186</v>
      </c>
      <c r="Z381" s="58">
        <v>0</v>
      </c>
      <c r="AA381" s="58">
        <v>0</v>
      </c>
      <c r="AB381" s="58">
        <v>0</v>
      </c>
      <c r="AC381" s="58">
        <v>0</v>
      </c>
      <c r="AD381" s="58">
        <v>0</v>
      </c>
      <c r="AE381" s="58">
        <v>0</v>
      </c>
      <c r="AF381" s="58">
        <v>0</v>
      </c>
      <c r="AG381" s="58">
        <v>0</v>
      </c>
      <c r="AH381" s="58">
        <v>0</v>
      </c>
      <c r="AI381" s="58">
        <v>0</v>
      </c>
      <c r="AJ381" s="58">
        <v>93</v>
      </c>
      <c r="AK381" s="58">
        <v>93</v>
      </c>
      <c r="AL381" s="75">
        <f>+SUBTOTAL(9,Tabla6[[#This Row],[ENE]:[DIC]])</f>
        <v>186</v>
      </c>
      <c r="AM381" s="76" t="str">
        <f t="shared" si="7"/>
        <v>OK</v>
      </c>
      <c r="AN381" s="60">
        <f>744-558</f>
        <v>186</v>
      </c>
      <c r="AO381" s="61">
        <f>+Tabla6[[#This Row],[PRESUPUESTO VIGENTE]]-Tabla6[[#This Row],[CERTIFICACIÓN PAPP]]</f>
        <v>0</v>
      </c>
      <c r="AP381" s="59">
        <v>0</v>
      </c>
    </row>
    <row r="382" spans="1:42" ht="93" customHeight="1" x14ac:dyDescent="0.25">
      <c r="A382" s="62" t="s">
        <v>78</v>
      </c>
      <c r="B382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382" s="64" t="s">
        <v>79</v>
      </c>
      <c r="D382" s="64" t="s">
        <v>80</v>
      </c>
      <c r="E382" s="64" t="s">
        <v>81</v>
      </c>
      <c r="F382" s="64" t="s">
        <v>96</v>
      </c>
      <c r="G382" s="64" t="s">
        <v>83</v>
      </c>
      <c r="H382" s="65" t="str">
        <f>VLOOKUP(Tabla6[[#This Row],[DIRECCIÓN]],DIRECCIÓN[#All],2,0)</f>
        <v>ADMINISTRACIÓN CENTRAL</v>
      </c>
      <c r="I382" s="66" t="s">
        <v>97</v>
      </c>
      <c r="J382" s="67">
        <v>1</v>
      </c>
      <c r="K382" s="68" t="str">
        <f>VLOOKUP(Tabla6[[#This Row],[DIRECCIÓN GENERAL / COORDINACIÓN / SUBDIRECCIÓN]],Tabla37[[#All],[Columna1]:[EOD]],2,0)</f>
        <v>266_0003</v>
      </c>
      <c r="L382" s="69">
        <f>VLOOKUP(Tabla6[[#This Row],[OBJETIVOS PND]],Listas!$A$1:$C$3,3,0)</f>
        <v>1</v>
      </c>
      <c r="M382" s="70">
        <f>VLOOKUP(Tabla6[[#This Row],[PG]],Listas2!$G$14:$K$16,5,0)</f>
        <v>0</v>
      </c>
      <c r="N382" s="71">
        <v>1</v>
      </c>
      <c r="O382" s="72">
        <v>601</v>
      </c>
      <c r="P382" s="73" t="str">
        <f>VLOOKUP(Tabla6[[#This Row],[GEO]],Listas!$A$48:$B$77,2,0)</f>
        <v>RIOBAMBA</v>
      </c>
      <c r="Q382" s="70">
        <f>VLOOKUP(Tabla6[[#This Row],[PG]],Listas2!$G$14:$K$16,3,0)</f>
        <v>1</v>
      </c>
      <c r="R382" s="73">
        <f>VLOOKUP(Tabla6[[#This Row],[PG]],Listas2!H48:'Listas2'!$G$14:$K$16,4,0)</f>
        <v>0</v>
      </c>
      <c r="S382" s="73">
        <f>VLOOKUP(Tabla6[[#This Row],[PG]],Listas2!$G$14:$K$16,2,0)</f>
        <v>0</v>
      </c>
      <c r="T382" s="66" t="s">
        <v>84</v>
      </c>
      <c r="U382" s="74">
        <v>53</v>
      </c>
      <c r="V382" s="66">
        <v>530228</v>
      </c>
      <c r="W382" s="63" t="str">
        <f>VLOOKUP(Tabla6[[#This Row],[ÍTEM PRESUPUESTARIO]],Tabla2[#All],2,0)</f>
        <v>SERVICIOS DE PROVISIÓN DE DISPOSITIVOS ELECTRONICOS Y CERTIFICACION PARA REGISTRO DE FIRMAS DIGITALES</v>
      </c>
      <c r="X382" s="57">
        <v>0</v>
      </c>
      <c r="Y382" s="57">
        <f>54.88-24.64</f>
        <v>30.240000000000002</v>
      </c>
      <c r="Z382" s="58">
        <v>0</v>
      </c>
      <c r="AA382" s="58">
        <v>0</v>
      </c>
      <c r="AB382" s="58">
        <v>0</v>
      </c>
      <c r="AC382" s="58">
        <v>0</v>
      </c>
      <c r="AD382" s="58">
        <v>0</v>
      </c>
      <c r="AE382" s="58">
        <v>0</v>
      </c>
      <c r="AF382" s="58">
        <v>0</v>
      </c>
      <c r="AG382" s="58">
        <v>30.24</v>
      </c>
      <c r="AH382" s="58">
        <v>0</v>
      </c>
      <c r="AI382" s="58">
        <v>0</v>
      </c>
      <c r="AJ382" s="58">
        <v>0</v>
      </c>
      <c r="AK382" s="58">
        <v>0</v>
      </c>
      <c r="AL382" s="75">
        <f>+SUBTOTAL(9,Tabla6[[#This Row],[ENE]:[DIC]])</f>
        <v>30.24</v>
      </c>
      <c r="AM382" s="76" t="str">
        <f t="shared" si="7"/>
        <v>OK</v>
      </c>
      <c r="AN382" s="60">
        <v>30.24</v>
      </c>
      <c r="AO382" s="61">
        <f>+Tabla6[[#This Row],[PRESUPUESTO VIGENTE]]-Tabla6[[#This Row],[CERTIFICACIÓN PAPP]]</f>
        <v>0</v>
      </c>
      <c r="AP382" s="59">
        <v>0</v>
      </c>
    </row>
    <row r="383" spans="1:42" ht="93" customHeight="1" x14ac:dyDescent="0.25">
      <c r="A383" s="62" t="s">
        <v>78</v>
      </c>
      <c r="B383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383" s="64" t="s">
        <v>79</v>
      </c>
      <c r="D383" s="64" t="s">
        <v>80</v>
      </c>
      <c r="E383" s="64" t="s">
        <v>81</v>
      </c>
      <c r="F383" s="64" t="s">
        <v>96</v>
      </c>
      <c r="G383" s="64" t="s">
        <v>83</v>
      </c>
      <c r="H383" s="65" t="str">
        <f>VLOOKUP(Tabla6[[#This Row],[DIRECCIÓN]],DIRECCIÓN[#All],2,0)</f>
        <v>ADMINISTRACIÓN CENTRAL</v>
      </c>
      <c r="I383" s="66" t="s">
        <v>636</v>
      </c>
      <c r="J383" s="67">
        <v>1</v>
      </c>
      <c r="K383" s="68" t="str">
        <f>VLOOKUP(Tabla6[[#This Row],[DIRECCIÓN GENERAL / COORDINACIÓN / SUBDIRECCIÓN]],Tabla37[[#All],[Columna1]:[EOD]],2,0)</f>
        <v>266_0003</v>
      </c>
      <c r="L383" s="69">
        <f>VLOOKUP(Tabla6[[#This Row],[OBJETIVOS PND]],Listas!$A$1:$C$3,3,0)</f>
        <v>1</v>
      </c>
      <c r="M383" s="70">
        <f>VLOOKUP(Tabla6[[#This Row],[PG]],Listas2!$G$14:$K$16,5,0)</f>
        <v>0</v>
      </c>
      <c r="N383" s="71">
        <v>1</v>
      </c>
      <c r="O383" s="72">
        <v>601</v>
      </c>
      <c r="P383" s="73" t="str">
        <f>VLOOKUP(Tabla6[[#This Row],[GEO]],Listas!$A$48:$B$77,2,0)</f>
        <v>RIOBAMBA</v>
      </c>
      <c r="Q383" s="70">
        <f>VLOOKUP(Tabla6[[#This Row],[PG]],Listas2!$G$14:$K$16,3,0)</f>
        <v>1</v>
      </c>
      <c r="R383" s="73">
        <f>VLOOKUP(Tabla6[[#This Row],[PG]],Listas2!H49:'Listas2'!$G$14:$K$16,4,0)</f>
        <v>0</v>
      </c>
      <c r="S383" s="73">
        <f>VLOOKUP(Tabla6[[#This Row],[PG]],Listas2!$G$14:$K$16,2,0)</f>
        <v>0</v>
      </c>
      <c r="T383" s="66" t="s">
        <v>84</v>
      </c>
      <c r="U383" s="74">
        <v>53</v>
      </c>
      <c r="V383" s="66">
        <v>530246</v>
      </c>
      <c r="W383" s="63" t="str">
        <f>VLOOKUP(Tabla6[[#This Row],[ÍTEM PRESUPUESTARIO]],Tabla2[#All],2,0)</f>
        <v>SERVICIOS DE IDENTIFICACIÓN, MARCACIÓN, AUTENTIFICACIÓN, RASTREO, MONITOREO, SEGUIMIENTO Y/O TRAZABILIDAD</v>
      </c>
      <c r="X383" s="57">
        <v>1440</v>
      </c>
      <c r="Y383" s="57">
        <f>1440-1022.91-117.09+0.01</f>
        <v>300.01</v>
      </c>
      <c r="Z383" s="58">
        <v>0</v>
      </c>
      <c r="AA383" s="58">
        <v>0</v>
      </c>
      <c r="AB383" s="58">
        <v>0</v>
      </c>
      <c r="AC383" s="58">
        <v>33.33</v>
      </c>
      <c r="AD383" s="58">
        <v>33.33</v>
      </c>
      <c r="AE383" s="58">
        <v>33.33</v>
      </c>
      <c r="AF383" s="58">
        <v>33.33</v>
      </c>
      <c r="AG383" s="58">
        <v>33.33</v>
      </c>
      <c r="AH383" s="58">
        <v>33.33</v>
      </c>
      <c r="AI383" s="58">
        <v>33.33</v>
      </c>
      <c r="AJ383" s="58">
        <v>33.33</v>
      </c>
      <c r="AK383" s="58">
        <v>33.369999999999997</v>
      </c>
      <c r="AL383" s="75">
        <f>+SUBTOTAL(9,Tabla6[[#This Row],[ENE]:[DIC]])</f>
        <v>300.00999999999993</v>
      </c>
      <c r="AM383" s="76" t="str">
        <f t="shared" si="7"/>
        <v>OK</v>
      </c>
      <c r="AN383" s="60">
        <v>300.01</v>
      </c>
      <c r="AO383" s="61">
        <f>+Tabla6[[#This Row],[PRESUPUESTO VIGENTE]]-Tabla6[[#This Row],[CERTIFICACIÓN PAPP]]</f>
        <v>0</v>
      </c>
      <c r="AP383" s="59">
        <v>0</v>
      </c>
    </row>
    <row r="384" spans="1:42" ht="93" customHeight="1" x14ac:dyDescent="0.25">
      <c r="A384" s="62" t="s">
        <v>78</v>
      </c>
      <c r="B384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384" s="64" t="s">
        <v>79</v>
      </c>
      <c r="D384" s="64" t="s">
        <v>80</v>
      </c>
      <c r="E384" s="64" t="s">
        <v>81</v>
      </c>
      <c r="F384" s="64" t="s">
        <v>96</v>
      </c>
      <c r="G384" s="64" t="s">
        <v>83</v>
      </c>
      <c r="H384" s="65" t="str">
        <f>VLOOKUP(Tabla6[[#This Row],[DIRECCIÓN]],DIRECCIÓN[#All],2,0)</f>
        <v>ADMINISTRACIÓN CENTRAL</v>
      </c>
      <c r="I384" s="66" t="s">
        <v>627</v>
      </c>
      <c r="J384" s="67">
        <v>1</v>
      </c>
      <c r="K384" s="68" t="str">
        <f>VLOOKUP(Tabla6[[#This Row],[DIRECCIÓN GENERAL / COORDINACIÓN / SUBDIRECCIÓN]],Tabla37[[#All],[Columna1]:[EOD]],2,0)</f>
        <v>266_0003</v>
      </c>
      <c r="L384" s="69">
        <f>VLOOKUP(Tabla6[[#This Row],[OBJETIVOS PND]],Listas!$A$1:$C$3,3,0)</f>
        <v>1</v>
      </c>
      <c r="M384" s="70">
        <f>VLOOKUP(Tabla6[[#This Row],[PG]],Listas2!$G$14:$K$16,5,0)</f>
        <v>0</v>
      </c>
      <c r="N384" s="71">
        <v>1</v>
      </c>
      <c r="O384" s="72">
        <v>601</v>
      </c>
      <c r="P384" s="73" t="str">
        <f>VLOOKUP(Tabla6[[#This Row],[GEO]],Listas!$A$48:$B$77,2,0)</f>
        <v>RIOBAMBA</v>
      </c>
      <c r="Q384" s="70">
        <f>VLOOKUP(Tabla6[[#This Row],[PG]],Listas2!$G$14:$K$16,3,0)</f>
        <v>1</v>
      </c>
      <c r="R384" s="73">
        <f>VLOOKUP(Tabla6[[#This Row],[PG]],Listas2!H50:'Listas2'!$G$14:$K$16,4,0)</f>
        <v>0</v>
      </c>
      <c r="S384" s="73">
        <f>VLOOKUP(Tabla6[[#This Row],[PG]],Listas2!$G$14:$K$16,2,0)</f>
        <v>0</v>
      </c>
      <c r="T384" s="66" t="s">
        <v>84</v>
      </c>
      <c r="U384" s="74">
        <v>53</v>
      </c>
      <c r="V384" s="66">
        <v>530255</v>
      </c>
      <c r="W384" s="63" t="str">
        <f>VLOOKUP(Tabla6[[#This Row],[ÍTEM PRESUPUESTARIO]],Tabla2[#All],2,0)</f>
        <v>COMBUSTIBLES</v>
      </c>
      <c r="X384" s="57">
        <v>0</v>
      </c>
      <c r="Y384" s="57">
        <f>40+40</f>
        <v>80</v>
      </c>
      <c r="Z384" s="58">
        <v>0</v>
      </c>
      <c r="AA384" s="58">
        <v>0</v>
      </c>
      <c r="AB384" s="58">
        <v>4</v>
      </c>
      <c r="AC384" s="58">
        <v>4</v>
      </c>
      <c r="AD384" s="58">
        <v>4</v>
      </c>
      <c r="AE384" s="58">
        <v>4</v>
      </c>
      <c r="AF384" s="58">
        <v>10.67</v>
      </c>
      <c r="AG384" s="58">
        <v>10.67</v>
      </c>
      <c r="AH384" s="58">
        <v>10.67</v>
      </c>
      <c r="AI384" s="58">
        <v>10.67</v>
      </c>
      <c r="AJ384" s="58">
        <v>21.32</v>
      </c>
      <c r="AK384" s="58">
        <v>0</v>
      </c>
      <c r="AL384" s="75">
        <f>+SUBTOTAL(9,Tabla6[[#This Row],[ENE]:[DIC]])</f>
        <v>80</v>
      </c>
      <c r="AM384" s="76" t="str">
        <f t="shared" si="7"/>
        <v>OK</v>
      </c>
      <c r="AN384" s="60">
        <f>40+40</f>
        <v>80</v>
      </c>
      <c r="AO384" s="61">
        <f>+Tabla6[[#This Row],[PRESUPUESTO VIGENTE]]-Tabla6[[#This Row],[CERTIFICACIÓN PAPP]]</f>
        <v>0</v>
      </c>
      <c r="AP384" s="59">
        <v>0</v>
      </c>
    </row>
    <row r="385" spans="1:42" ht="93" customHeight="1" x14ac:dyDescent="0.25">
      <c r="A385" s="62" t="s">
        <v>78</v>
      </c>
      <c r="B385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385" s="64" t="s">
        <v>79</v>
      </c>
      <c r="D385" s="64" t="s">
        <v>80</v>
      </c>
      <c r="E385" s="64" t="s">
        <v>81</v>
      </c>
      <c r="F385" s="64" t="s">
        <v>96</v>
      </c>
      <c r="G385" s="64" t="s">
        <v>83</v>
      </c>
      <c r="H385" s="65" t="str">
        <f>VLOOKUP(Tabla6[[#This Row],[DIRECCIÓN]],DIRECCIÓN[#All],2,0)</f>
        <v>ADMINISTRACIÓN CENTRAL</v>
      </c>
      <c r="I385" s="66" t="s">
        <v>637</v>
      </c>
      <c r="J385" s="67">
        <v>1</v>
      </c>
      <c r="K385" s="68" t="str">
        <f>VLOOKUP(Tabla6[[#This Row],[DIRECCIÓN GENERAL / COORDINACIÓN / SUBDIRECCIÓN]],Tabla37[[#All],[Columna1]:[EOD]],2,0)</f>
        <v>266_0003</v>
      </c>
      <c r="L385" s="69">
        <f>VLOOKUP(Tabla6[[#This Row],[OBJETIVOS PND]],Listas!$A$1:$C$3,3,0)</f>
        <v>1</v>
      </c>
      <c r="M385" s="70">
        <f>VLOOKUP(Tabla6[[#This Row],[PG]],Listas2!$G$14:$K$16,5,0)</f>
        <v>0</v>
      </c>
      <c r="N385" s="71">
        <v>1</v>
      </c>
      <c r="O385" s="72">
        <v>601</v>
      </c>
      <c r="P385" s="73" t="str">
        <f>VLOOKUP(Tabla6[[#This Row],[GEO]],Listas!$A$48:$B$77,2,0)</f>
        <v>RIOBAMBA</v>
      </c>
      <c r="Q385" s="70">
        <f>VLOOKUP(Tabla6[[#This Row],[PG]],Listas2!$G$14:$K$16,3,0)</f>
        <v>1</v>
      </c>
      <c r="R385" s="73">
        <f>VLOOKUP(Tabla6[[#This Row],[PG]],Listas2!H51:'Listas2'!$G$14:$K$16,4,0)</f>
        <v>0</v>
      </c>
      <c r="S385" s="73">
        <f>VLOOKUP(Tabla6[[#This Row],[PG]],Listas2!$G$14:$K$16,2,0)</f>
        <v>0</v>
      </c>
      <c r="T385" s="66" t="s">
        <v>84</v>
      </c>
      <c r="U385" s="74">
        <v>53</v>
      </c>
      <c r="V385" s="66">
        <v>530255</v>
      </c>
      <c r="W385" s="63" t="str">
        <f>VLOOKUP(Tabla6[[#This Row],[ÍTEM PRESUPUESTARIO]],Tabla2[#All],2,0)</f>
        <v>COMBUSTIBLES</v>
      </c>
      <c r="X385" s="57">
        <v>0</v>
      </c>
      <c r="Y385" s="57">
        <f>2717.32-120.93-138.5-570.6</f>
        <v>1887.2900000000004</v>
      </c>
      <c r="Z385" s="58">
        <v>0</v>
      </c>
      <c r="AA385" s="58">
        <v>188.73</v>
      </c>
      <c r="AB385" s="58">
        <v>188.73</v>
      </c>
      <c r="AC385" s="58">
        <v>188.73</v>
      </c>
      <c r="AD385" s="58">
        <v>188.73</v>
      </c>
      <c r="AE385" s="58">
        <v>188.73</v>
      </c>
      <c r="AF385" s="58">
        <v>188.73</v>
      </c>
      <c r="AG385" s="58">
        <v>188.73</v>
      </c>
      <c r="AH385" s="58">
        <v>188.73</v>
      </c>
      <c r="AI385" s="58">
        <v>188.73</v>
      </c>
      <c r="AJ385" s="58">
        <v>188.72</v>
      </c>
      <c r="AK385" s="58">
        <v>0</v>
      </c>
      <c r="AL385" s="75">
        <f>+SUBTOTAL(9,Tabla6[[#This Row],[ENE]:[DIC]])</f>
        <v>1887.29</v>
      </c>
      <c r="AM385" s="76" t="str">
        <f t="shared" si="7"/>
        <v>OK</v>
      </c>
      <c r="AN385" s="60">
        <f>2217.33-330.04</f>
        <v>1887.29</v>
      </c>
      <c r="AO385" s="61">
        <f>+Tabla6[[#This Row],[PRESUPUESTO VIGENTE]]-Tabla6[[#This Row],[CERTIFICACIÓN PAPP]]</f>
        <v>0</v>
      </c>
      <c r="AP385" s="59">
        <v>0</v>
      </c>
    </row>
    <row r="386" spans="1:42" ht="93" customHeight="1" x14ac:dyDescent="0.25">
      <c r="A386" s="62" t="s">
        <v>78</v>
      </c>
      <c r="B386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386" s="64" t="s">
        <v>79</v>
      </c>
      <c r="D386" s="64" t="s">
        <v>80</v>
      </c>
      <c r="E386" s="64" t="s">
        <v>81</v>
      </c>
      <c r="F386" s="64" t="s">
        <v>96</v>
      </c>
      <c r="G386" s="64" t="s">
        <v>83</v>
      </c>
      <c r="H386" s="65" t="str">
        <f>VLOOKUP(Tabla6[[#This Row],[DIRECCIÓN]],DIRECCIÓN[#All],2,0)</f>
        <v>ADMINISTRACIÓN CENTRAL</v>
      </c>
      <c r="I386" s="66" t="s">
        <v>638</v>
      </c>
      <c r="J386" s="67">
        <v>1</v>
      </c>
      <c r="K386" s="68" t="str">
        <f>VLOOKUP(Tabla6[[#This Row],[DIRECCIÓN GENERAL / COORDINACIÓN / SUBDIRECCIÓN]],Tabla37[[#All],[Columna1]:[EOD]],2,0)</f>
        <v>266_0003</v>
      </c>
      <c r="L386" s="69">
        <f>VLOOKUP(Tabla6[[#This Row],[OBJETIVOS PND]],Listas!$A$1:$C$3,3,0)</f>
        <v>1</v>
      </c>
      <c r="M386" s="70">
        <f>VLOOKUP(Tabla6[[#This Row],[PG]],Listas2!$G$14:$K$16,5,0)</f>
        <v>0</v>
      </c>
      <c r="N386" s="71">
        <v>1</v>
      </c>
      <c r="O386" s="72">
        <v>601</v>
      </c>
      <c r="P386" s="73" t="str">
        <f>VLOOKUP(Tabla6[[#This Row],[GEO]],Listas!$A$48:$B$77,2,0)</f>
        <v>RIOBAMBA</v>
      </c>
      <c r="Q386" s="70">
        <f>VLOOKUP(Tabla6[[#This Row],[PG]],Listas2!$G$14:$K$16,3,0)</f>
        <v>1</v>
      </c>
      <c r="R386" s="73">
        <f>VLOOKUP(Tabla6[[#This Row],[PG]],Listas2!H52:'Listas2'!$G$14:$K$16,4,0)</f>
        <v>0</v>
      </c>
      <c r="S386" s="73">
        <f>VLOOKUP(Tabla6[[#This Row],[PG]],Listas2!$G$14:$K$16,2,0)</f>
        <v>0</v>
      </c>
      <c r="T386" s="66" t="s">
        <v>84</v>
      </c>
      <c r="U386" s="74">
        <v>53</v>
      </c>
      <c r="V386" s="66">
        <v>530255</v>
      </c>
      <c r="W386" s="63" t="str">
        <f>VLOOKUP(Tabla6[[#This Row],[ÍTEM PRESUPUESTARIO]],Tabla2[#All],2,0)</f>
        <v>COMBUSTIBLES</v>
      </c>
      <c r="X386" s="57">
        <v>0</v>
      </c>
      <c r="Y386" s="57">
        <v>509.38</v>
      </c>
      <c r="Z386" s="58">
        <v>0</v>
      </c>
      <c r="AA386" s="58">
        <v>0</v>
      </c>
      <c r="AB386" s="58">
        <v>0</v>
      </c>
      <c r="AC386" s="58">
        <v>0</v>
      </c>
      <c r="AD386" s="58">
        <v>0</v>
      </c>
      <c r="AE386" s="58">
        <v>0</v>
      </c>
      <c r="AF386" s="58">
        <v>0</v>
      </c>
      <c r="AG386" s="58">
        <v>0</v>
      </c>
      <c r="AH386" s="58">
        <v>0</v>
      </c>
      <c r="AI386" s="58">
        <v>254.69</v>
      </c>
      <c r="AJ386" s="58">
        <v>254.69</v>
      </c>
      <c r="AK386" s="58">
        <v>0</v>
      </c>
      <c r="AL386" s="75">
        <f>+SUBTOTAL(9,Tabla6[[#This Row],[ENE]:[DIC]])</f>
        <v>509.38</v>
      </c>
      <c r="AM386" s="76" t="str">
        <f t="shared" si="7"/>
        <v>OK</v>
      </c>
      <c r="AN386" s="60">
        <v>509.38</v>
      </c>
      <c r="AO386" s="61">
        <f>+Tabla6[[#This Row],[PRESUPUESTO VIGENTE]]-Tabla6[[#This Row],[CERTIFICACIÓN PAPP]]</f>
        <v>0</v>
      </c>
      <c r="AP386" s="59">
        <v>0</v>
      </c>
    </row>
    <row r="387" spans="1:42" ht="93" customHeight="1" x14ac:dyDescent="0.25">
      <c r="A387" s="62" t="s">
        <v>78</v>
      </c>
      <c r="B387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387" s="64" t="s">
        <v>79</v>
      </c>
      <c r="D387" s="64" t="s">
        <v>80</v>
      </c>
      <c r="E387" s="64" t="s">
        <v>81</v>
      </c>
      <c r="F387" s="64" t="s">
        <v>96</v>
      </c>
      <c r="G387" s="64" t="s">
        <v>83</v>
      </c>
      <c r="H387" s="65" t="str">
        <f>VLOOKUP(Tabla6[[#This Row],[DIRECCIÓN]],DIRECCIÓN[#All],2,0)</f>
        <v>ADMINISTRACIÓN CENTRAL</v>
      </c>
      <c r="I387" s="66" t="s">
        <v>627</v>
      </c>
      <c r="J387" s="67">
        <v>1</v>
      </c>
      <c r="K387" s="68" t="str">
        <f>VLOOKUP(Tabla6[[#This Row],[DIRECCIÓN GENERAL / COORDINACIÓN / SUBDIRECCIÓN]],Tabla37[[#All],[Columna1]:[EOD]],2,0)</f>
        <v>266_0003</v>
      </c>
      <c r="L387" s="69">
        <f>VLOOKUP(Tabla6[[#This Row],[OBJETIVOS PND]],Listas!$A$1:$C$3,3,0)</f>
        <v>1</v>
      </c>
      <c r="M387" s="70">
        <f>VLOOKUP(Tabla6[[#This Row],[PG]],Listas2!$G$14:$K$16,5,0)</f>
        <v>0</v>
      </c>
      <c r="N387" s="71">
        <v>1</v>
      </c>
      <c r="O387" s="72">
        <v>601</v>
      </c>
      <c r="P387" s="73" t="str">
        <f>VLOOKUP(Tabla6[[#This Row],[GEO]],Listas!$A$48:$B$77,2,0)</f>
        <v>RIOBAMBA</v>
      </c>
      <c r="Q387" s="70">
        <f>VLOOKUP(Tabla6[[#This Row],[PG]],Listas2!$G$14:$K$16,3,0)</f>
        <v>1</v>
      </c>
      <c r="R387" s="73">
        <f>VLOOKUP(Tabla6[[#This Row],[PG]],Listas2!H53:'Listas2'!$G$14:$K$16,4,0)</f>
        <v>0</v>
      </c>
      <c r="S387" s="73">
        <f>VLOOKUP(Tabla6[[#This Row],[PG]],Listas2!$G$14:$K$16,2,0)</f>
        <v>0</v>
      </c>
      <c r="T387" s="66" t="s">
        <v>84</v>
      </c>
      <c r="U387" s="74">
        <v>53</v>
      </c>
      <c r="V387" s="66">
        <v>530301</v>
      </c>
      <c r="W387" s="63" t="str">
        <f>VLOOKUP(Tabla6[[#This Row],[ÍTEM PRESUPUESTARIO]],Tabla2[#All],2,0)</f>
        <v>PASAJES AL INTERIOR</v>
      </c>
      <c r="X387" s="57">
        <v>0</v>
      </c>
      <c r="Y387" s="57">
        <f>150+100+397.4+500-975</f>
        <v>172.40000000000009</v>
      </c>
      <c r="Z387" s="58">
        <v>0</v>
      </c>
      <c r="AA387" s="58">
        <v>0</v>
      </c>
      <c r="AB387" s="58">
        <v>19.149999999999999</v>
      </c>
      <c r="AC387" s="58">
        <v>19.149999999999999</v>
      </c>
      <c r="AD387" s="58">
        <v>19.149999999999999</v>
      </c>
      <c r="AE387" s="58">
        <v>19.149999999999999</v>
      </c>
      <c r="AF387" s="58">
        <v>19.149999999999999</v>
      </c>
      <c r="AG387" s="58">
        <v>19.149999999999999</v>
      </c>
      <c r="AH387" s="58">
        <v>19.149999999999999</v>
      </c>
      <c r="AI387" s="58">
        <v>19.149999999999999</v>
      </c>
      <c r="AJ387" s="58">
        <v>19.2</v>
      </c>
      <c r="AK387" s="58">
        <v>0</v>
      </c>
      <c r="AL387" s="75">
        <f>+SUBTOTAL(9,Tabla6[[#This Row],[ENE]:[DIC]])</f>
        <v>172.4</v>
      </c>
      <c r="AM387" s="76" t="str">
        <f t="shared" si="7"/>
        <v>OK</v>
      </c>
      <c r="AN387" s="60">
        <f>250+397.4+500-975</f>
        <v>172.40000000000009</v>
      </c>
      <c r="AO387" s="61">
        <f>+Tabla6[[#This Row],[PRESUPUESTO VIGENTE]]-Tabla6[[#This Row],[CERTIFICACIÓN PAPP]]</f>
        <v>0</v>
      </c>
      <c r="AP387" s="59">
        <v>0</v>
      </c>
    </row>
    <row r="388" spans="1:42" ht="93" customHeight="1" x14ac:dyDescent="0.25">
      <c r="A388" s="62" t="s">
        <v>78</v>
      </c>
      <c r="B388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388" s="64" t="s">
        <v>79</v>
      </c>
      <c r="D388" s="64" t="s">
        <v>80</v>
      </c>
      <c r="E388" s="64" t="s">
        <v>81</v>
      </c>
      <c r="F388" s="64" t="s">
        <v>96</v>
      </c>
      <c r="G388" s="64" t="s">
        <v>83</v>
      </c>
      <c r="H388" s="65" t="str">
        <f>VLOOKUP(Tabla6[[#This Row],[DIRECCIÓN]],DIRECCIÓN[#All],2,0)</f>
        <v>ADMINISTRACIÓN CENTRAL</v>
      </c>
      <c r="I388" s="66" t="s">
        <v>627</v>
      </c>
      <c r="J388" s="67">
        <v>1</v>
      </c>
      <c r="K388" s="68" t="str">
        <f>VLOOKUP(Tabla6[[#This Row],[DIRECCIÓN GENERAL / COORDINACIÓN / SUBDIRECCIÓN]],Tabla37[[#All],[Columna1]:[EOD]],2,0)</f>
        <v>266_0003</v>
      </c>
      <c r="L388" s="69">
        <f>VLOOKUP(Tabla6[[#This Row],[OBJETIVOS PND]],Listas!$A$1:$C$3,3,0)</f>
        <v>1</v>
      </c>
      <c r="M388" s="70">
        <f>VLOOKUP(Tabla6[[#This Row],[PG]],Listas2!$G$14:$K$16,5,0)</f>
        <v>0</v>
      </c>
      <c r="N388" s="71">
        <v>1</v>
      </c>
      <c r="O388" s="72">
        <v>601</v>
      </c>
      <c r="P388" s="73" t="str">
        <f>VLOOKUP(Tabla6[[#This Row],[GEO]],Listas!$A$48:$B$77,2,0)</f>
        <v>RIOBAMBA</v>
      </c>
      <c r="Q388" s="70">
        <f>VLOOKUP(Tabla6[[#This Row],[PG]],Listas2!$G$14:$K$16,3,0)</f>
        <v>1</v>
      </c>
      <c r="R388" s="73">
        <f>VLOOKUP(Tabla6[[#This Row],[PG]],Listas2!H54:'Listas2'!$G$14:$K$16,4,0)</f>
        <v>0</v>
      </c>
      <c r="S388" s="73">
        <f>VLOOKUP(Tabla6[[#This Row],[PG]],Listas2!$G$14:$K$16,2,0)</f>
        <v>0</v>
      </c>
      <c r="T388" s="66" t="s">
        <v>84</v>
      </c>
      <c r="U388" s="74">
        <v>53</v>
      </c>
      <c r="V388" s="66">
        <v>530303</v>
      </c>
      <c r="W388" s="63" t="str">
        <f>VLOOKUP(Tabla6[[#This Row],[ÍTEM PRESUPUESTARIO]],Tabla2[#All],2,0)</f>
        <v>VIÁTICOS Y SUBSISTENCIAS EN EL INTERIOR</v>
      </c>
      <c r="X388" s="57">
        <v>0</v>
      </c>
      <c r="Y388" s="57">
        <f>1040+800+1473.44+3000-2313.28</f>
        <v>4000.1600000000003</v>
      </c>
      <c r="Z388" s="58">
        <v>0</v>
      </c>
      <c r="AA388" s="58">
        <v>0</v>
      </c>
      <c r="AB388" s="58">
        <v>444.46</v>
      </c>
      <c r="AC388" s="58">
        <v>444.46</v>
      </c>
      <c r="AD388" s="58">
        <v>444.46</v>
      </c>
      <c r="AE388" s="58">
        <v>444.46</v>
      </c>
      <c r="AF388" s="58">
        <v>444.46</v>
      </c>
      <c r="AG388" s="58">
        <v>444.46</v>
      </c>
      <c r="AH388" s="58">
        <v>444.46</v>
      </c>
      <c r="AI388" s="58">
        <v>444.46</v>
      </c>
      <c r="AJ388" s="58">
        <v>444.48</v>
      </c>
      <c r="AK388" s="58">
        <v>0</v>
      </c>
      <c r="AL388" s="75">
        <f>+SUBTOTAL(9,Tabla6[[#This Row],[ENE]:[DIC]])</f>
        <v>4000.16</v>
      </c>
      <c r="AM388" s="76" t="str">
        <f t="shared" si="7"/>
        <v>OK</v>
      </c>
      <c r="AN388" s="60">
        <f>1840+1473.44+3000-2313.28</f>
        <v>4000.1600000000003</v>
      </c>
      <c r="AO388" s="61">
        <f>+Tabla6[[#This Row],[PRESUPUESTO VIGENTE]]-Tabla6[[#This Row],[CERTIFICACIÓN PAPP]]</f>
        <v>0</v>
      </c>
      <c r="AP388" s="59">
        <v>0</v>
      </c>
    </row>
    <row r="389" spans="1:42" ht="93" customHeight="1" x14ac:dyDescent="0.25">
      <c r="A389" s="62" t="s">
        <v>78</v>
      </c>
      <c r="B389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389" s="64" t="s">
        <v>79</v>
      </c>
      <c r="D389" s="64" t="s">
        <v>80</v>
      </c>
      <c r="E389" s="64" t="s">
        <v>81</v>
      </c>
      <c r="F389" s="64" t="s">
        <v>96</v>
      </c>
      <c r="G389" s="64" t="s">
        <v>83</v>
      </c>
      <c r="H389" s="65" t="str">
        <f>VLOOKUP(Tabla6[[#This Row],[DIRECCIÓN]],DIRECCIÓN[#All],2,0)</f>
        <v>ADMINISTRACIÓN CENTRAL</v>
      </c>
      <c r="I389" s="66" t="s">
        <v>97</v>
      </c>
      <c r="J389" s="67">
        <v>1</v>
      </c>
      <c r="K389" s="68" t="str">
        <f>VLOOKUP(Tabla6[[#This Row],[DIRECCIÓN GENERAL / COORDINACIÓN / SUBDIRECCIÓN]],Tabla37[[#All],[Columna1]:[EOD]],2,0)</f>
        <v>266_0003</v>
      </c>
      <c r="L389" s="69">
        <f>VLOOKUP(Tabla6[[#This Row],[OBJETIVOS PND]],Listas!$A$1:$C$3,3,0)</f>
        <v>1</v>
      </c>
      <c r="M389" s="70">
        <f>VLOOKUP(Tabla6[[#This Row],[PG]],Listas2!$G$14:$K$16,5,0)</f>
        <v>0</v>
      </c>
      <c r="N389" s="71">
        <v>1</v>
      </c>
      <c r="O389" s="72">
        <v>601</v>
      </c>
      <c r="P389" s="73" t="str">
        <f>VLOOKUP(Tabla6[[#This Row],[GEO]],Listas!$A$48:$B$77,2,0)</f>
        <v>RIOBAMBA</v>
      </c>
      <c r="Q389" s="70">
        <f>VLOOKUP(Tabla6[[#This Row],[PG]],Listas2!$G$14:$K$16,3,0)</f>
        <v>1</v>
      </c>
      <c r="R389" s="73">
        <f>VLOOKUP(Tabla6[[#This Row],[PG]],Listas2!H55:'Listas2'!$G$14:$K$16,4,0)</f>
        <v>0</v>
      </c>
      <c r="S389" s="73">
        <f>VLOOKUP(Tabla6[[#This Row],[PG]],Listas2!$G$14:$K$16,2,0)</f>
        <v>0</v>
      </c>
      <c r="T389" s="66" t="s">
        <v>84</v>
      </c>
      <c r="U389" s="74">
        <v>53</v>
      </c>
      <c r="V389" s="66">
        <v>530402</v>
      </c>
      <c r="W389" s="63" t="str">
        <f>VLOOKUP(Tabla6[[#This Row],[ÍTEM PRESUPUESTARIO]],Tabla2[#All],2,0)</f>
        <v>EDIFICIOS, LOCALES, RESIDENCIAS Y CABLEADO ESTRUCTURADO (INSTALACIÓN, MANTENIMIENTO Y REPARACIÓN)</v>
      </c>
      <c r="X389" s="57">
        <v>100</v>
      </c>
      <c r="Y389" s="57">
        <f>100+200-53</f>
        <v>247</v>
      </c>
      <c r="Z389" s="58">
        <v>0</v>
      </c>
      <c r="AA389" s="58">
        <v>0</v>
      </c>
      <c r="AB389" s="58">
        <v>0</v>
      </c>
      <c r="AC389" s="58">
        <v>0</v>
      </c>
      <c r="AD389" s="58">
        <v>0</v>
      </c>
      <c r="AE389" s="58">
        <v>247</v>
      </c>
      <c r="AF389" s="58">
        <v>0</v>
      </c>
      <c r="AG389" s="58">
        <v>0</v>
      </c>
      <c r="AH389" s="58">
        <v>0</v>
      </c>
      <c r="AI389" s="58">
        <v>0</v>
      </c>
      <c r="AJ389" s="58">
        <v>0</v>
      </c>
      <c r="AK389" s="58">
        <v>0</v>
      </c>
      <c r="AL389" s="75">
        <f>+SUBTOTAL(9,Tabla6[[#This Row],[ENE]:[DIC]])</f>
        <v>247</v>
      </c>
      <c r="AM389" s="76" t="str">
        <f t="shared" si="7"/>
        <v>OK</v>
      </c>
      <c r="AN389" s="60">
        <v>247</v>
      </c>
      <c r="AO389" s="61">
        <f>+Tabla6[[#This Row],[PRESUPUESTO VIGENTE]]-Tabla6[[#This Row],[CERTIFICACIÓN PAPP]]</f>
        <v>0</v>
      </c>
      <c r="AP389" s="59">
        <v>0</v>
      </c>
    </row>
    <row r="390" spans="1:42" ht="93" customHeight="1" x14ac:dyDescent="0.25">
      <c r="A390" s="62" t="s">
        <v>78</v>
      </c>
      <c r="B390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390" s="64" t="s">
        <v>79</v>
      </c>
      <c r="D390" s="64" t="s">
        <v>80</v>
      </c>
      <c r="E390" s="64" t="s">
        <v>81</v>
      </c>
      <c r="F390" s="64" t="s">
        <v>96</v>
      </c>
      <c r="G390" s="64" t="s">
        <v>83</v>
      </c>
      <c r="H390" s="65" t="str">
        <f>VLOOKUP(Tabla6[[#This Row],[DIRECCIÓN]],DIRECCIÓN[#All],2,0)</f>
        <v>ADMINISTRACIÓN CENTRAL</v>
      </c>
      <c r="I390" s="66" t="s">
        <v>639</v>
      </c>
      <c r="J390" s="67">
        <v>1</v>
      </c>
      <c r="K390" s="68" t="str">
        <f>VLOOKUP(Tabla6[[#This Row],[DIRECCIÓN GENERAL / COORDINACIÓN / SUBDIRECCIÓN]],Tabla37[[#All],[Columna1]:[EOD]],2,0)</f>
        <v>266_0003</v>
      </c>
      <c r="L390" s="69">
        <f>VLOOKUP(Tabla6[[#This Row],[OBJETIVOS PND]],Listas!$A$1:$C$3,3,0)</f>
        <v>1</v>
      </c>
      <c r="M390" s="70">
        <f>VLOOKUP(Tabla6[[#This Row],[PG]],Listas2!$G$14:$K$16,5,0)</f>
        <v>0</v>
      </c>
      <c r="N390" s="71">
        <v>1</v>
      </c>
      <c r="O390" s="72">
        <v>601</v>
      </c>
      <c r="P390" s="73" t="str">
        <f>VLOOKUP(Tabla6[[#This Row],[GEO]],Listas!$A$48:$B$77,2,0)</f>
        <v>RIOBAMBA</v>
      </c>
      <c r="Q390" s="70">
        <f>VLOOKUP(Tabla6[[#This Row],[PG]],Listas2!$G$14:$K$16,3,0)</f>
        <v>1</v>
      </c>
      <c r="R390" s="73">
        <f>VLOOKUP(Tabla6[[#This Row],[PG]],Listas2!H56:'Listas2'!$G$14:$K$16,4,0)</f>
        <v>0</v>
      </c>
      <c r="S390" s="73">
        <f>VLOOKUP(Tabla6[[#This Row],[PG]],Listas2!$G$14:$K$16,2,0)</f>
        <v>0</v>
      </c>
      <c r="T390" s="66" t="s">
        <v>84</v>
      </c>
      <c r="U390" s="74">
        <v>53</v>
      </c>
      <c r="V390" s="66">
        <v>530402</v>
      </c>
      <c r="W390" s="63" t="str">
        <f>VLOOKUP(Tabla6[[#This Row],[ÍTEM PRESUPUESTARIO]],Tabla2[#All],2,0)</f>
        <v>EDIFICIOS, LOCALES, RESIDENCIAS Y CABLEADO ESTRUCTURADO (INSTALACIÓN, MANTENIMIENTO Y REPARACIÓN)</v>
      </c>
      <c r="X390" s="57">
        <v>0</v>
      </c>
      <c r="Y390" s="57">
        <f>6558.2-3279.1-3279.1</f>
        <v>0</v>
      </c>
      <c r="Z390" s="58">
        <v>0</v>
      </c>
      <c r="AA390" s="58">
        <v>0</v>
      </c>
      <c r="AB390" s="58">
        <v>0</v>
      </c>
      <c r="AC390" s="58">
        <v>0</v>
      </c>
      <c r="AD390" s="58">
        <v>0</v>
      </c>
      <c r="AE390" s="58">
        <v>0</v>
      </c>
      <c r="AF390" s="58">
        <v>0</v>
      </c>
      <c r="AG390" s="58">
        <v>0</v>
      </c>
      <c r="AH390" s="58">
        <v>0</v>
      </c>
      <c r="AI390" s="58">
        <v>0</v>
      </c>
      <c r="AJ390" s="58">
        <v>0</v>
      </c>
      <c r="AK390" s="58">
        <v>0</v>
      </c>
      <c r="AL390" s="75">
        <f>+SUBTOTAL(9,Tabla6[[#This Row],[ENE]:[DIC]])</f>
        <v>0</v>
      </c>
      <c r="AM390" s="76" t="str">
        <f t="shared" si="7"/>
        <v>OK</v>
      </c>
      <c r="AN390" s="60">
        <v>0</v>
      </c>
      <c r="AO390" s="61">
        <f>+Tabla6[[#This Row],[PRESUPUESTO VIGENTE]]-Tabla6[[#This Row],[CERTIFICACIÓN PAPP]]</f>
        <v>0</v>
      </c>
      <c r="AP390" s="59">
        <v>0</v>
      </c>
    </row>
    <row r="391" spans="1:42" ht="93" customHeight="1" x14ac:dyDescent="0.25">
      <c r="A391" s="62" t="s">
        <v>78</v>
      </c>
      <c r="B391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391" s="64" t="s">
        <v>79</v>
      </c>
      <c r="D391" s="64" t="s">
        <v>80</v>
      </c>
      <c r="E391" s="64" t="s">
        <v>81</v>
      </c>
      <c r="F391" s="64" t="s">
        <v>96</v>
      </c>
      <c r="G391" s="64" t="s">
        <v>83</v>
      </c>
      <c r="H391" s="65" t="str">
        <f>VLOOKUP(Tabla6[[#This Row],[DIRECCIÓN]],DIRECCIÓN[#All],2,0)</f>
        <v>ADMINISTRACIÓN CENTRAL</v>
      </c>
      <c r="I391" s="66" t="s">
        <v>640</v>
      </c>
      <c r="J391" s="67">
        <v>1</v>
      </c>
      <c r="K391" s="68" t="str">
        <f>VLOOKUP(Tabla6[[#This Row],[DIRECCIÓN GENERAL / COORDINACIÓN / SUBDIRECCIÓN]],Tabla37[[#All],[Columna1]:[EOD]],2,0)</f>
        <v>266_0003</v>
      </c>
      <c r="L391" s="69">
        <f>VLOOKUP(Tabla6[[#This Row],[OBJETIVOS PND]],Listas!$A$1:$C$3,3,0)</f>
        <v>1</v>
      </c>
      <c r="M391" s="70">
        <f>VLOOKUP(Tabla6[[#This Row],[PG]],Listas2!$G$14:$K$16,5,0)</f>
        <v>0</v>
      </c>
      <c r="N391" s="71">
        <v>1</v>
      </c>
      <c r="O391" s="72">
        <v>601</v>
      </c>
      <c r="P391" s="73" t="str">
        <f>VLOOKUP(Tabla6[[#This Row],[GEO]],Listas!$A$48:$B$77,2,0)</f>
        <v>RIOBAMBA</v>
      </c>
      <c r="Q391" s="70">
        <f>VLOOKUP(Tabla6[[#This Row],[PG]],Listas2!$G$14:$K$16,3,0)</f>
        <v>1</v>
      </c>
      <c r="R391" s="73">
        <f>VLOOKUP(Tabla6[[#This Row],[PG]],Listas2!H57:'Listas2'!$G$14:$K$16,4,0)</f>
        <v>0</v>
      </c>
      <c r="S391" s="73">
        <f>VLOOKUP(Tabla6[[#This Row],[PG]],Listas2!$G$14:$K$16,2,0)</f>
        <v>0</v>
      </c>
      <c r="T391" s="66" t="s">
        <v>84</v>
      </c>
      <c r="U391" s="74">
        <v>53</v>
      </c>
      <c r="V391" s="66">
        <v>530404</v>
      </c>
      <c r="W391" s="63" t="str">
        <f>VLOOKUP(Tabla6[[#This Row],[ÍTEM PRESUPUESTARIO]],Tabla2[#All],2,0)</f>
        <v>MAQUINARIAS Y EQUIPOS (INSTALACIÓN, MANTENIMIENTO Y REPARACIÓN)</v>
      </c>
      <c r="X391" s="57">
        <v>2200</v>
      </c>
      <c r="Y391" s="57">
        <f>2200+21.92+0.01</f>
        <v>2221.9300000000003</v>
      </c>
      <c r="Z391" s="58">
        <v>0</v>
      </c>
      <c r="AA391" s="58">
        <v>185.16</v>
      </c>
      <c r="AB391" s="58">
        <v>185.16</v>
      </c>
      <c r="AC391" s="58">
        <v>185.16</v>
      </c>
      <c r="AD391" s="58">
        <v>185.16</v>
      </c>
      <c r="AE391" s="58">
        <v>185.16</v>
      </c>
      <c r="AF391" s="58">
        <v>185.16</v>
      </c>
      <c r="AG391" s="58">
        <v>185.16</v>
      </c>
      <c r="AH391" s="58">
        <v>185.16</v>
      </c>
      <c r="AI391" s="58">
        <v>185.16</v>
      </c>
      <c r="AJ391" s="58">
        <v>185.16</v>
      </c>
      <c r="AK391" s="58">
        <v>370.33</v>
      </c>
      <c r="AL391" s="75">
        <f>+SUBTOTAL(9,Tabla6[[#This Row],[ENE]:[DIC]])</f>
        <v>2221.9300000000003</v>
      </c>
      <c r="AM391" s="76" t="str">
        <f t="shared" si="7"/>
        <v>OK</v>
      </c>
      <c r="AN391" s="60">
        <f>2221.92+0.01</f>
        <v>2221.9300000000003</v>
      </c>
      <c r="AO391" s="61">
        <f>+Tabla6[[#This Row],[PRESUPUESTO VIGENTE]]-Tabla6[[#This Row],[CERTIFICACIÓN PAPP]]</f>
        <v>0</v>
      </c>
      <c r="AP391" s="59">
        <v>0</v>
      </c>
    </row>
    <row r="392" spans="1:42" ht="93" customHeight="1" x14ac:dyDescent="0.25">
      <c r="A392" s="62" t="s">
        <v>78</v>
      </c>
      <c r="B392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392" s="64" t="s">
        <v>79</v>
      </c>
      <c r="D392" s="64" t="s">
        <v>80</v>
      </c>
      <c r="E392" s="64" t="s">
        <v>81</v>
      </c>
      <c r="F392" s="64" t="s">
        <v>96</v>
      </c>
      <c r="G392" s="64" t="s">
        <v>83</v>
      </c>
      <c r="H392" s="65" t="str">
        <f>VLOOKUP(Tabla6[[#This Row],[DIRECCIÓN]],DIRECCIÓN[#All],2,0)</f>
        <v>ADMINISTRACIÓN CENTRAL</v>
      </c>
      <c r="I392" s="66" t="s">
        <v>641</v>
      </c>
      <c r="J392" s="67">
        <v>1</v>
      </c>
      <c r="K392" s="68" t="str">
        <f>VLOOKUP(Tabla6[[#This Row],[DIRECCIÓN GENERAL / COORDINACIÓN / SUBDIRECCIÓN]],Tabla37[[#All],[Columna1]:[EOD]],2,0)</f>
        <v>266_0003</v>
      </c>
      <c r="L392" s="69">
        <f>VLOOKUP(Tabla6[[#This Row],[OBJETIVOS PND]],Listas!$A$1:$C$3,3,0)</f>
        <v>1</v>
      </c>
      <c r="M392" s="70">
        <f>VLOOKUP(Tabla6[[#This Row],[PG]],Listas2!$G$14:$K$16,5,0)</f>
        <v>0</v>
      </c>
      <c r="N392" s="71">
        <v>1</v>
      </c>
      <c r="O392" s="72">
        <v>601</v>
      </c>
      <c r="P392" s="73" t="str">
        <f>VLOOKUP(Tabla6[[#This Row],[GEO]],Listas!$A$48:$B$77,2,0)</f>
        <v>RIOBAMBA</v>
      </c>
      <c r="Q392" s="70">
        <f>VLOOKUP(Tabla6[[#This Row],[PG]],Listas2!$G$14:$K$16,3,0)</f>
        <v>1</v>
      </c>
      <c r="R392" s="73">
        <f>VLOOKUP(Tabla6[[#This Row],[PG]],Listas2!H58:'Listas2'!$G$14:$K$16,4,0)</f>
        <v>0</v>
      </c>
      <c r="S392" s="73">
        <f>VLOOKUP(Tabla6[[#This Row],[PG]],Listas2!$G$14:$K$16,2,0)</f>
        <v>0</v>
      </c>
      <c r="T392" s="66" t="s">
        <v>84</v>
      </c>
      <c r="U392" s="74">
        <v>53</v>
      </c>
      <c r="V392" s="66">
        <v>530405</v>
      </c>
      <c r="W392" s="63" t="str">
        <f>VLOOKUP(Tabla6[[#This Row],[ÍTEM PRESUPUESTARIO]],Tabla2[#All],2,0)</f>
        <v>VEHÍCULOS (SERVICIO PARA MANTENIMIENTO Y REPARACIÓN)</v>
      </c>
      <c r="X392" s="57">
        <v>800</v>
      </c>
      <c r="Y392" s="57">
        <f>800+686.86-255.43-18.43</f>
        <v>1213</v>
      </c>
      <c r="Z392" s="58">
        <v>0</v>
      </c>
      <c r="AA392" s="58">
        <v>0</v>
      </c>
      <c r="AB392" s="58">
        <v>410.48</v>
      </c>
      <c r="AC392" s="58">
        <v>0</v>
      </c>
      <c r="AD392" s="58">
        <v>0</v>
      </c>
      <c r="AE392" s="58">
        <v>410.48</v>
      </c>
      <c r="AF392" s="58">
        <v>0</v>
      </c>
      <c r="AG392" s="58">
        <v>0</v>
      </c>
      <c r="AH392" s="58">
        <v>0</v>
      </c>
      <c r="AI392" s="58">
        <v>392.04</v>
      </c>
      <c r="AJ392" s="58">
        <v>0</v>
      </c>
      <c r="AK392" s="58">
        <v>0</v>
      </c>
      <c r="AL392" s="75">
        <f>+SUBTOTAL(9,Tabla6[[#This Row],[ENE]:[DIC]])</f>
        <v>1213</v>
      </c>
      <c r="AM392" s="76" t="str">
        <f t="shared" si="7"/>
        <v>OK</v>
      </c>
      <c r="AN392" s="60">
        <f>1231.43-18.43</f>
        <v>1213</v>
      </c>
      <c r="AO392" s="61">
        <f>+Tabla6[[#This Row],[PRESUPUESTO VIGENTE]]-Tabla6[[#This Row],[CERTIFICACIÓN PAPP]]</f>
        <v>0</v>
      </c>
      <c r="AP392" s="59">
        <v>0</v>
      </c>
    </row>
    <row r="393" spans="1:42" ht="93" customHeight="1" x14ac:dyDescent="0.25">
      <c r="A393" s="62" t="s">
        <v>78</v>
      </c>
      <c r="B393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393" s="64" t="s">
        <v>79</v>
      </c>
      <c r="D393" s="64" t="s">
        <v>80</v>
      </c>
      <c r="E393" s="64" t="s">
        <v>81</v>
      </c>
      <c r="F393" s="64" t="s">
        <v>96</v>
      </c>
      <c r="G393" s="64" t="s">
        <v>83</v>
      </c>
      <c r="H393" s="65" t="str">
        <f>VLOOKUP(Tabla6[[#This Row],[DIRECCIÓN]],DIRECCIÓN[#All],2,0)</f>
        <v>ADMINISTRACIÓN CENTRAL</v>
      </c>
      <c r="I393" s="66" t="s">
        <v>642</v>
      </c>
      <c r="J393" s="67">
        <v>1</v>
      </c>
      <c r="K393" s="68" t="str">
        <f>VLOOKUP(Tabla6[[#This Row],[DIRECCIÓN GENERAL / COORDINACIÓN / SUBDIRECCIÓN]],Tabla37[[#All],[Columna1]:[EOD]],2,0)</f>
        <v>266_0003</v>
      </c>
      <c r="L393" s="69">
        <f>VLOOKUP(Tabla6[[#This Row],[OBJETIVOS PND]],Listas!$A$1:$C$3,3,0)</f>
        <v>1</v>
      </c>
      <c r="M393" s="70">
        <f>VLOOKUP(Tabla6[[#This Row],[PG]],Listas2!$G$14:$K$16,5,0)</f>
        <v>0</v>
      </c>
      <c r="N393" s="71">
        <v>1</v>
      </c>
      <c r="O393" s="72">
        <v>601</v>
      </c>
      <c r="P393" s="73" t="str">
        <f>VLOOKUP(Tabla6[[#This Row],[GEO]],Listas!$A$48:$B$77,2,0)</f>
        <v>RIOBAMBA</v>
      </c>
      <c r="Q393" s="70">
        <f>VLOOKUP(Tabla6[[#This Row],[PG]],Listas2!$G$14:$K$16,3,0)</f>
        <v>1</v>
      </c>
      <c r="R393" s="73">
        <f>VLOOKUP(Tabla6[[#This Row],[PG]],Listas2!H59:'Listas2'!$G$14:$K$16,4,0)</f>
        <v>0</v>
      </c>
      <c r="S393" s="73">
        <f>VLOOKUP(Tabla6[[#This Row],[PG]],Listas2!$G$14:$K$16,2,0)</f>
        <v>0</v>
      </c>
      <c r="T393" s="66" t="s">
        <v>84</v>
      </c>
      <c r="U393" s="74">
        <v>53</v>
      </c>
      <c r="V393" s="66">
        <v>530704</v>
      </c>
      <c r="W393" s="63" t="str">
        <f>VLOOKUP(Tabla6[[#This Row],[ÍTEM PRESUPUESTARIO]],Tabla2[#All],2,0)</f>
        <v xml:space="preserve">MANTENIMIENTO Y REPARACIÓN DE EQUIPOS Y SISTEMAS INFORMÁTICOS </v>
      </c>
      <c r="X393" s="57">
        <v>0</v>
      </c>
      <c r="Y393" s="57">
        <v>133.5</v>
      </c>
      <c r="Z393" s="58">
        <v>0</v>
      </c>
      <c r="AA393" s="58">
        <v>0</v>
      </c>
      <c r="AB393" s="58">
        <v>0</v>
      </c>
      <c r="AC393" s="58">
        <v>0</v>
      </c>
      <c r="AD393" s="58">
        <v>0</v>
      </c>
      <c r="AE393" s="58">
        <v>0</v>
      </c>
      <c r="AF393" s="58">
        <v>0</v>
      </c>
      <c r="AG393" s="58">
        <v>0</v>
      </c>
      <c r="AH393" s="58">
        <v>0</v>
      </c>
      <c r="AI393" s="58">
        <v>133.5</v>
      </c>
      <c r="AJ393" s="58">
        <v>0</v>
      </c>
      <c r="AK393" s="58">
        <v>0</v>
      </c>
      <c r="AL393" s="75">
        <f>+SUBTOTAL(9,Tabla6[[#This Row],[ENE]:[DIC]])</f>
        <v>133.5</v>
      </c>
      <c r="AM393" s="76" t="str">
        <f t="shared" si="7"/>
        <v>OK</v>
      </c>
      <c r="AN393" s="60">
        <v>133.5</v>
      </c>
      <c r="AO393" s="61">
        <f>+Tabla6[[#This Row],[PRESUPUESTO VIGENTE]]-Tabla6[[#This Row],[CERTIFICACIÓN PAPP]]</f>
        <v>0</v>
      </c>
      <c r="AP393" s="59">
        <v>0</v>
      </c>
    </row>
    <row r="394" spans="1:42" ht="93" customHeight="1" x14ac:dyDescent="0.25">
      <c r="A394" s="62" t="s">
        <v>78</v>
      </c>
      <c r="B394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394" s="64" t="s">
        <v>85</v>
      </c>
      <c r="D394" s="64" t="s">
        <v>80</v>
      </c>
      <c r="E394" s="64" t="s">
        <v>81</v>
      </c>
      <c r="F394" s="64" t="s">
        <v>96</v>
      </c>
      <c r="G394" s="64" t="s">
        <v>86</v>
      </c>
      <c r="H394" s="65" t="str">
        <f>VLOOKUP(Tabla6[[#This Row],[DIRECCIÓN]],DIRECCIÓN[#All],2,0)</f>
        <v>COMUNICACIÓN SOCIAL</v>
      </c>
      <c r="I394" s="66" t="s">
        <v>630</v>
      </c>
      <c r="J394" s="67">
        <v>1</v>
      </c>
      <c r="K394" s="68" t="str">
        <f>VLOOKUP(Tabla6[[#This Row],[DIRECCIÓN GENERAL / COORDINACIÓN / SUBDIRECCIÓN]],Tabla37[[#All],[Columna1]:[EOD]],2,0)</f>
        <v>266_0003</v>
      </c>
      <c r="L394" s="69">
        <f>VLOOKUP(Tabla6[[#This Row],[OBJETIVOS PND]],Listas!$A$1:$C$3,3,0)</f>
        <v>1</v>
      </c>
      <c r="M394" s="70">
        <f>VLOOKUP(Tabla6[[#This Row],[PG]],Listas2!$G$14:$K$16,5,0)</f>
        <v>0</v>
      </c>
      <c r="N394" s="71">
        <v>1</v>
      </c>
      <c r="O394" s="72">
        <v>601</v>
      </c>
      <c r="P394" s="73" t="str">
        <f>VLOOKUP(Tabla6[[#This Row],[GEO]],Listas!$A$48:$B$77,2,0)</f>
        <v>RIOBAMBA</v>
      </c>
      <c r="Q394" s="70">
        <f>VLOOKUP(Tabla6[[#This Row],[PG]],Listas2!$G$14:$K$16,3,0)</f>
        <v>1</v>
      </c>
      <c r="R394" s="73">
        <f>VLOOKUP(Tabla6[[#This Row],[PG]],Listas2!H60:'Listas2'!$G$14:$K$16,4,0)</f>
        <v>0</v>
      </c>
      <c r="S394" s="73">
        <f>VLOOKUP(Tabla6[[#This Row],[PG]],Listas2!$G$14:$K$16,2,0)</f>
        <v>0</v>
      </c>
      <c r="T394" s="66" t="s">
        <v>84</v>
      </c>
      <c r="U394" s="74">
        <v>53</v>
      </c>
      <c r="V394" s="66">
        <v>530802</v>
      </c>
      <c r="W394" s="63" t="str">
        <f>VLOOKUP(Tabla6[[#This Row],[ÍTEM PRESUPUESTARIO]],Tabla2[#All],2,0)</f>
        <v>VESTUARIO, LENCERÍA, PRENDAS DE PROTECCIÓN Y ACCESORIOS PARA UNIFORMES DEL PERSONAL DE PROTECCIÓN, VIGILANCIA Y SEGURIDAD</v>
      </c>
      <c r="X394" s="57">
        <v>0</v>
      </c>
      <c r="Y394" s="57">
        <f>900-623.61+155.72+167.89</f>
        <v>600</v>
      </c>
      <c r="Z394" s="58">
        <v>0</v>
      </c>
      <c r="AA394" s="58">
        <v>0</v>
      </c>
      <c r="AB394" s="58">
        <v>0</v>
      </c>
      <c r="AC394" s="58">
        <v>0</v>
      </c>
      <c r="AD394" s="58">
        <v>0</v>
      </c>
      <c r="AE394" s="58">
        <v>0</v>
      </c>
      <c r="AF394" s="58">
        <v>0</v>
      </c>
      <c r="AG394" s="58">
        <v>0</v>
      </c>
      <c r="AH394" s="58">
        <v>0</v>
      </c>
      <c r="AI394" s="58">
        <v>0</v>
      </c>
      <c r="AJ394" s="58">
        <v>600</v>
      </c>
      <c r="AK394" s="58">
        <v>0</v>
      </c>
      <c r="AL394" s="75">
        <f>+SUBTOTAL(9,Tabla6[[#This Row],[ENE]:[DIC]])</f>
        <v>600</v>
      </c>
      <c r="AM394" s="76" t="str">
        <f t="shared" si="7"/>
        <v>OK</v>
      </c>
      <c r="AN394" s="60">
        <v>600</v>
      </c>
      <c r="AO394" s="61">
        <f>+Tabla6[[#This Row],[PRESUPUESTO VIGENTE]]-Tabla6[[#This Row],[CERTIFICACIÓN PAPP]]</f>
        <v>0</v>
      </c>
      <c r="AP394" s="59">
        <v>0</v>
      </c>
    </row>
    <row r="395" spans="1:42" ht="93" customHeight="1" x14ac:dyDescent="0.25">
      <c r="A395" s="62" t="s">
        <v>78</v>
      </c>
      <c r="B395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395" s="64" t="s">
        <v>79</v>
      </c>
      <c r="D395" s="64" t="s">
        <v>80</v>
      </c>
      <c r="E395" s="64" t="s">
        <v>81</v>
      </c>
      <c r="F395" s="64" t="s">
        <v>96</v>
      </c>
      <c r="G395" s="64" t="s">
        <v>83</v>
      </c>
      <c r="H395" s="65" t="str">
        <f>VLOOKUP(Tabla6[[#This Row],[DIRECCIÓN]],DIRECCIÓN[#All],2,0)</f>
        <v>ADMINISTRACIÓN CENTRAL</v>
      </c>
      <c r="I395" s="66" t="s">
        <v>643</v>
      </c>
      <c r="J395" s="67">
        <v>1</v>
      </c>
      <c r="K395" s="68" t="str">
        <f>VLOOKUP(Tabla6[[#This Row],[DIRECCIÓN GENERAL / COORDINACIÓN / SUBDIRECCIÓN]],Tabla37[[#All],[Columna1]:[EOD]],2,0)</f>
        <v>266_0003</v>
      </c>
      <c r="L395" s="69">
        <f>VLOOKUP(Tabla6[[#This Row],[OBJETIVOS PND]],Listas!$A$1:$C$3,3,0)</f>
        <v>1</v>
      </c>
      <c r="M395" s="70">
        <f>VLOOKUP(Tabla6[[#This Row],[PG]],Listas2!$G$14:$K$16,5,0)</f>
        <v>0</v>
      </c>
      <c r="N395" s="71">
        <v>1</v>
      </c>
      <c r="O395" s="72">
        <v>601</v>
      </c>
      <c r="P395" s="73" t="str">
        <f>VLOOKUP(Tabla6[[#This Row],[GEO]],Listas!$A$48:$B$77,2,0)</f>
        <v>RIOBAMBA</v>
      </c>
      <c r="Q395" s="70">
        <f>VLOOKUP(Tabla6[[#This Row],[PG]],Listas2!$G$14:$K$16,3,0)</f>
        <v>1</v>
      </c>
      <c r="R395" s="73">
        <f>VLOOKUP(Tabla6[[#This Row],[PG]],Listas2!H61:'Listas2'!$G$14:$K$16,4,0)</f>
        <v>0</v>
      </c>
      <c r="S395" s="73">
        <f>VLOOKUP(Tabla6[[#This Row],[PG]],Listas2!$G$14:$K$16,2,0)</f>
        <v>0</v>
      </c>
      <c r="T395" s="66" t="s">
        <v>84</v>
      </c>
      <c r="U395" s="74">
        <v>53</v>
      </c>
      <c r="V395" s="66">
        <v>530802</v>
      </c>
      <c r="W395" s="63" t="str">
        <f>VLOOKUP(Tabla6[[#This Row],[ÍTEM PRESUPUESTARIO]],Tabla2[#All],2,0)</f>
        <v>VESTUARIO, LENCERÍA, PRENDAS DE PROTECCIÓN Y ACCESORIOS PARA UNIFORMES DEL PERSONAL DE PROTECCIÓN, VIGILANCIA Y SEGURIDAD</v>
      </c>
      <c r="X395" s="57">
        <v>0</v>
      </c>
      <c r="Y395" s="57">
        <f>2666.09-347.23+23.62-25.77</f>
        <v>2316.71</v>
      </c>
      <c r="Z395" s="58">
        <v>0</v>
      </c>
      <c r="AA395" s="58">
        <v>0</v>
      </c>
      <c r="AB395" s="58">
        <v>0</v>
      </c>
      <c r="AC395" s="58">
        <v>0</v>
      </c>
      <c r="AD395" s="58">
        <v>0</v>
      </c>
      <c r="AE395" s="58">
        <v>0</v>
      </c>
      <c r="AF395" s="58">
        <v>0</v>
      </c>
      <c r="AG395" s="58">
        <v>0</v>
      </c>
      <c r="AH395" s="58">
        <v>0</v>
      </c>
      <c r="AI395" s="58">
        <v>2316.71</v>
      </c>
      <c r="AJ395" s="58">
        <v>0</v>
      </c>
      <c r="AK395" s="58">
        <v>0</v>
      </c>
      <c r="AL395" s="75">
        <f>+SUBTOTAL(9,Tabla6[[#This Row],[ENE]:[DIC]])</f>
        <v>2316.71</v>
      </c>
      <c r="AM395" s="76" t="str">
        <f t="shared" si="7"/>
        <v>OK</v>
      </c>
      <c r="AN395" s="60">
        <f>623.04+1185.92+509.9-2.15</f>
        <v>2316.71</v>
      </c>
      <c r="AO395" s="61">
        <f>+Tabla6[[#This Row],[PRESUPUESTO VIGENTE]]-Tabla6[[#This Row],[CERTIFICACIÓN PAPP]]</f>
        <v>0</v>
      </c>
      <c r="AP395" s="59">
        <v>0</v>
      </c>
    </row>
    <row r="396" spans="1:42" ht="93" customHeight="1" x14ac:dyDescent="0.25">
      <c r="A396" s="62" t="s">
        <v>78</v>
      </c>
      <c r="B396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396" s="64" t="s">
        <v>79</v>
      </c>
      <c r="D396" s="64" t="s">
        <v>80</v>
      </c>
      <c r="E396" s="64" t="s">
        <v>81</v>
      </c>
      <c r="F396" s="64" t="s">
        <v>96</v>
      </c>
      <c r="G396" s="64" t="s">
        <v>83</v>
      </c>
      <c r="H396" s="65" t="str">
        <f>VLOOKUP(Tabla6[[#This Row],[DIRECCIÓN]],DIRECCIÓN[#All],2,0)</f>
        <v>ADMINISTRACIÓN CENTRAL</v>
      </c>
      <c r="I396" s="66" t="s">
        <v>637</v>
      </c>
      <c r="J396" s="67">
        <v>1</v>
      </c>
      <c r="K396" s="68" t="str">
        <f>VLOOKUP(Tabla6[[#This Row],[DIRECCIÓN GENERAL / COORDINACIÓN / SUBDIRECCIÓN]],Tabla37[[#All],[Columna1]:[EOD]],2,0)</f>
        <v>266_0003</v>
      </c>
      <c r="L396" s="69">
        <f>VLOOKUP(Tabla6[[#This Row],[OBJETIVOS PND]],Listas!$A$1:$C$3,3,0)</f>
        <v>1</v>
      </c>
      <c r="M396" s="70">
        <f>VLOOKUP(Tabla6[[#This Row],[PG]],Listas2!$G$14:$K$16,5,0)</f>
        <v>0</v>
      </c>
      <c r="N396" s="71">
        <v>1</v>
      </c>
      <c r="O396" s="72">
        <v>601</v>
      </c>
      <c r="P396" s="73" t="str">
        <f>VLOOKUP(Tabla6[[#This Row],[GEO]],Listas!$A$48:$B$77,2,0)</f>
        <v>RIOBAMBA</v>
      </c>
      <c r="Q396" s="70">
        <f>VLOOKUP(Tabla6[[#This Row],[PG]],Listas2!$G$14:$K$16,3,0)</f>
        <v>1</v>
      </c>
      <c r="R396" s="73">
        <f>VLOOKUP(Tabla6[[#This Row],[PG]],Listas2!H62:'Listas2'!$G$14:$K$16,4,0)</f>
        <v>0</v>
      </c>
      <c r="S396" s="73">
        <f>VLOOKUP(Tabla6[[#This Row],[PG]],Listas2!$G$14:$K$16,2,0)</f>
        <v>0</v>
      </c>
      <c r="T396" s="66" t="s">
        <v>84</v>
      </c>
      <c r="U396" s="74">
        <v>53</v>
      </c>
      <c r="V396" s="66">
        <v>530803</v>
      </c>
      <c r="W396" s="63" t="str">
        <f>VLOOKUP(Tabla6[[#This Row],[ÍTEM PRESUPUESTARIO]],Tabla2[#All],2,0)</f>
        <v>LUBRICANTES</v>
      </c>
      <c r="X396" s="57">
        <v>3800</v>
      </c>
      <c r="Y396" s="57">
        <f>3800-1082.68-2717.32</f>
        <v>0</v>
      </c>
      <c r="Z396" s="58">
        <v>0</v>
      </c>
      <c r="AA396" s="58">
        <v>0</v>
      </c>
      <c r="AB396" s="58">
        <v>0</v>
      </c>
      <c r="AC396" s="58">
        <v>0</v>
      </c>
      <c r="AD396" s="58">
        <v>0</v>
      </c>
      <c r="AE396" s="58">
        <v>0</v>
      </c>
      <c r="AF396" s="58">
        <v>0</v>
      </c>
      <c r="AG396" s="58">
        <v>0</v>
      </c>
      <c r="AH396" s="58">
        <v>0</v>
      </c>
      <c r="AI396" s="58">
        <v>0</v>
      </c>
      <c r="AJ396" s="58">
        <v>0</v>
      </c>
      <c r="AK396" s="58">
        <v>0</v>
      </c>
      <c r="AL396" s="75">
        <f>+SUBTOTAL(9,Tabla6[[#This Row],[ENE]:[DIC]])</f>
        <v>0</v>
      </c>
      <c r="AM396" s="76" t="str">
        <f t="shared" si="7"/>
        <v>OK</v>
      </c>
      <c r="AN396" s="60">
        <v>0</v>
      </c>
      <c r="AO396" s="61">
        <f>+Tabla6[[#This Row],[PRESUPUESTO VIGENTE]]-Tabla6[[#This Row],[CERTIFICACIÓN PAPP]]</f>
        <v>0</v>
      </c>
      <c r="AP396" s="59">
        <v>0</v>
      </c>
    </row>
    <row r="397" spans="1:42" ht="93" customHeight="1" x14ac:dyDescent="0.25">
      <c r="A397" s="62" t="s">
        <v>78</v>
      </c>
      <c r="B397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397" s="64" t="s">
        <v>79</v>
      </c>
      <c r="D397" s="64" t="s">
        <v>80</v>
      </c>
      <c r="E397" s="64" t="s">
        <v>81</v>
      </c>
      <c r="F397" s="64" t="s">
        <v>96</v>
      </c>
      <c r="G397" s="64" t="s">
        <v>83</v>
      </c>
      <c r="H397" s="65" t="str">
        <f>VLOOKUP(Tabla6[[#This Row],[DIRECCIÓN]],DIRECCIÓN[#All],2,0)</f>
        <v>ADMINISTRACIÓN CENTRAL</v>
      </c>
      <c r="I397" s="66" t="s">
        <v>644</v>
      </c>
      <c r="J397" s="67">
        <v>1</v>
      </c>
      <c r="K397" s="68" t="str">
        <f>VLOOKUP(Tabla6[[#This Row],[DIRECCIÓN GENERAL / COORDINACIÓN / SUBDIRECCIÓN]],Tabla37[[#All],[Columna1]:[EOD]],2,0)</f>
        <v>266_0003</v>
      </c>
      <c r="L397" s="69">
        <f>VLOOKUP(Tabla6[[#This Row],[OBJETIVOS PND]],Listas!$A$1:$C$3,3,0)</f>
        <v>1</v>
      </c>
      <c r="M397" s="70">
        <f>VLOOKUP(Tabla6[[#This Row],[PG]],Listas2!$G$14:$K$16,5,0)</f>
        <v>0</v>
      </c>
      <c r="N397" s="71">
        <v>1</v>
      </c>
      <c r="O397" s="72">
        <v>601</v>
      </c>
      <c r="P397" s="73" t="str">
        <f>VLOOKUP(Tabla6[[#This Row],[GEO]],Listas!$A$48:$B$77,2,0)</f>
        <v>RIOBAMBA</v>
      </c>
      <c r="Q397" s="70">
        <f>VLOOKUP(Tabla6[[#This Row],[PG]],Listas2!$G$14:$K$16,3,0)</f>
        <v>1</v>
      </c>
      <c r="R397" s="73">
        <f>VLOOKUP(Tabla6[[#This Row],[PG]],Listas2!H63:'Listas2'!$G$14:$K$16,4,0)</f>
        <v>0</v>
      </c>
      <c r="S397" s="73">
        <f>VLOOKUP(Tabla6[[#This Row],[PG]],Listas2!$G$14:$K$16,2,0)</f>
        <v>0</v>
      </c>
      <c r="T397" s="66" t="s">
        <v>84</v>
      </c>
      <c r="U397" s="74">
        <v>53</v>
      </c>
      <c r="V397" s="66">
        <v>530803</v>
      </c>
      <c r="W397" s="63" t="str">
        <f>VLOOKUP(Tabla6[[#This Row],[ÍTEM PRESUPUESTARIO]],Tabla2[#All],2,0)</f>
        <v>LUBRICANTES</v>
      </c>
      <c r="X397" s="57">
        <v>500</v>
      </c>
      <c r="Y397" s="57">
        <f>500+300-290+24.15-0.95-231.95</f>
        <v>301.24999999999994</v>
      </c>
      <c r="Z397" s="58">
        <v>0</v>
      </c>
      <c r="AA397" s="58">
        <v>0</v>
      </c>
      <c r="AB397" s="58">
        <v>100.42</v>
      </c>
      <c r="AC397" s="58">
        <v>0</v>
      </c>
      <c r="AD397" s="58">
        <v>0</v>
      </c>
      <c r="AE397" s="58">
        <v>100.42</v>
      </c>
      <c r="AF397" s="58">
        <v>0</v>
      </c>
      <c r="AG397" s="58">
        <v>0</v>
      </c>
      <c r="AH397" s="58">
        <v>0</v>
      </c>
      <c r="AI397" s="58">
        <v>100.41</v>
      </c>
      <c r="AJ397" s="58">
        <v>0</v>
      </c>
      <c r="AK397" s="58">
        <v>0</v>
      </c>
      <c r="AL397" s="75">
        <f>+SUBTOTAL(9,Tabla6[[#This Row],[ENE]:[DIC]])</f>
        <v>301.25</v>
      </c>
      <c r="AM397" s="76" t="str">
        <f t="shared" si="7"/>
        <v>OK</v>
      </c>
      <c r="AN397" s="60">
        <f>532.25-231</f>
        <v>301.25</v>
      </c>
      <c r="AO397" s="61">
        <f>+Tabla6[[#This Row],[PRESUPUESTO VIGENTE]]-Tabla6[[#This Row],[CERTIFICACIÓN PAPP]]</f>
        <v>0</v>
      </c>
      <c r="AP397" s="59">
        <v>0</v>
      </c>
    </row>
    <row r="398" spans="1:42" ht="93" customHeight="1" x14ac:dyDescent="0.25">
      <c r="A398" s="62" t="s">
        <v>78</v>
      </c>
      <c r="B398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398" s="64" t="s">
        <v>85</v>
      </c>
      <c r="D398" s="64" t="s">
        <v>80</v>
      </c>
      <c r="E398" s="64" t="s">
        <v>81</v>
      </c>
      <c r="F398" s="64" t="s">
        <v>96</v>
      </c>
      <c r="G398" s="64" t="s">
        <v>86</v>
      </c>
      <c r="H398" s="65" t="str">
        <f>VLOOKUP(Tabla6[[#This Row],[DIRECCIÓN]],DIRECCIÓN[#All],2,0)</f>
        <v>COMUNICACIÓN SOCIAL</v>
      </c>
      <c r="I398" s="66" t="s">
        <v>630</v>
      </c>
      <c r="J398" s="67">
        <v>1</v>
      </c>
      <c r="K398" s="68" t="str">
        <f>VLOOKUP(Tabla6[[#This Row],[DIRECCIÓN GENERAL / COORDINACIÓN / SUBDIRECCIÓN]],Tabla37[[#All],[Columna1]:[EOD]],2,0)</f>
        <v>266_0003</v>
      </c>
      <c r="L398" s="69">
        <f>VLOOKUP(Tabla6[[#This Row],[OBJETIVOS PND]],Listas!$A$1:$C$3,3,0)</f>
        <v>1</v>
      </c>
      <c r="M398" s="70">
        <f>VLOOKUP(Tabla6[[#This Row],[PG]],Listas2!$G$14:$K$16,5,0)</f>
        <v>0</v>
      </c>
      <c r="N398" s="71">
        <v>1</v>
      </c>
      <c r="O398" s="72">
        <v>601</v>
      </c>
      <c r="P398" s="73" t="str">
        <f>VLOOKUP(Tabla6[[#This Row],[GEO]],Listas!$A$48:$B$77,2,0)</f>
        <v>RIOBAMBA</v>
      </c>
      <c r="Q398" s="70">
        <f>VLOOKUP(Tabla6[[#This Row],[PG]],Listas2!$G$14:$K$16,3,0)</f>
        <v>1</v>
      </c>
      <c r="R398" s="73">
        <f>VLOOKUP(Tabla6[[#This Row],[PG]],Listas2!H64:'Listas2'!$G$14:$K$16,4,0)</f>
        <v>0</v>
      </c>
      <c r="S398" s="73">
        <f>VLOOKUP(Tabla6[[#This Row],[PG]],Listas2!$G$14:$K$16,2,0)</f>
        <v>0</v>
      </c>
      <c r="T398" s="66" t="s">
        <v>84</v>
      </c>
      <c r="U398" s="74">
        <v>53</v>
      </c>
      <c r="V398" s="66">
        <v>530804</v>
      </c>
      <c r="W398" s="63" t="str">
        <f>VLOOKUP(Tabla6[[#This Row],[ÍTEM PRESUPUESTARIO]],Tabla2[#All],2,0)</f>
        <v>MATERIALES DE OFICINA</v>
      </c>
      <c r="X398" s="57">
        <v>0</v>
      </c>
      <c r="Y398" s="57">
        <f>313.2-216.29+13.7+119.39</f>
        <v>230</v>
      </c>
      <c r="Z398" s="58">
        <v>0</v>
      </c>
      <c r="AA398" s="58">
        <v>0</v>
      </c>
      <c r="AB398" s="58">
        <v>0</v>
      </c>
      <c r="AC398" s="58">
        <v>0</v>
      </c>
      <c r="AD398" s="58">
        <v>0</v>
      </c>
      <c r="AE398" s="58">
        <v>0</v>
      </c>
      <c r="AF398" s="58">
        <v>0</v>
      </c>
      <c r="AG398" s="58">
        <v>0</v>
      </c>
      <c r="AH398" s="58">
        <v>0</v>
      </c>
      <c r="AI398" s="58">
        <v>0</v>
      </c>
      <c r="AJ398" s="58">
        <v>230</v>
      </c>
      <c r="AK398" s="58">
        <v>0</v>
      </c>
      <c r="AL398" s="75">
        <f>+SUBTOTAL(9,Tabla6[[#This Row],[ENE]:[DIC]])</f>
        <v>230</v>
      </c>
      <c r="AM398" s="76" t="str">
        <f t="shared" si="7"/>
        <v>OK</v>
      </c>
      <c r="AN398" s="60">
        <v>230</v>
      </c>
      <c r="AO398" s="61">
        <f>+Tabla6[[#This Row],[PRESUPUESTO VIGENTE]]-Tabla6[[#This Row],[CERTIFICACIÓN PAPP]]</f>
        <v>0</v>
      </c>
      <c r="AP398" s="59">
        <v>0</v>
      </c>
    </row>
    <row r="399" spans="1:42" ht="93" customHeight="1" x14ac:dyDescent="0.25">
      <c r="A399" s="62" t="s">
        <v>78</v>
      </c>
      <c r="B399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399" s="64" t="s">
        <v>79</v>
      </c>
      <c r="D399" s="64" t="s">
        <v>80</v>
      </c>
      <c r="E399" s="64" t="s">
        <v>81</v>
      </c>
      <c r="F399" s="64" t="s">
        <v>96</v>
      </c>
      <c r="G399" s="64" t="s">
        <v>83</v>
      </c>
      <c r="H399" s="65" t="str">
        <f>VLOOKUP(Tabla6[[#This Row],[DIRECCIÓN]],DIRECCIÓN[#All],2,0)</f>
        <v>ADMINISTRACIÓN CENTRAL</v>
      </c>
      <c r="I399" s="66" t="s">
        <v>645</v>
      </c>
      <c r="J399" s="67">
        <v>1</v>
      </c>
      <c r="K399" s="68" t="str">
        <f>VLOOKUP(Tabla6[[#This Row],[DIRECCIÓN GENERAL / COORDINACIÓN / SUBDIRECCIÓN]],Tabla37[[#All],[Columna1]:[EOD]],2,0)</f>
        <v>266_0003</v>
      </c>
      <c r="L399" s="69">
        <f>VLOOKUP(Tabla6[[#This Row],[OBJETIVOS PND]],Listas!$A$1:$C$3,3,0)</f>
        <v>1</v>
      </c>
      <c r="M399" s="70">
        <f>VLOOKUP(Tabla6[[#This Row],[PG]],Listas2!$G$14:$K$16,5,0)</f>
        <v>0</v>
      </c>
      <c r="N399" s="71">
        <v>1</v>
      </c>
      <c r="O399" s="72">
        <v>601</v>
      </c>
      <c r="P399" s="73" t="str">
        <f>VLOOKUP(Tabla6[[#This Row],[GEO]],Listas!$A$48:$B$77,2,0)</f>
        <v>RIOBAMBA</v>
      </c>
      <c r="Q399" s="70">
        <f>VLOOKUP(Tabla6[[#This Row],[PG]],Listas2!$G$14:$K$16,3,0)</f>
        <v>1</v>
      </c>
      <c r="R399" s="73">
        <f>VLOOKUP(Tabla6[[#This Row],[PG]],Listas2!H65:'Listas2'!$G$14:$K$16,4,0)</f>
        <v>0</v>
      </c>
      <c r="S399" s="73">
        <f>VLOOKUP(Tabla6[[#This Row],[PG]],Listas2!$G$14:$K$16,2,0)</f>
        <v>0</v>
      </c>
      <c r="T399" s="66" t="s">
        <v>84</v>
      </c>
      <c r="U399" s="74">
        <v>53</v>
      </c>
      <c r="V399" s="66">
        <v>530804</v>
      </c>
      <c r="W399" s="63" t="str">
        <f>VLOOKUP(Tabla6[[#This Row],[ÍTEM PRESUPUESTARIO]],Tabla2[#All],2,0)</f>
        <v>MATERIALES DE OFICINA</v>
      </c>
      <c r="X399" s="57">
        <v>0</v>
      </c>
      <c r="Y399" s="57">
        <f>858.38-119.39</f>
        <v>738.99</v>
      </c>
      <c r="Z399" s="58">
        <v>0</v>
      </c>
      <c r="AA399" s="58">
        <v>0</v>
      </c>
      <c r="AB399" s="58">
        <v>0</v>
      </c>
      <c r="AC399" s="58">
        <v>0</v>
      </c>
      <c r="AD399" s="58">
        <v>0</v>
      </c>
      <c r="AE399" s="58">
        <v>0</v>
      </c>
      <c r="AF399" s="58">
        <v>738.99</v>
      </c>
      <c r="AG399" s="58">
        <v>0</v>
      </c>
      <c r="AH399" s="58">
        <v>0</v>
      </c>
      <c r="AI399" s="58">
        <v>0</v>
      </c>
      <c r="AJ399" s="58">
        <v>0</v>
      </c>
      <c r="AK399" s="58">
        <v>0</v>
      </c>
      <c r="AL399" s="75">
        <f>+SUBTOTAL(9,Tabla6[[#This Row],[ENE]:[DIC]])</f>
        <v>738.99</v>
      </c>
      <c r="AM399" s="76" t="str">
        <f t="shared" si="7"/>
        <v>OK</v>
      </c>
      <c r="AN399" s="60">
        <f>858.38-119.39</f>
        <v>738.99</v>
      </c>
      <c r="AO399" s="61">
        <f>+Tabla6[[#This Row],[PRESUPUESTO VIGENTE]]-Tabla6[[#This Row],[CERTIFICACIÓN PAPP]]</f>
        <v>0</v>
      </c>
      <c r="AP399" s="59">
        <v>0</v>
      </c>
    </row>
    <row r="400" spans="1:42" ht="93" customHeight="1" x14ac:dyDescent="0.25">
      <c r="A400" s="62" t="s">
        <v>78</v>
      </c>
      <c r="B400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400" s="64" t="s">
        <v>79</v>
      </c>
      <c r="D400" s="64" t="s">
        <v>80</v>
      </c>
      <c r="E400" s="64" t="s">
        <v>81</v>
      </c>
      <c r="F400" s="64" t="s">
        <v>96</v>
      </c>
      <c r="G400" s="64" t="s">
        <v>83</v>
      </c>
      <c r="H400" s="65" t="str">
        <f>VLOOKUP(Tabla6[[#This Row],[DIRECCIÓN]],DIRECCIÓN[#All],2,0)</f>
        <v>ADMINISTRACIÓN CENTRAL</v>
      </c>
      <c r="I400" s="66" t="s">
        <v>646</v>
      </c>
      <c r="J400" s="67">
        <v>1</v>
      </c>
      <c r="K400" s="68" t="str">
        <f>VLOOKUP(Tabla6[[#This Row],[DIRECCIÓN GENERAL / COORDINACIÓN / SUBDIRECCIÓN]],Tabla37[[#All],[Columna1]:[EOD]],2,0)</f>
        <v>266_0003</v>
      </c>
      <c r="L400" s="69">
        <f>VLOOKUP(Tabla6[[#This Row],[OBJETIVOS PND]],Listas!$A$1:$C$3,3,0)</f>
        <v>1</v>
      </c>
      <c r="M400" s="70">
        <f>VLOOKUP(Tabla6[[#This Row],[PG]],Listas2!$G$14:$K$16,5,0)</f>
        <v>0</v>
      </c>
      <c r="N400" s="71">
        <v>1</v>
      </c>
      <c r="O400" s="72">
        <v>601</v>
      </c>
      <c r="P400" s="73" t="str">
        <f>VLOOKUP(Tabla6[[#This Row],[GEO]],Listas!$A$48:$B$77,2,0)</f>
        <v>RIOBAMBA</v>
      </c>
      <c r="Q400" s="70">
        <f>VLOOKUP(Tabla6[[#This Row],[PG]],Listas2!$G$14:$K$16,3,0)</f>
        <v>1</v>
      </c>
      <c r="R400" s="73">
        <f>VLOOKUP(Tabla6[[#This Row],[PG]],Listas2!H66:'Listas2'!$G$14:$K$16,4,0)</f>
        <v>0</v>
      </c>
      <c r="S400" s="73">
        <f>VLOOKUP(Tabla6[[#This Row],[PG]],Listas2!$G$14:$K$16,2,0)</f>
        <v>0</v>
      </c>
      <c r="T400" s="66" t="s">
        <v>84</v>
      </c>
      <c r="U400" s="74">
        <v>53</v>
      </c>
      <c r="V400" s="66">
        <v>530805</v>
      </c>
      <c r="W400" s="63" t="str">
        <f>VLOOKUP(Tabla6[[#This Row],[ÍTEM PRESUPUESTARIO]],Tabla2[#All],2,0)</f>
        <v>MATERIALES DE ASEO</v>
      </c>
      <c r="X400" s="57">
        <v>1500</v>
      </c>
      <c r="Y400" s="57">
        <f>1500-644.27-644.27</f>
        <v>211.46000000000004</v>
      </c>
      <c r="Z400" s="58">
        <v>0</v>
      </c>
      <c r="AA400" s="58">
        <v>0</v>
      </c>
      <c r="AB400" s="58">
        <v>211.46</v>
      </c>
      <c r="AC400" s="58">
        <v>0</v>
      </c>
      <c r="AD400" s="58">
        <v>0</v>
      </c>
      <c r="AE400" s="58">
        <v>0</v>
      </c>
      <c r="AF400" s="58">
        <v>0</v>
      </c>
      <c r="AG400" s="58">
        <v>0</v>
      </c>
      <c r="AH400" s="58">
        <v>0</v>
      </c>
      <c r="AI400" s="58">
        <v>0</v>
      </c>
      <c r="AJ400" s="58">
        <v>0</v>
      </c>
      <c r="AK400" s="58">
        <v>0</v>
      </c>
      <c r="AL400" s="75">
        <f>+SUBTOTAL(9,Tabla6[[#This Row],[ENE]:[DIC]])</f>
        <v>211.46</v>
      </c>
      <c r="AM400" s="76" t="str">
        <f t="shared" si="7"/>
        <v>OK</v>
      </c>
      <c r="AN400" s="60">
        <v>211.46</v>
      </c>
      <c r="AO400" s="61">
        <f>+Tabla6[[#This Row],[PRESUPUESTO VIGENTE]]-Tabla6[[#This Row],[CERTIFICACIÓN PAPP]]</f>
        <v>0</v>
      </c>
      <c r="AP400" s="59">
        <v>0</v>
      </c>
    </row>
    <row r="401" spans="1:42" ht="93" customHeight="1" x14ac:dyDescent="0.25">
      <c r="A401" s="62" t="s">
        <v>78</v>
      </c>
      <c r="B401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401" s="64" t="s">
        <v>85</v>
      </c>
      <c r="D401" s="64" t="s">
        <v>80</v>
      </c>
      <c r="E401" s="64" t="s">
        <v>81</v>
      </c>
      <c r="F401" s="64" t="s">
        <v>96</v>
      </c>
      <c r="G401" s="64" t="s">
        <v>86</v>
      </c>
      <c r="H401" s="65" t="str">
        <f>VLOOKUP(Tabla6[[#This Row],[DIRECCIÓN]],DIRECCIÓN[#All],2,0)</f>
        <v>COMUNICACIÓN SOCIAL</v>
      </c>
      <c r="I401" s="66" t="s">
        <v>630</v>
      </c>
      <c r="J401" s="67">
        <v>1</v>
      </c>
      <c r="K401" s="68" t="str">
        <f>VLOOKUP(Tabla6[[#This Row],[DIRECCIÓN GENERAL / COORDINACIÓN / SUBDIRECCIÓN]],Tabla37[[#All],[Columna1]:[EOD]],2,0)</f>
        <v>266_0003</v>
      </c>
      <c r="L401" s="69">
        <f>VLOOKUP(Tabla6[[#This Row],[OBJETIVOS PND]],Listas!$A$1:$C$3,3,0)</f>
        <v>1</v>
      </c>
      <c r="M401" s="70">
        <f>VLOOKUP(Tabla6[[#This Row],[PG]],Listas2!$G$14:$K$16,5,0)</f>
        <v>0</v>
      </c>
      <c r="N401" s="71">
        <v>1</v>
      </c>
      <c r="O401" s="72">
        <v>601</v>
      </c>
      <c r="P401" s="73" t="str">
        <f>VLOOKUP(Tabla6[[#This Row],[GEO]],Listas!$A$48:$B$77,2,0)</f>
        <v>RIOBAMBA</v>
      </c>
      <c r="Q401" s="70">
        <f>VLOOKUP(Tabla6[[#This Row],[PG]],Listas2!$G$14:$K$16,3,0)</f>
        <v>1</v>
      </c>
      <c r="R401" s="73">
        <f>VLOOKUP(Tabla6[[#This Row],[PG]],Listas2!H67:'Listas2'!$G$14:$K$16,4,0)</f>
        <v>0</v>
      </c>
      <c r="S401" s="73">
        <f>VLOOKUP(Tabla6[[#This Row],[PG]],Listas2!$G$14:$K$16,2,0)</f>
        <v>0</v>
      </c>
      <c r="T401" s="66" t="s">
        <v>84</v>
      </c>
      <c r="U401" s="74">
        <v>53</v>
      </c>
      <c r="V401" s="66">
        <v>530807</v>
      </c>
      <c r="W401" s="63" t="str">
        <f>VLOOKUP(Tabla6[[#This Row],[ÍTEM PRESUPUESTARIO]],Tabla2[#All],2,0)</f>
        <v>MATERIALES DE IMPRESIÓN, FOTOGRAFÍA, REPRODUCCIÓN Y PUBLICACIONES</v>
      </c>
      <c r="X401" s="57">
        <v>0</v>
      </c>
      <c r="Y401" s="57">
        <f>452-226-226</f>
        <v>0</v>
      </c>
      <c r="Z401" s="58">
        <v>0</v>
      </c>
      <c r="AA401" s="58">
        <v>0</v>
      </c>
      <c r="AB401" s="58">
        <v>0</v>
      </c>
      <c r="AC401" s="58">
        <v>0</v>
      </c>
      <c r="AD401" s="58">
        <v>0</v>
      </c>
      <c r="AE401" s="58">
        <v>0</v>
      </c>
      <c r="AF401" s="58">
        <v>0</v>
      </c>
      <c r="AG401" s="58">
        <v>0</v>
      </c>
      <c r="AH401" s="58">
        <v>0</v>
      </c>
      <c r="AI401" s="58">
        <v>0</v>
      </c>
      <c r="AJ401" s="58">
        <v>0</v>
      </c>
      <c r="AK401" s="58">
        <v>0</v>
      </c>
      <c r="AL401" s="75">
        <f>+SUBTOTAL(9,Tabla6[[#This Row],[ENE]:[DIC]])</f>
        <v>0</v>
      </c>
      <c r="AM401" s="76" t="str">
        <f t="shared" si="7"/>
        <v>OK</v>
      </c>
      <c r="AN401" s="60">
        <v>0</v>
      </c>
      <c r="AO401" s="61">
        <f>+Tabla6[[#This Row],[PRESUPUESTO VIGENTE]]-Tabla6[[#This Row],[CERTIFICACIÓN PAPP]]</f>
        <v>0</v>
      </c>
      <c r="AP401" s="59">
        <v>0</v>
      </c>
    </row>
    <row r="402" spans="1:42" ht="93" customHeight="1" x14ac:dyDescent="0.25">
      <c r="A402" s="62" t="s">
        <v>78</v>
      </c>
      <c r="B402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402" s="64" t="s">
        <v>79</v>
      </c>
      <c r="D402" s="64" t="s">
        <v>80</v>
      </c>
      <c r="E402" s="64" t="s">
        <v>81</v>
      </c>
      <c r="F402" s="64" t="s">
        <v>96</v>
      </c>
      <c r="G402" s="64" t="s">
        <v>83</v>
      </c>
      <c r="H402" s="65" t="str">
        <f>VLOOKUP(Tabla6[[#This Row],[DIRECCIÓN]],DIRECCIÓN[#All],2,0)</f>
        <v>ADMINISTRACIÓN CENTRAL</v>
      </c>
      <c r="I402" s="66" t="s">
        <v>647</v>
      </c>
      <c r="J402" s="67">
        <v>1</v>
      </c>
      <c r="K402" s="68" t="str">
        <f>VLOOKUP(Tabla6[[#This Row],[DIRECCIÓN GENERAL / COORDINACIÓN / SUBDIRECCIÓN]],Tabla37[[#All],[Columna1]:[EOD]],2,0)</f>
        <v>266_0003</v>
      </c>
      <c r="L402" s="69">
        <f>VLOOKUP(Tabla6[[#This Row],[OBJETIVOS PND]],Listas!$A$1:$C$3,3,0)</f>
        <v>1</v>
      </c>
      <c r="M402" s="70">
        <f>VLOOKUP(Tabla6[[#This Row],[PG]],Listas2!$G$14:$K$16,5,0)</f>
        <v>0</v>
      </c>
      <c r="N402" s="71">
        <v>1</v>
      </c>
      <c r="O402" s="72">
        <v>601</v>
      </c>
      <c r="P402" s="73" t="str">
        <f>VLOOKUP(Tabla6[[#This Row],[GEO]],Listas!$A$48:$B$77,2,0)</f>
        <v>RIOBAMBA</v>
      </c>
      <c r="Q402" s="70">
        <f>VLOOKUP(Tabla6[[#This Row],[PG]],Listas2!$G$14:$K$16,3,0)</f>
        <v>1</v>
      </c>
      <c r="R402" s="73">
        <f>VLOOKUP(Tabla6[[#This Row],[PG]],Listas2!H68:'Listas2'!$G$14:$K$16,4,0)</f>
        <v>0</v>
      </c>
      <c r="S402" s="73">
        <f>VLOOKUP(Tabla6[[#This Row],[PG]],Listas2!$G$14:$K$16,2,0)</f>
        <v>0</v>
      </c>
      <c r="T402" s="66" t="s">
        <v>84</v>
      </c>
      <c r="U402" s="74">
        <v>53</v>
      </c>
      <c r="V402" s="66">
        <v>530807</v>
      </c>
      <c r="W402" s="63" t="str">
        <f>VLOOKUP(Tabla6[[#This Row],[ÍTEM PRESUPUESTARIO]],Tabla2[#All],2,0)</f>
        <v>MATERIALES DE IMPRESIÓN, FOTOGRAFÍA, REPRODUCCIÓN Y PUBLICACIONES</v>
      </c>
      <c r="X402" s="57">
        <v>0</v>
      </c>
      <c r="Y402" s="57">
        <v>699</v>
      </c>
      <c r="Z402" s="58">
        <v>0</v>
      </c>
      <c r="AA402" s="58">
        <v>0</v>
      </c>
      <c r="AB402" s="58">
        <v>0</v>
      </c>
      <c r="AC402" s="58">
        <v>0</v>
      </c>
      <c r="AD402" s="58">
        <v>699</v>
      </c>
      <c r="AE402" s="58">
        <v>0</v>
      </c>
      <c r="AF402" s="58">
        <v>0</v>
      </c>
      <c r="AG402" s="58">
        <v>0</v>
      </c>
      <c r="AH402" s="58">
        <v>0</v>
      </c>
      <c r="AI402" s="58">
        <v>0</v>
      </c>
      <c r="AJ402" s="58">
        <v>0</v>
      </c>
      <c r="AK402" s="58">
        <v>0</v>
      </c>
      <c r="AL402" s="75">
        <f>+SUBTOTAL(9,Tabla6[[#This Row],[ENE]:[DIC]])</f>
        <v>699</v>
      </c>
      <c r="AM402" s="76" t="str">
        <f t="shared" si="7"/>
        <v>OK</v>
      </c>
      <c r="AN402" s="60">
        <v>699</v>
      </c>
      <c r="AO402" s="61">
        <f>+Tabla6[[#This Row],[PRESUPUESTO VIGENTE]]-Tabla6[[#This Row],[CERTIFICACIÓN PAPP]]</f>
        <v>0</v>
      </c>
      <c r="AP402" s="59">
        <v>0</v>
      </c>
    </row>
    <row r="403" spans="1:42" ht="93" customHeight="1" x14ac:dyDescent="0.25">
      <c r="A403" s="62" t="s">
        <v>78</v>
      </c>
      <c r="B403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403" s="64" t="s">
        <v>79</v>
      </c>
      <c r="D403" s="64" t="s">
        <v>80</v>
      </c>
      <c r="E403" s="64" t="s">
        <v>81</v>
      </c>
      <c r="F403" s="64" t="s">
        <v>96</v>
      </c>
      <c r="G403" s="64" t="s">
        <v>83</v>
      </c>
      <c r="H403" s="65" t="str">
        <f>VLOOKUP(Tabla6[[#This Row],[DIRECCIÓN]],DIRECCIÓN[#All],2,0)</f>
        <v>ADMINISTRACIÓN CENTRAL</v>
      </c>
      <c r="I403" s="66" t="s">
        <v>97</v>
      </c>
      <c r="J403" s="67">
        <v>1</v>
      </c>
      <c r="K403" s="68" t="str">
        <f>VLOOKUP(Tabla6[[#This Row],[DIRECCIÓN GENERAL / COORDINACIÓN / SUBDIRECCIÓN]],Tabla37[[#All],[Columna1]:[EOD]],2,0)</f>
        <v>266_0003</v>
      </c>
      <c r="L403" s="69">
        <f>VLOOKUP(Tabla6[[#This Row],[OBJETIVOS PND]],Listas!$A$1:$C$3,3,0)</f>
        <v>1</v>
      </c>
      <c r="M403" s="70">
        <f>VLOOKUP(Tabla6[[#This Row],[PG]],Listas2!$G$14:$K$16,5,0)</f>
        <v>0</v>
      </c>
      <c r="N403" s="71">
        <v>1</v>
      </c>
      <c r="O403" s="72">
        <v>601</v>
      </c>
      <c r="P403" s="73" t="str">
        <f>VLOOKUP(Tabla6[[#This Row],[GEO]],Listas!$A$48:$B$77,2,0)</f>
        <v>RIOBAMBA</v>
      </c>
      <c r="Q403" s="70">
        <f>VLOOKUP(Tabla6[[#This Row],[PG]],Listas2!$G$14:$K$16,3,0)</f>
        <v>1</v>
      </c>
      <c r="R403" s="73">
        <f>VLOOKUP(Tabla6[[#This Row],[PG]],Listas2!H69:'Listas2'!$G$14:$K$16,4,0)</f>
        <v>0</v>
      </c>
      <c r="S403" s="73">
        <f>VLOOKUP(Tabla6[[#This Row],[PG]],Listas2!$G$14:$K$16,2,0)</f>
        <v>0</v>
      </c>
      <c r="T403" s="66" t="s">
        <v>84</v>
      </c>
      <c r="U403" s="74">
        <v>53</v>
      </c>
      <c r="V403" s="66">
        <v>530811</v>
      </c>
      <c r="W403" s="63" t="str">
        <f>VLOOKUP(Tabla6[[#This Row],[ÍTEM PRESUPUESTARIO]],Tabla2[#All],2,0)</f>
        <v>INSUMOS, MATERIALES Y SUMINISTROS PARA CONSTRUCCIÓN, ELECTRICIDAD, PLOMERÍA, CARPINTERÍA, SEÑALIZACIÓN VIAL, NAVEGACIÓN, CONTRA INCENDIOS Y PLACAS</v>
      </c>
      <c r="X403" s="57">
        <v>100</v>
      </c>
      <c r="Y403" s="57">
        <f>100-100+300-300</f>
        <v>0</v>
      </c>
      <c r="Z403" s="58">
        <v>0</v>
      </c>
      <c r="AA403" s="58">
        <v>0</v>
      </c>
      <c r="AB403" s="58">
        <v>0</v>
      </c>
      <c r="AC403" s="58">
        <v>0</v>
      </c>
      <c r="AD403" s="58">
        <v>0</v>
      </c>
      <c r="AE403" s="58">
        <v>0</v>
      </c>
      <c r="AF403" s="58">
        <v>0</v>
      </c>
      <c r="AG403" s="58">
        <v>0</v>
      </c>
      <c r="AH403" s="58">
        <v>0</v>
      </c>
      <c r="AI403" s="58">
        <v>0</v>
      </c>
      <c r="AJ403" s="58">
        <v>0</v>
      </c>
      <c r="AK403" s="58">
        <v>0</v>
      </c>
      <c r="AL403" s="75">
        <f>+SUBTOTAL(9,Tabla6[[#This Row],[ENE]:[DIC]])</f>
        <v>0</v>
      </c>
      <c r="AM403" s="76" t="str">
        <f t="shared" si="7"/>
        <v>OK</v>
      </c>
      <c r="AN403" s="60">
        <f>300-300</f>
        <v>0</v>
      </c>
      <c r="AO403" s="61">
        <f>+Tabla6[[#This Row],[PRESUPUESTO VIGENTE]]-Tabla6[[#This Row],[CERTIFICACIÓN PAPP]]</f>
        <v>0</v>
      </c>
      <c r="AP403" s="59">
        <v>0</v>
      </c>
    </row>
    <row r="404" spans="1:42" ht="93" customHeight="1" x14ac:dyDescent="0.25">
      <c r="A404" s="62" t="s">
        <v>78</v>
      </c>
      <c r="B404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404" s="64" t="s">
        <v>85</v>
      </c>
      <c r="D404" s="64" t="s">
        <v>80</v>
      </c>
      <c r="E404" s="64" t="s">
        <v>81</v>
      </c>
      <c r="F404" s="64" t="s">
        <v>96</v>
      </c>
      <c r="G404" s="64" t="s">
        <v>86</v>
      </c>
      <c r="H404" s="65" t="str">
        <f>VLOOKUP(Tabla6[[#This Row],[DIRECCIÓN]],DIRECCIÓN[#All],2,0)</f>
        <v>COMUNICACIÓN SOCIAL</v>
      </c>
      <c r="I404" s="66" t="s">
        <v>630</v>
      </c>
      <c r="J404" s="67">
        <v>1</v>
      </c>
      <c r="K404" s="68" t="str">
        <f>VLOOKUP(Tabla6[[#This Row],[DIRECCIÓN GENERAL / COORDINACIÓN / SUBDIRECCIÓN]],Tabla37[[#All],[Columna1]:[EOD]],2,0)</f>
        <v>266_0003</v>
      </c>
      <c r="L404" s="69">
        <f>VLOOKUP(Tabla6[[#This Row],[OBJETIVOS PND]],Listas!$A$1:$C$3,3,0)</f>
        <v>1</v>
      </c>
      <c r="M404" s="70">
        <f>VLOOKUP(Tabla6[[#This Row],[PG]],Listas2!$G$14:$K$16,5,0)</f>
        <v>0</v>
      </c>
      <c r="N404" s="71">
        <v>1</v>
      </c>
      <c r="O404" s="72">
        <v>601</v>
      </c>
      <c r="P404" s="73" t="str">
        <f>VLOOKUP(Tabla6[[#This Row],[GEO]],Listas!$A$48:$B$77,2,0)</f>
        <v>RIOBAMBA</v>
      </c>
      <c r="Q404" s="70">
        <f>VLOOKUP(Tabla6[[#This Row],[PG]],Listas2!$G$14:$K$16,3,0)</f>
        <v>1</v>
      </c>
      <c r="R404" s="73">
        <f>VLOOKUP(Tabla6[[#This Row],[PG]],Listas2!H70:'Listas2'!$G$14:$K$16,4,0)</f>
        <v>0</v>
      </c>
      <c r="S404" s="73">
        <f>VLOOKUP(Tabla6[[#This Row],[PG]],Listas2!$G$14:$K$16,2,0)</f>
        <v>0</v>
      </c>
      <c r="T404" s="66" t="s">
        <v>84</v>
      </c>
      <c r="U404" s="74">
        <v>53</v>
      </c>
      <c r="V404" s="66">
        <v>530812</v>
      </c>
      <c r="W404" s="63" t="str">
        <f>VLOOKUP(Tabla6[[#This Row],[ÍTEM PRESUPUESTARIO]],Tabla2[#All],2,0)</f>
        <v>MATERIALES DIDÁCTICOS</v>
      </c>
      <c r="X404" s="57">
        <v>0</v>
      </c>
      <c r="Y404" s="57">
        <f>540-270+170</f>
        <v>440</v>
      </c>
      <c r="Z404" s="58">
        <v>0</v>
      </c>
      <c r="AA404" s="58">
        <v>0</v>
      </c>
      <c r="AB404" s="58">
        <v>0</v>
      </c>
      <c r="AC404" s="58">
        <v>0</v>
      </c>
      <c r="AD404" s="58">
        <v>0</v>
      </c>
      <c r="AE404" s="58">
        <v>0</v>
      </c>
      <c r="AF404" s="58">
        <v>0</v>
      </c>
      <c r="AG404" s="58">
        <v>0</v>
      </c>
      <c r="AH404" s="58">
        <v>0</v>
      </c>
      <c r="AI404" s="58">
        <v>0</v>
      </c>
      <c r="AJ404" s="58">
        <v>440</v>
      </c>
      <c r="AK404" s="58">
        <v>0</v>
      </c>
      <c r="AL404" s="75">
        <f>+SUBTOTAL(9,Tabla6[[#This Row],[ENE]:[DIC]])</f>
        <v>440</v>
      </c>
      <c r="AM404" s="76" t="str">
        <f t="shared" si="7"/>
        <v>OK</v>
      </c>
      <c r="AN404" s="60">
        <v>440</v>
      </c>
      <c r="AO404" s="61">
        <f>+Tabla6[[#This Row],[PRESUPUESTO VIGENTE]]-Tabla6[[#This Row],[CERTIFICACIÓN PAPP]]</f>
        <v>0</v>
      </c>
      <c r="AP404" s="59">
        <v>0</v>
      </c>
    </row>
    <row r="405" spans="1:42" ht="93" customHeight="1" x14ac:dyDescent="0.25">
      <c r="A405" s="62" t="s">
        <v>78</v>
      </c>
      <c r="B405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405" s="64" t="s">
        <v>79</v>
      </c>
      <c r="D405" s="64" t="s">
        <v>80</v>
      </c>
      <c r="E405" s="64" t="s">
        <v>81</v>
      </c>
      <c r="F405" s="64" t="s">
        <v>96</v>
      </c>
      <c r="G405" s="64" t="s">
        <v>83</v>
      </c>
      <c r="H405" s="65" t="str">
        <f>VLOOKUP(Tabla6[[#This Row],[DIRECCIÓN]],DIRECCIÓN[#All],2,0)</f>
        <v>ADMINISTRACIÓN CENTRAL</v>
      </c>
      <c r="I405" s="66" t="s">
        <v>642</v>
      </c>
      <c r="J405" s="67">
        <v>1</v>
      </c>
      <c r="K405" s="68" t="str">
        <f>VLOOKUP(Tabla6[[#This Row],[DIRECCIÓN GENERAL / COORDINACIÓN / SUBDIRECCIÓN]],Tabla37[[#All],[Columna1]:[EOD]],2,0)</f>
        <v>266_0003</v>
      </c>
      <c r="L405" s="69">
        <f>VLOOKUP(Tabla6[[#This Row],[OBJETIVOS PND]],Listas!$A$1:$C$3,3,0)</f>
        <v>1</v>
      </c>
      <c r="M405" s="70">
        <f>VLOOKUP(Tabla6[[#This Row],[PG]],Listas2!$G$14:$K$16,5,0)</f>
        <v>0</v>
      </c>
      <c r="N405" s="71">
        <v>1</v>
      </c>
      <c r="O405" s="72">
        <v>601</v>
      </c>
      <c r="P405" s="73" t="str">
        <f>VLOOKUP(Tabla6[[#This Row],[GEO]],Listas!$A$48:$B$77,2,0)</f>
        <v>RIOBAMBA</v>
      </c>
      <c r="Q405" s="70">
        <f>VLOOKUP(Tabla6[[#This Row],[PG]],Listas2!$G$14:$K$16,3,0)</f>
        <v>1</v>
      </c>
      <c r="R405" s="73">
        <f>VLOOKUP(Tabla6[[#This Row],[PG]],Listas2!H71:'Listas2'!$G$14:$K$16,4,0)</f>
        <v>0</v>
      </c>
      <c r="S405" s="73">
        <f>VLOOKUP(Tabla6[[#This Row],[PG]],Listas2!$G$14:$K$16,2,0)</f>
        <v>0</v>
      </c>
      <c r="T405" s="66" t="s">
        <v>84</v>
      </c>
      <c r="U405" s="74">
        <v>53</v>
      </c>
      <c r="V405" s="66">
        <v>530813</v>
      </c>
      <c r="W405" s="63" t="str">
        <f>VLOOKUP(Tabla6[[#This Row],[ÍTEM PRESUPUESTARIO]],Tabla2[#All],2,0)</f>
        <v>REPUESTOS Y ACCESORIOS</v>
      </c>
      <c r="X405" s="57">
        <v>0</v>
      </c>
      <c r="Y405" s="57">
        <v>559</v>
      </c>
      <c r="Z405" s="58">
        <v>0</v>
      </c>
      <c r="AA405" s="58">
        <v>0</v>
      </c>
      <c r="AB405" s="58">
        <v>0</v>
      </c>
      <c r="AC405" s="58">
        <v>0</v>
      </c>
      <c r="AD405" s="58">
        <v>0</v>
      </c>
      <c r="AE405" s="58">
        <v>0</v>
      </c>
      <c r="AF405" s="58">
        <v>0</v>
      </c>
      <c r="AG405" s="58">
        <v>0</v>
      </c>
      <c r="AH405" s="58">
        <v>0</v>
      </c>
      <c r="AI405" s="58">
        <v>559</v>
      </c>
      <c r="AJ405" s="58">
        <v>0</v>
      </c>
      <c r="AK405" s="58">
        <v>0</v>
      </c>
      <c r="AL405" s="75">
        <f>+SUBTOTAL(9,Tabla6[[#This Row],[ENE]:[DIC]])</f>
        <v>559</v>
      </c>
      <c r="AM405" s="76" t="str">
        <f t="shared" si="7"/>
        <v>OK</v>
      </c>
      <c r="AN405" s="60">
        <v>559</v>
      </c>
      <c r="AO405" s="61">
        <f>+Tabla6[[#This Row],[PRESUPUESTO VIGENTE]]-Tabla6[[#This Row],[CERTIFICACIÓN PAPP]]</f>
        <v>0</v>
      </c>
      <c r="AP405" s="59">
        <v>0</v>
      </c>
    </row>
    <row r="406" spans="1:42" ht="93" customHeight="1" x14ac:dyDescent="0.25">
      <c r="A406" s="62" t="s">
        <v>78</v>
      </c>
      <c r="B406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406" s="64" t="s">
        <v>79</v>
      </c>
      <c r="D406" s="64" t="s">
        <v>80</v>
      </c>
      <c r="E406" s="64" t="s">
        <v>81</v>
      </c>
      <c r="F406" s="64" t="s">
        <v>96</v>
      </c>
      <c r="G406" s="64" t="s">
        <v>83</v>
      </c>
      <c r="H406" s="65" t="str">
        <f>VLOOKUP(Tabla6[[#This Row],[DIRECCIÓN]],DIRECCIÓN[#All],2,0)</f>
        <v>ADMINISTRACIÓN CENTRAL</v>
      </c>
      <c r="I406" s="66" t="s">
        <v>648</v>
      </c>
      <c r="J406" s="67">
        <v>1</v>
      </c>
      <c r="K406" s="68" t="str">
        <f>VLOOKUP(Tabla6[[#This Row],[DIRECCIÓN GENERAL / COORDINACIÓN / SUBDIRECCIÓN]],Tabla37[[#All],[Columna1]:[EOD]],2,0)</f>
        <v>266_0003</v>
      </c>
      <c r="L406" s="69">
        <f>VLOOKUP(Tabla6[[#This Row],[OBJETIVOS PND]],Listas!$A$1:$C$3,3,0)</f>
        <v>1</v>
      </c>
      <c r="M406" s="70">
        <f>VLOOKUP(Tabla6[[#This Row],[PG]],Listas2!$G$14:$K$16,5,0)</f>
        <v>0</v>
      </c>
      <c r="N406" s="71">
        <v>1</v>
      </c>
      <c r="O406" s="72">
        <v>601</v>
      </c>
      <c r="P406" s="73" t="str">
        <f>VLOOKUP(Tabla6[[#This Row],[GEO]],Listas!$A$48:$B$77,2,0)</f>
        <v>RIOBAMBA</v>
      </c>
      <c r="Q406" s="70">
        <f>VLOOKUP(Tabla6[[#This Row],[PG]],Listas2!$G$14:$K$16,3,0)</f>
        <v>1</v>
      </c>
      <c r="R406" s="73">
        <f>VLOOKUP(Tabla6[[#This Row],[PG]],Listas2!H72:'Listas2'!$G$14:$K$16,4,0)</f>
        <v>0</v>
      </c>
      <c r="S406" s="73">
        <f>VLOOKUP(Tabla6[[#This Row],[PG]],Listas2!$G$14:$K$16,2,0)</f>
        <v>0</v>
      </c>
      <c r="T406" s="66" t="s">
        <v>84</v>
      </c>
      <c r="U406" s="74">
        <v>53</v>
      </c>
      <c r="V406" s="66">
        <v>530813</v>
      </c>
      <c r="W406" s="63" t="str">
        <f>VLOOKUP(Tabla6[[#This Row],[ÍTEM PRESUPUESTARIO]],Tabla2[#All],2,0)</f>
        <v>REPUESTOS Y ACCESORIOS</v>
      </c>
      <c r="X406" s="57">
        <v>1100</v>
      </c>
      <c r="Y406" s="57">
        <f>1100+1141.95+214.19+100-1164.69</f>
        <v>1391.4499999999998</v>
      </c>
      <c r="Z406" s="58">
        <v>0</v>
      </c>
      <c r="AA406" s="58">
        <v>0</v>
      </c>
      <c r="AB406" s="58">
        <v>463.81</v>
      </c>
      <c r="AC406" s="58">
        <v>0</v>
      </c>
      <c r="AD406" s="58">
        <v>0</v>
      </c>
      <c r="AE406" s="58">
        <v>463.81</v>
      </c>
      <c r="AF406" s="58">
        <v>0</v>
      </c>
      <c r="AG406" s="58">
        <v>0</v>
      </c>
      <c r="AH406" s="58">
        <v>0</v>
      </c>
      <c r="AI406" s="58">
        <v>463.83</v>
      </c>
      <c r="AJ406" s="58">
        <v>0</v>
      </c>
      <c r="AK406" s="58">
        <v>0</v>
      </c>
      <c r="AL406" s="75">
        <f>+SUBTOTAL(9,Tabla6[[#This Row],[ENE]:[DIC]])</f>
        <v>1391.45</v>
      </c>
      <c r="AM406" s="76" t="str">
        <f t="shared" si="7"/>
        <v>OK</v>
      </c>
      <c r="AN406" s="60">
        <f>2556.14-1164.69</f>
        <v>1391.4499999999998</v>
      </c>
      <c r="AO406" s="61">
        <f>+Tabla6[[#This Row],[PRESUPUESTO VIGENTE]]-Tabla6[[#This Row],[CERTIFICACIÓN PAPP]]</f>
        <v>0</v>
      </c>
      <c r="AP406" s="59">
        <v>0</v>
      </c>
    </row>
    <row r="407" spans="1:42" ht="93" customHeight="1" x14ac:dyDescent="0.25">
      <c r="A407" s="62" t="s">
        <v>78</v>
      </c>
      <c r="B407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407" s="64" t="s">
        <v>79</v>
      </c>
      <c r="D407" s="64" t="s">
        <v>80</v>
      </c>
      <c r="E407" s="64" t="s">
        <v>81</v>
      </c>
      <c r="F407" s="64" t="s">
        <v>96</v>
      </c>
      <c r="G407" s="64" t="s">
        <v>83</v>
      </c>
      <c r="H407" s="65" t="str">
        <f>VLOOKUP(Tabla6[[#This Row],[DIRECCIÓN]],DIRECCIÓN[#All],2,0)</f>
        <v>ADMINISTRACIÓN CENTRAL</v>
      </c>
      <c r="I407" s="66" t="s">
        <v>97</v>
      </c>
      <c r="J407" s="67">
        <v>1</v>
      </c>
      <c r="K407" s="68" t="str">
        <f>VLOOKUP(Tabla6[[#This Row],[DIRECCIÓN GENERAL / COORDINACIÓN / SUBDIRECCIÓN]],Tabla37[[#All],[Columna1]:[EOD]],2,0)</f>
        <v>266_0003</v>
      </c>
      <c r="L407" s="69">
        <f>VLOOKUP(Tabla6[[#This Row],[OBJETIVOS PND]],Listas!$A$1:$C$3,3,0)</f>
        <v>1</v>
      </c>
      <c r="M407" s="70">
        <f>VLOOKUP(Tabla6[[#This Row],[PG]],Listas2!$G$14:$K$16,5,0)</f>
        <v>0</v>
      </c>
      <c r="N407" s="71">
        <v>1</v>
      </c>
      <c r="O407" s="72">
        <v>601</v>
      </c>
      <c r="P407" s="73" t="str">
        <f>VLOOKUP(Tabla6[[#This Row],[GEO]],Listas!$A$48:$B$77,2,0)</f>
        <v>RIOBAMBA</v>
      </c>
      <c r="Q407" s="70">
        <f>VLOOKUP(Tabla6[[#This Row],[PG]],Listas2!$G$14:$K$16,3,0)</f>
        <v>1</v>
      </c>
      <c r="R407" s="73">
        <f>VLOOKUP(Tabla6[[#This Row],[PG]],Listas2!H73:'Listas2'!$G$14:$K$16,4,0)</f>
        <v>0</v>
      </c>
      <c r="S407" s="73">
        <f>VLOOKUP(Tabla6[[#This Row],[PG]],Listas2!$G$14:$K$16,2,0)</f>
        <v>0</v>
      </c>
      <c r="T407" s="66" t="s">
        <v>84</v>
      </c>
      <c r="U407" s="74">
        <v>53</v>
      </c>
      <c r="V407" s="66">
        <v>530813</v>
      </c>
      <c r="W407" s="63" t="str">
        <f>VLOOKUP(Tabla6[[#This Row],[ÍTEM PRESUPUESTARIO]],Tabla2[#All],2,0)</f>
        <v>REPUESTOS Y ACCESORIOS</v>
      </c>
      <c r="X407" s="57">
        <v>100</v>
      </c>
      <c r="Y407" s="57">
        <f>100-100</f>
        <v>0</v>
      </c>
      <c r="Z407" s="58">
        <v>0</v>
      </c>
      <c r="AA407" s="58">
        <v>0</v>
      </c>
      <c r="AB407" s="58">
        <v>0</v>
      </c>
      <c r="AC407" s="58">
        <v>0</v>
      </c>
      <c r="AD407" s="58">
        <v>0</v>
      </c>
      <c r="AE407" s="58">
        <v>0</v>
      </c>
      <c r="AF407" s="58">
        <v>0</v>
      </c>
      <c r="AG407" s="58">
        <v>0</v>
      </c>
      <c r="AH407" s="58">
        <v>0</v>
      </c>
      <c r="AI407" s="58">
        <v>0</v>
      </c>
      <c r="AJ407" s="58">
        <v>0</v>
      </c>
      <c r="AK407" s="58">
        <v>0</v>
      </c>
      <c r="AL407" s="75">
        <f>+SUBTOTAL(9,Tabla6[[#This Row],[ENE]:[DIC]])</f>
        <v>0</v>
      </c>
      <c r="AM407" s="76" t="str">
        <f t="shared" si="7"/>
        <v>OK</v>
      </c>
      <c r="AN407" s="60">
        <v>0</v>
      </c>
      <c r="AO407" s="61">
        <f>+Tabla6[[#This Row],[PRESUPUESTO VIGENTE]]-Tabla6[[#This Row],[CERTIFICACIÓN PAPP]]</f>
        <v>0</v>
      </c>
      <c r="AP407" s="59">
        <v>0</v>
      </c>
    </row>
    <row r="408" spans="1:42" ht="93" customHeight="1" x14ac:dyDescent="0.25">
      <c r="A408" s="62" t="s">
        <v>78</v>
      </c>
      <c r="B408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408" s="64" t="s">
        <v>85</v>
      </c>
      <c r="D408" s="64" t="s">
        <v>80</v>
      </c>
      <c r="E408" s="64" t="s">
        <v>81</v>
      </c>
      <c r="F408" s="64" t="s">
        <v>96</v>
      </c>
      <c r="G408" s="64" t="s">
        <v>86</v>
      </c>
      <c r="H408" s="65" t="str">
        <f>VLOOKUP(Tabla6[[#This Row],[DIRECCIÓN]],DIRECCIÓN[#All],2,0)</f>
        <v>COMUNICACIÓN SOCIAL</v>
      </c>
      <c r="I408" s="66" t="s">
        <v>630</v>
      </c>
      <c r="J408" s="67">
        <v>1</v>
      </c>
      <c r="K408" s="68" t="str">
        <f>VLOOKUP(Tabla6[[#This Row],[DIRECCIÓN GENERAL / COORDINACIÓN / SUBDIRECCIÓN]],Tabla37[[#All],[Columna1]:[EOD]],2,0)</f>
        <v>266_0003</v>
      </c>
      <c r="L408" s="69">
        <f>VLOOKUP(Tabla6[[#This Row],[OBJETIVOS PND]],Listas!$A$1:$C$3,3,0)</f>
        <v>1</v>
      </c>
      <c r="M408" s="70">
        <f>VLOOKUP(Tabla6[[#This Row],[PG]],Listas2!$G$14:$K$16,5,0)</f>
        <v>0</v>
      </c>
      <c r="N408" s="71">
        <v>1</v>
      </c>
      <c r="O408" s="72">
        <v>601</v>
      </c>
      <c r="P408" s="73" t="str">
        <f>VLOOKUP(Tabla6[[#This Row],[GEO]],Listas!$A$48:$B$77,2,0)</f>
        <v>RIOBAMBA</v>
      </c>
      <c r="Q408" s="70">
        <f>VLOOKUP(Tabla6[[#This Row],[PG]],Listas2!$G$14:$K$16,3,0)</f>
        <v>1</v>
      </c>
      <c r="R408" s="73">
        <f>VLOOKUP(Tabla6[[#This Row],[PG]],Listas2!H74:'Listas2'!$G$14:$K$16,4,0)</f>
        <v>0</v>
      </c>
      <c r="S408" s="73">
        <f>VLOOKUP(Tabla6[[#This Row],[PG]],Listas2!$G$14:$K$16,2,0)</f>
        <v>0</v>
      </c>
      <c r="T408" s="66" t="s">
        <v>84</v>
      </c>
      <c r="U408" s="74">
        <v>53</v>
      </c>
      <c r="V408" s="66">
        <v>530820</v>
      </c>
      <c r="W408" s="63" t="str">
        <f>VLOOKUP(Tabla6[[#This Row],[ÍTEM PRESUPUESTARIO]],Tabla2[#All],2,0)</f>
        <v>MENAJE Y ACCESORIOS DESCARTABLES</v>
      </c>
      <c r="X408" s="57">
        <v>0</v>
      </c>
      <c r="Y408" s="57">
        <f>312-156+174</f>
        <v>330</v>
      </c>
      <c r="Z408" s="58">
        <v>0</v>
      </c>
      <c r="AA408" s="58">
        <v>0</v>
      </c>
      <c r="AB408" s="58">
        <v>0</v>
      </c>
      <c r="AC408" s="58">
        <v>0</v>
      </c>
      <c r="AD408" s="58">
        <v>0</v>
      </c>
      <c r="AE408" s="58">
        <v>0</v>
      </c>
      <c r="AF408" s="58">
        <v>0</v>
      </c>
      <c r="AG408" s="58">
        <v>0</v>
      </c>
      <c r="AH408" s="58">
        <v>0</v>
      </c>
      <c r="AI408" s="58">
        <v>0</v>
      </c>
      <c r="AJ408" s="58">
        <v>330</v>
      </c>
      <c r="AK408" s="58">
        <v>0</v>
      </c>
      <c r="AL408" s="75">
        <f>+SUBTOTAL(9,Tabla6[[#This Row],[ENE]:[DIC]])</f>
        <v>330</v>
      </c>
      <c r="AM408" s="76" t="str">
        <f t="shared" si="7"/>
        <v>OK</v>
      </c>
      <c r="AN408" s="60">
        <v>330</v>
      </c>
      <c r="AO408" s="61">
        <f>+Tabla6[[#This Row],[PRESUPUESTO VIGENTE]]-Tabla6[[#This Row],[CERTIFICACIÓN PAPP]]</f>
        <v>0</v>
      </c>
      <c r="AP408" s="59">
        <v>0</v>
      </c>
    </row>
    <row r="409" spans="1:42" ht="93" customHeight="1" x14ac:dyDescent="0.25">
      <c r="A409" s="62" t="s">
        <v>78</v>
      </c>
      <c r="B409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409" s="64" t="s">
        <v>79</v>
      </c>
      <c r="D409" s="64" t="s">
        <v>80</v>
      </c>
      <c r="E409" s="64" t="s">
        <v>81</v>
      </c>
      <c r="F409" s="64" t="s">
        <v>96</v>
      </c>
      <c r="G409" s="64" t="s">
        <v>83</v>
      </c>
      <c r="H409" s="65" t="str">
        <f>VLOOKUP(Tabla6[[#This Row],[DIRECCIÓN]],DIRECCIÓN[#All],2,0)</f>
        <v>ADMINISTRACIÓN CENTRAL</v>
      </c>
      <c r="I409" s="66" t="s">
        <v>649</v>
      </c>
      <c r="J409" s="67">
        <v>1</v>
      </c>
      <c r="K409" s="68" t="str">
        <f>VLOOKUP(Tabla6[[#This Row],[DIRECCIÓN GENERAL / COORDINACIÓN / SUBDIRECCIÓN]],Tabla37[[#All],[Columna1]:[EOD]],2,0)</f>
        <v>266_0003</v>
      </c>
      <c r="L409" s="69">
        <f>VLOOKUP(Tabla6[[#This Row],[OBJETIVOS PND]],Listas!$A$1:$C$3,3,0)</f>
        <v>1</v>
      </c>
      <c r="M409" s="70">
        <f>VLOOKUP(Tabla6[[#This Row],[PG]],Listas2!$G$14:$K$16,5,0)</f>
        <v>0</v>
      </c>
      <c r="N409" s="71">
        <v>1</v>
      </c>
      <c r="O409" s="72">
        <v>601</v>
      </c>
      <c r="P409" s="73" t="str">
        <f>VLOOKUP(Tabla6[[#This Row],[GEO]],Listas!$A$48:$B$77,2,0)</f>
        <v>RIOBAMBA</v>
      </c>
      <c r="Q409" s="70">
        <f>VLOOKUP(Tabla6[[#This Row],[PG]],Listas2!$G$14:$K$16,3,0)</f>
        <v>1</v>
      </c>
      <c r="R409" s="73">
        <f>VLOOKUP(Tabla6[[#This Row],[PG]],Listas2!H75:'Listas2'!$G$14:$K$16,4,0)</f>
        <v>0</v>
      </c>
      <c r="S409" s="73">
        <f>VLOOKUP(Tabla6[[#This Row],[PG]],Listas2!$G$14:$K$16,2,0)</f>
        <v>0</v>
      </c>
      <c r="T409" s="66" t="s">
        <v>84</v>
      </c>
      <c r="U409" s="74">
        <v>57</v>
      </c>
      <c r="V409" s="66">
        <v>570102</v>
      </c>
      <c r="W409" s="63" t="str">
        <f>VLOOKUP(Tabla6[[#This Row],[ÍTEM PRESUPUESTARIO]],Tabla2[#All],2,0)</f>
        <v>TASAS GENERALES, IMPUESTOS, CONTRIBUCIONES, PERMISOS, LICENCIAS Y PATENTES</v>
      </c>
      <c r="X409" s="57">
        <v>300</v>
      </c>
      <c r="Y409" s="57">
        <f>300-24.19</f>
        <v>275.81</v>
      </c>
      <c r="Z409" s="58">
        <v>0</v>
      </c>
      <c r="AA409" s="58">
        <v>0</v>
      </c>
      <c r="AB409" s="58">
        <v>275.81</v>
      </c>
      <c r="AC409" s="58">
        <v>0</v>
      </c>
      <c r="AD409" s="58">
        <v>0</v>
      </c>
      <c r="AE409" s="58">
        <v>0</v>
      </c>
      <c r="AF409" s="58">
        <v>0</v>
      </c>
      <c r="AG409" s="58">
        <v>0</v>
      </c>
      <c r="AH409" s="58">
        <v>0</v>
      </c>
      <c r="AI409" s="58">
        <v>0</v>
      </c>
      <c r="AJ409" s="58">
        <v>0</v>
      </c>
      <c r="AK409" s="58">
        <v>0</v>
      </c>
      <c r="AL409" s="75">
        <f>+SUBTOTAL(9,Tabla6[[#This Row],[ENE]:[DIC]])</f>
        <v>275.81</v>
      </c>
      <c r="AM409" s="76" t="str">
        <f t="shared" si="7"/>
        <v>OK</v>
      </c>
      <c r="AN409" s="60">
        <f>287.81-12</f>
        <v>275.81</v>
      </c>
      <c r="AO409" s="61">
        <f>+Tabla6[[#This Row],[PRESUPUESTO VIGENTE]]-Tabla6[[#This Row],[CERTIFICACIÓN PAPP]]</f>
        <v>0</v>
      </c>
      <c r="AP409" s="59">
        <v>0</v>
      </c>
    </row>
    <row r="410" spans="1:42" ht="93" customHeight="1" x14ac:dyDescent="0.25">
      <c r="A410" s="62" t="s">
        <v>78</v>
      </c>
      <c r="B410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410" s="64" t="s">
        <v>79</v>
      </c>
      <c r="D410" s="64" t="s">
        <v>80</v>
      </c>
      <c r="E410" s="64" t="s">
        <v>81</v>
      </c>
      <c r="F410" s="64" t="s">
        <v>96</v>
      </c>
      <c r="G410" s="64" t="s">
        <v>83</v>
      </c>
      <c r="H410" s="65" t="str">
        <f>VLOOKUP(Tabla6[[#This Row],[DIRECCIÓN]],DIRECCIÓN[#All],2,0)</f>
        <v>ADMINISTRACIÓN CENTRAL</v>
      </c>
      <c r="I410" s="66" t="s">
        <v>650</v>
      </c>
      <c r="J410" s="67">
        <v>1</v>
      </c>
      <c r="K410" s="68" t="str">
        <f>VLOOKUP(Tabla6[[#This Row],[DIRECCIÓN GENERAL / COORDINACIÓN / SUBDIRECCIÓN]],Tabla37[[#All],[Columna1]:[EOD]],2,0)</f>
        <v>266_0003</v>
      </c>
      <c r="L410" s="69">
        <f>VLOOKUP(Tabla6[[#This Row],[OBJETIVOS PND]],Listas!$A$1:$C$3,3,0)</f>
        <v>1</v>
      </c>
      <c r="M410" s="70">
        <f>VLOOKUP(Tabla6[[#This Row],[PG]],Listas2!$G$14:$K$16,5,0)</f>
        <v>0</v>
      </c>
      <c r="N410" s="71">
        <v>1</v>
      </c>
      <c r="O410" s="72">
        <v>601</v>
      </c>
      <c r="P410" s="73" t="str">
        <f>VLOOKUP(Tabla6[[#This Row],[GEO]],Listas!$A$48:$B$77,2,0)</f>
        <v>RIOBAMBA</v>
      </c>
      <c r="Q410" s="70">
        <f>VLOOKUP(Tabla6[[#This Row],[PG]],Listas2!$G$14:$K$16,3,0)</f>
        <v>1</v>
      </c>
      <c r="R410" s="73">
        <f>VLOOKUP(Tabla6[[#This Row],[PG]],Listas2!H76:'Listas2'!$G$14:$K$16,4,0)</f>
        <v>0</v>
      </c>
      <c r="S410" s="73">
        <f>VLOOKUP(Tabla6[[#This Row],[PG]],Listas2!$G$14:$K$16,2,0)</f>
        <v>0</v>
      </c>
      <c r="T410" s="66" t="s">
        <v>84</v>
      </c>
      <c r="U410" s="74">
        <v>57</v>
      </c>
      <c r="V410" s="66">
        <v>570102</v>
      </c>
      <c r="W410" s="63" t="str">
        <f>VLOOKUP(Tabla6[[#This Row],[ÍTEM PRESUPUESTARIO]],Tabla2[#All],2,0)</f>
        <v>TASAS GENERALES, IMPUESTOS, CONTRIBUCIONES, PERMISOS, LICENCIAS Y PATENTES</v>
      </c>
      <c r="X410" s="57">
        <v>300</v>
      </c>
      <c r="Y410" s="57">
        <v>300</v>
      </c>
      <c r="Z410" s="58">
        <v>0</v>
      </c>
      <c r="AA410" s="58">
        <v>300</v>
      </c>
      <c r="AB410" s="58">
        <v>0</v>
      </c>
      <c r="AC410" s="58">
        <v>0</v>
      </c>
      <c r="AD410" s="58">
        <v>0</v>
      </c>
      <c r="AE410" s="58">
        <v>0</v>
      </c>
      <c r="AF410" s="58">
        <v>0</v>
      </c>
      <c r="AG410" s="58">
        <v>0</v>
      </c>
      <c r="AH410" s="58">
        <v>0</v>
      </c>
      <c r="AI410" s="58">
        <v>0</v>
      </c>
      <c r="AJ410" s="58">
        <v>0</v>
      </c>
      <c r="AK410" s="58">
        <v>0</v>
      </c>
      <c r="AL410" s="75">
        <f>+SUBTOTAL(9,Tabla6[[#This Row],[ENE]:[DIC]])</f>
        <v>300</v>
      </c>
      <c r="AM410" s="76" t="str">
        <f t="shared" si="7"/>
        <v>OK</v>
      </c>
      <c r="AN410" s="60">
        <v>300</v>
      </c>
      <c r="AO410" s="61">
        <f>+Tabla6[[#This Row],[PRESUPUESTO VIGENTE]]-Tabla6[[#This Row],[CERTIFICACIÓN PAPP]]</f>
        <v>0</v>
      </c>
      <c r="AP410" s="59">
        <v>0</v>
      </c>
    </row>
    <row r="411" spans="1:42" ht="93" customHeight="1" x14ac:dyDescent="0.25">
      <c r="A411" s="62" t="s">
        <v>78</v>
      </c>
      <c r="B411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411" s="64" t="s">
        <v>79</v>
      </c>
      <c r="D411" s="64" t="s">
        <v>80</v>
      </c>
      <c r="E411" s="64" t="s">
        <v>81</v>
      </c>
      <c r="F411" s="64" t="s">
        <v>96</v>
      </c>
      <c r="G411" s="64" t="s">
        <v>83</v>
      </c>
      <c r="H411" s="65" t="str">
        <f>VLOOKUP(Tabla6[[#This Row],[DIRECCIÓN]],DIRECCIÓN[#All],2,0)</f>
        <v>ADMINISTRACIÓN CENTRAL</v>
      </c>
      <c r="I411" s="66" t="s">
        <v>651</v>
      </c>
      <c r="J411" s="67">
        <v>1</v>
      </c>
      <c r="K411" s="68" t="str">
        <f>VLOOKUP(Tabla6[[#This Row],[DIRECCIÓN GENERAL / COORDINACIÓN / SUBDIRECCIÓN]],Tabla37[[#All],[Columna1]:[EOD]],2,0)</f>
        <v>266_0003</v>
      </c>
      <c r="L411" s="69">
        <f>VLOOKUP(Tabla6[[#This Row],[OBJETIVOS PND]],Listas!$A$1:$C$3,3,0)</f>
        <v>1</v>
      </c>
      <c r="M411" s="70">
        <f>VLOOKUP(Tabla6[[#This Row],[PG]],Listas2!$G$14:$K$16,5,0)</f>
        <v>0</v>
      </c>
      <c r="N411" s="71">
        <v>1</v>
      </c>
      <c r="O411" s="72">
        <v>601</v>
      </c>
      <c r="P411" s="73" t="str">
        <f>VLOOKUP(Tabla6[[#This Row],[GEO]],Listas!$A$48:$B$77,2,0)</f>
        <v>RIOBAMBA</v>
      </c>
      <c r="Q411" s="70">
        <f>VLOOKUP(Tabla6[[#This Row],[PG]],Listas2!$G$14:$K$16,3,0)</f>
        <v>1</v>
      </c>
      <c r="R411" s="73">
        <f>VLOOKUP(Tabla6[[#This Row],[PG]],Listas2!H77:'Listas2'!$G$14:$K$16,4,0)</f>
        <v>0</v>
      </c>
      <c r="S411" s="73">
        <f>VLOOKUP(Tabla6[[#This Row],[PG]],Listas2!$G$14:$K$16,2,0)</f>
        <v>0</v>
      </c>
      <c r="T411" s="66" t="s">
        <v>84</v>
      </c>
      <c r="U411" s="74">
        <v>57</v>
      </c>
      <c r="V411" s="66">
        <v>570102</v>
      </c>
      <c r="W411" s="63" t="str">
        <f>VLOOKUP(Tabla6[[#This Row],[ÍTEM PRESUPUESTARIO]],Tabla2[#All],2,0)</f>
        <v>TASAS GENERALES, IMPUESTOS, CONTRIBUCIONES, PERMISOS, LICENCIAS Y PATENTES</v>
      </c>
      <c r="X411" s="57">
        <v>100</v>
      </c>
      <c r="Y411" s="57">
        <v>100</v>
      </c>
      <c r="Z411" s="58">
        <v>0</v>
      </c>
      <c r="AA411" s="58">
        <v>0</v>
      </c>
      <c r="AB411" s="58">
        <v>0</v>
      </c>
      <c r="AC411" s="58">
        <v>100</v>
      </c>
      <c r="AD411" s="58">
        <v>0</v>
      </c>
      <c r="AE411" s="58">
        <v>0</v>
      </c>
      <c r="AF411" s="58">
        <v>0</v>
      </c>
      <c r="AG411" s="58">
        <v>0</v>
      </c>
      <c r="AH411" s="58">
        <v>0</v>
      </c>
      <c r="AI411" s="58">
        <v>0</v>
      </c>
      <c r="AJ411" s="58">
        <v>0</v>
      </c>
      <c r="AK411" s="58">
        <v>0</v>
      </c>
      <c r="AL411" s="75">
        <f>+SUBTOTAL(9,Tabla6[[#This Row],[ENE]:[DIC]])</f>
        <v>100</v>
      </c>
      <c r="AM411" s="76" t="str">
        <f t="shared" si="7"/>
        <v>OK</v>
      </c>
      <c r="AN411" s="60">
        <f>48+52</f>
        <v>100</v>
      </c>
      <c r="AO411" s="61">
        <f>+Tabla6[[#This Row],[PRESUPUESTO VIGENTE]]-Tabla6[[#This Row],[CERTIFICACIÓN PAPP]]</f>
        <v>0</v>
      </c>
      <c r="AP411" s="59">
        <v>0</v>
      </c>
    </row>
    <row r="412" spans="1:42" ht="93" customHeight="1" x14ac:dyDescent="0.25">
      <c r="A412" s="62" t="s">
        <v>78</v>
      </c>
      <c r="B412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412" s="64" t="s">
        <v>79</v>
      </c>
      <c r="D412" s="64" t="s">
        <v>80</v>
      </c>
      <c r="E412" s="64" t="s">
        <v>81</v>
      </c>
      <c r="F412" s="64" t="s">
        <v>96</v>
      </c>
      <c r="G412" s="64" t="s">
        <v>83</v>
      </c>
      <c r="H412" s="65" t="str">
        <f>VLOOKUP(Tabla6[[#This Row],[DIRECCIÓN]],DIRECCIÓN[#All],2,0)</f>
        <v>ADMINISTRACIÓN CENTRAL</v>
      </c>
      <c r="I412" s="66" t="s">
        <v>97</v>
      </c>
      <c r="J412" s="67">
        <v>1</v>
      </c>
      <c r="K412" s="68" t="str">
        <f>VLOOKUP(Tabla6[[#This Row],[DIRECCIÓN GENERAL / COORDINACIÓN / SUBDIRECCIÓN]],Tabla37[[#All],[Columna1]:[EOD]],2,0)</f>
        <v>266_0003</v>
      </c>
      <c r="L412" s="69">
        <f>VLOOKUP(Tabla6[[#This Row],[OBJETIVOS PND]],Listas!$A$1:$C$3,3,0)</f>
        <v>1</v>
      </c>
      <c r="M412" s="70">
        <f>VLOOKUP(Tabla6[[#This Row],[PG]],Listas2!$G$14:$K$16,5,0)</f>
        <v>0</v>
      </c>
      <c r="N412" s="71">
        <v>1</v>
      </c>
      <c r="O412" s="72">
        <v>601</v>
      </c>
      <c r="P412" s="73" t="str">
        <f>VLOOKUP(Tabla6[[#This Row],[GEO]],Listas!$A$48:$B$77,2,0)</f>
        <v>RIOBAMBA</v>
      </c>
      <c r="Q412" s="70">
        <f>VLOOKUP(Tabla6[[#This Row],[PG]],Listas2!$G$14:$K$16,3,0)</f>
        <v>1</v>
      </c>
      <c r="R412" s="73">
        <f>VLOOKUP(Tabla6[[#This Row],[PG]],Listas2!H78:'Listas2'!$G$14:$K$16,4,0)</f>
        <v>0</v>
      </c>
      <c r="S412" s="73">
        <f>VLOOKUP(Tabla6[[#This Row],[PG]],Listas2!$G$14:$K$16,2,0)</f>
        <v>0</v>
      </c>
      <c r="T412" s="66" t="s">
        <v>84</v>
      </c>
      <c r="U412" s="74">
        <v>57</v>
      </c>
      <c r="V412" s="66">
        <v>570102</v>
      </c>
      <c r="W412" s="63" t="str">
        <f>VLOOKUP(Tabla6[[#This Row],[ÍTEM PRESUPUESTARIO]],Tabla2[#All],2,0)</f>
        <v>TASAS GENERALES, IMPUESTOS, CONTRIBUCIONES, PERMISOS, LICENCIAS Y PATENTES</v>
      </c>
      <c r="X412" s="57">
        <v>100</v>
      </c>
      <c r="Y412" s="57">
        <v>100</v>
      </c>
      <c r="Z412" s="58">
        <v>0</v>
      </c>
      <c r="AA412" s="58">
        <v>0</v>
      </c>
      <c r="AB412" s="58">
        <v>100</v>
      </c>
      <c r="AC412" s="58">
        <v>0</v>
      </c>
      <c r="AD412" s="58">
        <v>0</v>
      </c>
      <c r="AE412" s="58">
        <v>0</v>
      </c>
      <c r="AF412" s="58">
        <v>0</v>
      </c>
      <c r="AG412" s="58">
        <v>0</v>
      </c>
      <c r="AH412" s="58">
        <v>0</v>
      </c>
      <c r="AI412" s="58">
        <v>0</v>
      </c>
      <c r="AJ412" s="58">
        <v>0</v>
      </c>
      <c r="AK412" s="58">
        <v>0</v>
      </c>
      <c r="AL412" s="75">
        <f>+SUBTOTAL(9,Tabla6[[#This Row],[ENE]:[DIC]])</f>
        <v>100</v>
      </c>
      <c r="AM412" s="76" t="str">
        <f t="shared" ref="AM412:AM443" si="8">IF(AL412=Y412,"OK",Y412-AL412)</f>
        <v>OK</v>
      </c>
      <c r="AN412" s="60">
        <v>100</v>
      </c>
      <c r="AO412" s="61">
        <f>+Tabla6[[#This Row],[PRESUPUESTO VIGENTE]]-Tabla6[[#This Row],[CERTIFICACIÓN PAPP]]</f>
        <v>0</v>
      </c>
      <c r="AP412" s="59">
        <v>0</v>
      </c>
    </row>
    <row r="413" spans="1:42" ht="93" customHeight="1" x14ac:dyDescent="0.25">
      <c r="A413" s="62" t="s">
        <v>78</v>
      </c>
      <c r="B413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413" s="64" t="s">
        <v>79</v>
      </c>
      <c r="D413" s="64" t="s">
        <v>80</v>
      </c>
      <c r="E413" s="64" t="s">
        <v>81</v>
      </c>
      <c r="F413" s="64" t="s">
        <v>96</v>
      </c>
      <c r="G413" s="64" t="s">
        <v>83</v>
      </c>
      <c r="H413" s="65" t="str">
        <f>VLOOKUP(Tabla6[[#This Row],[DIRECCIÓN]],DIRECCIÓN[#All],2,0)</f>
        <v>ADMINISTRACIÓN CENTRAL</v>
      </c>
      <c r="I413" s="66" t="s">
        <v>652</v>
      </c>
      <c r="J413" s="67">
        <v>1</v>
      </c>
      <c r="K413" s="68" t="str">
        <f>VLOOKUP(Tabla6[[#This Row],[DIRECCIÓN GENERAL / COORDINACIÓN / SUBDIRECCIÓN]],Tabla37[[#All],[Columna1]:[EOD]],2,0)</f>
        <v>266_0003</v>
      </c>
      <c r="L413" s="69">
        <f>VLOOKUP(Tabla6[[#This Row],[OBJETIVOS PND]],Listas!$A$1:$C$3,3,0)</f>
        <v>1</v>
      </c>
      <c r="M413" s="70">
        <f>VLOOKUP(Tabla6[[#This Row],[PG]],Listas2!$G$14:$K$16,5,0)</f>
        <v>0</v>
      </c>
      <c r="N413" s="71">
        <v>1</v>
      </c>
      <c r="O413" s="72">
        <v>601</v>
      </c>
      <c r="P413" s="73" t="str">
        <f>VLOOKUP(Tabla6[[#This Row],[GEO]],Listas!$A$48:$B$77,2,0)</f>
        <v>RIOBAMBA</v>
      </c>
      <c r="Q413" s="70">
        <f>VLOOKUP(Tabla6[[#This Row],[PG]],Listas2!$G$14:$K$16,3,0)</f>
        <v>1</v>
      </c>
      <c r="R413" s="73">
        <f>VLOOKUP(Tabla6[[#This Row],[PG]],Listas2!H79:'Listas2'!$G$14:$K$16,4,0)</f>
        <v>0</v>
      </c>
      <c r="S413" s="73">
        <f>VLOOKUP(Tabla6[[#This Row],[PG]],Listas2!$G$14:$K$16,2,0)</f>
        <v>0</v>
      </c>
      <c r="T413" s="66" t="s">
        <v>84</v>
      </c>
      <c r="U413" s="74">
        <v>57</v>
      </c>
      <c r="V413" s="66">
        <v>570102</v>
      </c>
      <c r="W413" s="63" t="str">
        <f>VLOOKUP(Tabla6[[#This Row],[ÍTEM PRESUPUESTARIO]],Tabla2[#All],2,0)</f>
        <v>TASAS GENERALES, IMPUESTOS, CONTRIBUCIONES, PERMISOS, LICENCIAS Y PATENTES</v>
      </c>
      <c r="X413" s="57">
        <v>100</v>
      </c>
      <c r="Y413" s="57">
        <f>100</f>
        <v>100</v>
      </c>
      <c r="Z413" s="58">
        <v>0</v>
      </c>
      <c r="AA413" s="58">
        <v>0</v>
      </c>
      <c r="AB413" s="58">
        <v>0</v>
      </c>
      <c r="AC413" s="58">
        <v>100</v>
      </c>
      <c r="AD413" s="58">
        <v>0</v>
      </c>
      <c r="AE413" s="58">
        <v>0</v>
      </c>
      <c r="AF413" s="58">
        <v>0</v>
      </c>
      <c r="AG413" s="58">
        <v>0</v>
      </c>
      <c r="AH413" s="58">
        <v>0</v>
      </c>
      <c r="AI413" s="58">
        <v>0</v>
      </c>
      <c r="AJ413" s="58">
        <v>0</v>
      </c>
      <c r="AK413" s="58">
        <v>0</v>
      </c>
      <c r="AL413" s="75">
        <f>+SUBTOTAL(9,Tabla6[[#This Row],[ENE]:[DIC]])</f>
        <v>100</v>
      </c>
      <c r="AM413" s="76" t="str">
        <f t="shared" si="8"/>
        <v>OK</v>
      </c>
      <c r="AN413" s="60">
        <v>100</v>
      </c>
      <c r="AO413" s="61">
        <f>+Tabla6[[#This Row],[PRESUPUESTO VIGENTE]]-Tabla6[[#This Row],[CERTIFICACIÓN PAPP]]</f>
        <v>0</v>
      </c>
      <c r="AP413" s="59">
        <v>0</v>
      </c>
    </row>
    <row r="414" spans="1:42" ht="93" customHeight="1" x14ac:dyDescent="0.25">
      <c r="A414" s="62" t="s">
        <v>88</v>
      </c>
      <c r="B414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414" s="64" t="s">
        <v>89</v>
      </c>
      <c r="D414" s="64" t="s">
        <v>80</v>
      </c>
      <c r="E414" s="64" t="s">
        <v>81</v>
      </c>
      <c r="F414" s="64" t="s">
        <v>96</v>
      </c>
      <c r="G414" s="64" t="s">
        <v>98</v>
      </c>
      <c r="H414" s="65" t="str">
        <f>VLOOKUP(Tabla6[[#This Row],[DIRECCIÓN]],DIRECCIÓN[#All],2,0)</f>
        <v>OPERACIONES</v>
      </c>
      <c r="I414" s="66" t="s">
        <v>653</v>
      </c>
      <c r="J414" s="67">
        <v>1</v>
      </c>
      <c r="K414" s="68" t="str">
        <f>VLOOKUP(Tabla6[[#This Row],[DIRECCIÓN GENERAL / COORDINACIÓN / SUBDIRECCIÓN]],Tabla37[[#All],[Columna1]:[EOD]],2,0)</f>
        <v>266_0003</v>
      </c>
      <c r="L414" s="69">
        <f>VLOOKUP(Tabla6[[#This Row],[OBJETIVOS PND]],Listas!$A$1:$C$3,3,0)</f>
        <v>55</v>
      </c>
      <c r="M414" s="70">
        <f>VLOOKUP(Tabla6[[#This Row],[PG]],Listas2!$G$14:$K$16,5,0)</f>
        <v>0</v>
      </c>
      <c r="N414" s="71">
        <v>2</v>
      </c>
      <c r="O414" s="72">
        <v>601</v>
      </c>
      <c r="P414" s="73" t="str">
        <f>VLOOKUP(Tabla6[[#This Row],[GEO]],Listas!$A$48:$B$77,2,0)</f>
        <v>RIOBAMBA</v>
      </c>
      <c r="Q414" s="70">
        <f>VLOOKUP(Tabla6[[#This Row],[PG]],Listas2!$G$14:$K$16,3,0)</f>
        <v>1</v>
      </c>
      <c r="R414" s="73">
        <f>VLOOKUP(Tabla6[[#This Row],[PG]],Listas2!H80:'Listas2'!$G$14:$K$16,4,0)</f>
        <v>0</v>
      </c>
      <c r="S414" s="73">
        <f>VLOOKUP(Tabla6[[#This Row],[PG]],Listas2!$G$14:$K$16,2,0)</f>
        <v>0</v>
      </c>
      <c r="T414" s="66" t="s">
        <v>84</v>
      </c>
      <c r="U414" s="74">
        <v>53</v>
      </c>
      <c r="V414" s="66">
        <v>530204</v>
      </c>
      <c r="W414" s="63" t="str">
        <f>VLOOKUP(Tabla6[[#This Row],[ÍTEM PRESUPUESTARIO]],Tabla2[#All],2,0)</f>
        <v>EDICIÓN, IMPRESIÓN, REPRODUCCIÓN, PUBLICACIONES, SUSCRIPCIONES, FOTOCOPIADO, TRADUCCIÓN, EMPASTADO, ENMARCACIÓN, SERIGRAFÍA, FOTOGRAFÍA, CARNETIZACIÓN, FILMACIÓN E IMÁGENES SATELITALES</v>
      </c>
      <c r="X414" s="57">
        <v>0</v>
      </c>
      <c r="Y414" s="57">
        <f>2000-1000-1000</f>
        <v>0</v>
      </c>
      <c r="Z414" s="58">
        <v>0</v>
      </c>
      <c r="AA414" s="58">
        <v>0</v>
      </c>
      <c r="AB414" s="58">
        <v>0</v>
      </c>
      <c r="AC414" s="58">
        <v>0</v>
      </c>
      <c r="AD414" s="58">
        <v>0</v>
      </c>
      <c r="AE414" s="58">
        <v>0</v>
      </c>
      <c r="AF414" s="58">
        <v>0</v>
      </c>
      <c r="AG414" s="58">
        <v>0</v>
      </c>
      <c r="AH414" s="58">
        <v>0</v>
      </c>
      <c r="AI414" s="58">
        <v>0</v>
      </c>
      <c r="AJ414" s="58">
        <v>0</v>
      </c>
      <c r="AK414" s="58">
        <v>0</v>
      </c>
      <c r="AL414" s="75">
        <f>+SUBTOTAL(9,Tabla6[[#This Row],[ENE]:[DIC]])</f>
        <v>0</v>
      </c>
      <c r="AM414" s="76" t="str">
        <f t="shared" si="8"/>
        <v>OK</v>
      </c>
      <c r="AN414" s="60">
        <v>0</v>
      </c>
      <c r="AO414" s="61">
        <f>+Tabla6[[#This Row],[PRESUPUESTO VIGENTE]]-Tabla6[[#This Row],[CERTIFICACIÓN PAPP]]</f>
        <v>0</v>
      </c>
      <c r="AP414" s="59">
        <v>0</v>
      </c>
    </row>
    <row r="415" spans="1:42" ht="93" customHeight="1" x14ac:dyDescent="0.25">
      <c r="A415" s="62" t="s">
        <v>88</v>
      </c>
      <c r="B415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415" s="64" t="s">
        <v>89</v>
      </c>
      <c r="D415" s="64" t="s">
        <v>80</v>
      </c>
      <c r="E415" s="64" t="s">
        <v>81</v>
      </c>
      <c r="F415" s="64" t="s">
        <v>96</v>
      </c>
      <c r="G415" s="64" t="s">
        <v>98</v>
      </c>
      <c r="H415" s="65" t="str">
        <f>VLOOKUP(Tabla6[[#This Row],[DIRECCIÓN]],DIRECCIÓN[#All],2,0)</f>
        <v>OPERACIONES</v>
      </c>
      <c r="I415" s="66" t="s">
        <v>653</v>
      </c>
      <c r="J415" s="67">
        <v>1</v>
      </c>
      <c r="K415" s="68" t="str">
        <f>VLOOKUP(Tabla6[[#This Row],[DIRECCIÓN GENERAL / COORDINACIÓN / SUBDIRECCIÓN]],Tabla37[[#All],[Columna1]:[EOD]],2,0)</f>
        <v>266_0003</v>
      </c>
      <c r="L415" s="69">
        <f>VLOOKUP(Tabla6[[#This Row],[OBJETIVOS PND]],Listas!$A$1:$C$3,3,0)</f>
        <v>55</v>
      </c>
      <c r="M415" s="70">
        <f>VLOOKUP(Tabla6[[#This Row],[PG]],Listas2!$G$14:$K$16,5,0)</f>
        <v>0</v>
      </c>
      <c r="N415" s="71">
        <v>2</v>
      </c>
      <c r="O415" s="72">
        <v>601</v>
      </c>
      <c r="P415" s="73" t="str">
        <f>VLOOKUP(Tabla6[[#This Row],[GEO]],Listas!$A$48:$B$77,2,0)</f>
        <v>RIOBAMBA</v>
      </c>
      <c r="Q415" s="70">
        <f>VLOOKUP(Tabla6[[#This Row],[PG]],Listas2!$G$14:$K$16,3,0)</f>
        <v>1</v>
      </c>
      <c r="R415" s="73">
        <f>VLOOKUP(Tabla6[[#This Row],[PG]],Listas2!H81:'Listas2'!$G$14:$K$16,4,0)</f>
        <v>0</v>
      </c>
      <c r="S415" s="73">
        <f>VLOOKUP(Tabla6[[#This Row],[PG]],Listas2!$G$14:$K$16,2,0)</f>
        <v>0</v>
      </c>
      <c r="T415" s="66" t="s">
        <v>84</v>
      </c>
      <c r="U415" s="74">
        <v>53</v>
      </c>
      <c r="V415" s="66">
        <v>530804</v>
      </c>
      <c r="W415" s="63" t="str">
        <f>VLOOKUP(Tabla6[[#This Row],[ÍTEM PRESUPUESTARIO]],Tabla2[#All],2,0)</f>
        <v>MATERIALES DE OFICINA</v>
      </c>
      <c r="X415" s="57">
        <v>0</v>
      </c>
      <c r="Y415" s="57">
        <v>127.28</v>
      </c>
      <c r="Z415" s="58">
        <v>0</v>
      </c>
      <c r="AA415" s="58">
        <v>0</v>
      </c>
      <c r="AB415" s="58">
        <v>0</v>
      </c>
      <c r="AC415" s="58">
        <v>0</v>
      </c>
      <c r="AD415" s="58">
        <v>0</v>
      </c>
      <c r="AE415" s="58">
        <v>0</v>
      </c>
      <c r="AF415" s="58">
        <v>0</v>
      </c>
      <c r="AG415" s="58">
        <v>0</v>
      </c>
      <c r="AH415" s="58">
        <v>0</v>
      </c>
      <c r="AI415" s="58">
        <v>0</v>
      </c>
      <c r="AJ415" s="58">
        <v>0</v>
      </c>
      <c r="AK415" s="58">
        <v>127.28</v>
      </c>
      <c r="AL415" s="75">
        <f>+SUBTOTAL(9,Tabla6[[#This Row],[ENE]:[DIC]])</f>
        <v>127.28</v>
      </c>
      <c r="AM415" s="76" t="str">
        <f t="shared" si="8"/>
        <v>OK</v>
      </c>
      <c r="AN415" s="60">
        <v>127.28</v>
      </c>
      <c r="AO415" s="61">
        <f>+Tabla6[[#This Row],[PRESUPUESTO VIGENTE]]-Tabla6[[#This Row],[CERTIFICACIÓN PAPP]]</f>
        <v>0</v>
      </c>
      <c r="AP415" s="59">
        <v>0</v>
      </c>
    </row>
    <row r="416" spans="1:42" ht="93" customHeight="1" x14ac:dyDescent="0.25">
      <c r="A416" s="62" t="s">
        <v>88</v>
      </c>
      <c r="B416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416" s="64" t="s">
        <v>89</v>
      </c>
      <c r="D416" s="64" t="s">
        <v>80</v>
      </c>
      <c r="E416" s="64" t="s">
        <v>81</v>
      </c>
      <c r="F416" s="64" t="s">
        <v>96</v>
      </c>
      <c r="G416" s="64" t="s">
        <v>98</v>
      </c>
      <c r="H416" s="65" t="str">
        <f>VLOOKUP(Tabla6[[#This Row],[DIRECCIÓN]],DIRECCIÓN[#All],2,0)</f>
        <v>OPERACIONES</v>
      </c>
      <c r="I416" s="66" t="s">
        <v>653</v>
      </c>
      <c r="J416" s="67">
        <v>1</v>
      </c>
      <c r="K416" s="68" t="str">
        <f>VLOOKUP(Tabla6[[#This Row],[DIRECCIÓN GENERAL / COORDINACIÓN / SUBDIRECCIÓN]],Tabla37[[#All],[Columna1]:[EOD]],2,0)</f>
        <v>266_0003</v>
      </c>
      <c r="L416" s="69">
        <f>VLOOKUP(Tabla6[[#This Row],[OBJETIVOS PND]],Listas!$A$1:$C$3,3,0)</f>
        <v>55</v>
      </c>
      <c r="M416" s="70">
        <f>VLOOKUP(Tabla6[[#This Row],[PG]],Listas2!$G$14:$K$16,5,0)</f>
        <v>0</v>
      </c>
      <c r="N416" s="71">
        <v>2</v>
      </c>
      <c r="O416" s="72">
        <v>601</v>
      </c>
      <c r="P416" s="73" t="str">
        <f>VLOOKUP(Tabla6[[#This Row],[GEO]],Listas!$A$48:$B$77,2,0)</f>
        <v>RIOBAMBA</v>
      </c>
      <c r="Q416" s="70">
        <f>VLOOKUP(Tabla6[[#This Row],[PG]],Listas2!$G$14:$K$16,3,0)</f>
        <v>1</v>
      </c>
      <c r="R416" s="73">
        <f>VLOOKUP(Tabla6[[#This Row],[PG]],Listas2!H82:'Listas2'!$G$14:$K$16,4,0)</f>
        <v>0</v>
      </c>
      <c r="S416" s="73">
        <f>VLOOKUP(Tabla6[[#This Row],[PG]],Listas2!$G$14:$K$16,2,0)</f>
        <v>0</v>
      </c>
      <c r="T416" s="66" t="s">
        <v>84</v>
      </c>
      <c r="U416" s="74">
        <v>53</v>
      </c>
      <c r="V416" s="66">
        <v>530807</v>
      </c>
      <c r="W416" s="63" t="str">
        <f>VLOOKUP(Tabla6[[#This Row],[ÍTEM PRESUPUESTARIO]],Tabla2[#All],2,0)</f>
        <v>MATERIALES DE IMPRESIÓN, FOTOGRAFÍA, REPRODUCCIÓN Y PUBLICACIONES</v>
      </c>
      <c r="X416" s="57">
        <v>0</v>
      </c>
      <c r="Y416" s="57">
        <v>110</v>
      </c>
      <c r="Z416" s="58">
        <v>0</v>
      </c>
      <c r="AA416" s="58">
        <v>0</v>
      </c>
      <c r="AB416" s="58">
        <v>0</v>
      </c>
      <c r="AC416" s="58">
        <v>0</v>
      </c>
      <c r="AD416" s="58">
        <v>0</v>
      </c>
      <c r="AE416" s="58">
        <v>0</v>
      </c>
      <c r="AF416" s="58">
        <v>0</v>
      </c>
      <c r="AG416" s="58">
        <v>0</v>
      </c>
      <c r="AH416" s="58">
        <v>0</v>
      </c>
      <c r="AI416" s="58">
        <v>0</v>
      </c>
      <c r="AJ416" s="58">
        <v>0</v>
      </c>
      <c r="AK416" s="58">
        <v>110</v>
      </c>
      <c r="AL416" s="75">
        <f>+SUBTOTAL(9,Tabla6[[#This Row],[ENE]:[DIC]])</f>
        <v>110</v>
      </c>
      <c r="AM416" s="76" t="str">
        <f t="shared" si="8"/>
        <v>OK</v>
      </c>
      <c r="AN416" s="60">
        <v>110</v>
      </c>
      <c r="AO416" s="61">
        <f>+Tabla6[[#This Row],[PRESUPUESTO VIGENTE]]-Tabla6[[#This Row],[CERTIFICACIÓN PAPP]]</f>
        <v>0</v>
      </c>
      <c r="AP416" s="59">
        <v>0</v>
      </c>
    </row>
    <row r="417" spans="1:42" ht="93" customHeight="1" x14ac:dyDescent="0.25">
      <c r="A417" s="62" t="s">
        <v>88</v>
      </c>
      <c r="B417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417" s="64" t="s">
        <v>89</v>
      </c>
      <c r="D417" s="64" t="s">
        <v>80</v>
      </c>
      <c r="E417" s="64" t="s">
        <v>81</v>
      </c>
      <c r="F417" s="64" t="s">
        <v>96</v>
      </c>
      <c r="G417" s="64" t="s">
        <v>98</v>
      </c>
      <c r="H417" s="65" t="str">
        <f>VLOOKUP(Tabla6[[#This Row],[DIRECCIÓN]],DIRECCIÓN[#All],2,0)</f>
        <v>OPERACIONES</v>
      </c>
      <c r="I417" s="66" t="s">
        <v>653</v>
      </c>
      <c r="J417" s="67">
        <v>1</v>
      </c>
      <c r="K417" s="68" t="str">
        <f>VLOOKUP(Tabla6[[#This Row],[DIRECCIÓN GENERAL / COORDINACIÓN / SUBDIRECCIÓN]],Tabla37[[#All],[Columna1]:[EOD]],2,0)</f>
        <v>266_0003</v>
      </c>
      <c r="L417" s="69">
        <f>VLOOKUP(Tabla6[[#This Row],[OBJETIVOS PND]],Listas!$A$1:$C$3,3,0)</f>
        <v>55</v>
      </c>
      <c r="M417" s="70">
        <f>VLOOKUP(Tabla6[[#This Row],[PG]],Listas2!$G$14:$K$16,5,0)</f>
        <v>0</v>
      </c>
      <c r="N417" s="71">
        <v>2</v>
      </c>
      <c r="O417" s="72">
        <v>601</v>
      </c>
      <c r="P417" s="73" t="str">
        <f>VLOOKUP(Tabla6[[#This Row],[GEO]],Listas!$A$48:$B$77,2,0)</f>
        <v>RIOBAMBA</v>
      </c>
      <c r="Q417" s="70">
        <f>VLOOKUP(Tabla6[[#This Row],[PG]],Listas2!$G$14:$K$16,3,0)</f>
        <v>1</v>
      </c>
      <c r="R417" s="73">
        <f>VLOOKUP(Tabla6[[#This Row],[PG]],Listas2!H83:'Listas2'!$G$14:$K$16,4,0)</f>
        <v>0</v>
      </c>
      <c r="S417" s="73">
        <f>VLOOKUP(Tabla6[[#This Row],[PG]],Listas2!$G$14:$K$16,2,0)</f>
        <v>0</v>
      </c>
      <c r="T417" s="66" t="s">
        <v>84</v>
      </c>
      <c r="U417" s="74">
        <v>53</v>
      </c>
      <c r="V417" s="66">
        <v>530812</v>
      </c>
      <c r="W417" s="63" t="str">
        <f>VLOOKUP(Tabla6[[#This Row],[ÍTEM PRESUPUESTARIO]],Tabla2[#All],2,0)</f>
        <v>MATERIALES DIDÁCTICOS</v>
      </c>
      <c r="X417" s="57">
        <v>0</v>
      </c>
      <c r="Y417" s="57">
        <v>911.6</v>
      </c>
      <c r="Z417" s="58">
        <v>0</v>
      </c>
      <c r="AA417" s="58">
        <v>0</v>
      </c>
      <c r="AB417" s="58">
        <v>0</v>
      </c>
      <c r="AC417" s="58">
        <v>0</v>
      </c>
      <c r="AD417" s="58">
        <v>0</v>
      </c>
      <c r="AE417" s="58">
        <v>0</v>
      </c>
      <c r="AF417" s="58">
        <v>0</v>
      </c>
      <c r="AG417" s="58">
        <v>0</v>
      </c>
      <c r="AH417" s="58">
        <v>0</v>
      </c>
      <c r="AI417" s="58">
        <v>0</v>
      </c>
      <c r="AJ417" s="58">
        <v>0</v>
      </c>
      <c r="AK417" s="58">
        <v>911.6</v>
      </c>
      <c r="AL417" s="75">
        <f>+SUBTOTAL(9,Tabla6[[#This Row],[ENE]:[DIC]])</f>
        <v>911.6</v>
      </c>
      <c r="AM417" s="76" t="str">
        <f t="shared" si="8"/>
        <v>OK</v>
      </c>
      <c r="AN417" s="60">
        <v>911.6</v>
      </c>
      <c r="AO417" s="61">
        <f>+Tabla6[[#This Row],[PRESUPUESTO VIGENTE]]-Tabla6[[#This Row],[CERTIFICACIÓN PAPP]]</f>
        <v>0</v>
      </c>
      <c r="AP417" s="59">
        <v>0</v>
      </c>
    </row>
    <row r="418" spans="1:42" ht="93" customHeight="1" x14ac:dyDescent="0.25">
      <c r="A418" s="62" t="s">
        <v>88</v>
      </c>
      <c r="B418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418" s="64" t="s">
        <v>89</v>
      </c>
      <c r="D418" s="64" t="s">
        <v>80</v>
      </c>
      <c r="E418" s="64" t="s">
        <v>81</v>
      </c>
      <c r="F418" s="64" t="s">
        <v>96</v>
      </c>
      <c r="G418" s="64" t="s">
        <v>90</v>
      </c>
      <c r="H418" s="65" t="str">
        <f>VLOOKUP(Tabla6[[#This Row],[DIRECCIÓN]],DIRECCIÓN[#All],2,0)</f>
        <v>TECNOLOGÍA</v>
      </c>
      <c r="I418" s="66" t="s">
        <v>654</v>
      </c>
      <c r="J418" s="67">
        <v>1</v>
      </c>
      <c r="K418" s="68" t="str">
        <f>VLOOKUP(Tabla6[[#This Row],[DIRECCIÓN GENERAL / COORDINACIÓN / SUBDIRECCIÓN]],Tabla37[[#All],[Columna1]:[EOD]],2,0)</f>
        <v>266_0003</v>
      </c>
      <c r="L418" s="69">
        <f>VLOOKUP(Tabla6[[#This Row],[OBJETIVOS PND]],Listas!$A$1:$C$3,3,0)</f>
        <v>55</v>
      </c>
      <c r="M418" s="70">
        <f>VLOOKUP(Tabla6[[#This Row],[PG]],Listas2!$G$14:$K$16,5,0)</f>
        <v>0</v>
      </c>
      <c r="N418" s="71">
        <v>3</v>
      </c>
      <c r="O418" s="72">
        <v>601</v>
      </c>
      <c r="P418" s="73" t="str">
        <f>VLOOKUP(Tabla6[[#This Row],[GEO]],Listas!$A$48:$B$77,2,0)</f>
        <v>RIOBAMBA</v>
      </c>
      <c r="Q418" s="70">
        <f>VLOOKUP(Tabla6[[#This Row],[PG]],Listas2!$G$14:$K$16,3,0)</f>
        <v>1</v>
      </c>
      <c r="R418" s="73">
        <f>VLOOKUP(Tabla6[[#This Row],[PG]],Listas2!H84:'Listas2'!$G$14:$K$16,4,0)</f>
        <v>0</v>
      </c>
      <c r="S418" s="73">
        <f>VLOOKUP(Tabla6[[#This Row],[PG]],Listas2!$G$14:$K$16,2,0)</f>
        <v>0</v>
      </c>
      <c r="T418" s="66" t="s">
        <v>84</v>
      </c>
      <c r="U418" s="74">
        <v>53</v>
      </c>
      <c r="V418" s="66">
        <v>530105</v>
      </c>
      <c r="W418" s="63" t="str">
        <f>VLOOKUP(Tabla6[[#This Row],[ÍTEM PRESUPUESTARIO]],Tabla2[#All],2,0)</f>
        <v>TELECOMUNICACIONES</v>
      </c>
      <c r="X418" s="57">
        <v>108000</v>
      </c>
      <c r="Y418" s="57">
        <f>108000-31720.12-37311.14</f>
        <v>38968.740000000005</v>
      </c>
      <c r="Z418" s="58">
        <v>6349.64</v>
      </c>
      <c r="AA418" s="58">
        <v>2965.37</v>
      </c>
      <c r="AB418" s="58">
        <v>2965.37</v>
      </c>
      <c r="AC418" s="58">
        <v>2965.37</v>
      </c>
      <c r="AD418" s="58">
        <v>2965.37</v>
      </c>
      <c r="AE418" s="58">
        <v>2965.37</v>
      </c>
      <c r="AF418" s="58">
        <v>2965.37</v>
      </c>
      <c r="AG418" s="58">
        <v>2965.37</v>
      </c>
      <c r="AH418" s="58">
        <v>2965.37</v>
      </c>
      <c r="AI418" s="58">
        <v>2965.37</v>
      </c>
      <c r="AJ418" s="58">
        <v>2965.37</v>
      </c>
      <c r="AK418" s="58">
        <v>2965.4</v>
      </c>
      <c r="AL418" s="75">
        <f>+SUBTOTAL(9,Tabla6[[#This Row],[ENE]:[DIC]])</f>
        <v>38968.74</v>
      </c>
      <c r="AM418" s="76" t="str">
        <f t="shared" si="8"/>
        <v>OK</v>
      </c>
      <c r="AN418" s="60">
        <f>41296.97-2328.23</f>
        <v>38968.74</v>
      </c>
      <c r="AO418" s="61">
        <f>+Tabla6[[#This Row],[PRESUPUESTO VIGENTE]]-Tabla6[[#This Row],[CERTIFICACIÓN PAPP]]</f>
        <v>0</v>
      </c>
      <c r="AP418" s="59">
        <v>0</v>
      </c>
    </row>
    <row r="419" spans="1:42" ht="93" customHeight="1" x14ac:dyDescent="0.25">
      <c r="A419" s="62" t="s">
        <v>88</v>
      </c>
      <c r="B419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419" s="64" t="s">
        <v>89</v>
      </c>
      <c r="D419" s="64" t="s">
        <v>80</v>
      </c>
      <c r="E419" s="64" t="s">
        <v>81</v>
      </c>
      <c r="F419" s="64" t="s">
        <v>96</v>
      </c>
      <c r="G419" s="64" t="s">
        <v>90</v>
      </c>
      <c r="H419" s="65" t="str">
        <f>VLOOKUP(Tabla6[[#This Row],[DIRECCIÓN]],DIRECCIÓN[#All],2,0)</f>
        <v>TECNOLOGÍA</v>
      </c>
      <c r="I419" s="66" t="s">
        <v>655</v>
      </c>
      <c r="J419" s="67">
        <v>1</v>
      </c>
      <c r="K419" s="68" t="str">
        <f>VLOOKUP(Tabla6[[#This Row],[DIRECCIÓN GENERAL / COORDINACIÓN / SUBDIRECCIÓN]],Tabla37[[#All],[Columna1]:[EOD]],2,0)</f>
        <v>266_0003</v>
      </c>
      <c r="L419" s="69">
        <f>VLOOKUP(Tabla6[[#This Row],[OBJETIVOS PND]],Listas!$A$1:$C$3,3,0)</f>
        <v>55</v>
      </c>
      <c r="M419" s="70">
        <f>VLOOKUP(Tabla6[[#This Row],[PG]],Listas2!$G$14:$K$16,5,0)</f>
        <v>0</v>
      </c>
      <c r="N419" s="71">
        <v>3</v>
      </c>
      <c r="O419" s="72">
        <v>601</v>
      </c>
      <c r="P419" s="73" t="str">
        <f>VLOOKUP(Tabla6[[#This Row],[GEO]],Listas!$A$48:$B$77,2,0)</f>
        <v>RIOBAMBA</v>
      </c>
      <c r="Q419" s="70">
        <f>VLOOKUP(Tabla6[[#This Row],[PG]],Listas2!$G$14:$K$16,3,0)</f>
        <v>1</v>
      </c>
      <c r="R419" s="73">
        <f>VLOOKUP(Tabla6[[#This Row],[PG]],Listas2!H85:'Listas2'!$G$14:$K$16,4,0)</f>
        <v>0</v>
      </c>
      <c r="S419" s="73">
        <f>VLOOKUP(Tabla6[[#This Row],[PG]],Listas2!$G$14:$K$16,2,0)</f>
        <v>0</v>
      </c>
      <c r="T419" s="66" t="s">
        <v>84</v>
      </c>
      <c r="U419" s="74">
        <v>53</v>
      </c>
      <c r="V419" s="66">
        <v>530704</v>
      </c>
      <c r="W419" s="63" t="str">
        <f>VLOOKUP(Tabla6[[#This Row],[ÍTEM PRESUPUESTARIO]],Tabla2[#All],2,0)</f>
        <v xml:space="preserve">MANTENIMIENTO Y REPARACIÓN DE EQUIPOS Y SISTEMAS INFORMÁTICOS </v>
      </c>
      <c r="X419" s="57">
        <v>16000</v>
      </c>
      <c r="Y419" s="57">
        <f>16000+10000-6300.57-2644.19-4370.04</f>
        <v>12685.2</v>
      </c>
      <c r="Z419" s="58">
        <v>0</v>
      </c>
      <c r="AA419" s="58">
        <v>0</v>
      </c>
      <c r="AB419" s="58">
        <v>0</v>
      </c>
      <c r="AC419" s="58">
        <v>0</v>
      </c>
      <c r="AD419" s="58">
        <v>0</v>
      </c>
      <c r="AE419" s="58">
        <v>0</v>
      </c>
      <c r="AF419" s="58">
        <v>0</v>
      </c>
      <c r="AG419" s="58">
        <v>0</v>
      </c>
      <c r="AH419" s="58">
        <v>1090</v>
      </c>
      <c r="AI419" s="58">
        <v>5689.36</v>
      </c>
      <c r="AJ419" s="58">
        <v>5905.84</v>
      </c>
      <c r="AK419" s="58">
        <v>0</v>
      </c>
      <c r="AL419" s="75">
        <f>+SUBTOTAL(9,Tabla6[[#This Row],[ENE]:[DIC]])</f>
        <v>12685.2</v>
      </c>
      <c r="AM419" s="76" t="str">
        <f t="shared" si="8"/>
        <v>OK</v>
      </c>
      <c r="AN419" s="60">
        <f>13434.2-749</f>
        <v>12685.2</v>
      </c>
      <c r="AO419" s="61">
        <f>+Tabla6[[#This Row],[PRESUPUESTO VIGENTE]]-Tabla6[[#This Row],[CERTIFICACIÓN PAPP]]</f>
        <v>0</v>
      </c>
      <c r="AP419" s="59" t="s">
        <v>87</v>
      </c>
    </row>
    <row r="420" spans="1:42" ht="93" customHeight="1" x14ac:dyDescent="0.25">
      <c r="A420" s="62" t="s">
        <v>78</v>
      </c>
      <c r="B420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420" s="64" t="s">
        <v>79</v>
      </c>
      <c r="D420" s="64" t="s">
        <v>80</v>
      </c>
      <c r="E420" s="64" t="s">
        <v>81</v>
      </c>
      <c r="F420" s="64" t="s">
        <v>96</v>
      </c>
      <c r="G420" s="64" t="s">
        <v>92</v>
      </c>
      <c r="H420" s="65" t="str">
        <f>VLOOKUP(Tabla6[[#This Row],[DIRECCIÓN]],DIRECCIÓN[#All],2,0)</f>
        <v>ADMINISTRACIÓN CENTRAL</v>
      </c>
      <c r="I420" s="66" t="s">
        <v>93</v>
      </c>
      <c r="J420" s="67">
        <v>1</v>
      </c>
      <c r="K420" s="68" t="str">
        <f>VLOOKUP(Tabla6[[#This Row],[DIRECCIÓN GENERAL / COORDINACIÓN / SUBDIRECCIÓN]],Tabla37[[#All],[Columna1]:[EOD]],2,0)</f>
        <v>266_0003</v>
      </c>
      <c r="L420" s="69">
        <f>VLOOKUP(Tabla6[[#This Row],[OBJETIVOS PND]],Listas!$A$1:$C$3,3,0)</f>
        <v>1</v>
      </c>
      <c r="M420" s="70">
        <f>VLOOKUP(Tabla6[[#This Row],[PG]],Listas2!$G$14:$K$16,5,0)</f>
        <v>0</v>
      </c>
      <c r="N420" s="71">
        <v>1</v>
      </c>
      <c r="O420" s="72">
        <v>1800</v>
      </c>
      <c r="P420" s="73" t="str">
        <f>VLOOKUP(Tabla6[[#This Row],[GEO]],Listas!$A$48:$B$77,2,0)</f>
        <v>TUNGURAHUA</v>
      </c>
      <c r="Q420" s="70">
        <f>VLOOKUP(Tabla6[[#This Row],[PG]],Listas2!$G$14:$K$16,3,0)</f>
        <v>1</v>
      </c>
      <c r="R420" s="73">
        <f>VLOOKUP(Tabla6[[#This Row],[PG]],Listas2!H86:'Listas2'!$G$14:$K$16,4,0)</f>
        <v>0</v>
      </c>
      <c r="S420" s="73">
        <f>VLOOKUP(Tabla6[[#This Row],[PG]],Listas2!$G$14:$K$16,2,0)</f>
        <v>0</v>
      </c>
      <c r="T420" s="66" t="s">
        <v>84</v>
      </c>
      <c r="U420" s="74">
        <v>51</v>
      </c>
      <c r="V420" s="66">
        <v>510105</v>
      </c>
      <c r="W420" s="63" t="str">
        <f>VLOOKUP(Tabla6[[#This Row],[ÍTEM PRESUPUESTARIO]],Tabla2[#All],2,0)</f>
        <v>REMUNERACIONES UNIFICADAS</v>
      </c>
      <c r="X420" s="57">
        <v>220020</v>
      </c>
      <c r="Y420" s="57">
        <f>220020-1086-3665.2</f>
        <v>215268.8</v>
      </c>
      <c r="Z420" s="58">
        <v>18335</v>
      </c>
      <c r="AA420" s="58">
        <v>18335</v>
      </c>
      <c r="AB420" s="58">
        <v>18335</v>
      </c>
      <c r="AC420" s="58">
        <v>18335</v>
      </c>
      <c r="AD420" s="58">
        <v>18335</v>
      </c>
      <c r="AE420" s="58">
        <v>18335</v>
      </c>
      <c r="AF420" s="58">
        <v>18335</v>
      </c>
      <c r="AG420" s="58">
        <v>18335</v>
      </c>
      <c r="AH420" s="58">
        <v>18335</v>
      </c>
      <c r="AI420" s="58">
        <v>18335</v>
      </c>
      <c r="AJ420" s="58">
        <v>18335</v>
      </c>
      <c r="AK420" s="58">
        <v>13583.8</v>
      </c>
      <c r="AL420" s="75">
        <f>+SUBTOTAL(9,Tabla6[[#This Row],[ENE]:[DIC]])</f>
        <v>215268.8</v>
      </c>
      <c r="AM420" s="76" t="str">
        <f t="shared" si="8"/>
        <v>OK</v>
      </c>
      <c r="AN420" s="60">
        <v>0</v>
      </c>
      <c r="AO420" s="61">
        <f>+Tabla6[[#This Row],[PRESUPUESTO VIGENTE]]-Tabla6[[#This Row],[CERTIFICACIÓN PAPP]]</f>
        <v>215268.8</v>
      </c>
      <c r="AP420" s="59">
        <v>0</v>
      </c>
    </row>
    <row r="421" spans="1:42" ht="93" customHeight="1" x14ac:dyDescent="0.25">
      <c r="A421" s="62" t="s">
        <v>78</v>
      </c>
      <c r="B421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421" s="64" t="s">
        <v>79</v>
      </c>
      <c r="D421" s="64" t="s">
        <v>80</v>
      </c>
      <c r="E421" s="64" t="s">
        <v>81</v>
      </c>
      <c r="F421" s="64" t="s">
        <v>96</v>
      </c>
      <c r="G421" s="64" t="s">
        <v>92</v>
      </c>
      <c r="H421" s="65" t="str">
        <f>VLOOKUP(Tabla6[[#This Row],[DIRECCIÓN]],DIRECCIÓN[#All],2,0)</f>
        <v>ADMINISTRACIÓN CENTRAL</v>
      </c>
      <c r="I421" s="66" t="s">
        <v>93</v>
      </c>
      <c r="J421" s="67">
        <v>1</v>
      </c>
      <c r="K421" s="68" t="str">
        <f>VLOOKUP(Tabla6[[#This Row],[DIRECCIÓN GENERAL / COORDINACIÓN / SUBDIRECCIÓN]],Tabla37[[#All],[Columna1]:[EOD]],2,0)</f>
        <v>266_0003</v>
      </c>
      <c r="L421" s="69">
        <f>VLOOKUP(Tabla6[[#This Row],[OBJETIVOS PND]],Listas!$A$1:$C$3,3,0)</f>
        <v>1</v>
      </c>
      <c r="M421" s="70">
        <f>VLOOKUP(Tabla6[[#This Row],[PG]],Listas2!$G$14:$K$16,5,0)</f>
        <v>0</v>
      </c>
      <c r="N421" s="71">
        <v>1</v>
      </c>
      <c r="O421" s="72">
        <v>1800</v>
      </c>
      <c r="P421" s="73" t="str">
        <f>VLOOKUP(Tabla6[[#This Row],[GEO]],Listas!$A$48:$B$77,2,0)</f>
        <v>TUNGURAHUA</v>
      </c>
      <c r="Q421" s="70">
        <f>VLOOKUP(Tabla6[[#This Row],[PG]],Listas2!$G$14:$K$16,3,0)</f>
        <v>1</v>
      </c>
      <c r="R421" s="73">
        <f>VLOOKUP(Tabla6[[#This Row],[PG]],Listas2!H87:'Listas2'!$G$14:$K$16,4,0)</f>
        <v>0</v>
      </c>
      <c r="S421" s="73">
        <f>VLOOKUP(Tabla6[[#This Row],[PG]],Listas2!$G$14:$K$16,2,0)</f>
        <v>0</v>
      </c>
      <c r="T421" s="66" t="s">
        <v>84</v>
      </c>
      <c r="U421" s="74">
        <v>51</v>
      </c>
      <c r="V421" s="66">
        <v>510106</v>
      </c>
      <c r="W421" s="63" t="str">
        <f>VLOOKUP(Tabla6[[#This Row],[ÍTEM PRESUPUESTARIO]],Tabla2[#All],2,0)</f>
        <v>SALARIOS UNIFICADOS</v>
      </c>
      <c r="X421" s="57">
        <v>36240</v>
      </c>
      <c r="Y421" s="57">
        <f>36240-596-1192</f>
        <v>34452</v>
      </c>
      <c r="Z421" s="58">
        <v>2871</v>
      </c>
      <c r="AA421" s="58">
        <v>2871</v>
      </c>
      <c r="AB421" s="58">
        <v>2871</v>
      </c>
      <c r="AC421" s="58">
        <v>2871</v>
      </c>
      <c r="AD421" s="58">
        <v>2871</v>
      </c>
      <c r="AE421" s="58">
        <v>2871</v>
      </c>
      <c r="AF421" s="58">
        <v>2871</v>
      </c>
      <c r="AG421" s="58">
        <v>2871</v>
      </c>
      <c r="AH421" s="58">
        <v>2871</v>
      </c>
      <c r="AI421" s="58">
        <v>2871</v>
      </c>
      <c r="AJ421" s="58">
        <v>2871</v>
      </c>
      <c r="AK421" s="58">
        <v>2871</v>
      </c>
      <c r="AL421" s="75">
        <f>+SUBTOTAL(9,Tabla6[[#This Row],[ENE]:[DIC]])</f>
        <v>34452</v>
      </c>
      <c r="AM421" s="76" t="str">
        <f t="shared" si="8"/>
        <v>OK</v>
      </c>
      <c r="AN421" s="60">
        <v>0</v>
      </c>
      <c r="AO421" s="61">
        <f>+Tabla6[[#This Row],[PRESUPUESTO VIGENTE]]-Tabla6[[#This Row],[CERTIFICACIÓN PAPP]]</f>
        <v>34452</v>
      </c>
      <c r="AP421" s="59">
        <v>0</v>
      </c>
    </row>
    <row r="422" spans="1:42" ht="93" customHeight="1" x14ac:dyDescent="0.25">
      <c r="A422" s="62" t="s">
        <v>78</v>
      </c>
      <c r="B422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422" s="64" t="s">
        <v>79</v>
      </c>
      <c r="D422" s="64" t="s">
        <v>80</v>
      </c>
      <c r="E422" s="64" t="s">
        <v>81</v>
      </c>
      <c r="F422" s="64" t="s">
        <v>96</v>
      </c>
      <c r="G422" s="64" t="s">
        <v>92</v>
      </c>
      <c r="H422" s="65" t="str">
        <f>VLOOKUP(Tabla6[[#This Row],[DIRECCIÓN]],DIRECCIÓN[#All],2,0)</f>
        <v>ADMINISTRACIÓN CENTRAL</v>
      </c>
      <c r="I422" s="66" t="s">
        <v>93</v>
      </c>
      <c r="J422" s="67">
        <v>1</v>
      </c>
      <c r="K422" s="68" t="str">
        <f>VLOOKUP(Tabla6[[#This Row],[DIRECCIÓN GENERAL / COORDINACIÓN / SUBDIRECCIÓN]],Tabla37[[#All],[Columna1]:[EOD]],2,0)</f>
        <v>266_0003</v>
      </c>
      <c r="L422" s="69">
        <f>VLOOKUP(Tabla6[[#This Row],[OBJETIVOS PND]],Listas!$A$1:$C$3,3,0)</f>
        <v>1</v>
      </c>
      <c r="M422" s="70">
        <f>VLOOKUP(Tabla6[[#This Row],[PG]],Listas2!$G$14:$K$16,5,0)</f>
        <v>0</v>
      </c>
      <c r="N422" s="71">
        <v>1</v>
      </c>
      <c r="O422" s="72">
        <v>1800</v>
      </c>
      <c r="P422" s="73" t="str">
        <f>VLOOKUP(Tabla6[[#This Row],[GEO]],Listas!$A$48:$B$77,2,0)</f>
        <v>TUNGURAHUA</v>
      </c>
      <c r="Q422" s="70">
        <f>VLOOKUP(Tabla6[[#This Row],[PG]],Listas2!$G$14:$K$16,3,0)</f>
        <v>1</v>
      </c>
      <c r="R422" s="73">
        <f>VLOOKUP(Tabla6[[#This Row],[PG]],Listas2!H88:'Listas2'!$G$14:$K$16,4,0)</f>
        <v>0</v>
      </c>
      <c r="S422" s="73">
        <f>VLOOKUP(Tabla6[[#This Row],[PG]],Listas2!$G$14:$K$16,2,0)</f>
        <v>0</v>
      </c>
      <c r="T422" s="66" t="s">
        <v>84</v>
      </c>
      <c r="U422" s="74">
        <v>51</v>
      </c>
      <c r="V422" s="66">
        <v>510203</v>
      </c>
      <c r="W422" s="63" t="str">
        <f>VLOOKUP(Tabla6[[#This Row],[ÍTEM PRESUPUESTARIO]],Tabla2[#All],2,0)</f>
        <v>DÉCIMO TERCER SUELDO</v>
      </c>
      <c r="X422" s="57">
        <v>21355</v>
      </c>
      <c r="Y422" s="57">
        <f>21355-49-460.82</f>
        <v>20845.18</v>
      </c>
      <c r="Z422" s="58">
        <v>0</v>
      </c>
      <c r="AA422" s="58">
        <v>0</v>
      </c>
      <c r="AB422" s="58">
        <v>0</v>
      </c>
      <c r="AC422" s="58">
        <v>0</v>
      </c>
      <c r="AD422" s="58">
        <v>0</v>
      </c>
      <c r="AE422" s="58">
        <v>0</v>
      </c>
      <c r="AF422" s="58">
        <v>0</v>
      </c>
      <c r="AG422" s="58">
        <v>0</v>
      </c>
      <c r="AH422" s="58">
        <v>0</v>
      </c>
      <c r="AI422" s="58">
        <v>0</v>
      </c>
      <c r="AJ422" s="58">
        <v>0</v>
      </c>
      <c r="AK422" s="58">
        <v>20845.18</v>
      </c>
      <c r="AL422" s="75">
        <f>+SUBTOTAL(9,Tabla6[[#This Row],[ENE]:[DIC]])</f>
        <v>20845.18</v>
      </c>
      <c r="AM422" s="76" t="str">
        <f t="shared" si="8"/>
        <v>OK</v>
      </c>
      <c r="AN422" s="60">
        <v>0</v>
      </c>
      <c r="AO422" s="61">
        <f>+Tabla6[[#This Row],[PRESUPUESTO VIGENTE]]-Tabla6[[#This Row],[CERTIFICACIÓN PAPP]]</f>
        <v>20845.18</v>
      </c>
      <c r="AP422" s="59">
        <v>0</v>
      </c>
    </row>
    <row r="423" spans="1:42" ht="93" customHeight="1" x14ac:dyDescent="0.25">
      <c r="A423" s="62" t="s">
        <v>78</v>
      </c>
      <c r="B423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423" s="64" t="s">
        <v>79</v>
      </c>
      <c r="D423" s="64" t="s">
        <v>80</v>
      </c>
      <c r="E423" s="64" t="s">
        <v>81</v>
      </c>
      <c r="F423" s="64" t="s">
        <v>96</v>
      </c>
      <c r="G423" s="64" t="s">
        <v>92</v>
      </c>
      <c r="H423" s="65" t="str">
        <f>VLOOKUP(Tabla6[[#This Row],[DIRECCIÓN]],DIRECCIÓN[#All],2,0)</f>
        <v>ADMINISTRACIÓN CENTRAL</v>
      </c>
      <c r="I423" s="66" t="s">
        <v>93</v>
      </c>
      <c r="J423" s="67">
        <v>1</v>
      </c>
      <c r="K423" s="68" t="str">
        <f>VLOOKUP(Tabla6[[#This Row],[DIRECCIÓN GENERAL / COORDINACIÓN / SUBDIRECCIÓN]],Tabla37[[#All],[Columna1]:[EOD]],2,0)</f>
        <v>266_0003</v>
      </c>
      <c r="L423" s="69">
        <f>VLOOKUP(Tabla6[[#This Row],[OBJETIVOS PND]],Listas!$A$1:$C$3,3,0)</f>
        <v>1</v>
      </c>
      <c r="M423" s="70">
        <f>VLOOKUP(Tabla6[[#This Row],[PG]],Listas2!$G$14:$K$16,5,0)</f>
        <v>0</v>
      </c>
      <c r="N423" s="71">
        <v>1</v>
      </c>
      <c r="O423" s="72">
        <v>1800</v>
      </c>
      <c r="P423" s="73" t="str">
        <f>VLOOKUP(Tabla6[[#This Row],[GEO]],Listas!$A$48:$B$77,2,0)</f>
        <v>TUNGURAHUA</v>
      </c>
      <c r="Q423" s="70">
        <f>VLOOKUP(Tabla6[[#This Row],[PG]],Listas2!$G$14:$K$16,3,0)</f>
        <v>1</v>
      </c>
      <c r="R423" s="73">
        <f>VLOOKUP(Tabla6[[#This Row],[PG]],Listas2!H89:'Listas2'!$G$14:$K$16,4,0)</f>
        <v>0</v>
      </c>
      <c r="S423" s="73">
        <f>VLOOKUP(Tabla6[[#This Row],[PG]],Listas2!$G$14:$K$16,2,0)</f>
        <v>0</v>
      </c>
      <c r="T423" s="66" t="s">
        <v>84</v>
      </c>
      <c r="U423" s="74">
        <v>51</v>
      </c>
      <c r="V423" s="66">
        <v>510204</v>
      </c>
      <c r="W423" s="63" t="str">
        <f>VLOOKUP(Tabla6[[#This Row],[ÍTEM PRESUPUESTARIO]],Tabla2[#All],2,0)</f>
        <v>DÉCIMO CUARTO SUELDO</v>
      </c>
      <c r="X423" s="57">
        <v>8500</v>
      </c>
      <c r="Y423" s="57">
        <f>8500+462.5-183.35</f>
        <v>8779.15</v>
      </c>
      <c r="Z423" s="58">
        <v>0</v>
      </c>
      <c r="AA423" s="58">
        <v>0</v>
      </c>
      <c r="AB423" s="58">
        <v>0</v>
      </c>
      <c r="AC423" s="58">
        <v>0</v>
      </c>
      <c r="AD423" s="58">
        <v>0</v>
      </c>
      <c r="AE423" s="58">
        <v>0</v>
      </c>
      <c r="AF423" s="58">
        <v>0</v>
      </c>
      <c r="AG423" s="58">
        <v>8779.15</v>
      </c>
      <c r="AH423" s="58">
        <v>0</v>
      </c>
      <c r="AI423" s="58">
        <v>0</v>
      </c>
      <c r="AJ423" s="58">
        <v>0</v>
      </c>
      <c r="AK423" s="58">
        <v>0</v>
      </c>
      <c r="AL423" s="75">
        <f>+SUBTOTAL(9,Tabla6[[#This Row],[ENE]:[DIC]])</f>
        <v>8779.15</v>
      </c>
      <c r="AM423" s="76" t="str">
        <f t="shared" si="8"/>
        <v>OK</v>
      </c>
      <c r="AN423" s="60">
        <v>0</v>
      </c>
      <c r="AO423" s="61">
        <f>+Tabla6[[#This Row],[PRESUPUESTO VIGENTE]]-Tabla6[[#This Row],[CERTIFICACIÓN PAPP]]</f>
        <v>8779.15</v>
      </c>
      <c r="AP423" s="59">
        <v>0</v>
      </c>
    </row>
    <row r="424" spans="1:42" ht="93" customHeight="1" x14ac:dyDescent="0.25">
      <c r="A424" s="62" t="s">
        <v>78</v>
      </c>
      <c r="B424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424" s="64" t="s">
        <v>79</v>
      </c>
      <c r="D424" s="64" t="s">
        <v>80</v>
      </c>
      <c r="E424" s="64" t="s">
        <v>81</v>
      </c>
      <c r="F424" s="64" t="s">
        <v>96</v>
      </c>
      <c r="G424" s="64" t="s">
        <v>92</v>
      </c>
      <c r="H424" s="65" t="str">
        <f>VLOOKUP(Tabla6[[#This Row],[DIRECCIÓN]],DIRECCIÓN[#All],2,0)</f>
        <v>ADMINISTRACIÓN CENTRAL</v>
      </c>
      <c r="I424" s="66" t="s">
        <v>93</v>
      </c>
      <c r="J424" s="67">
        <v>1</v>
      </c>
      <c r="K424" s="68" t="str">
        <f>VLOOKUP(Tabla6[[#This Row],[DIRECCIÓN GENERAL / COORDINACIÓN / SUBDIRECCIÓN]],Tabla37[[#All],[Columna1]:[EOD]],2,0)</f>
        <v>266_0003</v>
      </c>
      <c r="L424" s="69">
        <f>VLOOKUP(Tabla6[[#This Row],[OBJETIVOS PND]],Listas!$A$1:$C$3,3,0)</f>
        <v>1</v>
      </c>
      <c r="M424" s="70">
        <f>VLOOKUP(Tabla6[[#This Row],[PG]],Listas2!$G$14:$K$16,5,0)</f>
        <v>0</v>
      </c>
      <c r="N424" s="71">
        <v>1</v>
      </c>
      <c r="O424" s="72">
        <v>1800</v>
      </c>
      <c r="P424" s="73" t="str">
        <f>VLOOKUP(Tabla6[[#This Row],[GEO]],Listas!$A$48:$B$77,2,0)</f>
        <v>TUNGURAHUA</v>
      </c>
      <c r="Q424" s="70">
        <f>VLOOKUP(Tabla6[[#This Row],[PG]],Listas2!$G$14:$K$16,3,0)</f>
        <v>1</v>
      </c>
      <c r="R424" s="73">
        <f>VLOOKUP(Tabla6[[#This Row],[PG]],Listas2!H90:'Listas2'!$G$14:$K$16,4,0)</f>
        <v>0</v>
      </c>
      <c r="S424" s="73">
        <f>VLOOKUP(Tabla6[[#This Row],[PG]],Listas2!$G$14:$K$16,2,0)</f>
        <v>0</v>
      </c>
      <c r="T424" s="66" t="s">
        <v>84</v>
      </c>
      <c r="U424" s="74">
        <v>51</v>
      </c>
      <c r="V424" s="66">
        <v>510304</v>
      </c>
      <c r="W424" s="63" t="str">
        <f>VLOOKUP(Tabla6[[#This Row],[ÍTEM PRESUPUESTARIO]],Tabla2[#All],2,0)</f>
        <v>COMPENSACION POR TRANSPORTE</v>
      </c>
      <c r="X424" s="57">
        <v>0</v>
      </c>
      <c r="Y424" s="57">
        <f>297-297</f>
        <v>0</v>
      </c>
      <c r="Z424" s="58">
        <v>0</v>
      </c>
      <c r="AA424" s="58">
        <v>0</v>
      </c>
      <c r="AB424" s="58">
        <v>0</v>
      </c>
      <c r="AC424" s="58">
        <v>0</v>
      </c>
      <c r="AD424" s="58">
        <v>0</v>
      </c>
      <c r="AE424" s="58">
        <v>0</v>
      </c>
      <c r="AF424" s="58">
        <v>0</v>
      </c>
      <c r="AG424" s="58">
        <v>0</v>
      </c>
      <c r="AH424" s="58">
        <v>0</v>
      </c>
      <c r="AI424" s="58">
        <v>0</v>
      </c>
      <c r="AJ424" s="58">
        <v>0</v>
      </c>
      <c r="AK424" s="58">
        <v>0</v>
      </c>
      <c r="AL424" s="75">
        <f>+SUBTOTAL(9,Tabla6[[#This Row],[ENE]:[DIC]])</f>
        <v>0</v>
      </c>
      <c r="AM424" s="76" t="str">
        <f t="shared" si="8"/>
        <v>OK</v>
      </c>
      <c r="AN424" s="60">
        <v>0</v>
      </c>
      <c r="AO424" s="61">
        <f>+Tabla6[[#This Row],[PRESUPUESTO VIGENTE]]-Tabla6[[#This Row],[CERTIFICACIÓN PAPP]]</f>
        <v>0</v>
      </c>
      <c r="AP424" s="59">
        <v>0</v>
      </c>
    </row>
    <row r="425" spans="1:42" ht="93" customHeight="1" x14ac:dyDescent="0.25">
      <c r="A425" s="62" t="s">
        <v>78</v>
      </c>
      <c r="B425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425" s="64" t="s">
        <v>79</v>
      </c>
      <c r="D425" s="64" t="s">
        <v>80</v>
      </c>
      <c r="E425" s="64" t="s">
        <v>81</v>
      </c>
      <c r="F425" s="64" t="s">
        <v>96</v>
      </c>
      <c r="G425" s="64" t="s">
        <v>92</v>
      </c>
      <c r="H425" s="65" t="str">
        <f>VLOOKUP(Tabla6[[#This Row],[DIRECCIÓN]],DIRECCIÓN[#All],2,0)</f>
        <v>ADMINISTRACIÓN CENTRAL</v>
      </c>
      <c r="I425" s="66" t="s">
        <v>93</v>
      </c>
      <c r="J425" s="67">
        <v>1</v>
      </c>
      <c r="K425" s="68" t="str">
        <f>VLOOKUP(Tabla6[[#This Row],[DIRECCIÓN GENERAL / COORDINACIÓN / SUBDIRECCIÓN]],Tabla37[[#All],[Columna1]:[EOD]],2,0)</f>
        <v>266_0003</v>
      </c>
      <c r="L425" s="69">
        <f>VLOOKUP(Tabla6[[#This Row],[OBJETIVOS PND]],Listas!$A$1:$C$3,3,0)</f>
        <v>1</v>
      </c>
      <c r="M425" s="70">
        <f>VLOOKUP(Tabla6[[#This Row],[PG]],Listas2!$G$14:$K$16,5,0)</f>
        <v>0</v>
      </c>
      <c r="N425" s="71">
        <v>1</v>
      </c>
      <c r="O425" s="72">
        <v>1800</v>
      </c>
      <c r="P425" s="73" t="str">
        <f>VLOOKUP(Tabla6[[#This Row],[GEO]],Listas!$A$48:$B$77,2,0)</f>
        <v>TUNGURAHUA</v>
      </c>
      <c r="Q425" s="70">
        <f>VLOOKUP(Tabla6[[#This Row],[PG]],Listas2!$G$14:$K$16,3,0)</f>
        <v>1</v>
      </c>
      <c r="R425" s="73">
        <f>VLOOKUP(Tabla6[[#This Row],[PG]],Listas2!H91:'Listas2'!$G$14:$K$16,4,0)</f>
        <v>0</v>
      </c>
      <c r="S425" s="73">
        <f>VLOOKUP(Tabla6[[#This Row],[PG]],Listas2!$G$14:$K$16,2,0)</f>
        <v>0</v>
      </c>
      <c r="T425" s="66" t="s">
        <v>84</v>
      </c>
      <c r="U425" s="74">
        <v>51</v>
      </c>
      <c r="V425" s="66">
        <v>510306</v>
      </c>
      <c r="W425" s="63" t="str">
        <f>VLOOKUP(Tabla6[[#This Row],[ÍTEM PRESUPUESTARIO]],Tabla2[#All],2,0)</f>
        <v>ALIMENTACION</v>
      </c>
      <c r="X425" s="57">
        <v>0</v>
      </c>
      <c r="Y425" s="57">
        <f>1430-1430</f>
        <v>0</v>
      </c>
      <c r="Z425" s="58">
        <v>0</v>
      </c>
      <c r="AA425" s="58">
        <v>0</v>
      </c>
      <c r="AB425" s="58">
        <v>0</v>
      </c>
      <c r="AC425" s="58">
        <v>0</v>
      </c>
      <c r="AD425" s="58">
        <v>0</v>
      </c>
      <c r="AE425" s="58">
        <v>0</v>
      </c>
      <c r="AF425" s="58">
        <v>0</v>
      </c>
      <c r="AG425" s="58">
        <v>0</v>
      </c>
      <c r="AH425" s="58">
        <v>0</v>
      </c>
      <c r="AI425" s="58">
        <v>0</v>
      </c>
      <c r="AJ425" s="58">
        <v>0</v>
      </c>
      <c r="AK425" s="58">
        <v>0</v>
      </c>
      <c r="AL425" s="75">
        <f>+SUBTOTAL(9,Tabla6[[#This Row],[ENE]:[DIC]])</f>
        <v>0</v>
      </c>
      <c r="AM425" s="76" t="str">
        <f t="shared" si="8"/>
        <v>OK</v>
      </c>
      <c r="AN425" s="60">
        <v>0</v>
      </c>
      <c r="AO425" s="61">
        <f>+Tabla6[[#This Row],[PRESUPUESTO VIGENTE]]-Tabla6[[#This Row],[CERTIFICACIÓN PAPP]]</f>
        <v>0</v>
      </c>
      <c r="AP425" s="59">
        <v>0</v>
      </c>
    </row>
    <row r="426" spans="1:42" ht="93" customHeight="1" x14ac:dyDescent="0.25">
      <c r="A426" s="62" t="s">
        <v>78</v>
      </c>
      <c r="B426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426" s="64" t="s">
        <v>79</v>
      </c>
      <c r="D426" s="64" t="s">
        <v>80</v>
      </c>
      <c r="E426" s="64" t="s">
        <v>81</v>
      </c>
      <c r="F426" s="64" t="s">
        <v>96</v>
      </c>
      <c r="G426" s="64" t="s">
        <v>92</v>
      </c>
      <c r="H426" s="65" t="str">
        <f>VLOOKUP(Tabla6[[#This Row],[DIRECCIÓN]],DIRECCIÓN[#All],2,0)</f>
        <v>ADMINISTRACIÓN CENTRAL</v>
      </c>
      <c r="I426" s="66" t="s">
        <v>93</v>
      </c>
      <c r="J426" s="67">
        <v>1</v>
      </c>
      <c r="K426" s="68" t="str">
        <f>VLOOKUP(Tabla6[[#This Row],[DIRECCIÓN GENERAL / COORDINACIÓN / SUBDIRECCIÓN]],Tabla37[[#All],[Columna1]:[EOD]],2,0)</f>
        <v>266_0003</v>
      </c>
      <c r="L426" s="69">
        <f>VLOOKUP(Tabla6[[#This Row],[OBJETIVOS PND]],Listas!$A$1:$C$3,3,0)</f>
        <v>1</v>
      </c>
      <c r="M426" s="70">
        <f>VLOOKUP(Tabla6[[#This Row],[PG]],Listas2!$G$14:$K$16,5,0)</f>
        <v>0</v>
      </c>
      <c r="N426" s="71">
        <v>1</v>
      </c>
      <c r="O426" s="72">
        <v>1800</v>
      </c>
      <c r="P426" s="73" t="str">
        <f>VLOOKUP(Tabla6[[#This Row],[GEO]],Listas!$A$48:$B$77,2,0)</f>
        <v>TUNGURAHUA</v>
      </c>
      <c r="Q426" s="70">
        <f>VLOOKUP(Tabla6[[#This Row],[PG]],Listas2!$G$14:$K$16,3,0)</f>
        <v>1</v>
      </c>
      <c r="R426" s="73">
        <f>VLOOKUP(Tabla6[[#This Row],[PG]],Listas2!H92:'Listas2'!$G$14:$K$16,4,0)</f>
        <v>0</v>
      </c>
      <c r="S426" s="73">
        <f>VLOOKUP(Tabla6[[#This Row],[PG]],Listas2!$G$14:$K$16,2,0)</f>
        <v>0</v>
      </c>
      <c r="T426" s="66" t="s">
        <v>84</v>
      </c>
      <c r="U426" s="74">
        <v>51</v>
      </c>
      <c r="V426" s="66">
        <v>510401</v>
      </c>
      <c r="W426" s="63" t="str">
        <f>VLOOKUP(Tabla6[[#This Row],[ÍTEM PRESUPUESTARIO]],Tabla2[#All],2,0)</f>
        <v>POR CARGAS FAMILIARES</v>
      </c>
      <c r="X426" s="57">
        <v>0</v>
      </c>
      <c r="Y426" s="57">
        <f>64-64</f>
        <v>0</v>
      </c>
      <c r="Z426" s="58">
        <v>0</v>
      </c>
      <c r="AA426" s="58">
        <v>0</v>
      </c>
      <c r="AB426" s="58">
        <v>0</v>
      </c>
      <c r="AC426" s="58">
        <v>0</v>
      </c>
      <c r="AD426" s="58">
        <v>0</v>
      </c>
      <c r="AE426" s="58">
        <v>0</v>
      </c>
      <c r="AF426" s="58">
        <v>0</v>
      </c>
      <c r="AG426" s="58">
        <v>0</v>
      </c>
      <c r="AH426" s="58">
        <v>0</v>
      </c>
      <c r="AI426" s="58">
        <v>0</v>
      </c>
      <c r="AJ426" s="58">
        <v>0</v>
      </c>
      <c r="AK426" s="58">
        <v>0</v>
      </c>
      <c r="AL426" s="75">
        <f>+SUBTOTAL(9,Tabla6[[#This Row],[ENE]:[DIC]])</f>
        <v>0</v>
      </c>
      <c r="AM426" s="76" t="str">
        <f t="shared" si="8"/>
        <v>OK</v>
      </c>
      <c r="AN426" s="60">
        <v>0</v>
      </c>
      <c r="AO426" s="61">
        <f>+Tabla6[[#This Row],[PRESUPUESTO VIGENTE]]-Tabla6[[#This Row],[CERTIFICACIÓN PAPP]]</f>
        <v>0</v>
      </c>
      <c r="AP426" s="59">
        <v>0</v>
      </c>
    </row>
    <row r="427" spans="1:42" ht="93" customHeight="1" x14ac:dyDescent="0.25">
      <c r="A427" s="62" t="s">
        <v>78</v>
      </c>
      <c r="B427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427" s="64" t="s">
        <v>79</v>
      </c>
      <c r="D427" s="64" t="s">
        <v>80</v>
      </c>
      <c r="E427" s="64" t="s">
        <v>81</v>
      </c>
      <c r="F427" s="64" t="s">
        <v>96</v>
      </c>
      <c r="G427" s="64" t="s">
        <v>92</v>
      </c>
      <c r="H427" s="65" t="str">
        <f>VLOOKUP(Tabla6[[#This Row],[DIRECCIÓN]],DIRECCIÓN[#All],2,0)</f>
        <v>ADMINISTRACIÓN CENTRAL</v>
      </c>
      <c r="I427" s="66" t="s">
        <v>93</v>
      </c>
      <c r="J427" s="67">
        <v>1</v>
      </c>
      <c r="K427" s="68" t="str">
        <f>VLOOKUP(Tabla6[[#This Row],[DIRECCIÓN GENERAL / COORDINACIÓN / SUBDIRECCIÓN]],Tabla37[[#All],[Columna1]:[EOD]],2,0)</f>
        <v>266_0003</v>
      </c>
      <c r="L427" s="69">
        <f>VLOOKUP(Tabla6[[#This Row],[OBJETIVOS PND]],Listas!$A$1:$C$3,3,0)</f>
        <v>1</v>
      </c>
      <c r="M427" s="70">
        <f>VLOOKUP(Tabla6[[#This Row],[PG]],Listas2!$G$14:$K$16,5,0)</f>
        <v>0</v>
      </c>
      <c r="N427" s="71">
        <v>1</v>
      </c>
      <c r="O427" s="72">
        <v>1800</v>
      </c>
      <c r="P427" s="73" t="str">
        <f>VLOOKUP(Tabla6[[#This Row],[GEO]],Listas!$A$48:$B$77,2,0)</f>
        <v>TUNGURAHUA</v>
      </c>
      <c r="Q427" s="70">
        <f>VLOOKUP(Tabla6[[#This Row],[PG]],Listas2!$G$14:$K$16,3,0)</f>
        <v>1</v>
      </c>
      <c r="R427" s="73">
        <f>VLOOKUP(Tabla6[[#This Row],[PG]],Listas2!H93:'Listas2'!$G$14:$K$16,4,0)</f>
        <v>0</v>
      </c>
      <c r="S427" s="73">
        <f>VLOOKUP(Tabla6[[#This Row],[PG]],Listas2!$G$14:$K$16,2,0)</f>
        <v>0</v>
      </c>
      <c r="T427" s="66" t="s">
        <v>84</v>
      </c>
      <c r="U427" s="74">
        <v>51</v>
      </c>
      <c r="V427" s="66">
        <v>510408</v>
      </c>
      <c r="W427" s="63" t="str">
        <f>VLOOKUP(Tabla6[[#This Row],[ÍTEM PRESUPUESTARIO]],Tabla2[#All],2,0)</f>
        <v>SUBSIDIO DE ANTIGUEDAD</v>
      </c>
      <c r="X427" s="57">
        <v>0</v>
      </c>
      <c r="Y427" s="57">
        <f>192-192</f>
        <v>0</v>
      </c>
      <c r="Z427" s="58">
        <v>0</v>
      </c>
      <c r="AA427" s="58">
        <v>0</v>
      </c>
      <c r="AB427" s="58">
        <v>0</v>
      </c>
      <c r="AC427" s="58">
        <v>0</v>
      </c>
      <c r="AD427" s="58">
        <v>0</v>
      </c>
      <c r="AE427" s="58">
        <v>0</v>
      </c>
      <c r="AF427" s="58">
        <v>0</v>
      </c>
      <c r="AG427" s="58">
        <v>0</v>
      </c>
      <c r="AH427" s="58">
        <v>0</v>
      </c>
      <c r="AI427" s="58">
        <v>0</v>
      </c>
      <c r="AJ427" s="58">
        <v>0</v>
      </c>
      <c r="AK427" s="58">
        <v>0</v>
      </c>
      <c r="AL427" s="75">
        <f>+SUBTOTAL(9,Tabla6[[#This Row],[ENE]:[DIC]])</f>
        <v>0</v>
      </c>
      <c r="AM427" s="76" t="str">
        <f t="shared" si="8"/>
        <v>OK</v>
      </c>
      <c r="AN427" s="60">
        <v>0</v>
      </c>
      <c r="AO427" s="61">
        <f>+Tabla6[[#This Row],[PRESUPUESTO VIGENTE]]-Tabla6[[#This Row],[CERTIFICACIÓN PAPP]]</f>
        <v>0</v>
      </c>
      <c r="AP427" s="59">
        <v>0</v>
      </c>
    </row>
    <row r="428" spans="1:42" ht="93" customHeight="1" x14ac:dyDescent="0.25">
      <c r="A428" s="62" t="s">
        <v>78</v>
      </c>
      <c r="B428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428" s="64" t="s">
        <v>79</v>
      </c>
      <c r="D428" s="64" t="s">
        <v>80</v>
      </c>
      <c r="E428" s="64" t="s">
        <v>81</v>
      </c>
      <c r="F428" s="64" t="s">
        <v>96</v>
      </c>
      <c r="G428" s="64" t="s">
        <v>92</v>
      </c>
      <c r="H428" s="65" t="str">
        <f>VLOOKUP(Tabla6[[#This Row],[DIRECCIÓN]],DIRECCIÓN[#All],2,0)</f>
        <v>ADMINISTRACIÓN CENTRAL</v>
      </c>
      <c r="I428" s="66" t="s">
        <v>93</v>
      </c>
      <c r="J428" s="67">
        <v>1</v>
      </c>
      <c r="K428" s="68" t="str">
        <f>VLOOKUP(Tabla6[[#This Row],[DIRECCIÓN GENERAL / COORDINACIÓN / SUBDIRECCIÓN]],Tabla37[[#All],[Columna1]:[EOD]],2,0)</f>
        <v>266_0003</v>
      </c>
      <c r="L428" s="69">
        <f>VLOOKUP(Tabla6[[#This Row],[OBJETIVOS PND]],Listas!$A$1:$C$3,3,0)</f>
        <v>1</v>
      </c>
      <c r="M428" s="70">
        <f>VLOOKUP(Tabla6[[#This Row],[PG]],Listas2!$G$14:$K$16,5,0)</f>
        <v>0</v>
      </c>
      <c r="N428" s="71">
        <v>1</v>
      </c>
      <c r="O428" s="72">
        <v>1800</v>
      </c>
      <c r="P428" s="73" t="str">
        <f>VLOOKUP(Tabla6[[#This Row],[GEO]],Listas!$A$48:$B$77,2,0)</f>
        <v>TUNGURAHUA</v>
      </c>
      <c r="Q428" s="70">
        <f>VLOOKUP(Tabla6[[#This Row],[PG]],Listas2!$G$14:$K$16,3,0)</f>
        <v>1</v>
      </c>
      <c r="R428" s="73">
        <f>VLOOKUP(Tabla6[[#This Row],[PG]],Listas2!H94:'Listas2'!$G$14:$K$16,4,0)</f>
        <v>0</v>
      </c>
      <c r="S428" s="73">
        <f>VLOOKUP(Tabla6[[#This Row],[PG]],Listas2!$G$14:$K$16,2,0)</f>
        <v>0</v>
      </c>
      <c r="T428" s="66" t="s">
        <v>84</v>
      </c>
      <c r="U428" s="74">
        <v>51</v>
      </c>
      <c r="V428" s="66">
        <v>510509</v>
      </c>
      <c r="W428" s="63" t="str">
        <f>VLOOKUP(Tabla6[[#This Row],[ÍTEM PRESUPUESTARIO]],Tabla2[#All],2,0)</f>
        <v>HORAS EXTRAORDINARIAS Y SUPLEMENTARIAS</v>
      </c>
      <c r="X428" s="57">
        <v>0</v>
      </c>
      <c r="Y428" s="57">
        <f>1000-256.2</f>
        <v>743.8</v>
      </c>
      <c r="Z428" s="58">
        <v>0</v>
      </c>
      <c r="AA428" s="58">
        <v>743.8</v>
      </c>
      <c r="AB428" s="58">
        <v>0</v>
      </c>
      <c r="AC428" s="58">
        <v>0</v>
      </c>
      <c r="AD428" s="58">
        <v>0</v>
      </c>
      <c r="AE428" s="58">
        <v>0</v>
      </c>
      <c r="AF428" s="58">
        <v>0</v>
      </c>
      <c r="AG428" s="58">
        <v>0</v>
      </c>
      <c r="AH428" s="58">
        <v>0</v>
      </c>
      <c r="AI428" s="58">
        <v>0</v>
      </c>
      <c r="AJ428" s="58">
        <v>0</v>
      </c>
      <c r="AK428" s="58">
        <v>0</v>
      </c>
      <c r="AL428" s="75">
        <f>+SUBTOTAL(9,Tabla6[[#This Row],[ENE]:[DIC]])</f>
        <v>743.8</v>
      </c>
      <c r="AM428" s="76" t="str">
        <f t="shared" si="8"/>
        <v>OK</v>
      </c>
      <c r="AN428" s="60">
        <v>0</v>
      </c>
      <c r="AO428" s="61">
        <f>+Tabla6[[#This Row],[PRESUPUESTO VIGENTE]]-Tabla6[[#This Row],[CERTIFICACIÓN PAPP]]</f>
        <v>743.8</v>
      </c>
      <c r="AP428" s="59">
        <v>0</v>
      </c>
    </row>
    <row r="429" spans="1:42" ht="93" customHeight="1" x14ac:dyDescent="0.25">
      <c r="A429" s="62" t="s">
        <v>78</v>
      </c>
      <c r="B429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429" s="64" t="s">
        <v>79</v>
      </c>
      <c r="D429" s="64" t="s">
        <v>80</v>
      </c>
      <c r="E429" s="64" t="s">
        <v>81</v>
      </c>
      <c r="F429" s="64" t="s">
        <v>96</v>
      </c>
      <c r="G429" s="64" t="s">
        <v>92</v>
      </c>
      <c r="H429" s="65" t="str">
        <f>VLOOKUP(Tabla6[[#This Row],[DIRECCIÓN]],DIRECCIÓN[#All],2,0)</f>
        <v>ADMINISTRACIÓN CENTRAL</v>
      </c>
      <c r="I429" s="66" t="s">
        <v>93</v>
      </c>
      <c r="J429" s="67">
        <v>1</v>
      </c>
      <c r="K429" s="68" t="str">
        <f>VLOOKUP(Tabla6[[#This Row],[DIRECCIÓN GENERAL / COORDINACIÓN / SUBDIRECCIÓN]],Tabla37[[#All],[Columna1]:[EOD]],2,0)</f>
        <v>266_0003</v>
      </c>
      <c r="L429" s="69">
        <f>VLOOKUP(Tabla6[[#This Row],[OBJETIVOS PND]],Listas!$A$1:$C$3,3,0)</f>
        <v>1</v>
      </c>
      <c r="M429" s="70">
        <f>VLOOKUP(Tabla6[[#This Row],[PG]],Listas2!$G$14:$K$16,5,0)</f>
        <v>0</v>
      </c>
      <c r="N429" s="71">
        <v>1</v>
      </c>
      <c r="O429" s="72">
        <v>1800</v>
      </c>
      <c r="P429" s="73" t="str">
        <f>VLOOKUP(Tabla6[[#This Row],[GEO]],Listas!$A$48:$B$77,2,0)</f>
        <v>TUNGURAHUA</v>
      </c>
      <c r="Q429" s="70">
        <f>VLOOKUP(Tabla6[[#This Row],[PG]],Listas2!$G$14:$K$16,3,0)</f>
        <v>1</v>
      </c>
      <c r="R429" s="73">
        <f>VLOOKUP(Tabla6[[#This Row],[PG]],Listas2!H95:'Listas2'!$G$14:$K$16,4,0)</f>
        <v>0</v>
      </c>
      <c r="S429" s="73">
        <f>VLOOKUP(Tabla6[[#This Row],[PG]],Listas2!$G$14:$K$16,2,0)</f>
        <v>0</v>
      </c>
      <c r="T429" s="66" t="s">
        <v>84</v>
      </c>
      <c r="U429" s="74">
        <v>51</v>
      </c>
      <c r="V429" s="66">
        <v>510601</v>
      </c>
      <c r="W429" s="63" t="str">
        <f>VLOOKUP(Tabla6[[#This Row],[ÍTEM PRESUPUESTARIO]],Tabla2[#All],2,0)</f>
        <v>APORTE PATRONAL</v>
      </c>
      <c r="X429" s="57">
        <v>25636</v>
      </c>
      <c r="Y429" s="57">
        <f>25636-585.75</f>
        <v>25050.25</v>
      </c>
      <c r="Z429" s="58">
        <v>2136</v>
      </c>
      <c r="AA429" s="58">
        <v>2136</v>
      </c>
      <c r="AB429" s="58">
        <v>2136</v>
      </c>
      <c r="AC429" s="58">
        <v>2136</v>
      </c>
      <c r="AD429" s="58">
        <v>2136</v>
      </c>
      <c r="AE429" s="58">
        <v>2136</v>
      </c>
      <c r="AF429" s="58">
        <v>2136</v>
      </c>
      <c r="AG429" s="58">
        <v>2136</v>
      </c>
      <c r="AH429" s="58">
        <v>2137</v>
      </c>
      <c r="AI429" s="58">
        <v>2137</v>
      </c>
      <c r="AJ429" s="58">
        <v>2137</v>
      </c>
      <c r="AK429" s="58">
        <v>1551.25</v>
      </c>
      <c r="AL429" s="75">
        <f>+SUBTOTAL(9,Tabla6[[#This Row],[ENE]:[DIC]])</f>
        <v>25050.25</v>
      </c>
      <c r="AM429" s="76" t="str">
        <f t="shared" si="8"/>
        <v>OK</v>
      </c>
      <c r="AN429" s="60">
        <v>0</v>
      </c>
      <c r="AO429" s="61">
        <f>+Tabla6[[#This Row],[PRESUPUESTO VIGENTE]]-Tabla6[[#This Row],[CERTIFICACIÓN PAPP]]</f>
        <v>25050.25</v>
      </c>
      <c r="AP429" s="59">
        <v>0</v>
      </c>
    </row>
    <row r="430" spans="1:42" ht="93" customHeight="1" x14ac:dyDescent="0.25">
      <c r="A430" s="62" t="s">
        <v>78</v>
      </c>
      <c r="B430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430" s="64" t="s">
        <v>79</v>
      </c>
      <c r="D430" s="64" t="s">
        <v>80</v>
      </c>
      <c r="E430" s="64" t="s">
        <v>81</v>
      </c>
      <c r="F430" s="64" t="s">
        <v>96</v>
      </c>
      <c r="G430" s="64" t="s">
        <v>92</v>
      </c>
      <c r="H430" s="65" t="str">
        <f>VLOOKUP(Tabla6[[#This Row],[DIRECCIÓN]],DIRECCIÓN[#All],2,0)</f>
        <v>ADMINISTRACIÓN CENTRAL</v>
      </c>
      <c r="I430" s="66" t="s">
        <v>93</v>
      </c>
      <c r="J430" s="67">
        <v>1</v>
      </c>
      <c r="K430" s="68" t="str">
        <f>VLOOKUP(Tabla6[[#This Row],[DIRECCIÓN GENERAL / COORDINACIÓN / SUBDIRECCIÓN]],Tabla37[[#All],[Columna1]:[EOD]],2,0)</f>
        <v>266_0003</v>
      </c>
      <c r="L430" s="69">
        <f>VLOOKUP(Tabla6[[#This Row],[OBJETIVOS PND]],Listas!$A$1:$C$3,3,0)</f>
        <v>1</v>
      </c>
      <c r="M430" s="70">
        <f>VLOOKUP(Tabla6[[#This Row],[PG]],Listas2!$G$14:$K$16,5,0)</f>
        <v>0</v>
      </c>
      <c r="N430" s="71">
        <v>1</v>
      </c>
      <c r="O430" s="72">
        <v>1800</v>
      </c>
      <c r="P430" s="73" t="str">
        <f>VLOOKUP(Tabla6[[#This Row],[GEO]],Listas!$A$48:$B$77,2,0)</f>
        <v>TUNGURAHUA</v>
      </c>
      <c r="Q430" s="70">
        <f>VLOOKUP(Tabla6[[#This Row],[PG]],Listas2!$G$14:$K$16,3,0)</f>
        <v>1</v>
      </c>
      <c r="R430" s="73">
        <f>VLOOKUP(Tabla6[[#This Row],[PG]],Listas2!H96:'Listas2'!$G$14:$K$16,4,0)</f>
        <v>0</v>
      </c>
      <c r="S430" s="73">
        <f>VLOOKUP(Tabla6[[#This Row],[PG]],Listas2!$G$14:$K$16,2,0)</f>
        <v>0</v>
      </c>
      <c r="T430" s="66" t="s">
        <v>84</v>
      </c>
      <c r="U430" s="74">
        <v>51</v>
      </c>
      <c r="V430" s="66">
        <v>510602</v>
      </c>
      <c r="W430" s="63" t="str">
        <f>VLOOKUP(Tabla6[[#This Row],[ÍTEM PRESUPUESTARIO]],Tabla2[#All],2,0)</f>
        <v>FONDO DE RESERVA</v>
      </c>
      <c r="X430" s="57">
        <v>21355</v>
      </c>
      <c r="Y430" s="57">
        <f>21355-49-309-936.02</f>
        <v>20060.98</v>
      </c>
      <c r="Z430" s="58">
        <v>1749.75</v>
      </c>
      <c r="AA430" s="58">
        <v>1749.75</v>
      </c>
      <c r="AB430" s="58">
        <v>1749.75</v>
      </c>
      <c r="AC430" s="58">
        <v>1749.75</v>
      </c>
      <c r="AD430" s="58">
        <v>1749.75</v>
      </c>
      <c r="AE430" s="58">
        <v>1749.75</v>
      </c>
      <c r="AF430" s="58">
        <v>1749.75</v>
      </c>
      <c r="AG430" s="58">
        <v>1749.75</v>
      </c>
      <c r="AH430" s="58">
        <v>1749.75</v>
      </c>
      <c r="AI430" s="58">
        <v>1749.75</v>
      </c>
      <c r="AJ430" s="58">
        <v>1749.75</v>
      </c>
      <c r="AK430" s="58">
        <v>813.73</v>
      </c>
      <c r="AL430" s="75">
        <f>+SUBTOTAL(9,Tabla6[[#This Row],[ENE]:[DIC]])</f>
        <v>20060.98</v>
      </c>
      <c r="AM430" s="76" t="str">
        <f t="shared" si="8"/>
        <v>OK</v>
      </c>
      <c r="AN430" s="60">
        <v>0</v>
      </c>
      <c r="AO430" s="61">
        <f>+Tabla6[[#This Row],[PRESUPUESTO VIGENTE]]-Tabla6[[#This Row],[CERTIFICACIÓN PAPP]]</f>
        <v>20060.98</v>
      </c>
      <c r="AP430" s="59">
        <v>0</v>
      </c>
    </row>
    <row r="431" spans="1:42" ht="93" customHeight="1" x14ac:dyDescent="0.25">
      <c r="A431" s="62" t="s">
        <v>78</v>
      </c>
      <c r="B431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431" s="64" t="s">
        <v>79</v>
      </c>
      <c r="D431" s="64" t="s">
        <v>80</v>
      </c>
      <c r="E431" s="64" t="s">
        <v>81</v>
      </c>
      <c r="F431" s="64" t="s">
        <v>96</v>
      </c>
      <c r="G431" s="64" t="s">
        <v>92</v>
      </c>
      <c r="H431" s="65" t="str">
        <f>VLOOKUP(Tabla6[[#This Row],[DIRECCIÓN]],DIRECCIÓN[#All],2,0)</f>
        <v>ADMINISTRACIÓN CENTRAL</v>
      </c>
      <c r="I431" s="66" t="s">
        <v>93</v>
      </c>
      <c r="J431" s="67">
        <v>1</v>
      </c>
      <c r="K431" s="68" t="str">
        <f>VLOOKUP(Tabla6[[#This Row],[DIRECCIÓN GENERAL / COORDINACIÓN / SUBDIRECCIÓN]],Tabla37[[#All],[Columna1]:[EOD]],2,0)</f>
        <v>266_0003</v>
      </c>
      <c r="L431" s="69">
        <f>VLOOKUP(Tabla6[[#This Row],[OBJETIVOS PND]],Listas!$A$1:$C$3,3,0)</f>
        <v>1</v>
      </c>
      <c r="M431" s="70">
        <f>VLOOKUP(Tabla6[[#This Row],[PG]],Listas2!$G$14:$K$16,5,0)</f>
        <v>0</v>
      </c>
      <c r="N431" s="71">
        <v>1</v>
      </c>
      <c r="O431" s="72">
        <v>1800</v>
      </c>
      <c r="P431" s="73" t="str">
        <f>VLOOKUP(Tabla6[[#This Row],[GEO]],Listas!$A$48:$B$77,2,0)</f>
        <v>TUNGURAHUA</v>
      </c>
      <c r="Q431" s="70">
        <f>VLOOKUP(Tabla6[[#This Row],[PG]],Listas2!$G$14:$K$16,3,0)</f>
        <v>1</v>
      </c>
      <c r="R431" s="73">
        <f>VLOOKUP(Tabla6[[#This Row],[PG]],Listas2!H97:'Listas2'!$G$14:$K$16,4,0)</f>
        <v>0</v>
      </c>
      <c r="S431" s="73">
        <f>VLOOKUP(Tabla6[[#This Row],[PG]],Listas2!$G$14:$K$16,2,0)</f>
        <v>0</v>
      </c>
      <c r="T431" s="66" t="s">
        <v>84</v>
      </c>
      <c r="U431" s="74">
        <v>51</v>
      </c>
      <c r="V431" s="66">
        <v>510707</v>
      </c>
      <c r="W431" s="63" t="str">
        <f>VLOOKUP(Tabla6[[#This Row],[ÍTEM PRESUPUESTARIO]],Tabla2[#All],2,0)</f>
        <v>COMPENSACIÓN POR VACACIONES NO GOZADAS POR CESACIÓN DE FUNCIONES</v>
      </c>
      <c r="X431" s="57">
        <v>0</v>
      </c>
      <c r="Y431" s="57">
        <f>4836+1091.79+1562.03</f>
        <v>7489.82</v>
      </c>
      <c r="Z431" s="58">
        <v>0</v>
      </c>
      <c r="AA431" s="58">
        <v>0</v>
      </c>
      <c r="AB431" s="58">
        <v>4836</v>
      </c>
      <c r="AC431" s="58">
        <v>0</v>
      </c>
      <c r="AD431" s="58">
        <v>0</v>
      </c>
      <c r="AE431" s="58">
        <v>0</v>
      </c>
      <c r="AF431" s="58">
        <v>2653.82</v>
      </c>
      <c r="AG431" s="58">
        <v>0</v>
      </c>
      <c r="AH431" s="58">
        <v>0</v>
      </c>
      <c r="AI431" s="58">
        <v>0</v>
      </c>
      <c r="AJ431" s="58">
        <v>0</v>
      </c>
      <c r="AK431" s="58">
        <v>0</v>
      </c>
      <c r="AL431" s="75">
        <f>+SUBTOTAL(9,Tabla6[[#This Row],[ENE]:[DIC]])</f>
        <v>7489.82</v>
      </c>
      <c r="AM431" s="76" t="str">
        <f t="shared" si="8"/>
        <v>OK</v>
      </c>
      <c r="AN431" s="60">
        <v>0</v>
      </c>
      <c r="AO431" s="61">
        <f>+Tabla6[[#This Row],[PRESUPUESTO VIGENTE]]-Tabla6[[#This Row],[CERTIFICACIÓN PAPP]]</f>
        <v>7489.82</v>
      </c>
      <c r="AP431" s="59">
        <v>0</v>
      </c>
    </row>
    <row r="432" spans="1:42" ht="93" customHeight="1" x14ac:dyDescent="0.25">
      <c r="A432" s="62" t="s">
        <v>88</v>
      </c>
      <c r="B432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432" s="64" t="s">
        <v>89</v>
      </c>
      <c r="D432" s="64" t="s">
        <v>80</v>
      </c>
      <c r="E432" s="64" t="s">
        <v>81</v>
      </c>
      <c r="F432" s="64" t="s">
        <v>96</v>
      </c>
      <c r="G432" s="64" t="s">
        <v>9</v>
      </c>
      <c r="H432" s="65" t="str">
        <f>VLOOKUP(Tabla6[[#This Row],[DIRECCIÓN]],DIRECCIÓN[#All],2,0)</f>
        <v>OPERACIONES</v>
      </c>
      <c r="I432" s="66" t="s">
        <v>93</v>
      </c>
      <c r="J432" s="67">
        <v>1</v>
      </c>
      <c r="K432" s="68" t="str">
        <f>VLOOKUP(Tabla6[[#This Row],[DIRECCIÓN GENERAL / COORDINACIÓN / SUBDIRECCIÓN]],Tabla37[[#All],[Columna1]:[EOD]],2,0)</f>
        <v>266_0003</v>
      </c>
      <c r="L432" s="69">
        <f>VLOOKUP(Tabla6[[#This Row],[OBJETIVOS PND]],Listas!$A$1:$C$3,3,0)</f>
        <v>55</v>
      </c>
      <c r="M432" s="70">
        <f>VLOOKUP(Tabla6[[#This Row],[PG]],Listas2!$G$14:$K$16,5,0)</f>
        <v>0</v>
      </c>
      <c r="N432" s="71">
        <v>2</v>
      </c>
      <c r="O432" s="72">
        <v>1800</v>
      </c>
      <c r="P432" s="73" t="str">
        <f>VLOOKUP(Tabla6[[#This Row],[GEO]],Listas!$A$48:$B$77,2,0)</f>
        <v>TUNGURAHUA</v>
      </c>
      <c r="Q432" s="70">
        <f>VLOOKUP(Tabla6[[#This Row],[PG]],Listas2!$G$14:$K$16,3,0)</f>
        <v>1</v>
      </c>
      <c r="R432" s="73">
        <f>VLOOKUP(Tabla6[[#This Row],[PG]],Listas2!H98:'Listas2'!$G$14:$K$16,4,0)</f>
        <v>0</v>
      </c>
      <c r="S432" s="73">
        <f>VLOOKUP(Tabla6[[#This Row],[PG]],Listas2!$G$14:$K$16,2,0)</f>
        <v>0</v>
      </c>
      <c r="T432" s="66" t="s">
        <v>84</v>
      </c>
      <c r="U432" s="74">
        <v>51</v>
      </c>
      <c r="V432" s="66">
        <v>510105</v>
      </c>
      <c r="W432" s="63" t="str">
        <f>VLOOKUP(Tabla6[[#This Row],[ÍTEM PRESUPUESTARIO]],Tabla2[#All],2,0)</f>
        <v>REMUNERACIONES UNIFICADAS</v>
      </c>
      <c r="X432" s="57">
        <v>773100</v>
      </c>
      <c r="Y432" s="57">
        <f>773100-1719-55-4537.76-971.5-55.01-9969.2</f>
        <v>755792.53</v>
      </c>
      <c r="Z432" s="58">
        <v>63899.02</v>
      </c>
      <c r="AA432" s="58">
        <v>63899.02</v>
      </c>
      <c r="AB432" s="58">
        <v>63899.02</v>
      </c>
      <c r="AC432" s="58">
        <v>63899.02</v>
      </c>
      <c r="AD432" s="58">
        <v>63899.02</v>
      </c>
      <c r="AE432" s="58">
        <v>63899.02</v>
      </c>
      <c r="AF432" s="58">
        <v>63899.02</v>
      </c>
      <c r="AG432" s="58">
        <v>63899.02</v>
      </c>
      <c r="AH432" s="58">
        <v>63899.02</v>
      </c>
      <c r="AI432" s="58">
        <v>63899.02</v>
      </c>
      <c r="AJ432" s="58">
        <v>63899.02</v>
      </c>
      <c r="AK432" s="58">
        <v>52903.31</v>
      </c>
      <c r="AL432" s="75">
        <f>+SUBTOTAL(9,Tabla6[[#This Row],[ENE]:[DIC]])</f>
        <v>755792.53</v>
      </c>
      <c r="AM432" s="76" t="str">
        <f t="shared" si="8"/>
        <v>OK</v>
      </c>
      <c r="AN432" s="60">
        <v>0</v>
      </c>
      <c r="AO432" s="61">
        <f>+Tabla6[[#This Row],[PRESUPUESTO VIGENTE]]-Tabla6[[#This Row],[CERTIFICACIÓN PAPP]]</f>
        <v>755792.53</v>
      </c>
      <c r="AP432" s="59">
        <v>0</v>
      </c>
    </row>
    <row r="433" spans="1:42" ht="93" customHeight="1" x14ac:dyDescent="0.25">
      <c r="A433" s="62" t="s">
        <v>88</v>
      </c>
      <c r="B433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433" s="64" t="s">
        <v>89</v>
      </c>
      <c r="D433" s="64" t="s">
        <v>80</v>
      </c>
      <c r="E433" s="64" t="s">
        <v>81</v>
      </c>
      <c r="F433" s="64" t="s">
        <v>96</v>
      </c>
      <c r="G433" s="64" t="s">
        <v>9</v>
      </c>
      <c r="H433" s="65" t="str">
        <f>VLOOKUP(Tabla6[[#This Row],[DIRECCIÓN]],DIRECCIÓN[#All],2,0)</f>
        <v>OPERACIONES</v>
      </c>
      <c r="I433" s="66" t="s">
        <v>93</v>
      </c>
      <c r="J433" s="67">
        <v>1</v>
      </c>
      <c r="K433" s="68" t="str">
        <f>VLOOKUP(Tabla6[[#This Row],[DIRECCIÓN GENERAL / COORDINACIÓN / SUBDIRECCIÓN]],Tabla37[[#All],[Columna1]:[EOD]],2,0)</f>
        <v>266_0003</v>
      </c>
      <c r="L433" s="69">
        <f>VLOOKUP(Tabla6[[#This Row],[OBJETIVOS PND]],Listas!$A$1:$C$3,3,0)</f>
        <v>55</v>
      </c>
      <c r="M433" s="70">
        <f>VLOOKUP(Tabla6[[#This Row],[PG]],Listas2!$G$14:$K$16,5,0)</f>
        <v>0</v>
      </c>
      <c r="N433" s="71">
        <v>2</v>
      </c>
      <c r="O433" s="72">
        <v>1800</v>
      </c>
      <c r="P433" s="73" t="str">
        <f>VLOOKUP(Tabla6[[#This Row],[GEO]],Listas!$A$48:$B$77,2,0)</f>
        <v>TUNGURAHUA</v>
      </c>
      <c r="Q433" s="70">
        <f>VLOOKUP(Tabla6[[#This Row],[PG]],Listas2!$G$14:$K$16,3,0)</f>
        <v>1</v>
      </c>
      <c r="R433" s="73">
        <f>VLOOKUP(Tabla6[[#This Row],[PG]],Listas2!H99:'Listas2'!$G$14:$K$16,4,0)</f>
        <v>0</v>
      </c>
      <c r="S433" s="73">
        <f>VLOOKUP(Tabla6[[#This Row],[PG]],Listas2!$G$14:$K$16,2,0)</f>
        <v>0</v>
      </c>
      <c r="T433" s="66" t="s">
        <v>84</v>
      </c>
      <c r="U433" s="74">
        <v>51</v>
      </c>
      <c r="V433" s="66">
        <v>510203</v>
      </c>
      <c r="W433" s="63" t="str">
        <f>VLOOKUP(Tabla6[[#This Row],[ÍTEM PRESUPUESTARIO]],Tabla2[#All],2,0)</f>
        <v>DÉCIMO TERCER SUELDO</v>
      </c>
      <c r="X433" s="57">
        <v>69556</v>
      </c>
      <c r="Y433" s="57">
        <f>69556-265-591-2353.42</f>
        <v>66346.58</v>
      </c>
      <c r="Z433" s="58">
        <v>0</v>
      </c>
      <c r="AA433" s="58">
        <v>0</v>
      </c>
      <c r="AB433" s="58">
        <v>0</v>
      </c>
      <c r="AC433" s="58">
        <v>0</v>
      </c>
      <c r="AD433" s="58">
        <v>0</v>
      </c>
      <c r="AE433" s="58">
        <v>0</v>
      </c>
      <c r="AF433" s="58">
        <v>0</v>
      </c>
      <c r="AG433" s="58">
        <v>0</v>
      </c>
      <c r="AH433" s="58">
        <v>0</v>
      </c>
      <c r="AI433" s="58">
        <v>0</v>
      </c>
      <c r="AJ433" s="58">
        <v>0</v>
      </c>
      <c r="AK433" s="58">
        <v>66346.58</v>
      </c>
      <c r="AL433" s="75">
        <f>+SUBTOTAL(9,Tabla6[[#This Row],[ENE]:[DIC]])</f>
        <v>66346.58</v>
      </c>
      <c r="AM433" s="76" t="str">
        <f t="shared" si="8"/>
        <v>OK</v>
      </c>
      <c r="AN433" s="60">
        <v>0</v>
      </c>
      <c r="AO433" s="61">
        <f>+Tabla6[[#This Row],[PRESUPUESTO VIGENTE]]-Tabla6[[#This Row],[CERTIFICACIÓN PAPP]]</f>
        <v>66346.58</v>
      </c>
      <c r="AP433" s="59">
        <v>0</v>
      </c>
    </row>
    <row r="434" spans="1:42" ht="93" customHeight="1" x14ac:dyDescent="0.25">
      <c r="A434" s="62" t="s">
        <v>88</v>
      </c>
      <c r="B434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434" s="64" t="s">
        <v>89</v>
      </c>
      <c r="D434" s="64" t="s">
        <v>80</v>
      </c>
      <c r="E434" s="64" t="s">
        <v>81</v>
      </c>
      <c r="F434" s="64" t="s">
        <v>96</v>
      </c>
      <c r="G434" s="64" t="s">
        <v>9</v>
      </c>
      <c r="H434" s="65" t="str">
        <f>VLOOKUP(Tabla6[[#This Row],[DIRECCIÓN]],DIRECCIÓN[#All],2,0)</f>
        <v>OPERACIONES</v>
      </c>
      <c r="I434" s="66" t="s">
        <v>93</v>
      </c>
      <c r="J434" s="67">
        <v>1</v>
      </c>
      <c r="K434" s="68" t="str">
        <f>VLOOKUP(Tabla6[[#This Row],[DIRECCIÓN GENERAL / COORDINACIÓN / SUBDIRECCIÓN]],Tabla37[[#All],[Columna1]:[EOD]],2,0)</f>
        <v>266_0003</v>
      </c>
      <c r="L434" s="69">
        <f>VLOOKUP(Tabla6[[#This Row],[OBJETIVOS PND]],Listas!$A$1:$C$3,3,0)</f>
        <v>55</v>
      </c>
      <c r="M434" s="70">
        <f>VLOOKUP(Tabla6[[#This Row],[PG]],Listas2!$G$14:$K$16,5,0)</f>
        <v>0</v>
      </c>
      <c r="N434" s="71">
        <v>2</v>
      </c>
      <c r="O434" s="72">
        <v>1800</v>
      </c>
      <c r="P434" s="73" t="str">
        <f>VLOOKUP(Tabla6[[#This Row],[GEO]],Listas!$A$48:$B$77,2,0)</f>
        <v>TUNGURAHUA</v>
      </c>
      <c r="Q434" s="70">
        <f>VLOOKUP(Tabla6[[#This Row],[PG]],Listas2!$G$14:$K$16,3,0)</f>
        <v>1</v>
      </c>
      <c r="R434" s="73">
        <f>VLOOKUP(Tabla6[[#This Row],[PG]],Listas2!H100:'Listas2'!$G$14:$K$16,4,0)</f>
        <v>0</v>
      </c>
      <c r="S434" s="73">
        <f>VLOOKUP(Tabla6[[#This Row],[PG]],Listas2!$G$14:$K$16,2,0)</f>
        <v>0</v>
      </c>
      <c r="T434" s="66" t="s">
        <v>84</v>
      </c>
      <c r="U434" s="74">
        <v>51</v>
      </c>
      <c r="V434" s="66">
        <v>510204</v>
      </c>
      <c r="W434" s="63" t="str">
        <f>VLOOKUP(Tabla6[[#This Row],[ÍTEM PRESUPUESTARIO]],Tabla2[#All],2,0)</f>
        <v>DÉCIMO CUARTO SUELDO</v>
      </c>
      <c r="X434" s="57">
        <v>36550</v>
      </c>
      <c r="Y434" s="57">
        <f>36550+2000-1931</f>
        <v>36619</v>
      </c>
      <c r="Z434" s="58">
        <v>0</v>
      </c>
      <c r="AA434" s="58">
        <v>0</v>
      </c>
      <c r="AB434" s="58">
        <v>0</v>
      </c>
      <c r="AC434" s="58">
        <v>0</v>
      </c>
      <c r="AD434" s="58">
        <v>0</v>
      </c>
      <c r="AE434" s="58">
        <v>0</v>
      </c>
      <c r="AF434" s="58">
        <v>0</v>
      </c>
      <c r="AG434" s="58">
        <v>36619</v>
      </c>
      <c r="AH434" s="58">
        <v>0</v>
      </c>
      <c r="AI434" s="58">
        <v>0</v>
      </c>
      <c r="AJ434" s="58">
        <v>0</v>
      </c>
      <c r="AK434" s="58">
        <v>0</v>
      </c>
      <c r="AL434" s="75">
        <f>+SUBTOTAL(9,Tabla6[[#This Row],[ENE]:[DIC]])</f>
        <v>36619</v>
      </c>
      <c r="AM434" s="76" t="str">
        <f t="shared" si="8"/>
        <v>OK</v>
      </c>
      <c r="AN434" s="60">
        <v>0</v>
      </c>
      <c r="AO434" s="61">
        <f>+Tabla6[[#This Row],[PRESUPUESTO VIGENTE]]-Tabla6[[#This Row],[CERTIFICACIÓN PAPP]]</f>
        <v>36619</v>
      </c>
      <c r="AP434" s="59">
        <v>0</v>
      </c>
    </row>
    <row r="435" spans="1:42" ht="93" customHeight="1" x14ac:dyDescent="0.25">
      <c r="A435" s="62" t="s">
        <v>88</v>
      </c>
      <c r="B435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435" s="64" t="s">
        <v>89</v>
      </c>
      <c r="D435" s="64" t="s">
        <v>80</v>
      </c>
      <c r="E435" s="64" t="s">
        <v>81</v>
      </c>
      <c r="F435" s="64" t="s">
        <v>96</v>
      </c>
      <c r="G435" s="64" t="s">
        <v>9</v>
      </c>
      <c r="H435" s="65" t="str">
        <f>VLOOKUP(Tabla6[[#This Row],[DIRECCIÓN]],DIRECCIÓN[#All],2,0)</f>
        <v>OPERACIONES</v>
      </c>
      <c r="I435" s="66" t="s">
        <v>93</v>
      </c>
      <c r="J435" s="67">
        <v>1</v>
      </c>
      <c r="K435" s="68" t="str">
        <f>VLOOKUP(Tabla6[[#This Row],[DIRECCIÓN GENERAL / COORDINACIÓN / SUBDIRECCIÓN]],Tabla37[[#All],[Columna1]:[EOD]],2,0)</f>
        <v>266_0003</v>
      </c>
      <c r="L435" s="69">
        <f>VLOOKUP(Tabla6[[#This Row],[OBJETIVOS PND]],Listas!$A$1:$C$3,3,0)</f>
        <v>55</v>
      </c>
      <c r="M435" s="70">
        <f>VLOOKUP(Tabla6[[#This Row],[PG]],Listas2!$G$14:$K$16,5,0)</f>
        <v>0</v>
      </c>
      <c r="N435" s="71">
        <v>2</v>
      </c>
      <c r="O435" s="72">
        <v>1800</v>
      </c>
      <c r="P435" s="73" t="str">
        <f>VLOOKUP(Tabla6[[#This Row],[GEO]],Listas!$A$48:$B$77,2,0)</f>
        <v>TUNGURAHUA</v>
      </c>
      <c r="Q435" s="70">
        <f>VLOOKUP(Tabla6[[#This Row],[PG]],Listas2!$G$14:$K$16,3,0)</f>
        <v>1</v>
      </c>
      <c r="R435" s="73">
        <f>VLOOKUP(Tabla6[[#This Row],[PG]],Listas2!H101:'Listas2'!$G$14:$K$16,4,0)</f>
        <v>0</v>
      </c>
      <c r="S435" s="73">
        <f>VLOOKUP(Tabla6[[#This Row],[PG]],Listas2!$G$14:$K$16,2,0)</f>
        <v>0</v>
      </c>
      <c r="T435" s="66" t="s">
        <v>84</v>
      </c>
      <c r="U435" s="74">
        <v>51</v>
      </c>
      <c r="V435" s="66">
        <v>510510</v>
      </c>
      <c r="W435" s="63" t="str">
        <f>VLOOKUP(Tabla6[[#This Row],[ÍTEM PRESUPUESTARIO]],Tabla2[#All],2,0)</f>
        <v>SERVICIOS PERSONALES POR CONTRATO</v>
      </c>
      <c r="X435" s="57">
        <v>61572</v>
      </c>
      <c r="Y435" s="57">
        <f>61572-1466-1466-1466-122.17-183.25-18752.58</f>
        <v>38116</v>
      </c>
      <c r="Z435" s="58">
        <v>3176.33</v>
      </c>
      <c r="AA435" s="58">
        <v>3176.33</v>
      </c>
      <c r="AB435" s="58">
        <v>3176.33</v>
      </c>
      <c r="AC435" s="58">
        <v>3176.33</v>
      </c>
      <c r="AD435" s="58">
        <v>3176.33</v>
      </c>
      <c r="AE435" s="58">
        <v>3176.33</v>
      </c>
      <c r="AF435" s="58">
        <v>3176.33</v>
      </c>
      <c r="AG435" s="58">
        <v>3176.33</v>
      </c>
      <c r="AH435" s="58">
        <v>3176.33</v>
      </c>
      <c r="AI435" s="58">
        <v>3176.33</v>
      </c>
      <c r="AJ435" s="58">
        <v>3176.33</v>
      </c>
      <c r="AK435" s="58">
        <v>3176.37</v>
      </c>
      <c r="AL435" s="75">
        <f>+SUBTOTAL(9,Tabla6[[#This Row],[ENE]:[DIC]])</f>
        <v>38116.000000000007</v>
      </c>
      <c r="AM435" s="76" t="str">
        <f t="shared" si="8"/>
        <v>OK</v>
      </c>
      <c r="AN435" s="60">
        <v>0</v>
      </c>
      <c r="AO435" s="61">
        <f>+Tabla6[[#This Row],[PRESUPUESTO VIGENTE]]-Tabla6[[#This Row],[CERTIFICACIÓN PAPP]]</f>
        <v>38116</v>
      </c>
      <c r="AP435" s="59">
        <v>0</v>
      </c>
    </row>
    <row r="436" spans="1:42" ht="93" customHeight="1" x14ac:dyDescent="0.25">
      <c r="A436" s="62" t="s">
        <v>88</v>
      </c>
      <c r="B436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436" s="64" t="s">
        <v>89</v>
      </c>
      <c r="D436" s="64" t="s">
        <v>80</v>
      </c>
      <c r="E436" s="64" t="s">
        <v>81</v>
      </c>
      <c r="F436" s="64" t="s">
        <v>96</v>
      </c>
      <c r="G436" s="64" t="s">
        <v>9</v>
      </c>
      <c r="H436" s="65" t="str">
        <f>VLOOKUP(Tabla6[[#This Row],[DIRECCIÓN]],DIRECCIÓN[#All],2,0)</f>
        <v>OPERACIONES</v>
      </c>
      <c r="I436" s="66" t="s">
        <v>93</v>
      </c>
      <c r="J436" s="67">
        <v>1</v>
      </c>
      <c r="K436" s="68" t="str">
        <f>VLOOKUP(Tabla6[[#This Row],[DIRECCIÓN GENERAL / COORDINACIÓN / SUBDIRECCIÓN]],Tabla37[[#All],[Columna1]:[EOD]],2,0)</f>
        <v>266_0003</v>
      </c>
      <c r="L436" s="69">
        <f>VLOOKUP(Tabla6[[#This Row],[OBJETIVOS PND]],Listas!$A$1:$C$3,3,0)</f>
        <v>55</v>
      </c>
      <c r="M436" s="70">
        <f>VLOOKUP(Tabla6[[#This Row],[PG]],Listas2!$G$14:$K$16,5,0)</f>
        <v>0</v>
      </c>
      <c r="N436" s="71">
        <v>2</v>
      </c>
      <c r="O436" s="72">
        <v>1800</v>
      </c>
      <c r="P436" s="73" t="str">
        <f>VLOOKUP(Tabla6[[#This Row],[GEO]],Listas!$A$48:$B$77,2,0)</f>
        <v>TUNGURAHUA</v>
      </c>
      <c r="Q436" s="70">
        <f>VLOOKUP(Tabla6[[#This Row],[PG]],Listas2!$G$14:$K$16,3,0)</f>
        <v>1</v>
      </c>
      <c r="R436" s="73">
        <f>VLOOKUP(Tabla6[[#This Row],[PG]],Listas2!H102:'Listas2'!$G$14:$K$16,4,0)</f>
        <v>0</v>
      </c>
      <c r="S436" s="73">
        <f>VLOOKUP(Tabla6[[#This Row],[PG]],Listas2!$G$14:$K$16,2,0)</f>
        <v>0</v>
      </c>
      <c r="T436" s="66" t="s">
        <v>84</v>
      </c>
      <c r="U436" s="74">
        <v>51</v>
      </c>
      <c r="V436" s="66">
        <v>510513</v>
      </c>
      <c r="W436" s="63" t="str">
        <f>VLOOKUP(Tabla6[[#This Row],[ÍTEM PRESUPUESTARIO]],Tabla2[#All],2,0)</f>
        <v>ENCARGOS</v>
      </c>
      <c r="X436" s="57">
        <v>0</v>
      </c>
      <c r="Y436" s="57">
        <f>55.01-3.34</f>
        <v>51.67</v>
      </c>
      <c r="Z436" s="58">
        <v>0</v>
      </c>
      <c r="AA436" s="58">
        <v>0</v>
      </c>
      <c r="AB436" s="58">
        <v>0</v>
      </c>
      <c r="AC436" s="58">
        <v>0</v>
      </c>
      <c r="AD436" s="58">
        <v>0</v>
      </c>
      <c r="AE436" s="58">
        <v>0</v>
      </c>
      <c r="AF436" s="58">
        <v>0</v>
      </c>
      <c r="AG436" s="58">
        <v>0</v>
      </c>
      <c r="AH436" s="58">
        <v>0</v>
      </c>
      <c r="AI436" s="58">
        <v>0</v>
      </c>
      <c r="AJ436" s="58">
        <v>51.67</v>
      </c>
      <c r="AK436" s="58">
        <v>0</v>
      </c>
      <c r="AL436" s="75">
        <f>+SUBTOTAL(9,Tabla6[[#This Row],[ENE]:[DIC]])</f>
        <v>51.67</v>
      </c>
      <c r="AM436" s="76" t="str">
        <f t="shared" si="8"/>
        <v>OK</v>
      </c>
      <c r="AN436" s="60">
        <v>0</v>
      </c>
      <c r="AO436" s="61">
        <f>+Tabla6[[#This Row],[PRESUPUESTO VIGENTE]]-Tabla6[[#This Row],[CERTIFICACIÓN PAPP]]</f>
        <v>51.67</v>
      </c>
      <c r="AP436" s="59">
        <v>0</v>
      </c>
    </row>
    <row r="437" spans="1:42" ht="93" customHeight="1" x14ac:dyDescent="0.25">
      <c r="A437" s="62" t="s">
        <v>88</v>
      </c>
      <c r="B437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437" s="64" t="s">
        <v>89</v>
      </c>
      <c r="D437" s="64" t="s">
        <v>80</v>
      </c>
      <c r="E437" s="64" t="s">
        <v>81</v>
      </c>
      <c r="F437" s="64" t="s">
        <v>96</v>
      </c>
      <c r="G437" s="64" t="s">
        <v>9</v>
      </c>
      <c r="H437" s="65" t="str">
        <f>VLOOKUP(Tabla6[[#This Row],[DIRECCIÓN]],DIRECCIÓN[#All],2,0)</f>
        <v>OPERACIONES</v>
      </c>
      <c r="I437" s="66" t="s">
        <v>93</v>
      </c>
      <c r="J437" s="67">
        <v>1</v>
      </c>
      <c r="K437" s="68" t="str">
        <f>VLOOKUP(Tabla6[[#This Row],[DIRECCIÓN GENERAL / COORDINACIÓN / SUBDIRECCIÓN]],Tabla37[[#All],[Columna1]:[EOD]],2,0)</f>
        <v>266_0003</v>
      </c>
      <c r="L437" s="69">
        <f>VLOOKUP(Tabla6[[#This Row],[OBJETIVOS PND]],Listas!$A$1:$C$3,3,0)</f>
        <v>55</v>
      </c>
      <c r="M437" s="70">
        <f>VLOOKUP(Tabla6[[#This Row],[PG]],Listas2!$G$14:$K$16,5,0)</f>
        <v>0</v>
      </c>
      <c r="N437" s="71">
        <v>2</v>
      </c>
      <c r="O437" s="72">
        <v>1800</v>
      </c>
      <c r="P437" s="73" t="str">
        <f>VLOOKUP(Tabla6[[#This Row],[GEO]],Listas!$A$48:$B$77,2,0)</f>
        <v>TUNGURAHUA</v>
      </c>
      <c r="Q437" s="70">
        <f>VLOOKUP(Tabla6[[#This Row],[PG]],Listas2!$G$14:$K$16,3,0)</f>
        <v>1</v>
      </c>
      <c r="R437" s="73">
        <f>VLOOKUP(Tabla6[[#This Row],[PG]],Listas2!H103:'Listas2'!$G$14:$K$16,4,0)</f>
        <v>0</v>
      </c>
      <c r="S437" s="73">
        <f>VLOOKUP(Tabla6[[#This Row],[PG]],Listas2!$G$14:$K$16,2,0)</f>
        <v>0</v>
      </c>
      <c r="T437" s="66" t="s">
        <v>84</v>
      </c>
      <c r="U437" s="74">
        <v>51</v>
      </c>
      <c r="V437" s="66">
        <v>510601</v>
      </c>
      <c r="W437" s="63" t="str">
        <f>VLOOKUP(Tabla6[[#This Row],[ÍTEM PRESUPUESTARIO]],Tabla2[#All],2,0)</f>
        <v>APORTE PATRONAL</v>
      </c>
      <c r="X437" s="57">
        <v>80545</v>
      </c>
      <c r="Y437" s="57">
        <f>80545-1031-2892.27</f>
        <v>76621.73</v>
      </c>
      <c r="Z437" s="58">
        <v>6385.14</v>
      </c>
      <c r="AA437" s="58">
        <v>6385.14</v>
      </c>
      <c r="AB437" s="58">
        <v>6385.14</v>
      </c>
      <c r="AC437" s="58">
        <v>6385.14</v>
      </c>
      <c r="AD437" s="58">
        <v>6385.14</v>
      </c>
      <c r="AE437" s="58">
        <v>6385.14</v>
      </c>
      <c r="AF437" s="58">
        <v>6385.14</v>
      </c>
      <c r="AG437" s="58">
        <v>6385.14</v>
      </c>
      <c r="AH437" s="58">
        <v>6385.14</v>
      </c>
      <c r="AI437" s="58">
        <v>6385.14</v>
      </c>
      <c r="AJ437" s="58">
        <v>6385.14</v>
      </c>
      <c r="AK437" s="58">
        <v>6385.19</v>
      </c>
      <c r="AL437" s="75">
        <f>+SUBTOTAL(9,Tabla6[[#This Row],[ENE]:[DIC]])</f>
        <v>76621.73000000001</v>
      </c>
      <c r="AM437" s="76" t="str">
        <f t="shared" si="8"/>
        <v>OK</v>
      </c>
      <c r="AN437" s="60">
        <v>0</v>
      </c>
      <c r="AO437" s="61">
        <f>+Tabla6[[#This Row],[PRESUPUESTO VIGENTE]]-Tabla6[[#This Row],[CERTIFICACIÓN PAPP]]</f>
        <v>76621.73</v>
      </c>
      <c r="AP437" s="59">
        <v>0</v>
      </c>
    </row>
    <row r="438" spans="1:42" ht="93" customHeight="1" x14ac:dyDescent="0.25">
      <c r="A438" s="62" t="s">
        <v>88</v>
      </c>
      <c r="B438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438" s="64" t="s">
        <v>89</v>
      </c>
      <c r="D438" s="64" t="s">
        <v>80</v>
      </c>
      <c r="E438" s="64" t="s">
        <v>81</v>
      </c>
      <c r="F438" s="64" t="s">
        <v>96</v>
      </c>
      <c r="G438" s="64" t="s">
        <v>9</v>
      </c>
      <c r="H438" s="65" t="str">
        <f>VLOOKUP(Tabla6[[#This Row],[DIRECCIÓN]],DIRECCIÓN[#All],2,0)</f>
        <v>OPERACIONES</v>
      </c>
      <c r="I438" s="66" t="s">
        <v>93</v>
      </c>
      <c r="J438" s="67">
        <v>1</v>
      </c>
      <c r="K438" s="68" t="str">
        <f>VLOOKUP(Tabla6[[#This Row],[DIRECCIÓN GENERAL / COORDINACIÓN / SUBDIRECCIÓN]],Tabla37[[#All],[Columna1]:[EOD]],2,0)</f>
        <v>266_0003</v>
      </c>
      <c r="L438" s="69">
        <f>VLOOKUP(Tabla6[[#This Row],[OBJETIVOS PND]],Listas!$A$1:$C$3,3,0)</f>
        <v>55</v>
      </c>
      <c r="M438" s="70">
        <f>VLOOKUP(Tabla6[[#This Row],[PG]],Listas2!$G$14:$K$16,5,0)</f>
        <v>0</v>
      </c>
      <c r="N438" s="71">
        <v>2</v>
      </c>
      <c r="O438" s="72">
        <v>1800</v>
      </c>
      <c r="P438" s="73" t="str">
        <f>VLOOKUP(Tabla6[[#This Row],[GEO]],Listas!$A$48:$B$77,2,0)</f>
        <v>TUNGURAHUA</v>
      </c>
      <c r="Q438" s="70">
        <f>VLOOKUP(Tabla6[[#This Row],[PG]],Listas2!$G$14:$K$16,3,0)</f>
        <v>1</v>
      </c>
      <c r="R438" s="73">
        <f>VLOOKUP(Tabla6[[#This Row],[PG]],Listas2!H104:'Listas2'!$G$14:$K$16,4,0)</f>
        <v>0</v>
      </c>
      <c r="S438" s="73">
        <f>VLOOKUP(Tabla6[[#This Row],[PG]],Listas2!$G$14:$K$16,2,0)</f>
        <v>0</v>
      </c>
      <c r="T438" s="66" t="s">
        <v>84</v>
      </c>
      <c r="U438" s="74">
        <v>51</v>
      </c>
      <c r="V438" s="66">
        <v>510602</v>
      </c>
      <c r="W438" s="63" t="str">
        <f>VLOOKUP(Tabla6[[#This Row],[ÍTEM PRESUPUESTARIO]],Tabla2[#All],2,0)</f>
        <v>FONDO DE RESERVA</v>
      </c>
      <c r="X438" s="57">
        <v>42792</v>
      </c>
      <c r="Y438" s="57">
        <f>67071-2399.2</f>
        <v>64671.8</v>
      </c>
      <c r="Z438" s="58">
        <v>5389.31</v>
      </c>
      <c r="AA438" s="58">
        <v>5389.31</v>
      </c>
      <c r="AB438" s="58">
        <v>5389.31</v>
      </c>
      <c r="AC438" s="58">
        <v>5389.31</v>
      </c>
      <c r="AD438" s="58">
        <v>5389.31</v>
      </c>
      <c r="AE438" s="58">
        <v>5389.31</v>
      </c>
      <c r="AF438" s="58">
        <v>5389.31</v>
      </c>
      <c r="AG438" s="58">
        <v>5389.31</v>
      </c>
      <c r="AH438" s="58">
        <v>5389.31</v>
      </c>
      <c r="AI438" s="58">
        <v>5389.31</v>
      </c>
      <c r="AJ438" s="58">
        <v>5389.31</v>
      </c>
      <c r="AK438" s="58">
        <v>5389.39</v>
      </c>
      <c r="AL438" s="75">
        <f>+SUBTOTAL(9,Tabla6[[#This Row],[ENE]:[DIC]])</f>
        <v>64671.799999999996</v>
      </c>
      <c r="AM438" s="76" t="str">
        <f t="shared" si="8"/>
        <v>OK</v>
      </c>
      <c r="AN438" s="60">
        <v>0</v>
      </c>
      <c r="AO438" s="61">
        <f>+Tabla6[[#This Row],[PRESUPUESTO VIGENTE]]-Tabla6[[#This Row],[CERTIFICACIÓN PAPP]]</f>
        <v>64671.8</v>
      </c>
      <c r="AP438" s="59">
        <v>0</v>
      </c>
    </row>
    <row r="439" spans="1:42" ht="93" customHeight="1" x14ac:dyDescent="0.25">
      <c r="A439" s="62" t="s">
        <v>88</v>
      </c>
      <c r="B439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439" s="64" t="s">
        <v>89</v>
      </c>
      <c r="D439" s="64" t="s">
        <v>80</v>
      </c>
      <c r="E439" s="64" t="s">
        <v>81</v>
      </c>
      <c r="F439" s="64" t="s">
        <v>96</v>
      </c>
      <c r="G439" s="64" t="s">
        <v>9</v>
      </c>
      <c r="H439" s="65" t="str">
        <f>VLOOKUP(Tabla6[[#This Row],[DIRECCIÓN]],DIRECCIÓN[#All],2,0)</f>
        <v>OPERACIONES</v>
      </c>
      <c r="I439" s="66" t="s">
        <v>93</v>
      </c>
      <c r="J439" s="67">
        <v>1</v>
      </c>
      <c r="K439" s="68" t="str">
        <f>VLOOKUP(Tabla6[[#This Row],[DIRECCIÓN GENERAL / COORDINACIÓN / SUBDIRECCIÓN]],Tabla37[[#All],[Columna1]:[EOD]],2,0)</f>
        <v>266_0003</v>
      </c>
      <c r="L439" s="69">
        <f>VLOOKUP(Tabla6[[#This Row],[OBJETIVOS PND]],Listas!$A$1:$C$3,3,0)</f>
        <v>55</v>
      </c>
      <c r="M439" s="70">
        <f>VLOOKUP(Tabla6[[#This Row],[PG]],Listas2!$G$14:$K$16,5,0)</f>
        <v>0</v>
      </c>
      <c r="N439" s="71">
        <v>2</v>
      </c>
      <c r="O439" s="72">
        <v>1800</v>
      </c>
      <c r="P439" s="73" t="str">
        <f>VLOOKUP(Tabla6[[#This Row],[GEO]],Listas!$A$48:$B$77,2,0)</f>
        <v>TUNGURAHUA</v>
      </c>
      <c r="Q439" s="70">
        <f>VLOOKUP(Tabla6[[#This Row],[PG]],Listas2!$G$14:$K$16,3,0)</f>
        <v>1</v>
      </c>
      <c r="R439" s="73">
        <f>VLOOKUP(Tabla6[[#This Row],[PG]],Listas2!H105:'Listas2'!$G$14:$K$16,4,0)</f>
        <v>0</v>
      </c>
      <c r="S439" s="73">
        <f>VLOOKUP(Tabla6[[#This Row],[PG]],Listas2!$G$14:$K$16,2,0)</f>
        <v>0</v>
      </c>
      <c r="T439" s="66" t="s">
        <v>84</v>
      </c>
      <c r="U439" s="74">
        <v>51</v>
      </c>
      <c r="V439" s="66">
        <v>510707</v>
      </c>
      <c r="W439" s="63" t="str">
        <f>VLOOKUP(Tabla6[[#This Row],[ÍTEM PRESUPUESTARIO]],Tabla2[#All],2,0)</f>
        <v>COMPENSACIÓN POR VACACIONES NO GOZADAS POR CESACIÓN DE FUNCIONES</v>
      </c>
      <c r="X439" s="57">
        <v>0</v>
      </c>
      <c r="Y439" s="57">
        <f>193.76+122.17+183.25+543.75-178.47</f>
        <v>864.46</v>
      </c>
      <c r="Z439" s="58">
        <v>0</v>
      </c>
      <c r="AA439" s="58">
        <v>0</v>
      </c>
      <c r="AB439" s="58">
        <v>193.76</v>
      </c>
      <c r="AC439" s="58">
        <v>0</v>
      </c>
      <c r="AD439" s="58">
        <v>0</v>
      </c>
      <c r="AE439" s="58">
        <v>122.17</v>
      </c>
      <c r="AF439" s="58">
        <v>183.25</v>
      </c>
      <c r="AG439" s="58">
        <v>365.28</v>
      </c>
      <c r="AH439" s="58">
        <v>0</v>
      </c>
      <c r="AI439" s="58">
        <v>0</v>
      </c>
      <c r="AJ439" s="58">
        <v>0</v>
      </c>
      <c r="AK439" s="58">
        <v>0</v>
      </c>
      <c r="AL439" s="75">
        <f>+SUBTOTAL(9,Tabla6[[#This Row],[ENE]:[DIC]])</f>
        <v>864.46</v>
      </c>
      <c r="AM439" s="76" t="str">
        <f t="shared" si="8"/>
        <v>OK</v>
      </c>
      <c r="AN439" s="60">
        <v>0</v>
      </c>
      <c r="AO439" s="61">
        <f>+Tabla6[[#This Row],[PRESUPUESTO VIGENTE]]-Tabla6[[#This Row],[CERTIFICACIÓN PAPP]]</f>
        <v>864.46</v>
      </c>
      <c r="AP439" s="59">
        <v>0</v>
      </c>
    </row>
    <row r="440" spans="1:42" ht="93" customHeight="1" x14ac:dyDescent="0.25">
      <c r="A440" s="62" t="s">
        <v>88</v>
      </c>
      <c r="B440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440" s="64" t="s">
        <v>89</v>
      </c>
      <c r="D440" s="64" t="s">
        <v>80</v>
      </c>
      <c r="E440" s="64" t="s">
        <v>81</v>
      </c>
      <c r="F440" s="64" t="s">
        <v>96</v>
      </c>
      <c r="G440" s="64" t="s">
        <v>9</v>
      </c>
      <c r="H440" s="65" t="str">
        <f>VLOOKUP(Tabla6[[#This Row],[DIRECCIÓN]],DIRECCIÓN[#All],2,0)</f>
        <v>OPERACIONES</v>
      </c>
      <c r="I440" s="66" t="s">
        <v>93</v>
      </c>
      <c r="J440" s="67">
        <v>1</v>
      </c>
      <c r="K440" s="68" t="str">
        <f>VLOOKUP(Tabla6[[#This Row],[DIRECCIÓN GENERAL / COORDINACIÓN / SUBDIRECCIÓN]],Tabla37[[#All],[Columna1]:[EOD]],2,0)</f>
        <v>266_0003</v>
      </c>
      <c r="L440" s="69">
        <f>VLOOKUP(Tabla6[[#This Row],[OBJETIVOS PND]],Listas!$A$1:$C$3,3,0)</f>
        <v>55</v>
      </c>
      <c r="M440" s="70">
        <f>VLOOKUP(Tabla6[[#This Row],[PG]],Listas2!$G$14:$K$16,5,0)</f>
        <v>0</v>
      </c>
      <c r="N440" s="71">
        <v>2</v>
      </c>
      <c r="O440" s="72">
        <v>1800</v>
      </c>
      <c r="P440" s="73" t="str">
        <f>VLOOKUP(Tabla6[[#This Row],[GEO]],Listas!$A$48:$B$77,2,0)</f>
        <v>TUNGURAHUA</v>
      </c>
      <c r="Q440" s="70">
        <f>VLOOKUP(Tabla6[[#This Row],[PG]],Listas2!$G$14:$K$16,3,0)</f>
        <v>1</v>
      </c>
      <c r="R440" s="73">
        <f>VLOOKUP(Tabla6[[#This Row],[PG]],Listas2!H106:'Listas2'!$G$14:$K$16,4,0)</f>
        <v>0</v>
      </c>
      <c r="S440" s="73">
        <f>VLOOKUP(Tabla6[[#This Row],[PG]],Listas2!$G$14:$K$16,2,0)</f>
        <v>0</v>
      </c>
      <c r="T440" s="66" t="s">
        <v>84</v>
      </c>
      <c r="U440" s="74">
        <v>51</v>
      </c>
      <c r="V440" s="66">
        <v>510709</v>
      </c>
      <c r="W440" s="63" t="str">
        <f>VLOOKUP(Tabla6[[#This Row],[ÍTEM PRESUPUESTARIO]],Tabla2[#All],2,0)</f>
        <v>POR RENUNCIA VOLUNTARIA</v>
      </c>
      <c r="X440" s="57">
        <v>0</v>
      </c>
      <c r="Y440" s="57">
        <v>427.75</v>
      </c>
      <c r="Z440" s="58">
        <v>0</v>
      </c>
      <c r="AA440" s="58">
        <v>0</v>
      </c>
      <c r="AB440" s="58">
        <v>0</v>
      </c>
      <c r="AC440" s="58">
        <v>0</v>
      </c>
      <c r="AD440" s="58">
        <v>0</v>
      </c>
      <c r="AE440" s="58">
        <v>0</v>
      </c>
      <c r="AF440" s="58">
        <v>0</v>
      </c>
      <c r="AG440" s="58">
        <v>427.75</v>
      </c>
      <c r="AH440" s="58">
        <v>0</v>
      </c>
      <c r="AI440" s="58">
        <v>0</v>
      </c>
      <c r="AJ440" s="58">
        <v>0</v>
      </c>
      <c r="AK440" s="58">
        <v>0</v>
      </c>
      <c r="AL440" s="75">
        <f>+SUBTOTAL(9,Tabla6[[#This Row],[ENE]:[DIC]])</f>
        <v>427.75</v>
      </c>
      <c r="AM440" s="76" t="str">
        <f t="shared" si="8"/>
        <v>OK</v>
      </c>
      <c r="AN440" s="60">
        <v>0</v>
      </c>
      <c r="AO440" s="61">
        <f>+Tabla6[[#This Row],[PRESUPUESTO VIGENTE]]-Tabla6[[#This Row],[CERTIFICACIÓN PAPP]]</f>
        <v>427.75</v>
      </c>
      <c r="AP440" s="59">
        <v>0</v>
      </c>
    </row>
    <row r="441" spans="1:42" ht="93" customHeight="1" x14ac:dyDescent="0.25">
      <c r="A441" s="62" t="s">
        <v>88</v>
      </c>
      <c r="B441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441" s="64" t="s">
        <v>89</v>
      </c>
      <c r="D441" s="64" t="s">
        <v>80</v>
      </c>
      <c r="E441" s="64" t="s">
        <v>81</v>
      </c>
      <c r="F441" s="64" t="s">
        <v>96</v>
      </c>
      <c r="G441" s="64" t="s">
        <v>10</v>
      </c>
      <c r="H441" s="65" t="str">
        <f>VLOOKUP(Tabla6[[#This Row],[DIRECCIÓN]],DIRECCIÓN[#All],2,0)</f>
        <v>TECNOLOGÍA</v>
      </c>
      <c r="I441" s="66" t="s">
        <v>93</v>
      </c>
      <c r="J441" s="67">
        <v>1</v>
      </c>
      <c r="K441" s="68" t="str">
        <f>VLOOKUP(Tabla6[[#This Row],[DIRECCIÓN GENERAL / COORDINACIÓN / SUBDIRECCIÓN]],Tabla37[[#All],[Columna1]:[EOD]],2,0)</f>
        <v>266_0003</v>
      </c>
      <c r="L441" s="69">
        <f>VLOOKUP(Tabla6[[#This Row],[OBJETIVOS PND]],Listas!$A$1:$C$3,3,0)</f>
        <v>55</v>
      </c>
      <c r="M441" s="70">
        <f>VLOOKUP(Tabla6[[#This Row],[PG]],Listas2!$G$14:$K$16,5,0)</f>
        <v>0</v>
      </c>
      <c r="N441" s="71">
        <v>3</v>
      </c>
      <c r="O441" s="72">
        <v>1800</v>
      </c>
      <c r="P441" s="73" t="str">
        <f>VLOOKUP(Tabla6[[#This Row],[GEO]],Listas!$A$48:$B$77,2,0)</f>
        <v>TUNGURAHUA</v>
      </c>
      <c r="Q441" s="70">
        <f>VLOOKUP(Tabla6[[#This Row],[PG]],Listas2!$G$14:$K$16,3,0)</f>
        <v>1</v>
      </c>
      <c r="R441" s="73">
        <f>VLOOKUP(Tabla6[[#This Row],[PG]],Listas2!H107:'Listas2'!$G$14:$K$16,4,0)</f>
        <v>0</v>
      </c>
      <c r="S441" s="73">
        <f>VLOOKUP(Tabla6[[#This Row],[PG]],Listas2!$G$14:$K$16,2,0)</f>
        <v>0</v>
      </c>
      <c r="T441" s="66" t="s">
        <v>84</v>
      </c>
      <c r="U441" s="74">
        <v>51</v>
      </c>
      <c r="V441" s="66">
        <v>510105</v>
      </c>
      <c r="W441" s="63" t="str">
        <f>VLOOKUP(Tabla6[[#This Row],[ÍTEM PRESUPUESTARIO]],Tabla2[#All],2,0)</f>
        <v>REMUNERACIONES UNIFICADAS</v>
      </c>
      <c r="X441" s="57">
        <v>92160</v>
      </c>
      <c r="Y441" s="57">
        <v>92160</v>
      </c>
      <c r="Z441" s="58">
        <v>7680</v>
      </c>
      <c r="AA441" s="58">
        <v>7680</v>
      </c>
      <c r="AB441" s="58">
        <v>7680</v>
      </c>
      <c r="AC441" s="58">
        <v>7680</v>
      </c>
      <c r="AD441" s="58">
        <v>7680</v>
      </c>
      <c r="AE441" s="58">
        <v>7680</v>
      </c>
      <c r="AF441" s="58">
        <v>7680</v>
      </c>
      <c r="AG441" s="58">
        <v>7680</v>
      </c>
      <c r="AH441" s="58">
        <v>7680</v>
      </c>
      <c r="AI441" s="58">
        <v>7680</v>
      </c>
      <c r="AJ441" s="58">
        <v>7680</v>
      </c>
      <c r="AK441" s="58">
        <v>7680</v>
      </c>
      <c r="AL441" s="75">
        <f>+SUBTOTAL(9,Tabla6[[#This Row],[ENE]:[DIC]])</f>
        <v>92160</v>
      </c>
      <c r="AM441" s="76" t="str">
        <f t="shared" si="8"/>
        <v>OK</v>
      </c>
      <c r="AN441" s="60">
        <v>0</v>
      </c>
      <c r="AO441" s="61">
        <f>+Tabla6[[#This Row],[PRESUPUESTO VIGENTE]]-Tabla6[[#This Row],[CERTIFICACIÓN PAPP]]</f>
        <v>92160</v>
      </c>
      <c r="AP441" s="59">
        <v>0</v>
      </c>
    </row>
    <row r="442" spans="1:42" ht="93" customHeight="1" x14ac:dyDescent="0.25">
      <c r="A442" s="62" t="s">
        <v>88</v>
      </c>
      <c r="B442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442" s="64" t="s">
        <v>89</v>
      </c>
      <c r="D442" s="64" t="s">
        <v>80</v>
      </c>
      <c r="E442" s="64" t="s">
        <v>81</v>
      </c>
      <c r="F442" s="64" t="s">
        <v>96</v>
      </c>
      <c r="G442" s="64" t="s">
        <v>10</v>
      </c>
      <c r="H442" s="65" t="str">
        <f>VLOOKUP(Tabla6[[#This Row],[DIRECCIÓN]],DIRECCIÓN[#All],2,0)</f>
        <v>TECNOLOGÍA</v>
      </c>
      <c r="I442" s="66" t="s">
        <v>93</v>
      </c>
      <c r="J442" s="67">
        <v>1</v>
      </c>
      <c r="K442" s="68" t="str">
        <f>VLOOKUP(Tabla6[[#This Row],[DIRECCIÓN GENERAL / COORDINACIÓN / SUBDIRECCIÓN]],Tabla37[[#All],[Columna1]:[EOD]],2,0)</f>
        <v>266_0003</v>
      </c>
      <c r="L442" s="69">
        <f>VLOOKUP(Tabla6[[#This Row],[OBJETIVOS PND]],Listas!$A$1:$C$3,3,0)</f>
        <v>55</v>
      </c>
      <c r="M442" s="70">
        <f>VLOOKUP(Tabla6[[#This Row],[PG]],Listas2!$G$14:$K$16,5,0)</f>
        <v>0</v>
      </c>
      <c r="N442" s="71">
        <v>3</v>
      </c>
      <c r="O442" s="72">
        <v>1800</v>
      </c>
      <c r="P442" s="73" t="str">
        <f>VLOOKUP(Tabla6[[#This Row],[GEO]],Listas!$A$48:$B$77,2,0)</f>
        <v>TUNGURAHUA</v>
      </c>
      <c r="Q442" s="70">
        <f>VLOOKUP(Tabla6[[#This Row],[PG]],Listas2!$G$14:$K$16,3,0)</f>
        <v>1</v>
      </c>
      <c r="R442" s="73">
        <f>VLOOKUP(Tabla6[[#This Row],[PG]],Listas2!H108:'Listas2'!$G$14:$K$16,4,0)</f>
        <v>0</v>
      </c>
      <c r="S442" s="73">
        <f>VLOOKUP(Tabla6[[#This Row],[PG]],Listas2!$G$14:$K$16,2,0)</f>
        <v>0</v>
      </c>
      <c r="T442" s="66" t="s">
        <v>84</v>
      </c>
      <c r="U442" s="74">
        <v>51</v>
      </c>
      <c r="V442" s="66">
        <v>510203</v>
      </c>
      <c r="W442" s="63" t="str">
        <f>VLOOKUP(Tabla6[[#This Row],[ÍTEM PRESUPUESTARIO]],Tabla2[#All],2,0)</f>
        <v>DÉCIMO TERCER SUELDO</v>
      </c>
      <c r="X442" s="57">
        <v>7680</v>
      </c>
      <c r="Y442" s="57">
        <v>7680</v>
      </c>
      <c r="Z442" s="58">
        <v>0</v>
      </c>
      <c r="AA442" s="58">
        <v>0</v>
      </c>
      <c r="AB442" s="58">
        <v>0</v>
      </c>
      <c r="AC442" s="58">
        <v>0</v>
      </c>
      <c r="AD442" s="58">
        <v>0</v>
      </c>
      <c r="AE442" s="58">
        <v>0</v>
      </c>
      <c r="AF442" s="58">
        <v>0</v>
      </c>
      <c r="AG442" s="58">
        <v>0</v>
      </c>
      <c r="AH442" s="58">
        <v>0</v>
      </c>
      <c r="AI442" s="58">
        <v>0</v>
      </c>
      <c r="AJ442" s="58">
        <v>0</v>
      </c>
      <c r="AK442" s="58">
        <v>7680</v>
      </c>
      <c r="AL442" s="75">
        <f>+SUBTOTAL(9,Tabla6[[#This Row],[ENE]:[DIC]])</f>
        <v>7680</v>
      </c>
      <c r="AM442" s="76" t="str">
        <f t="shared" si="8"/>
        <v>OK</v>
      </c>
      <c r="AN442" s="60">
        <v>0</v>
      </c>
      <c r="AO442" s="61">
        <f>+Tabla6[[#This Row],[PRESUPUESTO VIGENTE]]-Tabla6[[#This Row],[CERTIFICACIÓN PAPP]]</f>
        <v>7680</v>
      </c>
      <c r="AP442" s="59">
        <v>0</v>
      </c>
    </row>
    <row r="443" spans="1:42" ht="93" customHeight="1" x14ac:dyDescent="0.25">
      <c r="A443" s="62" t="s">
        <v>88</v>
      </c>
      <c r="B443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443" s="64" t="s">
        <v>89</v>
      </c>
      <c r="D443" s="64" t="s">
        <v>80</v>
      </c>
      <c r="E443" s="64" t="s">
        <v>81</v>
      </c>
      <c r="F443" s="64" t="s">
        <v>96</v>
      </c>
      <c r="G443" s="64" t="s">
        <v>10</v>
      </c>
      <c r="H443" s="65" t="str">
        <f>VLOOKUP(Tabla6[[#This Row],[DIRECCIÓN]],DIRECCIÓN[#All],2,0)</f>
        <v>TECNOLOGÍA</v>
      </c>
      <c r="I443" s="66" t="s">
        <v>93</v>
      </c>
      <c r="J443" s="67">
        <v>1</v>
      </c>
      <c r="K443" s="68" t="str">
        <f>VLOOKUP(Tabla6[[#This Row],[DIRECCIÓN GENERAL / COORDINACIÓN / SUBDIRECCIÓN]],Tabla37[[#All],[Columna1]:[EOD]],2,0)</f>
        <v>266_0003</v>
      </c>
      <c r="L443" s="69">
        <f>VLOOKUP(Tabla6[[#This Row],[OBJETIVOS PND]],Listas!$A$1:$C$3,3,0)</f>
        <v>55</v>
      </c>
      <c r="M443" s="70">
        <f>VLOOKUP(Tabla6[[#This Row],[PG]],Listas2!$G$14:$K$16,5,0)</f>
        <v>0</v>
      </c>
      <c r="N443" s="71">
        <v>3</v>
      </c>
      <c r="O443" s="72">
        <v>1800</v>
      </c>
      <c r="P443" s="73" t="str">
        <f>VLOOKUP(Tabla6[[#This Row],[GEO]],Listas!$A$48:$B$77,2,0)</f>
        <v>TUNGURAHUA</v>
      </c>
      <c r="Q443" s="70">
        <f>VLOOKUP(Tabla6[[#This Row],[PG]],Listas2!$G$14:$K$16,3,0)</f>
        <v>1</v>
      </c>
      <c r="R443" s="73">
        <f>VLOOKUP(Tabla6[[#This Row],[PG]],Listas2!H109:'Listas2'!$G$14:$K$16,4,0)</f>
        <v>0</v>
      </c>
      <c r="S443" s="73">
        <f>VLOOKUP(Tabla6[[#This Row],[PG]],Listas2!$G$14:$K$16,2,0)</f>
        <v>0</v>
      </c>
      <c r="T443" s="66" t="s">
        <v>84</v>
      </c>
      <c r="U443" s="74">
        <v>51</v>
      </c>
      <c r="V443" s="66">
        <v>510204</v>
      </c>
      <c r="W443" s="63" t="str">
        <f>VLOOKUP(Tabla6[[#This Row],[ÍTEM PRESUPUESTARIO]],Tabla2[#All],2,0)</f>
        <v>DÉCIMO CUARTO SUELDO</v>
      </c>
      <c r="X443" s="57">
        <v>2125</v>
      </c>
      <c r="Y443" s="57">
        <f>2125+125</f>
        <v>2250</v>
      </c>
      <c r="Z443" s="58">
        <v>0</v>
      </c>
      <c r="AA443" s="58">
        <v>0</v>
      </c>
      <c r="AB443" s="58">
        <v>0</v>
      </c>
      <c r="AC443" s="58">
        <v>0</v>
      </c>
      <c r="AD443" s="58">
        <v>0</v>
      </c>
      <c r="AE443" s="58">
        <v>0</v>
      </c>
      <c r="AF443" s="58">
        <v>0</v>
      </c>
      <c r="AG443" s="58">
        <v>2250</v>
      </c>
      <c r="AH443" s="58">
        <v>0</v>
      </c>
      <c r="AI443" s="58">
        <v>0</v>
      </c>
      <c r="AJ443" s="58">
        <v>0</v>
      </c>
      <c r="AK443" s="58">
        <v>0</v>
      </c>
      <c r="AL443" s="75">
        <f>+SUBTOTAL(9,Tabla6[[#This Row],[ENE]:[DIC]])</f>
        <v>2250</v>
      </c>
      <c r="AM443" s="76" t="str">
        <f t="shared" si="8"/>
        <v>OK</v>
      </c>
      <c r="AN443" s="60">
        <v>0</v>
      </c>
      <c r="AO443" s="61">
        <f>+Tabla6[[#This Row],[PRESUPUESTO VIGENTE]]-Tabla6[[#This Row],[CERTIFICACIÓN PAPP]]</f>
        <v>2250</v>
      </c>
      <c r="AP443" s="59">
        <v>0</v>
      </c>
    </row>
    <row r="444" spans="1:42" ht="93" customHeight="1" x14ac:dyDescent="0.25">
      <c r="A444" s="62" t="s">
        <v>88</v>
      </c>
      <c r="B444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444" s="64" t="s">
        <v>89</v>
      </c>
      <c r="D444" s="64" t="s">
        <v>80</v>
      </c>
      <c r="E444" s="64" t="s">
        <v>81</v>
      </c>
      <c r="F444" s="64" t="s">
        <v>96</v>
      </c>
      <c r="G444" s="64" t="s">
        <v>10</v>
      </c>
      <c r="H444" s="65" t="str">
        <f>VLOOKUP(Tabla6[[#This Row],[DIRECCIÓN]],DIRECCIÓN[#All],2,0)</f>
        <v>TECNOLOGÍA</v>
      </c>
      <c r="I444" s="66" t="s">
        <v>93</v>
      </c>
      <c r="J444" s="67">
        <v>1</v>
      </c>
      <c r="K444" s="68" t="str">
        <f>VLOOKUP(Tabla6[[#This Row],[DIRECCIÓN GENERAL / COORDINACIÓN / SUBDIRECCIÓN]],Tabla37[[#All],[Columna1]:[EOD]],2,0)</f>
        <v>266_0003</v>
      </c>
      <c r="L444" s="69">
        <f>VLOOKUP(Tabla6[[#This Row],[OBJETIVOS PND]],Listas!$A$1:$C$3,3,0)</f>
        <v>55</v>
      </c>
      <c r="M444" s="70">
        <f>VLOOKUP(Tabla6[[#This Row],[PG]],Listas2!$G$14:$K$16,5,0)</f>
        <v>0</v>
      </c>
      <c r="N444" s="71">
        <v>3</v>
      </c>
      <c r="O444" s="72">
        <v>1800</v>
      </c>
      <c r="P444" s="73" t="str">
        <f>VLOOKUP(Tabla6[[#This Row],[GEO]],Listas!$A$48:$B$77,2,0)</f>
        <v>TUNGURAHUA</v>
      </c>
      <c r="Q444" s="70">
        <f>VLOOKUP(Tabla6[[#This Row],[PG]],Listas2!$G$14:$K$16,3,0)</f>
        <v>1</v>
      </c>
      <c r="R444" s="73">
        <f>VLOOKUP(Tabla6[[#This Row],[PG]],Listas2!H110:'Listas2'!$G$14:$K$16,4,0)</f>
        <v>0</v>
      </c>
      <c r="S444" s="73">
        <f>VLOOKUP(Tabla6[[#This Row],[PG]],Listas2!$G$14:$K$16,2,0)</f>
        <v>0</v>
      </c>
      <c r="T444" s="66" t="s">
        <v>84</v>
      </c>
      <c r="U444" s="74">
        <v>51</v>
      </c>
      <c r="V444" s="66">
        <v>510601</v>
      </c>
      <c r="W444" s="63" t="str">
        <f>VLOOKUP(Tabla6[[#This Row],[ÍTEM PRESUPUESTARIO]],Tabla2[#All],2,0)</f>
        <v>APORTE PATRONAL</v>
      </c>
      <c r="X444" s="57">
        <v>8894</v>
      </c>
      <c r="Y444" s="57">
        <f>8894-0.56</f>
        <v>8893.44</v>
      </c>
      <c r="Z444" s="58">
        <v>741</v>
      </c>
      <c r="AA444" s="58">
        <v>741</v>
      </c>
      <c r="AB444" s="58">
        <v>741</v>
      </c>
      <c r="AC444" s="58">
        <v>741</v>
      </c>
      <c r="AD444" s="58">
        <v>741</v>
      </c>
      <c r="AE444" s="58">
        <v>741</v>
      </c>
      <c r="AF444" s="58">
        <v>741</v>
      </c>
      <c r="AG444" s="58">
        <v>741</v>
      </c>
      <c r="AH444" s="58">
        <v>741</v>
      </c>
      <c r="AI444" s="58">
        <v>741</v>
      </c>
      <c r="AJ444" s="58">
        <v>742</v>
      </c>
      <c r="AK444" s="58">
        <v>741.44</v>
      </c>
      <c r="AL444" s="75">
        <f>+SUBTOTAL(9,Tabla6[[#This Row],[ENE]:[DIC]])</f>
        <v>8893.44</v>
      </c>
      <c r="AM444" s="76" t="str">
        <f t="shared" ref="AM444:AM475" si="9">IF(AL444=Y444,"OK",Y444-AL444)</f>
        <v>OK</v>
      </c>
      <c r="AN444" s="60">
        <v>0</v>
      </c>
      <c r="AO444" s="61">
        <f>+Tabla6[[#This Row],[PRESUPUESTO VIGENTE]]-Tabla6[[#This Row],[CERTIFICACIÓN PAPP]]</f>
        <v>8893.44</v>
      </c>
      <c r="AP444" s="59">
        <v>0</v>
      </c>
    </row>
    <row r="445" spans="1:42" ht="93" customHeight="1" x14ac:dyDescent="0.25">
      <c r="A445" s="62" t="s">
        <v>88</v>
      </c>
      <c r="B445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445" s="64" t="s">
        <v>89</v>
      </c>
      <c r="D445" s="64" t="s">
        <v>80</v>
      </c>
      <c r="E445" s="64" t="s">
        <v>81</v>
      </c>
      <c r="F445" s="64" t="s">
        <v>96</v>
      </c>
      <c r="G445" s="64" t="s">
        <v>10</v>
      </c>
      <c r="H445" s="65" t="str">
        <f>VLOOKUP(Tabla6[[#This Row],[DIRECCIÓN]],DIRECCIÓN[#All],2,0)</f>
        <v>TECNOLOGÍA</v>
      </c>
      <c r="I445" s="66" t="s">
        <v>93</v>
      </c>
      <c r="J445" s="67">
        <v>1</v>
      </c>
      <c r="K445" s="68" t="str">
        <f>VLOOKUP(Tabla6[[#This Row],[DIRECCIÓN GENERAL / COORDINACIÓN / SUBDIRECCIÓN]],Tabla37[[#All],[Columna1]:[EOD]],2,0)</f>
        <v>266_0003</v>
      </c>
      <c r="L445" s="69">
        <f>VLOOKUP(Tabla6[[#This Row],[OBJETIVOS PND]],Listas!$A$1:$C$3,3,0)</f>
        <v>55</v>
      </c>
      <c r="M445" s="70">
        <f>VLOOKUP(Tabla6[[#This Row],[PG]],Listas2!$G$14:$K$16,5,0)</f>
        <v>0</v>
      </c>
      <c r="N445" s="71">
        <v>3</v>
      </c>
      <c r="O445" s="72">
        <v>1800</v>
      </c>
      <c r="P445" s="73" t="str">
        <f>VLOOKUP(Tabla6[[#This Row],[GEO]],Listas!$A$48:$B$77,2,0)</f>
        <v>TUNGURAHUA</v>
      </c>
      <c r="Q445" s="70">
        <f>VLOOKUP(Tabla6[[#This Row],[PG]],Listas2!$G$14:$K$16,3,0)</f>
        <v>1</v>
      </c>
      <c r="R445" s="73">
        <f>VLOOKUP(Tabla6[[#This Row],[PG]],Listas2!H111:'Listas2'!$G$14:$K$16,4,0)</f>
        <v>0</v>
      </c>
      <c r="S445" s="73">
        <f>VLOOKUP(Tabla6[[#This Row],[PG]],Listas2!$G$14:$K$16,2,0)</f>
        <v>0</v>
      </c>
      <c r="T445" s="66" t="s">
        <v>84</v>
      </c>
      <c r="U445" s="74">
        <v>51</v>
      </c>
      <c r="V445" s="66">
        <v>510602</v>
      </c>
      <c r="W445" s="63" t="str">
        <f>VLOOKUP(Tabla6[[#This Row],[ÍTEM PRESUPUESTARIO]],Tabla2[#All],2,0)</f>
        <v>FONDO DE RESERVA</v>
      </c>
      <c r="X445" s="57">
        <v>7680</v>
      </c>
      <c r="Y445" s="57">
        <f>7680+175-100-972.32</f>
        <v>6782.68</v>
      </c>
      <c r="Z445" s="58">
        <v>565.22</v>
      </c>
      <c r="AA445" s="58">
        <v>565.22</v>
      </c>
      <c r="AB445" s="58">
        <v>565.22</v>
      </c>
      <c r="AC445" s="58">
        <v>565.22</v>
      </c>
      <c r="AD445" s="58">
        <v>565.22</v>
      </c>
      <c r="AE445" s="58">
        <v>565.22</v>
      </c>
      <c r="AF445" s="58">
        <v>565.22</v>
      </c>
      <c r="AG445" s="58">
        <v>565.22</v>
      </c>
      <c r="AH445" s="58">
        <v>565.22</v>
      </c>
      <c r="AI445" s="58">
        <v>565.22</v>
      </c>
      <c r="AJ445" s="58">
        <v>565.22</v>
      </c>
      <c r="AK445" s="58">
        <v>565.26</v>
      </c>
      <c r="AL445" s="75">
        <f>+SUBTOTAL(9,Tabla6[[#This Row],[ENE]:[DIC]])</f>
        <v>6782.6800000000021</v>
      </c>
      <c r="AM445" s="76" t="str">
        <f t="shared" si="9"/>
        <v>OK</v>
      </c>
      <c r="AN445" s="60">
        <v>0</v>
      </c>
      <c r="AO445" s="61">
        <f>+Tabla6[[#This Row],[PRESUPUESTO VIGENTE]]-Tabla6[[#This Row],[CERTIFICACIÓN PAPP]]</f>
        <v>6782.68</v>
      </c>
      <c r="AP445" s="59">
        <v>0</v>
      </c>
    </row>
    <row r="446" spans="1:42" ht="93" customHeight="1" x14ac:dyDescent="0.25">
      <c r="A446" s="62" t="s">
        <v>78</v>
      </c>
      <c r="B446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446" s="64" t="s">
        <v>79</v>
      </c>
      <c r="D446" s="64" t="s">
        <v>80</v>
      </c>
      <c r="E446" s="64" t="s">
        <v>81</v>
      </c>
      <c r="F446" s="64" t="s">
        <v>96</v>
      </c>
      <c r="G446" s="64" t="s">
        <v>92</v>
      </c>
      <c r="H446" s="65" t="str">
        <f>VLOOKUP(Tabla6[[#This Row],[DIRECCIÓN]],DIRECCIÓN[#All],2,0)</f>
        <v>ADMINISTRACIÓN CENTRAL</v>
      </c>
      <c r="I446" s="66" t="s">
        <v>626</v>
      </c>
      <c r="J446" s="67">
        <v>1</v>
      </c>
      <c r="K446" s="68" t="str">
        <f>VLOOKUP(Tabla6[[#This Row],[DIRECCIÓN GENERAL / COORDINACIÓN / SUBDIRECCIÓN]],Tabla37[[#All],[Columna1]:[EOD]],2,0)</f>
        <v>266_0003</v>
      </c>
      <c r="L446" s="69">
        <f>VLOOKUP(Tabla6[[#This Row],[OBJETIVOS PND]],Listas!$A$1:$C$3,3,0)</f>
        <v>1</v>
      </c>
      <c r="M446" s="70">
        <f>VLOOKUP(Tabla6[[#This Row],[PG]],Listas2!$G$14:$K$16,5,0)</f>
        <v>0</v>
      </c>
      <c r="N446" s="71">
        <v>1</v>
      </c>
      <c r="O446" s="72">
        <v>1801</v>
      </c>
      <c r="P446" s="73" t="str">
        <f>VLOOKUP(Tabla6[[#This Row],[GEO]],Listas!$A$48:$B$77,2,0)</f>
        <v>AMBATO</v>
      </c>
      <c r="Q446" s="70">
        <f>VLOOKUP(Tabla6[[#This Row],[PG]],Listas2!$G$14:$K$16,3,0)</f>
        <v>1</v>
      </c>
      <c r="R446" s="73">
        <f>VLOOKUP(Tabla6[[#This Row],[PG]],Listas2!H112:'Listas2'!$G$14:$K$16,4,0)</f>
        <v>0</v>
      </c>
      <c r="S446" s="73">
        <f>VLOOKUP(Tabla6[[#This Row],[PG]],Listas2!$G$14:$K$16,2,0)</f>
        <v>0</v>
      </c>
      <c r="T446" s="66" t="s">
        <v>84</v>
      </c>
      <c r="U446" s="74">
        <v>53</v>
      </c>
      <c r="V446" s="66">
        <v>530101</v>
      </c>
      <c r="W446" s="63" t="str">
        <f>VLOOKUP(Tabla6[[#This Row],[ÍTEM PRESUPUESTARIO]],Tabla2[#All],2,0)</f>
        <v>AGUA POTABLE</v>
      </c>
      <c r="X446" s="57">
        <v>3000</v>
      </c>
      <c r="Y446" s="57">
        <f>3000-104.01</f>
        <v>2895.99</v>
      </c>
      <c r="Z446" s="58">
        <v>156.55000000000001</v>
      </c>
      <c r="AA446" s="58">
        <v>249.03999999999996</v>
      </c>
      <c r="AB446" s="58">
        <v>249.03999999999996</v>
      </c>
      <c r="AC446" s="58">
        <v>249.03999999999996</v>
      </c>
      <c r="AD446" s="58">
        <v>249.03999999999996</v>
      </c>
      <c r="AE446" s="58">
        <v>249.03999999999996</v>
      </c>
      <c r="AF446" s="58">
        <v>249.03999999999996</v>
      </c>
      <c r="AG446" s="58">
        <v>249.03999999999996</v>
      </c>
      <c r="AH446" s="58">
        <v>249.03999999999996</v>
      </c>
      <c r="AI446" s="58">
        <v>249.03999999999996</v>
      </c>
      <c r="AJ446" s="58">
        <v>249.03999999999996</v>
      </c>
      <c r="AK446" s="58">
        <v>249.03999999999996</v>
      </c>
      <c r="AL446" s="75">
        <f>+SUBTOTAL(9,Tabla6[[#This Row],[ENE]:[DIC]])</f>
        <v>2895.99</v>
      </c>
      <c r="AM446" s="76" t="str">
        <f t="shared" si="9"/>
        <v>OK</v>
      </c>
      <c r="AN446" s="60">
        <f>2843.45+156.55-104.01</f>
        <v>2895.99</v>
      </c>
      <c r="AO446" s="61">
        <f>+Tabla6[[#This Row],[PRESUPUESTO VIGENTE]]-Tabla6[[#This Row],[CERTIFICACIÓN PAPP]]</f>
        <v>0</v>
      </c>
      <c r="AP446" s="59">
        <v>0</v>
      </c>
    </row>
    <row r="447" spans="1:42" ht="93" customHeight="1" x14ac:dyDescent="0.25">
      <c r="A447" s="62" t="s">
        <v>78</v>
      </c>
      <c r="B447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447" s="64" t="s">
        <v>79</v>
      </c>
      <c r="D447" s="64" t="s">
        <v>80</v>
      </c>
      <c r="E447" s="64" t="s">
        <v>81</v>
      </c>
      <c r="F447" s="64" t="s">
        <v>96</v>
      </c>
      <c r="G447" s="64" t="s">
        <v>92</v>
      </c>
      <c r="H447" s="65" t="str">
        <f>VLOOKUP(Tabla6[[#This Row],[DIRECCIÓN]],DIRECCIÓN[#All],2,0)</f>
        <v>ADMINISTRACIÓN CENTRAL</v>
      </c>
      <c r="I447" s="66" t="s">
        <v>626</v>
      </c>
      <c r="J447" s="67">
        <v>1</v>
      </c>
      <c r="K447" s="68" t="str">
        <f>VLOOKUP(Tabla6[[#This Row],[DIRECCIÓN GENERAL / COORDINACIÓN / SUBDIRECCIÓN]],Tabla37[[#All],[Columna1]:[EOD]],2,0)</f>
        <v>266_0003</v>
      </c>
      <c r="L447" s="69">
        <f>VLOOKUP(Tabla6[[#This Row],[OBJETIVOS PND]],Listas!$A$1:$C$3,3,0)</f>
        <v>1</v>
      </c>
      <c r="M447" s="70">
        <f>VLOOKUP(Tabla6[[#This Row],[PG]],Listas2!$G$14:$K$16,5,0)</f>
        <v>0</v>
      </c>
      <c r="N447" s="71">
        <v>1</v>
      </c>
      <c r="O447" s="72">
        <v>1801</v>
      </c>
      <c r="P447" s="73" t="str">
        <f>VLOOKUP(Tabla6[[#This Row],[GEO]],Listas!$A$48:$B$77,2,0)</f>
        <v>AMBATO</v>
      </c>
      <c r="Q447" s="70">
        <f>VLOOKUP(Tabla6[[#This Row],[PG]],Listas2!$G$14:$K$16,3,0)</f>
        <v>1</v>
      </c>
      <c r="R447" s="73">
        <f>VLOOKUP(Tabla6[[#This Row],[PG]],Listas2!H113:'Listas2'!$G$14:$K$16,4,0)</f>
        <v>0</v>
      </c>
      <c r="S447" s="73">
        <f>VLOOKUP(Tabla6[[#This Row],[PG]],Listas2!$G$14:$K$16,2,0)</f>
        <v>0</v>
      </c>
      <c r="T447" s="66" t="s">
        <v>84</v>
      </c>
      <c r="U447" s="74">
        <v>53</v>
      </c>
      <c r="V447" s="66">
        <v>530104</v>
      </c>
      <c r="W447" s="63" t="str">
        <f>VLOOKUP(Tabla6[[#This Row],[ÍTEM PRESUPUESTARIO]],Tabla2[#All],2,0)</f>
        <v>ENERGÍA ELÉCTRICA</v>
      </c>
      <c r="X447" s="57">
        <v>52000</v>
      </c>
      <c r="Y447" s="57">
        <f>52000-462.84</f>
        <v>51537.16</v>
      </c>
      <c r="Z447" s="58">
        <v>4651.8900000000003</v>
      </c>
      <c r="AA447" s="58">
        <v>4262.3</v>
      </c>
      <c r="AB447" s="58">
        <v>4262.3</v>
      </c>
      <c r="AC447" s="58">
        <v>4262.3</v>
      </c>
      <c r="AD447" s="58">
        <v>4262.3</v>
      </c>
      <c r="AE447" s="58">
        <v>4262.3</v>
      </c>
      <c r="AF447" s="58">
        <v>4262.3</v>
      </c>
      <c r="AG447" s="58">
        <v>4262.3</v>
      </c>
      <c r="AH447" s="58">
        <v>4262.3</v>
      </c>
      <c r="AI447" s="58">
        <v>4262.3</v>
      </c>
      <c r="AJ447" s="58">
        <v>4262.3</v>
      </c>
      <c r="AK447" s="58">
        <v>4262.2700000000004</v>
      </c>
      <c r="AL447" s="75">
        <f>+SUBTOTAL(9,Tabla6[[#This Row],[ENE]:[DIC]])</f>
        <v>51537.16</v>
      </c>
      <c r="AM447" s="76" t="str">
        <f t="shared" si="9"/>
        <v>OK</v>
      </c>
      <c r="AN447" s="60">
        <f>52000-462.84</f>
        <v>51537.16</v>
      </c>
      <c r="AO447" s="61">
        <f>+Tabla6[[#This Row],[PRESUPUESTO VIGENTE]]-Tabla6[[#This Row],[CERTIFICACIÓN PAPP]]</f>
        <v>0</v>
      </c>
      <c r="AP447" s="59">
        <v>0</v>
      </c>
    </row>
    <row r="448" spans="1:42" ht="93" customHeight="1" x14ac:dyDescent="0.25">
      <c r="A448" s="62" t="s">
        <v>78</v>
      </c>
      <c r="B448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448" s="64" t="s">
        <v>79</v>
      </c>
      <c r="D448" s="64" t="s">
        <v>80</v>
      </c>
      <c r="E448" s="64" t="s">
        <v>81</v>
      </c>
      <c r="F448" s="64" t="s">
        <v>96</v>
      </c>
      <c r="G448" s="64" t="s">
        <v>92</v>
      </c>
      <c r="H448" s="65" t="str">
        <f>VLOOKUP(Tabla6[[#This Row],[DIRECCIÓN]],DIRECCIÓN[#All],2,0)</f>
        <v>ADMINISTRACIÓN CENTRAL</v>
      </c>
      <c r="I448" s="66" t="s">
        <v>627</v>
      </c>
      <c r="J448" s="67">
        <v>1</v>
      </c>
      <c r="K448" s="68" t="str">
        <f>VLOOKUP(Tabla6[[#This Row],[DIRECCIÓN GENERAL / COORDINACIÓN / SUBDIRECCIÓN]],Tabla37[[#All],[Columna1]:[EOD]],2,0)</f>
        <v>266_0003</v>
      </c>
      <c r="L448" s="69">
        <f>VLOOKUP(Tabla6[[#This Row],[OBJETIVOS PND]],Listas!$A$1:$C$3,3,0)</f>
        <v>1</v>
      </c>
      <c r="M448" s="70">
        <f>VLOOKUP(Tabla6[[#This Row],[PG]],Listas2!$G$14:$K$16,5,0)</f>
        <v>0</v>
      </c>
      <c r="N448" s="71">
        <v>1</v>
      </c>
      <c r="O448" s="72">
        <v>1801</v>
      </c>
      <c r="P448" s="73" t="str">
        <f>VLOOKUP(Tabla6[[#This Row],[GEO]],Listas!$A$48:$B$77,2,0)</f>
        <v>AMBATO</v>
      </c>
      <c r="Q448" s="70">
        <f>VLOOKUP(Tabla6[[#This Row],[PG]],Listas2!$G$14:$K$16,3,0)</f>
        <v>1</v>
      </c>
      <c r="R448" s="73">
        <f>VLOOKUP(Tabla6[[#This Row],[PG]],Listas2!H114:'Listas2'!$G$14:$K$16,4,0)</f>
        <v>0</v>
      </c>
      <c r="S448" s="73">
        <f>VLOOKUP(Tabla6[[#This Row],[PG]],Listas2!$G$14:$K$16,2,0)</f>
        <v>0</v>
      </c>
      <c r="T448" s="66" t="s">
        <v>84</v>
      </c>
      <c r="U448" s="74">
        <v>53</v>
      </c>
      <c r="V448" s="66">
        <v>530201</v>
      </c>
      <c r="W448" s="63" t="str">
        <f>VLOOKUP(Tabla6[[#This Row],[ÍTEM PRESUPUESTARIO]],Tabla2[#All],2,0)</f>
        <v>TRANSPORTE DE PERSONAL</v>
      </c>
      <c r="X448" s="57">
        <v>17196</v>
      </c>
      <c r="Y448" s="57">
        <f>17196+16265.92+0.01-1403.89</f>
        <v>32058.04</v>
      </c>
      <c r="Z448" s="58">
        <v>1435.63</v>
      </c>
      <c r="AA448" s="58">
        <v>2783.85</v>
      </c>
      <c r="AB448" s="58">
        <v>2783.85</v>
      </c>
      <c r="AC448" s="58">
        <v>2783.85</v>
      </c>
      <c r="AD448" s="58">
        <v>2783.85</v>
      </c>
      <c r="AE448" s="58">
        <v>2783.85</v>
      </c>
      <c r="AF448" s="58">
        <v>2783.85</v>
      </c>
      <c r="AG448" s="58">
        <v>2783.85</v>
      </c>
      <c r="AH448" s="58">
        <v>2783.85</v>
      </c>
      <c r="AI448" s="58">
        <v>2783.85</v>
      </c>
      <c r="AJ448" s="58">
        <v>2783.85</v>
      </c>
      <c r="AK448" s="58">
        <v>2783.91</v>
      </c>
      <c r="AL448" s="75">
        <f>+SUBTOTAL(9,Tabla6[[#This Row],[ENE]:[DIC]])</f>
        <v>32058.039999999994</v>
      </c>
      <c r="AM448" s="76" t="str">
        <f t="shared" si="9"/>
        <v>OK</v>
      </c>
      <c r="AN448" s="60">
        <f>33461.93-1403.89</f>
        <v>32058.04</v>
      </c>
      <c r="AO448" s="61">
        <f>+Tabla6[[#This Row],[PRESUPUESTO VIGENTE]]-Tabla6[[#This Row],[CERTIFICACIÓN PAPP]]</f>
        <v>0</v>
      </c>
      <c r="AP448" s="59">
        <v>0</v>
      </c>
    </row>
    <row r="449" spans="1:42" ht="93" customHeight="1" x14ac:dyDescent="0.25">
      <c r="A449" s="62" t="s">
        <v>78</v>
      </c>
      <c r="B449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449" s="64" t="s">
        <v>79</v>
      </c>
      <c r="D449" s="64" t="s">
        <v>80</v>
      </c>
      <c r="E449" s="64" t="s">
        <v>81</v>
      </c>
      <c r="F449" s="64" t="s">
        <v>96</v>
      </c>
      <c r="G449" s="64" t="s">
        <v>92</v>
      </c>
      <c r="H449" s="65" t="str">
        <f>VLOOKUP(Tabla6[[#This Row],[DIRECCIÓN]],DIRECCIÓN[#All],2,0)</f>
        <v>ADMINISTRACIÓN CENTRAL</v>
      </c>
      <c r="I449" s="66" t="s">
        <v>628</v>
      </c>
      <c r="J449" s="67">
        <v>1</v>
      </c>
      <c r="K449" s="68" t="str">
        <f>VLOOKUP(Tabla6[[#This Row],[DIRECCIÓN GENERAL / COORDINACIÓN / SUBDIRECCIÓN]],Tabla37[[#All],[Columna1]:[EOD]],2,0)</f>
        <v>266_0003</v>
      </c>
      <c r="L449" s="69">
        <f>VLOOKUP(Tabla6[[#This Row],[OBJETIVOS PND]],Listas!$A$1:$C$3,3,0)</f>
        <v>1</v>
      </c>
      <c r="M449" s="70">
        <f>VLOOKUP(Tabla6[[#This Row],[PG]],Listas2!$G$14:$K$16,5,0)</f>
        <v>0</v>
      </c>
      <c r="N449" s="71">
        <v>1</v>
      </c>
      <c r="O449" s="72">
        <v>1801</v>
      </c>
      <c r="P449" s="73" t="str">
        <f>VLOOKUP(Tabla6[[#This Row],[GEO]],Listas!$A$48:$B$77,2,0)</f>
        <v>AMBATO</v>
      </c>
      <c r="Q449" s="70">
        <f>VLOOKUP(Tabla6[[#This Row],[PG]],Listas2!$G$14:$K$16,3,0)</f>
        <v>1</v>
      </c>
      <c r="R449" s="73">
        <f>VLOOKUP(Tabla6[[#This Row],[PG]],Listas2!H115:'Listas2'!$G$14:$K$16,4,0)</f>
        <v>0</v>
      </c>
      <c r="S449" s="73">
        <f>VLOOKUP(Tabla6[[#This Row],[PG]],Listas2!$G$14:$K$16,2,0)</f>
        <v>0</v>
      </c>
      <c r="T449" s="66" t="s">
        <v>84</v>
      </c>
      <c r="U449" s="74">
        <v>53</v>
      </c>
      <c r="V449" s="66">
        <v>530203</v>
      </c>
      <c r="W449" s="63" t="str">
        <f>VLOOKUP(Tabla6[[#This Row],[ÍTEM PRESUPUESTARIO]],Tabla2[#All],2,0)</f>
        <v>ALMACENAMIENTO, EMBALAJE, DESEMBALAJE, ENVASE, DESENVASE Y RECARGA DE EXTINTORES</v>
      </c>
      <c r="X449" s="57">
        <v>0</v>
      </c>
      <c r="Y449" s="57">
        <v>582</v>
      </c>
      <c r="Z449" s="58">
        <v>0</v>
      </c>
      <c r="AA449" s="58">
        <v>0</v>
      </c>
      <c r="AB449" s="58">
        <v>0</v>
      </c>
      <c r="AC449" s="58">
        <v>0</v>
      </c>
      <c r="AD449" s="58">
        <v>0</v>
      </c>
      <c r="AE449" s="58">
        <v>0</v>
      </c>
      <c r="AF449" s="58">
        <v>0</v>
      </c>
      <c r="AG449" s="58">
        <v>0</v>
      </c>
      <c r="AH449" s="58">
        <v>0</v>
      </c>
      <c r="AI449" s="58">
        <v>0</v>
      </c>
      <c r="AJ449" s="58">
        <v>582</v>
      </c>
      <c r="AK449" s="58">
        <v>0</v>
      </c>
      <c r="AL449" s="75">
        <f>+SUBTOTAL(9,Tabla6[[#This Row],[ENE]:[DIC]])</f>
        <v>582</v>
      </c>
      <c r="AM449" s="76" t="str">
        <f t="shared" si="9"/>
        <v>OK</v>
      </c>
      <c r="AN449" s="60">
        <v>582</v>
      </c>
      <c r="AO449" s="61">
        <f>+Tabla6[[#This Row],[PRESUPUESTO VIGENTE]]-Tabla6[[#This Row],[CERTIFICACIÓN PAPP]]</f>
        <v>0</v>
      </c>
      <c r="AP449" s="59">
        <v>0</v>
      </c>
    </row>
    <row r="450" spans="1:42" ht="93" customHeight="1" x14ac:dyDescent="0.25">
      <c r="A450" s="62" t="s">
        <v>78</v>
      </c>
      <c r="B450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450" s="64" t="s">
        <v>85</v>
      </c>
      <c r="D450" s="64" t="s">
        <v>80</v>
      </c>
      <c r="E450" s="64" t="s">
        <v>81</v>
      </c>
      <c r="F450" s="64" t="s">
        <v>96</v>
      </c>
      <c r="G450" s="64" t="s">
        <v>94</v>
      </c>
      <c r="H450" s="65" t="str">
        <f>VLOOKUP(Tabla6[[#This Row],[DIRECCIÓN]],DIRECCIÓN[#All],2,0)</f>
        <v>COMUNICACIÓN SOCIAL</v>
      </c>
      <c r="I450" s="66" t="s">
        <v>629</v>
      </c>
      <c r="J450" s="67">
        <v>1</v>
      </c>
      <c r="K450" s="68" t="str">
        <f>VLOOKUP(Tabla6[[#This Row],[DIRECCIÓN GENERAL / COORDINACIÓN / SUBDIRECCIÓN]],Tabla37[[#All],[Columna1]:[EOD]],2,0)</f>
        <v>266_0003</v>
      </c>
      <c r="L450" s="69">
        <f>VLOOKUP(Tabla6[[#This Row],[OBJETIVOS PND]],Listas!$A$1:$C$3,3,0)</f>
        <v>1</v>
      </c>
      <c r="M450" s="70">
        <f>VLOOKUP(Tabla6[[#This Row],[PG]],Listas2!$G$14:$K$16,5,0)</f>
        <v>0</v>
      </c>
      <c r="N450" s="71">
        <v>1</v>
      </c>
      <c r="O450" s="72">
        <v>1801</v>
      </c>
      <c r="P450" s="73" t="str">
        <f>VLOOKUP(Tabla6[[#This Row],[GEO]],Listas!$A$48:$B$77,2,0)</f>
        <v>AMBATO</v>
      </c>
      <c r="Q450" s="70">
        <f>VLOOKUP(Tabla6[[#This Row],[PG]],Listas2!$G$14:$K$16,3,0)</f>
        <v>1</v>
      </c>
      <c r="R450" s="73">
        <f>VLOOKUP(Tabla6[[#This Row],[PG]],Listas2!H116:'Listas2'!$G$14:$K$16,4,0)</f>
        <v>0</v>
      </c>
      <c r="S450" s="73">
        <f>VLOOKUP(Tabla6[[#This Row],[PG]],Listas2!$G$14:$K$16,2,0)</f>
        <v>0</v>
      </c>
      <c r="T450" s="66" t="s">
        <v>84</v>
      </c>
      <c r="U450" s="74">
        <v>53</v>
      </c>
      <c r="V450" s="66">
        <v>530204</v>
      </c>
      <c r="W450" s="63" t="str">
        <f>VLOOKUP(Tabla6[[#This Row],[ÍTEM PRESUPUESTARIO]],Tabla2[#All],2,0)</f>
        <v>EDICIÓN, IMPRESIÓN, REPRODUCCIÓN, PUBLICACIONES, SUSCRIPCIONES, FOTOCOPIADO, TRADUCCIÓN, EMPASTADO, ENMARCACIÓN, SERIGRAFÍA, FOTOGRAFÍA, CARNETIZACIÓN, FILMACIÓN E IMÁGENES SATELITALES</v>
      </c>
      <c r="X450" s="57">
        <v>0</v>
      </c>
      <c r="Y450" s="57">
        <f>3731.66-1865.83+1284.17-1562.51+0.01-1587.5</f>
        <v>0</v>
      </c>
      <c r="Z450" s="58">
        <v>0</v>
      </c>
      <c r="AA450" s="58">
        <v>0</v>
      </c>
      <c r="AB450" s="58">
        <v>0</v>
      </c>
      <c r="AC450" s="58">
        <v>0</v>
      </c>
      <c r="AD450" s="58">
        <v>0</v>
      </c>
      <c r="AE450" s="58">
        <v>0</v>
      </c>
      <c r="AF450" s="58">
        <v>0</v>
      </c>
      <c r="AG450" s="58">
        <v>0</v>
      </c>
      <c r="AH450" s="58">
        <v>0</v>
      </c>
      <c r="AI450" s="58">
        <v>0</v>
      </c>
      <c r="AJ450" s="58">
        <v>0</v>
      </c>
      <c r="AK450" s="58">
        <v>0</v>
      </c>
      <c r="AL450" s="75">
        <f>+SUBTOTAL(9,Tabla6[[#This Row],[ENE]:[DIC]])</f>
        <v>0</v>
      </c>
      <c r="AM450" s="76" t="str">
        <f t="shared" si="9"/>
        <v>OK</v>
      </c>
      <c r="AN450" s="60">
        <v>0</v>
      </c>
      <c r="AO450" s="61">
        <f>+Tabla6[[#This Row],[PRESUPUESTO VIGENTE]]-Tabla6[[#This Row],[CERTIFICACIÓN PAPP]]</f>
        <v>0</v>
      </c>
      <c r="AP450" s="59">
        <v>0</v>
      </c>
    </row>
    <row r="451" spans="1:42" ht="93" customHeight="1" x14ac:dyDescent="0.25">
      <c r="A451" s="62" t="s">
        <v>78</v>
      </c>
      <c r="B451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451" s="64" t="s">
        <v>85</v>
      </c>
      <c r="D451" s="64" t="s">
        <v>80</v>
      </c>
      <c r="E451" s="64" t="s">
        <v>81</v>
      </c>
      <c r="F451" s="64" t="s">
        <v>96</v>
      </c>
      <c r="G451" s="64" t="s">
        <v>94</v>
      </c>
      <c r="H451" s="65" t="str">
        <f>VLOOKUP(Tabla6[[#This Row],[DIRECCIÓN]],DIRECCIÓN[#All],2,0)</f>
        <v>COMUNICACIÓN SOCIAL</v>
      </c>
      <c r="I451" s="66" t="s">
        <v>630</v>
      </c>
      <c r="J451" s="67">
        <v>1</v>
      </c>
      <c r="K451" s="68" t="str">
        <f>VLOOKUP(Tabla6[[#This Row],[DIRECCIÓN GENERAL / COORDINACIÓN / SUBDIRECCIÓN]],Tabla37[[#All],[Columna1]:[EOD]],2,0)</f>
        <v>266_0003</v>
      </c>
      <c r="L451" s="69">
        <f>VLOOKUP(Tabla6[[#This Row],[OBJETIVOS PND]],Listas!$A$1:$C$3,3,0)</f>
        <v>1</v>
      </c>
      <c r="M451" s="70">
        <f>VLOOKUP(Tabla6[[#This Row],[PG]],Listas2!$G$14:$K$16,5,0)</f>
        <v>0</v>
      </c>
      <c r="N451" s="71">
        <v>1</v>
      </c>
      <c r="O451" s="72">
        <v>1801</v>
      </c>
      <c r="P451" s="73" t="str">
        <f>VLOOKUP(Tabla6[[#This Row],[GEO]],Listas!$A$48:$B$77,2,0)</f>
        <v>AMBATO</v>
      </c>
      <c r="Q451" s="70">
        <f>VLOOKUP(Tabla6[[#This Row],[PG]],Listas2!$G$14:$K$16,3,0)</f>
        <v>1</v>
      </c>
      <c r="R451" s="73">
        <f>VLOOKUP(Tabla6[[#This Row],[PG]],Listas2!H117:'Listas2'!$G$14:$K$16,4,0)</f>
        <v>0</v>
      </c>
      <c r="S451" s="73">
        <f>VLOOKUP(Tabla6[[#This Row],[PG]],Listas2!$G$14:$K$16,2,0)</f>
        <v>0</v>
      </c>
      <c r="T451" s="66" t="s">
        <v>84</v>
      </c>
      <c r="U451" s="74">
        <v>53</v>
      </c>
      <c r="V451" s="66">
        <v>530207</v>
      </c>
      <c r="W451" s="63" t="str">
        <f>VLOOKUP(Tabla6[[#This Row],[ÍTEM PRESUPUESTARIO]],Tabla2[#All],2,0)</f>
        <v>DIFUSIÓN, INFORMACIÓN Y PUBLICIDAD</v>
      </c>
      <c r="X451" s="57">
        <v>0</v>
      </c>
      <c r="Y451" s="57">
        <v>768</v>
      </c>
      <c r="Z451" s="58">
        <v>0</v>
      </c>
      <c r="AA451" s="58">
        <v>0</v>
      </c>
      <c r="AB451" s="58">
        <v>0</v>
      </c>
      <c r="AC451" s="58">
        <v>0</v>
      </c>
      <c r="AD451" s="58">
        <v>0</v>
      </c>
      <c r="AE451" s="58">
        <v>0</v>
      </c>
      <c r="AF451" s="58">
        <v>0</v>
      </c>
      <c r="AG451" s="58">
        <v>0</v>
      </c>
      <c r="AH451" s="58">
        <v>0</v>
      </c>
      <c r="AI451" s="58">
        <v>0</v>
      </c>
      <c r="AJ451" s="58">
        <v>768</v>
      </c>
      <c r="AK451" s="58">
        <v>0</v>
      </c>
      <c r="AL451" s="75">
        <f>+SUBTOTAL(9,Tabla6[[#This Row],[ENE]:[DIC]])</f>
        <v>768</v>
      </c>
      <c r="AM451" s="76" t="str">
        <f t="shared" si="9"/>
        <v>OK</v>
      </c>
      <c r="AN451" s="60">
        <v>768</v>
      </c>
      <c r="AO451" s="61">
        <f>+Tabla6[[#This Row],[PRESUPUESTO VIGENTE]]-Tabla6[[#This Row],[CERTIFICACIÓN PAPP]]</f>
        <v>0</v>
      </c>
      <c r="AP451" s="59">
        <v>0</v>
      </c>
    </row>
    <row r="452" spans="1:42" ht="93" customHeight="1" x14ac:dyDescent="0.25">
      <c r="A452" s="62" t="s">
        <v>78</v>
      </c>
      <c r="B452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452" s="64" t="s">
        <v>79</v>
      </c>
      <c r="D452" s="64" t="s">
        <v>80</v>
      </c>
      <c r="E452" s="64" t="s">
        <v>81</v>
      </c>
      <c r="F452" s="64" t="s">
        <v>96</v>
      </c>
      <c r="G452" s="64" t="s">
        <v>92</v>
      </c>
      <c r="H452" s="65" t="str">
        <f>VLOOKUP(Tabla6[[#This Row],[DIRECCIÓN]],DIRECCIÓN[#All],2,0)</f>
        <v>ADMINISTRACIÓN CENTRAL</v>
      </c>
      <c r="I452" s="66" t="s">
        <v>631</v>
      </c>
      <c r="J452" s="67">
        <v>1</v>
      </c>
      <c r="K452" s="68" t="str">
        <f>VLOOKUP(Tabla6[[#This Row],[DIRECCIÓN GENERAL / COORDINACIÓN / SUBDIRECCIÓN]],Tabla37[[#All],[Columna1]:[EOD]],2,0)</f>
        <v>266_0003</v>
      </c>
      <c r="L452" s="69">
        <f>VLOOKUP(Tabla6[[#This Row],[OBJETIVOS PND]],Listas!$A$1:$C$3,3,0)</f>
        <v>1</v>
      </c>
      <c r="M452" s="70">
        <f>VLOOKUP(Tabla6[[#This Row],[PG]],Listas2!$G$14:$K$16,5,0)</f>
        <v>0</v>
      </c>
      <c r="N452" s="71">
        <v>1</v>
      </c>
      <c r="O452" s="72">
        <v>1801</v>
      </c>
      <c r="P452" s="73" t="str">
        <f>VLOOKUP(Tabla6[[#This Row],[GEO]],Listas!$A$48:$B$77,2,0)</f>
        <v>AMBATO</v>
      </c>
      <c r="Q452" s="70">
        <f>VLOOKUP(Tabla6[[#This Row],[PG]],Listas2!$G$14:$K$16,3,0)</f>
        <v>1</v>
      </c>
      <c r="R452" s="73">
        <f>VLOOKUP(Tabla6[[#This Row],[PG]],Listas2!H118:'Listas2'!$G$14:$K$16,4,0)</f>
        <v>0</v>
      </c>
      <c r="S452" s="73">
        <f>VLOOKUP(Tabla6[[#This Row],[PG]],Listas2!$G$14:$K$16,2,0)</f>
        <v>0</v>
      </c>
      <c r="T452" s="66" t="s">
        <v>84</v>
      </c>
      <c r="U452" s="74">
        <v>53</v>
      </c>
      <c r="V452" s="66">
        <v>530208</v>
      </c>
      <c r="W452" s="63" t="str">
        <f>VLOOKUP(Tabla6[[#This Row],[ÍTEM PRESUPUESTARIO]],Tabla2[#All],2,0)</f>
        <v>SERVICIO DE SEGURIDAD Y VIGILANCIA</v>
      </c>
      <c r="X452" s="57">
        <v>85893</v>
      </c>
      <c r="Y452" s="57">
        <f>85893-42731.12+1791.66+42946.92-1868.04-1674-0.04-193.99</f>
        <v>84164.39</v>
      </c>
      <c r="Z452" s="58">
        <v>3583.32</v>
      </c>
      <c r="AA452" s="58">
        <v>7325.55</v>
      </c>
      <c r="AB452" s="58">
        <v>7325.55</v>
      </c>
      <c r="AC452" s="58">
        <v>7325.55</v>
      </c>
      <c r="AD452" s="58">
        <v>7325.55</v>
      </c>
      <c r="AE452" s="58">
        <v>7325.55</v>
      </c>
      <c r="AF452" s="58">
        <v>7325.55</v>
      </c>
      <c r="AG452" s="58">
        <v>7325.55</v>
      </c>
      <c r="AH452" s="58">
        <v>7325.55</v>
      </c>
      <c r="AI452" s="58">
        <v>7325.55</v>
      </c>
      <c r="AJ452" s="58">
        <v>7325.55</v>
      </c>
      <c r="AK452" s="58">
        <v>7325.57</v>
      </c>
      <c r="AL452" s="75">
        <f>+SUBTOTAL(9,Tabla6[[#This Row],[ENE]:[DIC]])</f>
        <v>84164.390000000014</v>
      </c>
      <c r="AM452" s="76" t="str">
        <f t="shared" si="9"/>
        <v>OK</v>
      </c>
      <c r="AN452" s="60">
        <f>84164.38+0.01</f>
        <v>84164.39</v>
      </c>
      <c r="AO452" s="61">
        <f>+Tabla6[[#This Row],[PRESUPUESTO VIGENTE]]-Tabla6[[#This Row],[CERTIFICACIÓN PAPP]]</f>
        <v>0</v>
      </c>
      <c r="AP452" s="59">
        <v>0</v>
      </c>
    </row>
    <row r="453" spans="1:42" ht="93" customHeight="1" x14ac:dyDescent="0.25">
      <c r="A453" s="62" t="s">
        <v>78</v>
      </c>
      <c r="B453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453" s="64" t="s">
        <v>79</v>
      </c>
      <c r="D453" s="64" t="s">
        <v>80</v>
      </c>
      <c r="E453" s="64" t="s">
        <v>81</v>
      </c>
      <c r="F453" s="64" t="s">
        <v>96</v>
      </c>
      <c r="G453" s="64" t="s">
        <v>92</v>
      </c>
      <c r="H453" s="65" t="str">
        <f>VLOOKUP(Tabla6[[#This Row],[DIRECCIÓN]],DIRECCIÓN[#All],2,0)</f>
        <v>ADMINISTRACIÓN CENTRAL</v>
      </c>
      <c r="I453" s="66" t="s">
        <v>632</v>
      </c>
      <c r="J453" s="67">
        <v>1</v>
      </c>
      <c r="K453" s="68" t="str">
        <f>VLOOKUP(Tabla6[[#This Row],[DIRECCIÓN GENERAL / COORDINACIÓN / SUBDIRECCIÓN]],Tabla37[[#All],[Columna1]:[EOD]],2,0)</f>
        <v>266_0003</v>
      </c>
      <c r="L453" s="69">
        <f>VLOOKUP(Tabla6[[#This Row],[OBJETIVOS PND]],Listas!$A$1:$C$3,3,0)</f>
        <v>1</v>
      </c>
      <c r="M453" s="70">
        <f>VLOOKUP(Tabla6[[#This Row],[PG]],Listas2!$G$14:$K$16,5,0)</f>
        <v>0</v>
      </c>
      <c r="N453" s="71">
        <v>1</v>
      </c>
      <c r="O453" s="72">
        <v>1801</v>
      </c>
      <c r="P453" s="73" t="str">
        <f>VLOOKUP(Tabla6[[#This Row],[GEO]],Listas!$A$48:$B$77,2,0)</f>
        <v>AMBATO</v>
      </c>
      <c r="Q453" s="70">
        <f>VLOOKUP(Tabla6[[#This Row],[PG]],Listas2!$G$14:$K$16,3,0)</f>
        <v>1</v>
      </c>
      <c r="R453" s="73">
        <f>VLOOKUP(Tabla6[[#This Row],[PG]],Listas2!H119:'Listas2'!$G$14:$K$16,4,0)</f>
        <v>0</v>
      </c>
      <c r="S453" s="73">
        <f>VLOOKUP(Tabla6[[#This Row],[PG]],Listas2!$G$14:$K$16,2,0)</f>
        <v>0</v>
      </c>
      <c r="T453" s="66" t="s">
        <v>84</v>
      </c>
      <c r="U453" s="74">
        <v>53</v>
      </c>
      <c r="V453" s="66">
        <v>530209</v>
      </c>
      <c r="W453" s="63" t="str">
        <f>VLOOKUP(Tabla6[[#This Row],[ÍTEM PRESUPUESTARIO]],Tabla2[#All],2,0)</f>
        <v>SERVICIOS DE ASEO, LAVADO DE VESTIMENTA DE TRABAJO, FUMIGACIÓN, DESINFECCIÓN, LIMPIEZA DE INSTALACIONES, MANEJO DE DESECHOS CONTAMINADOS, RECUPERACIÓN Y CLASIFICACIÓN DE MATERIALES RECICLABLES</v>
      </c>
      <c r="X453" s="57">
        <v>1775</v>
      </c>
      <c r="Y453" s="57">
        <f>1775+0.04</f>
        <v>1775.04</v>
      </c>
      <c r="Z453" s="58">
        <v>1775.04</v>
      </c>
      <c r="AA453" s="58">
        <v>0</v>
      </c>
      <c r="AB453" s="58">
        <v>0</v>
      </c>
      <c r="AC453" s="58">
        <v>0</v>
      </c>
      <c r="AD453" s="58">
        <v>0</v>
      </c>
      <c r="AE453" s="58">
        <v>0</v>
      </c>
      <c r="AF453" s="58">
        <v>0</v>
      </c>
      <c r="AG453" s="58">
        <v>0</v>
      </c>
      <c r="AH453" s="58">
        <v>0</v>
      </c>
      <c r="AI453" s="58">
        <v>0</v>
      </c>
      <c r="AJ453" s="58">
        <v>0</v>
      </c>
      <c r="AK453" s="58">
        <v>0</v>
      </c>
      <c r="AL453" s="75">
        <f>+SUBTOTAL(9,Tabla6[[#This Row],[ENE]:[DIC]])</f>
        <v>1775.04</v>
      </c>
      <c r="AM453" s="76" t="str">
        <f t="shared" si="9"/>
        <v>OK</v>
      </c>
      <c r="AN453" s="60">
        <v>1775.04</v>
      </c>
      <c r="AO453" s="61">
        <f>+Tabla6[[#This Row],[PRESUPUESTO VIGENTE]]-Tabla6[[#This Row],[CERTIFICACIÓN PAPP]]</f>
        <v>0</v>
      </c>
      <c r="AP453" s="59">
        <v>0</v>
      </c>
    </row>
    <row r="454" spans="1:42" ht="93" customHeight="1" x14ac:dyDescent="0.25">
      <c r="A454" s="62" t="s">
        <v>78</v>
      </c>
      <c r="B454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454" s="64" t="s">
        <v>79</v>
      </c>
      <c r="D454" s="64" t="s">
        <v>80</v>
      </c>
      <c r="E454" s="64" t="s">
        <v>81</v>
      </c>
      <c r="F454" s="64" t="s">
        <v>96</v>
      </c>
      <c r="G454" s="64" t="s">
        <v>92</v>
      </c>
      <c r="H454" s="65" t="str">
        <f>VLOOKUP(Tabla6[[#This Row],[DIRECCIÓN]],DIRECCIÓN[#All],2,0)</f>
        <v>ADMINISTRACIÓN CENTRAL</v>
      </c>
      <c r="I454" s="66" t="s">
        <v>633</v>
      </c>
      <c r="J454" s="67">
        <v>1</v>
      </c>
      <c r="K454" s="68" t="str">
        <f>VLOOKUP(Tabla6[[#This Row],[DIRECCIÓN GENERAL / COORDINACIÓN / SUBDIRECCIÓN]],Tabla37[[#All],[Columna1]:[EOD]],2,0)</f>
        <v>266_0003</v>
      </c>
      <c r="L454" s="69">
        <f>VLOOKUP(Tabla6[[#This Row],[OBJETIVOS PND]],Listas!$A$1:$C$3,3,0)</f>
        <v>1</v>
      </c>
      <c r="M454" s="70">
        <f>VLOOKUP(Tabla6[[#This Row],[PG]],Listas2!$G$14:$K$16,5,0)</f>
        <v>0</v>
      </c>
      <c r="N454" s="71">
        <v>1</v>
      </c>
      <c r="O454" s="72">
        <v>1801</v>
      </c>
      <c r="P454" s="73" t="str">
        <f>VLOOKUP(Tabla6[[#This Row],[GEO]],Listas!$A$48:$B$77,2,0)</f>
        <v>AMBATO</v>
      </c>
      <c r="Q454" s="70">
        <f>VLOOKUP(Tabla6[[#This Row],[PG]],Listas2!$G$14:$K$16,3,0)</f>
        <v>1</v>
      </c>
      <c r="R454" s="73">
        <f>VLOOKUP(Tabla6[[#This Row],[PG]],Listas2!H120:'Listas2'!$G$14:$K$16,4,0)</f>
        <v>0</v>
      </c>
      <c r="S454" s="73">
        <f>VLOOKUP(Tabla6[[#This Row],[PG]],Listas2!$G$14:$K$16,2,0)</f>
        <v>0</v>
      </c>
      <c r="T454" s="66" t="s">
        <v>84</v>
      </c>
      <c r="U454" s="74">
        <v>53</v>
      </c>
      <c r="V454" s="66">
        <v>530209</v>
      </c>
      <c r="W454" s="63" t="str">
        <f>VLOOKUP(Tabla6[[#This Row],[ÍTEM PRESUPUESTARIO]],Tabla2[#All],2,0)</f>
        <v>SERVICIOS DE ASEO, LAVADO DE VESTIMENTA DE TRABAJO, FUMIGACIÓN, DESINFECCIÓN, LIMPIEZA DE INSTALACIONES, MANEJO DE DESECHOS CONTAMINADOS, RECUPERACIÓN Y CLASIFICACIÓN DE MATERIALES RECICLABLES</v>
      </c>
      <c r="X454" s="57">
        <v>53838</v>
      </c>
      <c r="Y454" s="57">
        <f>53838+1890-1161-1160.99</f>
        <v>53406.01</v>
      </c>
      <c r="Z454" s="58">
        <v>0</v>
      </c>
      <c r="AA454" s="58">
        <v>4855.09</v>
      </c>
      <c r="AB454" s="58">
        <v>4855.09</v>
      </c>
      <c r="AC454" s="58">
        <v>4855.09</v>
      </c>
      <c r="AD454" s="58">
        <v>4855.09</v>
      </c>
      <c r="AE454" s="58">
        <v>4855.09</v>
      </c>
      <c r="AF454" s="58">
        <v>4855.09</v>
      </c>
      <c r="AG454" s="58">
        <v>4855.09</v>
      </c>
      <c r="AH454" s="58">
        <v>4855.09</v>
      </c>
      <c r="AI454" s="58">
        <v>4855.09</v>
      </c>
      <c r="AJ454" s="58">
        <v>4855.09</v>
      </c>
      <c r="AK454" s="58">
        <v>4855.1099999999997</v>
      </c>
      <c r="AL454" s="75">
        <f>+SUBTOTAL(9,Tabla6[[#This Row],[ENE]:[DIC]])</f>
        <v>53406.009999999995</v>
      </c>
      <c r="AM454" s="76" t="str">
        <f t="shared" si="9"/>
        <v>OK</v>
      </c>
      <c r="AN454" s="60">
        <v>53406.01</v>
      </c>
      <c r="AO454" s="61">
        <f>+Tabla6[[#This Row],[PRESUPUESTO VIGENTE]]-Tabla6[[#This Row],[CERTIFICACIÓN PAPP]]</f>
        <v>0</v>
      </c>
      <c r="AP454" s="59">
        <v>0</v>
      </c>
    </row>
    <row r="455" spans="1:42" ht="93" customHeight="1" x14ac:dyDescent="0.25">
      <c r="A455" s="62" t="s">
        <v>78</v>
      </c>
      <c r="B455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455" s="64" t="s">
        <v>79</v>
      </c>
      <c r="D455" s="64" t="s">
        <v>80</v>
      </c>
      <c r="E455" s="64" t="s">
        <v>81</v>
      </c>
      <c r="F455" s="64" t="s">
        <v>96</v>
      </c>
      <c r="G455" s="64" t="s">
        <v>92</v>
      </c>
      <c r="H455" s="65" t="str">
        <f>VLOOKUP(Tabla6[[#This Row],[DIRECCIÓN]],DIRECCIÓN[#All],2,0)</f>
        <v>ADMINISTRACIÓN CENTRAL</v>
      </c>
      <c r="I455" s="66" t="s">
        <v>634</v>
      </c>
      <c r="J455" s="67">
        <v>1</v>
      </c>
      <c r="K455" s="68" t="str">
        <f>VLOOKUP(Tabla6[[#This Row],[DIRECCIÓN GENERAL / COORDINACIÓN / SUBDIRECCIÓN]],Tabla37[[#All],[Columna1]:[EOD]],2,0)</f>
        <v>266_0003</v>
      </c>
      <c r="L455" s="69">
        <f>VLOOKUP(Tabla6[[#This Row],[OBJETIVOS PND]],Listas!$A$1:$C$3,3,0)</f>
        <v>1</v>
      </c>
      <c r="M455" s="70">
        <f>VLOOKUP(Tabla6[[#This Row],[PG]],Listas2!$G$14:$K$16,5,0)</f>
        <v>0</v>
      </c>
      <c r="N455" s="71">
        <v>1</v>
      </c>
      <c r="O455" s="72">
        <v>1801</v>
      </c>
      <c r="P455" s="73" t="str">
        <f>VLOOKUP(Tabla6[[#This Row],[GEO]],Listas!$A$48:$B$77,2,0)</f>
        <v>AMBATO</v>
      </c>
      <c r="Q455" s="70">
        <f>VLOOKUP(Tabla6[[#This Row],[PG]],Listas2!$G$14:$K$16,3,0)</f>
        <v>1</v>
      </c>
      <c r="R455" s="73">
        <f>VLOOKUP(Tabla6[[#This Row],[PG]],Listas2!H121:'Listas2'!$G$14:$K$16,4,0)</f>
        <v>0</v>
      </c>
      <c r="S455" s="73">
        <f>VLOOKUP(Tabla6[[#This Row],[PG]],Listas2!$G$14:$K$16,2,0)</f>
        <v>0</v>
      </c>
      <c r="T455" s="66" t="s">
        <v>84</v>
      </c>
      <c r="U455" s="74">
        <v>53</v>
      </c>
      <c r="V455" s="66">
        <v>530209</v>
      </c>
      <c r="W455" s="63" t="str">
        <f>VLOOKUP(Tabla6[[#This Row],[ÍTEM PRESUPUESTARIO]],Tabla2[#All],2,0)</f>
        <v>SERVICIOS DE ASEO, LAVADO DE VESTIMENTA DE TRABAJO, FUMIGACIÓN, DESINFECCIÓN, LIMPIEZA DE INSTALACIONES, MANEJO DE DESECHOS CONTAMINADOS, RECUPERACIÓN Y CLASIFICACIÓN DE MATERIALES RECICLABLES</v>
      </c>
      <c r="X455" s="57">
        <v>40139</v>
      </c>
      <c r="Y455" s="57">
        <f>40139-40139</f>
        <v>0</v>
      </c>
      <c r="Z455" s="58">
        <v>0</v>
      </c>
      <c r="AA455" s="58">
        <v>0</v>
      </c>
      <c r="AB455" s="58">
        <v>0</v>
      </c>
      <c r="AC455" s="58">
        <v>0</v>
      </c>
      <c r="AD455" s="58">
        <v>0</v>
      </c>
      <c r="AE455" s="58">
        <v>0</v>
      </c>
      <c r="AF455" s="58">
        <v>0</v>
      </c>
      <c r="AG455" s="58">
        <v>0</v>
      </c>
      <c r="AH455" s="58">
        <v>0</v>
      </c>
      <c r="AI455" s="58">
        <v>0</v>
      </c>
      <c r="AJ455" s="58">
        <v>0</v>
      </c>
      <c r="AK455" s="58">
        <v>0</v>
      </c>
      <c r="AL455" s="75">
        <f>+SUBTOTAL(9,Tabla6[[#This Row],[ENE]:[DIC]])</f>
        <v>0</v>
      </c>
      <c r="AM455" s="76" t="str">
        <f t="shared" si="9"/>
        <v>OK</v>
      </c>
      <c r="AN455" s="60">
        <v>0</v>
      </c>
      <c r="AO455" s="61">
        <f>+Tabla6[[#This Row],[PRESUPUESTO VIGENTE]]-Tabla6[[#This Row],[CERTIFICACIÓN PAPP]]</f>
        <v>0</v>
      </c>
      <c r="AP455" s="59">
        <v>0</v>
      </c>
    </row>
    <row r="456" spans="1:42" ht="93" customHeight="1" x14ac:dyDescent="0.25">
      <c r="A456" s="62" t="s">
        <v>78</v>
      </c>
      <c r="B456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456" s="64" t="s">
        <v>79</v>
      </c>
      <c r="D456" s="64" t="s">
        <v>80</v>
      </c>
      <c r="E456" s="64" t="s">
        <v>81</v>
      </c>
      <c r="F456" s="64" t="s">
        <v>96</v>
      </c>
      <c r="G456" s="64" t="s">
        <v>92</v>
      </c>
      <c r="H456" s="65" t="str">
        <f>VLOOKUP(Tabla6[[#This Row],[DIRECCIÓN]],DIRECCIÓN[#All],2,0)</f>
        <v>ADMINISTRACIÓN CENTRAL</v>
      </c>
      <c r="I456" s="66" t="s">
        <v>656</v>
      </c>
      <c r="J456" s="67">
        <v>1</v>
      </c>
      <c r="K456" s="68" t="str">
        <f>VLOOKUP(Tabla6[[#This Row],[DIRECCIÓN GENERAL / COORDINACIÓN / SUBDIRECCIÓN]],Tabla37[[#All],[Columna1]:[EOD]],2,0)</f>
        <v>266_0003</v>
      </c>
      <c r="L456" s="69">
        <f>VLOOKUP(Tabla6[[#This Row],[OBJETIVOS PND]],Listas!$A$1:$C$3,3,0)</f>
        <v>1</v>
      </c>
      <c r="M456" s="70">
        <f>VLOOKUP(Tabla6[[#This Row],[PG]],Listas2!$G$14:$K$16,5,0)</f>
        <v>0</v>
      </c>
      <c r="N456" s="71">
        <v>1</v>
      </c>
      <c r="O456" s="72">
        <v>1801</v>
      </c>
      <c r="P456" s="73" t="str">
        <f>VLOOKUP(Tabla6[[#This Row],[GEO]],Listas!$A$48:$B$77,2,0)</f>
        <v>AMBATO</v>
      </c>
      <c r="Q456" s="70">
        <f>VLOOKUP(Tabla6[[#This Row],[PG]],Listas2!$G$14:$K$16,3,0)</f>
        <v>1</v>
      </c>
      <c r="R456" s="73">
        <f>VLOOKUP(Tabla6[[#This Row],[PG]],Listas2!H122:'Listas2'!$G$14:$K$16,4,0)</f>
        <v>0</v>
      </c>
      <c r="S456" s="73">
        <f>VLOOKUP(Tabla6[[#This Row],[PG]],Listas2!$G$14:$K$16,2,0)</f>
        <v>0</v>
      </c>
      <c r="T456" s="66" t="s">
        <v>84</v>
      </c>
      <c r="U456" s="74">
        <v>53</v>
      </c>
      <c r="V456" s="66">
        <v>530210</v>
      </c>
      <c r="W456" s="63" t="str">
        <f>VLOOKUP(Tabla6[[#This Row],[ÍTEM PRESUPUESTARIO]],Tabla2[#All],2,0)</f>
        <v>SERVICIO DE GUARDERÍA</v>
      </c>
      <c r="X456" s="57">
        <v>0</v>
      </c>
      <c r="Y456" s="57">
        <f>372+1302-930</f>
        <v>744</v>
      </c>
      <c r="Z456" s="58">
        <v>0</v>
      </c>
      <c r="AA456" s="58">
        <v>0</v>
      </c>
      <c r="AB456" s="58">
        <v>0</v>
      </c>
      <c r="AC456" s="58">
        <v>0</v>
      </c>
      <c r="AD456" s="58">
        <v>0</v>
      </c>
      <c r="AE456" s="58">
        <v>0</v>
      </c>
      <c r="AF456" s="58">
        <v>0</v>
      </c>
      <c r="AG456" s="58">
        <v>0</v>
      </c>
      <c r="AH456" s="58">
        <v>0</v>
      </c>
      <c r="AI456" s="58">
        <v>0</v>
      </c>
      <c r="AJ456" s="58">
        <v>372</v>
      </c>
      <c r="AK456" s="58">
        <v>372</v>
      </c>
      <c r="AL456" s="75">
        <f>+SUBTOTAL(9,Tabla6[[#This Row],[ENE]:[DIC]])</f>
        <v>744</v>
      </c>
      <c r="AM456" s="76" t="str">
        <f t="shared" si="9"/>
        <v>OK</v>
      </c>
      <c r="AN456" s="60">
        <f>1674-930</f>
        <v>744</v>
      </c>
      <c r="AO456" s="61">
        <f>+Tabla6[[#This Row],[PRESUPUESTO VIGENTE]]-Tabla6[[#This Row],[CERTIFICACIÓN PAPP]]</f>
        <v>0</v>
      </c>
      <c r="AP456" s="59">
        <v>0</v>
      </c>
    </row>
    <row r="457" spans="1:42" ht="93" customHeight="1" x14ac:dyDescent="0.25">
      <c r="A457" s="62" t="s">
        <v>78</v>
      </c>
      <c r="B457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457" s="64" t="s">
        <v>79</v>
      </c>
      <c r="D457" s="64" t="s">
        <v>80</v>
      </c>
      <c r="E457" s="64" t="s">
        <v>81</v>
      </c>
      <c r="F457" s="64" t="s">
        <v>96</v>
      </c>
      <c r="G457" s="64" t="s">
        <v>92</v>
      </c>
      <c r="H457" s="65" t="str">
        <f>VLOOKUP(Tabla6[[#This Row],[DIRECCIÓN]],DIRECCIÓN[#All],2,0)</f>
        <v>ADMINISTRACIÓN CENTRAL</v>
      </c>
      <c r="I457" s="66" t="s">
        <v>97</v>
      </c>
      <c r="J457" s="67">
        <v>1</v>
      </c>
      <c r="K457" s="68" t="str">
        <f>VLOOKUP(Tabla6[[#This Row],[DIRECCIÓN GENERAL / COORDINACIÓN / SUBDIRECCIÓN]],Tabla37[[#All],[Columna1]:[EOD]],2,0)</f>
        <v>266_0003</v>
      </c>
      <c r="L457" s="69">
        <f>VLOOKUP(Tabla6[[#This Row],[OBJETIVOS PND]],Listas!$A$1:$C$3,3,0)</f>
        <v>1</v>
      </c>
      <c r="M457" s="70">
        <f>VLOOKUP(Tabla6[[#This Row],[PG]],Listas2!$G$14:$K$16,5,0)</f>
        <v>0</v>
      </c>
      <c r="N457" s="71">
        <v>1</v>
      </c>
      <c r="O457" s="72">
        <v>1801</v>
      </c>
      <c r="P457" s="73" t="str">
        <f>VLOOKUP(Tabla6[[#This Row],[GEO]],Listas!$A$48:$B$77,2,0)</f>
        <v>AMBATO</v>
      </c>
      <c r="Q457" s="70">
        <f>VLOOKUP(Tabla6[[#This Row],[PG]],Listas2!$G$14:$K$16,3,0)</f>
        <v>1</v>
      </c>
      <c r="R457" s="73">
        <f>VLOOKUP(Tabla6[[#This Row],[PG]],Listas2!H123:'Listas2'!$G$14:$K$16,4,0)</f>
        <v>0</v>
      </c>
      <c r="S457" s="73">
        <f>VLOOKUP(Tabla6[[#This Row],[PG]],Listas2!$G$14:$K$16,2,0)</f>
        <v>0</v>
      </c>
      <c r="T457" s="66" t="s">
        <v>84</v>
      </c>
      <c r="U457" s="74">
        <v>53</v>
      </c>
      <c r="V457" s="66">
        <v>530228</v>
      </c>
      <c r="W457" s="63" t="str">
        <f>VLOOKUP(Tabla6[[#This Row],[ÍTEM PRESUPUESTARIO]],Tabla2[#All],2,0)</f>
        <v>SERVICIOS DE PROVISIÓN DE DISPOSITIVOS ELECTRONICOS Y CERTIFICACION PARA REGISTRO DE FIRMAS DIGITALES</v>
      </c>
      <c r="X457" s="57">
        <v>0</v>
      </c>
      <c r="Y457" s="57">
        <v>30.24</v>
      </c>
      <c r="Z457" s="58">
        <v>0</v>
      </c>
      <c r="AA457" s="58">
        <v>0</v>
      </c>
      <c r="AB457" s="58">
        <v>0</v>
      </c>
      <c r="AC457" s="58">
        <v>0</v>
      </c>
      <c r="AD457" s="58">
        <v>0</v>
      </c>
      <c r="AE457" s="58">
        <v>0</v>
      </c>
      <c r="AF457" s="58">
        <v>0</v>
      </c>
      <c r="AG457" s="58">
        <v>0</v>
      </c>
      <c r="AH457" s="58">
        <v>30.24</v>
      </c>
      <c r="AI457" s="58">
        <v>0</v>
      </c>
      <c r="AJ457" s="58">
        <v>0</v>
      </c>
      <c r="AK457" s="58">
        <v>0</v>
      </c>
      <c r="AL457" s="75">
        <f>+SUBTOTAL(9,Tabla6[[#This Row],[ENE]:[DIC]])</f>
        <v>30.24</v>
      </c>
      <c r="AM457" s="76" t="str">
        <f t="shared" si="9"/>
        <v>OK</v>
      </c>
      <c r="AN457" s="60">
        <v>30.24</v>
      </c>
      <c r="AO457" s="61">
        <f>+Tabla6[[#This Row],[PRESUPUESTO VIGENTE]]-Tabla6[[#This Row],[CERTIFICACIÓN PAPP]]</f>
        <v>0</v>
      </c>
      <c r="AP457" s="59">
        <v>0</v>
      </c>
    </row>
    <row r="458" spans="1:42" ht="93" customHeight="1" x14ac:dyDescent="0.25">
      <c r="A458" s="62" t="s">
        <v>78</v>
      </c>
      <c r="B458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458" s="64" t="s">
        <v>79</v>
      </c>
      <c r="D458" s="64" t="s">
        <v>80</v>
      </c>
      <c r="E458" s="64" t="s">
        <v>81</v>
      </c>
      <c r="F458" s="64" t="s">
        <v>96</v>
      </c>
      <c r="G458" s="64" t="s">
        <v>92</v>
      </c>
      <c r="H458" s="65" t="str">
        <f>VLOOKUP(Tabla6[[#This Row],[DIRECCIÓN]],DIRECCIÓN[#All],2,0)</f>
        <v>ADMINISTRACIÓN CENTRAL</v>
      </c>
      <c r="I458" s="66" t="s">
        <v>636</v>
      </c>
      <c r="J458" s="67">
        <v>1</v>
      </c>
      <c r="K458" s="68" t="str">
        <f>VLOOKUP(Tabla6[[#This Row],[DIRECCIÓN GENERAL / COORDINACIÓN / SUBDIRECCIÓN]],Tabla37[[#All],[Columna1]:[EOD]],2,0)</f>
        <v>266_0003</v>
      </c>
      <c r="L458" s="69">
        <f>VLOOKUP(Tabla6[[#This Row],[OBJETIVOS PND]],Listas!$A$1:$C$3,3,0)</f>
        <v>1</v>
      </c>
      <c r="M458" s="70">
        <f>VLOOKUP(Tabla6[[#This Row],[PG]],Listas2!$G$14:$K$16,5,0)</f>
        <v>0</v>
      </c>
      <c r="N458" s="71">
        <v>1</v>
      </c>
      <c r="O458" s="72">
        <v>1801</v>
      </c>
      <c r="P458" s="73" t="str">
        <f>VLOOKUP(Tabla6[[#This Row],[GEO]],Listas!$A$48:$B$77,2,0)</f>
        <v>AMBATO</v>
      </c>
      <c r="Q458" s="70">
        <f>VLOOKUP(Tabla6[[#This Row],[PG]],Listas2!$G$14:$K$16,3,0)</f>
        <v>1</v>
      </c>
      <c r="R458" s="73">
        <f>VLOOKUP(Tabla6[[#This Row],[PG]],Listas2!H124:'Listas2'!$G$14:$K$16,4,0)</f>
        <v>0</v>
      </c>
      <c r="S458" s="73">
        <f>VLOOKUP(Tabla6[[#This Row],[PG]],Listas2!$G$14:$K$16,2,0)</f>
        <v>0</v>
      </c>
      <c r="T458" s="66" t="s">
        <v>84</v>
      </c>
      <c r="U458" s="74">
        <v>53</v>
      </c>
      <c r="V458" s="66">
        <v>530246</v>
      </c>
      <c r="W458" s="63" t="str">
        <f>VLOOKUP(Tabla6[[#This Row],[ÍTEM PRESUPUESTARIO]],Tabla2[#All],2,0)</f>
        <v>SERVICIOS DE IDENTIFICACIÓN, MARCACIÓN, AUTENTIFICACIÓN, RASTREO, MONITOREO, SEGUIMIENTO Y/O TRAZABILIDAD</v>
      </c>
      <c r="X458" s="57">
        <v>1440</v>
      </c>
      <c r="Y458" s="57">
        <f>1440-1140+0.01</f>
        <v>300.01</v>
      </c>
      <c r="Z458" s="58">
        <v>0</v>
      </c>
      <c r="AA458" s="58">
        <v>0</v>
      </c>
      <c r="AB458" s="58">
        <v>30</v>
      </c>
      <c r="AC458" s="58">
        <v>30</v>
      </c>
      <c r="AD458" s="58">
        <v>30</v>
      </c>
      <c r="AE458" s="58">
        <v>30</v>
      </c>
      <c r="AF458" s="58">
        <v>30</v>
      </c>
      <c r="AG458" s="58">
        <v>30</v>
      </c>
      <c r="AH458" s="58">
        <v>30</v>
      </c>
      <c r="AI458" s="58">
        <v>30</v>
      </c>
      <c r="AJ458" s="58">
        <v>30</v>
      </c>
      <c r="AK458" s="58">
        <v>30.01</v>
      </c>
      <c r="AL458" s="75">
        <f>+SUBTOTAL(9,Tabla6[[#This Row],[ENE]:[DIC]])</f>
        <v>300.01</v>
      </c>
      <c r="AM458" s="76" t="str">
        <f t="shared" si="9"/>
        <v>OK</v>
      </c>
      <c r="AN458" s="60">
        <v>300.01</v>
      </c>
      <c r="AO458" s="61">
        <f>+Tabla6[[#This Row],[PRESUPUESTO VIGENTE]]-Tabla6[[#This Row],[CERTIFICACIÓN PAPP]]</f>
        <v>0</v>
      </c>
      <c r="AP458" s="59">
        <v>0</v>
      </c>
    </row>
    <row r="459" spans="1:42" ht="93" customHeight="1" x14ac:dyDescent="0.25">
      <c r="A459" s="62" t="s">
        <v>78</v>
      </c>
      <c r="B459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459" s="64" t="s">
        <v>79</v>
      </c>
      <c r="D459" s="64" t="s">
        <v>80</v>
      </c>
      <c r="E459" s="64" t="s">
        <v>81</v>
      </c>
      <c r="F459" s="64" t="s">
        <v>96</v>
      </c>
      <c r="G459" s="64" t="s">
        <v>92</v>
      </c>
      <c r="H459" s="65" t="str">
        <f>VLOOKUP(Tabla6[[#This Row],[DIRECCIÓN]],DIRECCIÓN[#All],2,0)</f>
        <v>ADMINISTRACIÓN CENTRAL</v>
      </c>
      <c r="I459" s="66" t="s">
        <v>627</v>
      </c>
      <c r="J459" s="67">
        <v>1</v>
      </c>
      <c r="K459" s="68" t="str">
        <f>VLOOKUP(Tabla6[[#This Row],[DIRECCIÓN GENERAL / COORDINACIÓN / SUBDIRECCIÓN]],Tabla37[[#All],[Columna1]:[EOD]],2,0)</f>
        <v>266_0003</v>
      </c>
      <c r="L459" s="69">
        <f>VLOOKUP(Tabla6[[#This Row],[OBJETIVOS PND]],Listas!$A$1:$C$3,3,0)</f>
        <v>1</v>
      </c>
      <c r="M459" s="70">
        <f>VLOOKUP(Tabla6[[#This Row],[PG]],Listas2!$G$14:$K$16,5,0)</f>
        <v>0</v>
      </c>
      <c r="N459" s="71">
        <v>1</v>
      </c>
      <c r="O459" s="72">
        <v>1801</v>
      </c>
      <c r="P459" s="73" t="str">
        <f>VLOOKUP(Tabla6[[#This Row],[GEO]],Listas!$A$48:$B$77,2,0)</f>
        <v>AMBATO</v>
      </c>
      <c r="Q459" s="70">
        <f>VLOOKUP(Tabla6[[#This Row],[PG]],Listas2!$G$14:$K$16,3,0)</f>
        <v>1</v>
      </c>
      <c r="R459" s="73">
        <f>VLOOKUP(Tabla6[[#This Row],[PG]],Listas2!H125:'Listas2'!$G$14:$K$16,4,0)</f>
        <v>0</v>
      </c>
      <c r="S459" s="73">
        <f>VLOOKUP(Tabla6[[#This Row],[PG]],Listas2!$G$14:$K$16,2,0)</f>
        <v>0</v>
      </c>
      <c r="T459" s="66" t="s">
        <v>84</v>
      </c>
      <c r="U459" s="74">
        <v>53</v>
      </c>
      <c r="V459" s="66">
        <v>530255</v>
      </c>
      <c r="W459" s="63" t="str">
        <f>VLOOKUP(Tabla6[[#This Row],[ÍTEM PRESUPUESTARIO]],Tabla2[#All],2,0)</f>
        <v>COMBUSTIBLES</v>
      </c>
      <c r="X459" s="57">
        <v>0</v>
      </c>
      <c r="Y459" s="57">
        <v>200</v>
      </c>
      <c r="Z459" s="58">
        <v>0</v>
      </c>
      <c r="AA459" s="58">
        <v>0</v>
      </c>
      <c r="AB459" s="58">
        <v>20</v>
      </c>
      <c r="AC459" s="58">
        <v>20</v>
      </c>
      <c r="AD459" s="58">
        <v>20</v>
      </c>
      <c r="AE459" s="58">
        <v>20</v>
      </c>
      <c r="AF459" s="58">
        <v>20</v>
      </c>
      <c r="AG459" s="58">
        <v>20</v>
      </c>
      <c r="AH459" s="58">
        <v>20</v>
      </c>
      <c r="AI459" s="58">
        <v>20</v>
      </c>
      <c r="AJ459" s="58">
        <v>0</v>
      </c>
      <c r="AK459" s="58">
        <v>40</v>
      </c>
      <c r="AL459" s="75">
        <f>+SUBTOTAL(9,Tabla6[[#This Row],[ENE]:[DIC]])</f>
        <v>200</v>
      </c>
      <c r="AM459" s="76" t="str">
        <f t="shared" si="9"/>
        <v>OK</v>
      </c>
      <c r="AN459" s="60">
        <v>200</v>
      </c>
      <c r="AO459" s="61">
        <f>+Tabla6[[#This Row],[PRESUPUESTO VIGENTE]]-Tabla6[[#This Row],[CERTIFICACIÓN PAPP]]</f>
        <v>0</v>
      </c>
      <c r="AP459" s="59">
        <v>0</v>
      </c>
    </row>
    <row r="460" spans="1:42" ht="93" customHeight="1" x14ac:dyDescent="0.25">
      <c r="A460" s="62" t="s">
        <v>78</v>
      </c>
      <c r="B460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460" s="64" t="s">
        <v>79</v>
      </c>
      <c r="D460" s="64" t="s">
        <v>80</v>
      </c>
      <c r="E460" s="64" t="s">
        <v>81</v>
      </c>
      <c r="F460" s="64" t="s">
        <v>96</v>
      </c>
      <c r="G460" s="64" t="s">
        <v>92</v>
      </c>
      <c r="H460" s="65" t="str">
        <f>VLOOKUP(Tabla6[[#This Row],[DIRECCIÓN]],DIRECCIÓN[#All],2,0)</f>
        <v>ADMINISTRACIÓN CENTRAL</v>
      </c>
      <c r="I460" s="66" t="s">
        <v>657</v>
      </c>
      <c r="J460" s="67">
        <v>1</v>
      </c>
      <c r="K460" s="68" t="str">
        <f>VLOOKUP(Tabla6[[#This Row],[DIRECCIÓN GENERAL / COORDINACIÓN / SUBDIRECCIÓN]],Tabla37[[#All],[Columna1]:[EOD]],2,0)</f>
        <v>266_0003</v>
      </c>
      <c r="L460" s="69">
        <f>VLOOKUP(Tabla6[[#This Row],[OBJETIVOS PND]],Listas!$A$1:$C$3,3,0)</f>
        <v>1</v>
      </c>
      <c r="M460" s="70">
        <f>VLOOKUP(Tabla6[[#This Row],[PG]],Listas2!$G$14:$K$16,5,0)</f>
        <v>0</v>
      </c>
      <c r="N460" s="71">
        <v>1</v>
      </c>
      <c r="O460" s="72">
        <v>1801</v>
      </c>
      <c r="P460" s="73" t="str">
        <f>VLOOKUP(Tabla6[[#This Row],[GEO]],Listas!$A$48:$B$77,2,0)</f>
        <v>AMBATO</v>
      </c>
      <c r="Q460" s="70">
        <f>VLOOKUP(Tabla6[[#This Row],[PG]],Listas2!$G$14:$K$16,3,0)</f>
        <v>1</v>
      </c>
      <c r="R460" s="73">
        <f>VLOOKUP(Tabla6[[#This Row],[PG]],Listas2!H126:'Listas2'!$G$14:$K$16,4,0)</f>
        <v>0</v>
      </c>
      <c r="S460" s="73">
        <f>VLOOKUP(Tabla6[[#This Row],[PG]],Listas2!$G$14:$K$16,2,0)</f>
        <v>0</v>
      </c>
      <c r="T460" s="66" t="s">
        <v>84</v>
      </c>
      <c r="U460" s="74">
        <v>53</v>
      </c>
      <c r="V460" s="66">
        <v>530255</v>
      </c>
      <c r="W460" s="63" t="str">
        <f>VLOOKUP(Tabla6[[#This Row],[ÍTEM PRESUPUESTARIO]],Tabla2[#All],2,0)</f>
        <v>COMBUSTIBLES</v>
      </c>
      <c r="X460" s="57">
        <v>0</v>
      </c>
      <c r="Y460" s="57">
        <v>1562.51</v>
      </c>
      <c r="Z460" s="58">
        <v>0</v>
      </c>
      <c r="AA460" s="58">
        <v>0</v>
      </c>
      <c r="AB460" s="58">
        <v>0</v>
      </c>
      <c r="AC460" s="58">
        <v>0</v>
      </c>
      <c r="AD460" s="58">
        <v>0</v>
      </c>
      <c r="AE460" s="58">
        <v>0</v>
      </c>
      <c r="AF460" s="58">
        <v>0</v>
      </c>
      <c r="AG460" s="58">
        <v>0</v>
      </c>
      <c r="AH460" s="58">
        <v>0</v>
      </c>
      <c r="AI460" s="58">
        <v>0</v>
      </c>
      <c r="AJ460" s="58">
        <v>1562.51</v>
      </c>
      <c r="AK460" s="58">
        <v>0</v>
      </c>
      <c r="AL460" s="75">
        <f>+SUBTOTAL(9,Tabla6[[#This Row],[ENE]:[DIC]])</f>
        <v>1562.51</v>
      </c>
      <c r="AM460" s="76" t="str">
        <f t="shared" si="9"/>
        <v>OK</v>
      </c>
      <c r="AN460" s="60">
        <f>1562.5+0.01</f>
        <v>1562.51</v>
      </c>
      <c r="AO460" s="61">
        <f>+Tabla6[[#This Row],[PRESUPUESTO VIGENTE]]-Tabla6[[#This Row],[CERTIFICACIÓN PAPP]]</f>
        <v>0</v>
      </c>
      <c r="AP460" s="59">
        <v>0</v>
      </c>
    </row>
    <row r="461" spans="1:42" ht="93" customHeight="1" x14ac:dyDescent="0.25">
      <c r="A461" s="62" t="s">
        <v>78</v>
      </c>
      <c r="B461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461" s="64" t="s">
        <v>79</v>
      </c>
      <c r="D461" s="64" t="s">
        <v>80</v>
      </c>
      <c r="E461" s="64" t="s">
        <v>81</v>
      </c>
      <c r="F461" s="64" t="s">
        <v>96</v>
      </c>
      <c r="G461" s="64" t="s">
        <v>92</v>
      </c>
      <c r="H461" s="65" t="str">
        <f>VLOOKUP(Tabla6[[#This Row],[DIRECCIÓN]],DIRECCIÓN[#All],2,0)</f>
        <v>ADMINISTRACIÓN CENTRAL</v>
      </c>
      <c r="I461" s="66" t="s">
        <v>637</v>
      </c>
      <c r="J461" s="67">
        <v>1</v>
      </c>
      <c r="K461" s="68" t="str">
        <f>VLOOKUP(Tabla6[[#This Row],[DIRECCIÓN GENERAL / COORDINACIÓN / SUBDIRECCIÓN]],Tabla37[[#All],[Columna1]:[EOD]],2,0)</f>
        <v>266_0003</v>
      </c>
      <c r="L461" s="69">
        <f>VLOOKUP(Tabla6[[#This Row],[OBJETIVOS PND]],Listas!$A$1:$C$3,3,0)</f>
        <v>1</v>
      </c>
      <c r="M461" s="70">
        <f>VLOOKUP(Tabla6[[#This Row],[PG]],Listas2!$G$14:$K$16,5,0)</f>
        <v>0</v>
      </c>
      <c r="N461" s="71">
        <v>1</v>
      </c>
      <c r="O461" s="72">
        <v>1801</v>
      </c>
      <c r="P461" s="73" t="str">
        <f>VLOOKUP(Tabla6[[#This Row],[GEO]],Listas!$A$48:$B$77,2,0)</f>
        <v>AMBATO</v>
      </c>
      <c r="Q461" s="70">
        <f>VLOOKUP(Tabla6[[#This Row],[PG]],Listas2!$G$14:$K$16,3,0)</f>
        <v>1</v>
      </c>
      <c r="R461" s="73">
        <f>VLOOKUP(Tabla6[[#This Row],[PG]],Listas2!H127:'Listas2'!$G$14:$K$16,4,0)</f>
        <v>0</v>
      </c>
      <c r="S461" s="73">
        <f>VLOOKUP(Tabla6[[#This Row],[PG]],Listas2!$G$14:$K$16,2,0)</f>
        <v>0</v>
      </c>
      <c r="T461" s="66" t="s">
        <v>84</v>
      </c>
      <c r="U461" s="74">
        <v>53</v>
      </c>
      <c r="V461" s="66">
        <v>530255</v>
      </c>
      <c r="W461" s="63" t="str">
        <f>VLOOKUP(Tabla6[[#This Row],[ÍTEM PRESUPUESTARIO]],Tabla2[#All],2,0)</f>
        <v>COMBUSTIBLES</v>
      </c>
      <c r="X461" s="57">
        <v>0</v>
      </c>
      <c r="Y461" s="57">
        <f>3589.29-1006.38-1174.64</f>
        <v>1408.2699999999998</v>
      </c>
      <c r="Z461" s="58">
        <v>0</v>
      </c>
      <c r="AA461" s="58">
        <v>128.02000000000001</v>
      </c>
      <c r="AB461" s="58">
        <v>128.02000000000001</v>
      </c>
      <c r="AC461" s="58">
        <v>128.02000000000001</v>
      </c>
      <c r="AD461" s="58">
        <v>128.02000000000001</v>
      </c>
      <c r="AE461" s="58">
        <v>128.02000000000001</v>
      </c>
      <c r="AF461" s="58">
        <v>128.02000000000001</v>
      </c>
      <c r="AG461" s="58">
        <v>128.02000000000001</v>
      </c>
      <c r="AH461" s="58">
        <v>128.02000000000001</v>
      </c>
      <c r="AI461" s="58">
        <v>128.02000000000001</v>
      </c>
      <c r="AJ461" s="58">
        <v>128.02000000000001</v>
      </c>
      <c r="AK461" s="58">
        <v>128.07</v>
      </c>
      <c r="AL461" s="75">
        <f>+SUBTOTAL(9,Tabla6[[#This Row],[ENE]:[DIC]])</f>
        <v>1408.27</v>
      </c>
      <c r="AM461" s="76" t="str">
        <f t="shared" si="9"/>
        <v>OK</v>
      </c>
      <c r="AN461" s="60">
        <f>2582.91-1174.64</f>
        <v>1408.2699999999998</v>
      </c>
      <c r="AO461" s="61">
        <f>+Tabla6[[#This Row],[PRESUPUESTO VIGENTE]]-Tabla6[[#This Row],[CERTIFICACIÓN PAPP]]</f>
        <v>0</v>
      </c>
      <c r="AP461" s="59">
        <v>0</v>
      </c>
    </row>
    <row r="462" spans="1:42" ht="93" customHeight="1" x14ac:dyDescent="0.25">
      <c r="A462" s="62" t="s">
        <v>78</v>
      </c>
      <c r="B462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462" s="64" t="s">
        <v>79</v>
      </c>
      <c r="D462" s="64" t="s">
        <v>80</v>
      </c>
      <c r="E462" s="64" t="s">
        <v>81</v>
      </c>
      <c r="F462" s="64" t="s">
        <v>96</v>
      </c>
      <c r="G462" s="64" t="s">
        <v>92</v>
      </c>
      <c r="H462" s="65" t="str">
        <f>VLOOKUP(Tabla6[[#This Row],[DIRECCIÓN]],DIRECCIÓN[#All],2,0)</f>
        <v>ADMINISTRACIÓN CENTRAL</v>
      </c>
      <c r="I462" s="66" t="s">
        <v>627</v>
      </c>
      <c r="J462" s="67">
        <v>1</v>
      </c>
      <c r="K462" s="68" t="str">
        <f>VLOOKUP(Tabla6[[#This Row],[DIRECCIÓN GENERAL / COORDINACIÓN / SUBDIRECCIÓN]],Tabla37[[#All],[Columna1]:[EOD]],2,0)</f>
        <v>266_0003</v>
      </c>
      <c r="L462" s="69">
        <f>VLOOKUP(Tabla6[[#This Row],[OBJETIVOS PND]],Listas!$A$1:$C$3,3,0)</f>
        <v>1</v>
      </c>
      <c r="M462" s="70">
        <f>VLOOKUP(Tabla6[[#This Row],[PG]],Listas2!$G$14:$K$16,5,0)</f>
        <v>0</v>
      </c>
      <c r="N462" s="71">
        <v>1</v>
      </c>
      <c r="O462" s="72">
        <v>1801</v>
      </c>
      <c r="P462" s="73" t="str">
        <f>VLOOKUP(Tabla6[[#This Row],[GEO]],Listas!$A$48:$B$77,2,0)</f>
        <v>AMBATO</v>
      </c>
      <c r="Q462" s="70">
        <f>VLOOKUP(Tabla6[[#This Row],[PG]],Listas2!$G$14:$K$16,3,0)</f>
        <v>1</v>
      </c>
      <c r="R462" s="73">
        <f>VLOOKUP(Tabla6[[#This Row],[PG]],Listas2!H128:'Listas2'!$G$14:$K$16,4,0)</f>
        <v>0</v>
      </c>
      <c r="S462" s="73">
        <f>VLOOKUP(Tabla6[[#This Row],[PG]],Listas2!$G$14:$K$16,2,0)</f>
        <v>0</v>
      </c>
      <c r="T462" s="66" t="s">
        <v>84</v>
      </c>
      <c r="U462" s="74">
        <v>53</v>
      </c>
      <c r="V462" s="66">
        <v>530301</v>
      </c>
      <c r="W462" s="63" t="str">
        <f>VLOOKUP(Tabla6[[#This Row],[ÍTEM PRESUPUESTARIO]],Tabla2[#All],2,0)</f>
        <v>PASAJES AL INTERIOR</v>
      </c>
      <c r="X462" s="57">
        <v>0</v>
      </c>
      <c r="Y462" s="57">
        <f>100+100-71.03</f>
        <v>128.97</v>
      </c>
      <c r="Z462" s="58">
        <v>0</v>
      </c>
      <c r="AA462" s="58">
        <v>0</v>
      </c>
      <c r="AB462" s="58">
        <v>10</v>
      </c>
      <c r="AC462" s="58">
        <v>10</v>
      </c>
      <c r="AD462" s="58">
        <v>10</v>
      </c>
      <c r="AE462" s="58">
        <v>10</v>
      </c>
      <c r="AF462" s="58">
        <v>26.67</v>
      </c>
      <c r="AG462" s="58">
        <v>26.67</v>
      </c>
      <c r="AH462" s="58">
        <v>26.67</v>
      </c>
      <c r="AI462" s="58">
        <v>8.9600000000000009</v>
      </c>
      <c r="AJ462" s="58">
        <v>0</v>
      </c>
      <c r="AK462" s="58">
        <v>0</v>
      </c>
      <c r="AL462" s="75">
        <f>+SUBTOTAL(9,Tabla6[[#This Row],[ENE]:[DIC]])</f>
        <v>128.97</v>
      </c>
      <c r="AM462" s="76" t="str">
        <f t="shared" si="9"/>
        <v>OK</v>
      </c>
      <c r="AN462" s="60">
        <f>100+100-71.03</f>
        <v>128.97</v>
      </c>
      <c r="AO462" s="61">
        <f>+Tabla6[[#This Row],[PRESUPUESTO VIGENTE]]-Tabla6[[#This Row],[CERTIFICACIÓN PAPP]]</f>
        <v>0</v>
      </c>
      <c r="AP462" s="59">
        <v>0</v>
      </c>
    </row>
    <row r="463" spans="1:42" ht="93" customHeight="1" x14ac:dyDescent="0.25">
      <c r="A463" s="62" t="s">
        <v>78</v>
      </c>
      <c r="B463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463" s="64" t="s">
        <v>79</v>
      </c>
      <c r="D463" s="64" t="s">
        <v>80</v>
      </c>
      <c r="E463" s="64" t="s">
        <v>81</v>
      </c>
      <c r="F463" s="64" t="s">
        <v>96</v>
      </c>
      <c r="G463" s="64" t="s">
        <v>92</v>
      </c>
      <c r="H463" s="65" t="str">
        <f>VLOOKUP(Tabla6[[#This Row],[DIRECCIÓN]],DIRECCIÓN[#All],2,0)</f>
        <v>ADMINISTRACIÓN CENTRAL</v>
      </c>
      <c r="I463" s="66" t="s">
        <v>627</v>
      </c>
      <c r="J463" s="67">
        <v>1</v>
      </c>
      <c r="K463" s="68" t="str">
        <f>VLOOKUP(Tabla6[[#This Row],[DIRECCIÓN GENERAL / COORDINACIÓN / SUBDIRECCIÓN]],Tabla37[[#All],[Columna1]:[EOD]],2,0)</f>
        <v>266_0003</v>
      </c>
      <c r="L463" s="69">
        <f>VLOOKUP(Tabla6[[#This Row],[OBJETIVOS PND]],Listas!$A$1:$C$3,3,0)</f>
        <v>1</v>
      </c>
      <c r="M463" s="70">
        <f>VLOOKUP(Tabla6[[#This Row],[PG]],Listas2!$G$14:$K$16,5,0)</f>
        <v>0</v>
      </c>
      <c r="N463" s="71">
        <v>1</v>
      </c>
      <c r="O463" s="72">
        <v>1801</v>
      </c>
      <c r="P463" s="73" t="str">
        <f>VLOOKUP(Tabla6[[#This Row],[GEO]],Listas!$A$48:$B$77,2,0)</f>
        <v>AMBATO</v>
      </c>
      <c r="Q463" s="70">
        <f>VLOOKUP(Tabla6[[#This Row],[PG]],Listas2!$G$14:$K$16,3,0)</f>
        <v>1</v>
      </c>
      <c r="R463" s="73">
        <f>VLOOKUP(Tabla6[[#This Row],[PG]],Listas2!H129:'Listas2'!$G$14:$K$16,4,0)</f>
        <v>0</v>
      </c>
      <c r="S463" s="73">
        <f>VLOOKUP(Tabla6[[#This Row],[PG]],Listas2!$G$14:$K$16,2,0)</f>
        <v>0</v>
      </c>
      <c r="T463" s="66" t="s">
        <v>84</v>
      </c>
      <c r="U463" s="74">
        <v>53</v>
      </c>
      <c r="V463" s="66">
        <v>530303</v>
      </c>
      <c r="W463" s="63" t="str">
        <f>VLOOKUP(Tabla6[[#This Row],[ÍTEM PRESUPUESTARIO]],Tabla2[#All],2,0)</f>
        <v>VIÁTICOS Y SUBSISTENCIAS EN EL INTERIOR</v>
      </c>
      <c r="X463" s="57">
        <v>0</v>
      </c>
      <c r="Y463" s="57">
        <f>4500+2000-995.5</f>
        <v>5504.5</v>
      </c>
      <c r="Z463" s="58">
        <v>0</v>
      </c>
      <c r="AA463" s="58">
        <v>0</v>
      </c>
      <c r="AB463" s="58">
        <v>450</v>
      </c>
      <c r="AC463" s="58">
        <v>450</v>
      </c>
      <c r="AD463" s="58">
        <v>450</v>
      </c>
      <c r="AE463" s="58">
        <v>450</v>
      </c>
      <c r="AF463" s="58">
        <v>783.33</v>
      </c>
      <c r="AG463" s="58">
        <v>783.33</v>
      </c>
      <c r="AH463" s="58">
        <v>783.33</v>
      </c>
      <c r="AI463" s="58">
        <v>783.33</v>
      </c>
      <c r="AJ463" s="58">
        <v>0</v>
      </c>
      <c r="AK463" s="58">
        <v>571.17999999999995</v>
      </c>
      <c r="AL463" s="75">
        <f>+SUBTOTAL(9,Tabla6[[#This Row],[ENE]:[DIC]])</f>
        <v>5504.5</v>
      </c>
      <c r="AM463" s="76" t="str">
        <f t="shared" si="9"/>
        <v>OK</v>
      </c>
      <c r="AN463" s="60">
        <f>4500+2000-995.5</f>
        <v>5504.5</v>
      </c>
      <c r="AO463" s="61">
        <f>+Tabla6[[#This Row],[PRESUPUESTO VIGENTE]]-Tabla6[[#This Row],[CERTIFICACIÓN PAPP]]</f>
        <v>0</v>
      </c>
      <c r="AP463" s="59">
        <v>0</v>
      </c>
    </row>
    <row r="464" spans="1:42" ht="93" customHeight="1" x14ac:dyDescent="0.25">
      <c r="A464" s="62" t="s">
        <v>78</v>
      </c>
      <c r="B464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464" s="64" t="s">
        <v>79</v>
      </c>
      <c r="D464" s="64" t="s">
        <v>80</v>
      </c>
      <c r="E464" s="64" t="s">
        <v>81</v>
      </c>
      <c r="F464" s="64" t="s">
        <v>96</v>
      </c>
      <c r="G464" s="64" t="s">
        <v>92</v>
      </c>
      <c r="H464" s="65" t="str">
        <f>VLOOKUP(Tabla6[[#This Row],[DIRECCIÓN]],DIRECCIÓN[#All],2,0)</f>
        <v>ADMINISTRACIÓN CENTRAL</v>
      </c>
      <c r="I464" s="66" t="s">
        <v>658</v>
      </c>
      <c r="J464" s="67">
        <v>1</v>
      </c>
      <c r="K464" s="68" t="str">
        <f>VLOOKUP(Tabla6[[#This Row],[DIRECCIÓN GENERAL / COORDINACIÓN / SUBDIRECCIÓN]],Tabla37[[#All],[Columna1]:[EOD]],2,0)</f>
        <v>266_0003</v>
      </c>
      <c r="L464" s="69">
        <f>VLOOKUP(Tabla6[[#This Row],[OBJETIVOS PND]],Listas!$A$1:$C$3,3,0)</f>
        <v>1</v>
      </c>
      <c r="M464" s="70">
        <f>VLOOKUP(Tabla6[[#This Row],[PG]],Listas2!$G$14:$K$16,5,0)</f>
        <v>0</v>
      </c>
      <c r="N464" s="71">
        <v>1</v>
      </c>
      <c r="O464" s="72">
        <v>1801</v>
      </c>
      <c r="P464" s="73" t="str">
        <f>VLOOKUP(Tabla6[[#This Row],[GEO]],Listas!$A$48:$B$77,2,0)</f>
        <v>AMBATO</v>
      </c>
      <c r="Q464" s="70">
        <f>VLOOKUP(Tabla6[[#This Row],[PG]],Listas2!$G$14:$K$16,3,0)</f>
        <v>1</v>
      </c>
      <c r="R464" s="73">
        <f>VLOOKUP(Tabla6[[#This Row],[PG]],Listas2!H130:'Listas2'!$G$14:$K$16,4,0)</f>
        <v>0</v>
      </c>
      <c r="S464" s="73">
        <f>VLOOKUP(Tabla6[[#This Row],[PG]],Listas2!$G$14:$K$16,2,0)</f>
        <v>0</v>
      </c>
      <c r="T464" s="66" t="s">
        <v>84</v>
      </c>
      <c r="U464" s="74">
        <v>53</v>
      </c>
      <c r="V464" s="66">
        <v>530402</v>
      </c>
      <c r="W464" s="63" t="str">
        <f>VLOOKUP(Tabla6[[#This Row],[ÍTEM PRESUPUESTARIO]],Tabla2[#All],2,0)</f>
        <v>EDIFICIOS, LOCALES, RESIDENCIAS Y CABLEADO ESTRUCTURADO (INSTALACIÓN, MANTENIMIENTO Y REPARACIÓN)</v>
      </c>
      <c r="X464" s="57">
        <v>0</v>
      </c>
      <c r="Y464" s="57">
        <f>136546.72-4000-12000-204.3-6628.81+515.94-89550.51-22457.33+6000-8221.71</f>
        <v>0</v>
      </c>
      <c r="Z464" s="58">
        <v>0</v>
      </c>
      <c r="AA464" s="58">
        <v>0</v>
      </c>
      <c r="AB464" s="58">
        <v>0</v>
      </c>
      <c r="AC464" s="58">
        <v>0</v>
      </c>
      <c r="AD464" s="58">
        <v>0</v>
      </c>
      <c r="AE464" s="58">
        <v>0</v>
      </c>
      <c r="AF464" s="58">
        <v>0</v>
      </c>
      <c r="AG464" s="58">
        <v>0</v>
      </c>
      <c r="AH464" s="58">
        <v>0</v>
      </c>
      <c r="AI464" s="58">
        <v>0</v>
      </c>
      <c r="AJ464" s="58">
        <v>0</v>
      </c>
      <c r="AK464" s="58">
        <v>0</v>
      </c>
      <c r="AL464" s="75">
        <f>+SUBTOTAL(9,Tabla6[[#This Row],[ENE]:[DIC]])</f>
        <v>0</v>
      </c>
      <c r="AM464" s="76" t="str">
        <f t="shared" si="9"/>
        <v>OK</v>
      </c>
      <c r="AN464" s="60">
        <v>0</v>
      </c>
      <c r="AO464" s="61">
        <f>+Tabla6[[#This Row],[PRESUPUESTO VIGENTE]]-Tabla6[[#This Row],[CERTIFICACIÓN PAPP]]</f>
        <v>0</v>
      </c>
      <c r="AP464" s="59" t="s">
        <v>87</v>
      </c>
    </row>
    <row r="465" spans="1:42" ht="93" customHeight="1" x14ac:dyDescent="0.25">
      <c r="A465" s="62" t="s">
        <v>78</v>
      </c>
      <c r="B465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465" s="64" t="s">
        <v>79</v>
      </c>
      <c r="D465" s="64" t="s">
        <v>80</v>
      </c>
      <c r="E465" s="64" t="s">
        <v>81</v>
      </c>
      <c r="F465" s="64" t="s">
        <v>96</v>
      </c>
      <c r="G465" s="64" t="s">
        <v>92</v>
      </c>
      <c r="H465" s="65" t="str">
        <f>VLOOKUP(Tabla6[[#This Row],[DIRECCIÓN]],DIRECCIÓN[#All],2,0)</f>
        <v>ADMINISTRACIÓN CENTRAL</v>
      </c>
      <c r="I465" s="66" t="s">
        <v>659</v>
      </c>
      <c r="J465" s="67">
        <v>2</v>
      </c>
      <c r="K465" s="68" t="str">
        <f>VLOOKUP(Tabla6[[#This Row],[DIRECCIÓN GENERAL / COORDINACIÓN / SUBDIRECCIÓN]],Tabla37[[#All],[Columna1]:[EOD]],2,0)</f>
        <v>266_0003</v>
      </c>
      <c r="L465" s="69">
        <f>VLOOKUP(Tabla6[[#This Row],[OBJETIVOS PND]],Listas!$A$1:$C$3,3,0)</f>
        <v>1</v>
      </c>
      <c r="M465" s="70">
        <f>VLOOKUP(Tabla6[[#This Row],[PG]],Listas2!$G$14:$K$16,5,0)</f>
        <v>0</v>
      </c>
      <c r="N465" s="71">
        <v>1</v>
      </c>
      <c r="O465" s="72">
        <v>1801</v>
      </c>
      <c r="P465" s="73" t="str">
        <f>VLOOKUP(Tabla6[[#This Row],[GEO]],Listas!$A$48:$B$77,2,0)</f>
        <v>AMBATO</v>
      </c>
      <c r="Q465" s="70">
        <f>VLOOKUP(Tabla6[[#This Row],[PG]],Listas2!$G$14:$K$16,3,0)</f>
        <v>1</v>
      </c>
      <c r="R465" s="73">
        <f>VLOOKUP(Tabla6[[#This Row],[PG]],Listas2!H131:'Listas2'!$G$14:$K$16,4,0)</f>
        <v>0</v>
      </c>
      <c r="S465" s="73">
        <f>VLOOKUP(Tabla6[[#This Row],[PG]],Listas2!$G$14:$K$16,2,0)</f>
        <v>0</v>
      </c>
      <c r="T465" s="66" t="s">
        <v>84</v>
      </c>
      <c r="U465" s="74">
        <v>53</v>
      </c>
      <c r="V465" s="66">
        <v>530402</v>
      </c>
      <c r="W465" s="63" t="str">
        <f>VLOOKUP(Tabla6[[#This Row],[ÍTEM PRESUPUESTARIO]],Tabla2[#All],2,0)</f>
        <v>EDIFICIOS, LOCALES, RESIDENCIAS Y CABLEADO ESTRUCTURADO (INSTALACIÓN, MANTENIMIENTO Y REPARACIÓN)</v>
      </c>
      <c r="X465" s="57">
        <v>0</v>
      </c>
      <c r="Y465" s="57">
        <f>4000-900-2584.06-515.94</f>
        <v>0</v>
      </c>
      <c r="Z465" s="58">
        <v>0</v>
      </c>
      <c r="AA465" s="58">
        <v>0</v>
      </c>
      <c r="AB465" s="58">
        <v>0</v>
      </c>
      <c r="AC465" s="58">
        <v>0</v>
      </c>
      <c r="AD465" s="58">
        <v>0</v>
      </c>
      <c r="AE465" s="58">
        <v>0</v>
      </c>
      <c r="AF465" s="58">
        <v>0</v>
      </c>
      <c r="AG465" s="58">
        <v>0</v>
      </c>
      <c r="AH465" s="58">
        <v>0</v>
      </c>
      <c r="AI465" s="58">
        <v>0</v>
      </c>
      <c r="AJ465" s="58">
        <v>0</v>
      </c>
      <c r="AK465" s="58">
        <v>0</v>
      </c>
      <c r="AL465" s="75">
        <f>+SUBTOTAL(9,Tabla6[[#This Row],[ENE]:[DIC]])</f>
        <v>0</v>
      </c>
      <c r="AM465" s="76" t="str">
        <f t="shared" si="9"/>
        <v>OK</v>
      </c>
      <c r="AN465" s="60">
        <v>0</v>
      </c>
      <c r="AO465" s="61">
        <f>+Tabla6[[#This Row],[PRESUPUESTO VIGENTE]]-Tabla6[[#This Row],[CERTIFICACIÓN PAPP]]</f>
        <v>0</v>
      </c>
      <c r="AP465" s="59">
        <v>0</v>
      </c>
    </row>
    <row r="466" spans="1:42" ht="93" customHeight="1" x14ac:dyDescent="0.25">
      <c r="A466" s="62" t="s">
        <v>78</v>
      </c>
      <c r="B466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466" s="64" t="s">
        <v>79</v>
      </c>
      <c r="D466" s="64" t="s">
        <v>80</v>
      </c>
      <c r="E466" s="64" t="s">
        <v>81</v>
      </c>
      <c r="F466" s="64" t="s">
        <v>96</v>
      </c>
      <c r="G466" s="64" t="s">
        <v>92</v>
      </c>
      <c r="H466" s="65" t="str">
        <f>VLOOKUP(Tabla6[[#This Row],[DIRECCIÓN]],DIRECCIÓN[#All],2,0)</f>
        <v>ADMINISTRACIÓN CENTRAL</v>
      </c>
      <c r="I466" s="66" t="s">
        <v>660</v>
      </c>
      <c r="J466" s="67">
        <v>1</v>
      </c>
      <c r="K466" s="68" t="str">
        <f>VLOOKUP(Tabla6[[#This Row],[DIRECCIÓN GENERAL / COORDINACIÓN / SUBDIRECCIÓN]],Tabla37[[#All],[Columna1]:[EOD]],2,0)</f>
        <v>266_0003</v>
      </c>
      <c r="L466" s="69">
        <f>VLOOKUP(Tabla6[[#This Row],[OBJETIVOS PND]],Listas!$A$1:$C$3,3,0)</f>
        <v>1</v>
      </c>
      <c r="M466" s="70">
        <f>VLOOKUP(Tabla6[[#This Row],[PG]],Listas2!$G$14:$K$16,5,0)</f>
        <v>0</v>
      </c>
      <c r="N466" s="71">
        <v>1</v>
      </c>
      <c r="O466" s="72">
        <v>1801</v>
      </c>
      <c r="P466" s="73" t="str">
        <f>VLOOKUP(Tabla6[[#This Row],[GEO]],Listas!$A$48:$B$77,2,0)</f>
        <v>AMBATO</v>
      </c>
      <c r="Q466" s="70">
        <f>VLOOKUP(Tabla6[[#This Row],[PG]],Listas2!$G$14:$K$16,3,0)</f>
        <v>1</v>
      </c>
      <c r="R466" s="73">
        <f>VLOOKUP(Tabla6[[#This Row],[PG]],Listas2!H132:'Listas2'!$G$14:$K$16,4,0)</f>
        <v>0</v>
      </c>
      <c r="S466" s="73">
        <f>VLOOKUP(Tabla6[[#This Row],[PG]],Listas2!$G$14:$K$16,2,0)</f>
        <v>0</v>
      </c>
      <c r="T466" s="66" t="s">
        <v>84</v>
      </c>
      <c r="U466" s="74">
        <v>53</v>
      </c>
      <c r="V466" s="66">
        <v>530402</v>
      </c>
      <c r="W466" s="63" t="str">
        <f>VLOOKUP(Tabla6[[#This Row],[ÍTEM PRESUPUESTARIO]],Tabla2[#All],2,0)</f>
        <v>EDIFICIOS, LOCALES, RESIDENCIAS Y CABLEADO ESTRUCTURADO (INSTALACIÓN, MANTENIMIENTO Y REPARACIÓN)</v>
      </c>
      <c r="X466" s="57">
        <v>0</v>
      </c>
      <c r="Y466" s="57">
        <v>349.8</v>
      </c>
      <c r="Z466" s="58">
        <v>0</v>
      </c>
      <c r="AA466" s="58">
        <v>0</v>
      </c>
      <c r="AB466" s="58">
        <v>0</v>
      </c>
      <c r="AC466" s="58">
        <v>0</v>
      </c>
      <c r="AD466" s="58">
        <v>0</v>
      </c>
      <c r="AE466" s="58">
        <v>0</v>
      </c>
      <c r="AF466" s="58">
        <v>0</v>
      </c>
      <c r="AG466" s="58">
        <v>349.8</v>
      </c>
      <c r="AH466" s="58">
        <v>0</v>
      </c>
      <c r="AI466" s="58">
        <v>0</v>
      </c>
      <c r="AJ466" s="58">
        <v>0</v>
      </c>
      <c r="AK466" s="58">
        <v>0</v>
      </c>
      <c r="AL466" s="75">
        <f>+SUBTOTAL(9,Tabla6[[#This Row],[ENE]:[DIC]])</f>
        <v>349.8</v>
      </c>
      <c r="AM466" s="76" t="str">
        <f t="shared" si="9"/>
        <v>OK</v>
      </c>
      <c r="AN466" s="60">
        <v>349.8</v>
      </c>
      <c r="AO466" s="61">
        <f>+Tabla6[[#This Row],[PRESUPUESTO VIGENTE]]-Tabla6[[#This Row],[CERTIFICACIÓN PAPP]]</f>
        <v>0</v>
      </c>
      <c r="AP466" s="59">
        <v>0</v>
      </c>
    </row>
    <row r="467" spans="1:42" ht="93" customHeight="1" x14ac:dyDescent="0.25">
      <c r="A467" s="62" t="s">
        <v>78</v>
      </c>
      <c r="B467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467" s="64" t="s">
        <v>79</v>
      </c>
      <c r="D467" s="64" t="s">
        <v>80</v>
      </c>
      <c r="E467" s="64" t="s">
        <v>81</v>
      </c>
      <c r="F467" s="64" t="s">
        <v>96</v>
      </c>
      <c r="G467" s="64" t="s">
        <v>92</v>
      </c>
      <c r="H467" s="65" t="str">
        <f>VLOOKUP(Tabla6[[#This Row],[DIRECCIÓN]],DIRECCIÓN[#All],2,0)</f>
        <v>ADMINISTRACIÓN CENTRAL</v>
      </c>
      <c r="I467" s="66" t="s">
        <v>661</v>
      </c>
      <c r="J467" s="67">
        <v>1</v>
      </c>
      <c r="K467" s="68" t="str">
        <f>VLOOKUP(Tabla6[[#This Row],[DIRECCIÓN GENERAL / COORDINACIÓN / SUBDIRECCIÓN]],Tabla37[[#All],[Columna1]:[EOD]],2,0)</f>
        <v>266_0003</v>
      </c>
      <c r="L467" s="69">
        <f>VLOOKUP(Tabla6[[#This Row],[OBJETIVOS PND]],Listas!$A$1:$C$3,3,0)</f>
        <v>1</v>
      </c>
      <c r="M467" s="70">
        <f>VLOOKUP(Tabla6[[#This Row],[PG]],Listas2!$G$14:$K$16,5,0)</f>
        <v>0</v>
      </c>
      <c r="N467" s="71">
        <v>1</v>
      </c>
      <c r="O467" s="72">
        <v>1801</v>
      </c>
      <c r="P467" s="73" t="str">
        <f>VLOOKUP(Tabla6[[#This Row],[GEO]],Listas!$A$48:$B$77,2,0)</f>
        <v>AMBATO</v>
      </c>
      <c r="Q467" s="70">
        <f>VLOOKUP(Tabla6[[#This Row],[PG]],Listas2!$G$14:$K$16,3,0)</f>
        <v>1</v>
      </c>
      <c r="R467" s="73">
        <f>VLOOKUP(Tabla6[[#This Row],[PG]],Listas2!H133:'Listas2'!$G$14:$K$16,4,0)</f>
        <v>0</v>
      </c>
      <c r="S467" s="73">
        <f>VLOOKUP(Tabla6[[#This Row],[PG]],Listas2!$G$14:$K$16,2,0)</f>
        <v>0</v>
      </c>
      <c r="T467" s="66" t="s">
        <v>84</v>
      </c>
      <c r="U467" s="74">
        <v>53</v>
      </c>
      <c r="V467" s="66">
        <v>530402</v>
      </c>
      <c r="W467" s="63" t="str">
        <f>VLOOKUP(Tabla6[[#This Row],[ÍTEM PRESUPUESTARIO]],Tabla2[#All],2,0)</f>
        <v>EDIFICIOS, LOCALES, RESIDENCIAS Y CABLEADO ESTRUCTURADO (INSTALACIÓN, MANTENIMIENTO Y REPARACIÓN)</v>
      </c>
      <c r="X467" s="57">
        <v>0</v>
      </c>
      <c r="Y467" s="57">
        <f>12000-6000-436.49-349.8-3615-30.24-784.23-784.24</f>
        <v>0</v>
      </c>
      <c r="Z467" s="58">
        <v>0</v>
      </c>
      <c r="AA467" s="58">
        <v>0</v>
      </c>
      <c r="AB467" s="58">
        <v>0</v>
      </c>
      <c r="AC467" s="58">
        <v>0</v>
      </c>
      <c r="AD467" s="58">
        <v>0</v>
      </c>
      <c r="AE467" s="58">
        <v>0</v>
      </c>
      <c r="AF467" s="58">
        <v>0</v>
      </c>
      <c r="AG467" s="58">
        <v>0</v>
      </c>
      <c r="AH467" s="58">
        <v>0</v>
      </c>
      <c r="AI467" s="58">
        <v>0</v>
      </c>
      <c r="AJ467" s="58">
        <v>0</v>
      </c>
      <c r="AK467" s="58">
        <v>0</v>
      </c>
      <c r="AL467" s="75">
        <f>+SUBTOTAL(9,Tabla6[[#This Row],[ENE]:[DIC]])</f>
        <v>0</v>
      </c>
      <c r="AM467" s="76" t="str">
        <f t="shared" si="9"/>
        <v>OK</v>
      </c>
      <c r="AN467" s="60">
        <v>0</v>
      </c>
      <c r="AO467" s="61">
        <f>+Tabla6[[#This Row],[PRESUPUESTO VIGENTE]]-Tabla6[[#This Row],[CERTIFICACIÓN PAPP]]</f>
        <v>0</v>
      </c>
      <c r="AP467" s="59" t="s">
        <v>87</v>
      </c>
    </row>
    <row r="468" spans="1:42" ht="93" customHeight="1" x14ac:dyDescent="0.25">
      <c r="A468" s="62" t="s">
        <v>78</v>
      </c>
      <c r="B468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468" s="64" t="s">
        <v>79</v>
      </c>
      <c r="D468" s="64" t="s">
        <v>80</v>
      </c>
      <c r="E468" s="64" t="s">
        <v>81</v>
      </c>
      <c r="F468" s="64" t="s">
        <v>96</v>
      </c>
      <c r="G468" s="64" t="s">
        <v>92</v>
      </c>
      <c r="H468" s="65" t="str">
        <f>VLOOKUP(Tabla6[[#This Row],[DIRECCIÓN]],DIRECCIÓN[#All],2,0)</f>
        <v>ADMINISTRACIÓN CENTRAL</v>
      </c>
      <c r="I468" s="66" t="s">
        <v>661</v>
      </c>
      <c r="J468" s="67">
        <v>1</v>
      </c>
      <c r="K468" s="68" t="str">
        <f>VLOOKUP(Tabla6[[#This Row],[DIRECCIÓN GENERAL / COORDINACIÓN / SUBDIRECCIÓN]],Tabla37[[#All],[Columna1]:[EOD]],2,0)</f>
        <v>266_0003</v>
      </c>
      <c r="L468" s="69">
        <f>VLOOKUP(Tabla6[[#This Row],[OBJETIVOS PND]],Listas!$A$1:$C$3,3,0)</f>
        <v>1</v>
      </c>
      <c r="M468" s="70">
        <f>VLOOKUP(Tabla6[[#This Row],[PG]],Listas2!$G$14:$K$16,5,0)</f>
        <v>0</v>
      </c>
      <c r="N468" s="71">
        <v>1</v>
      </c>
      <c r="O468" s="72">
        <v>1801</v>
      </c>
      <c r="P468" s="73" t="str">
        <f>VLOOKUP(Tabla6[[#This Row],[GEO]],Listas!$A$48:$B$77,2,0)</f>
        <v>AMBATO</v>
      </c>
      <c r="Q468" s="70">
        <f>VLOOKUP(Tabla6[[#This Row],[PG]],Listas2!$G$14:$K$16,3,0)</f>
        <v>1</v>
      </c>
      <c r="R468" s="73">
        <f>VLOOKUP(Tabla6[[#This Row],[PG]],Listas2!H134:'Listas2'!$G$14:$K$16,4,0)</f>
        <v>0</v>
      </c>
      <c r="S468" s="73">
        <f>VLOOKUP(Tabla6[[#This Row],[PG]],Listas2!$G$14:$K$16,2,0)</f>
        <v>0</v>
      </c>
      <c r="T468" s="66" t="s">
        <v>84</v>
      </c>
      <c r="U468" s="74">
        <v>53</v>
      </c>
      <c r="V468" s="66">
        <v>530404</v>
      </c>
      <c r="W468" s="63" t="str">
        <f>VLOOKUP(Tabla6[[#This Row],[ÍTEM PRESUPUESTARIO]],Tabla2[#All],2,0)</f>
        <v>MAQUINARIAS Y EQUIPOS (INSTALACIÓN, MANTENIMIENTO Y REPARACIÓN)</v>
      </c>
      <c r="X468" s="57">
        <v>0</v>
      </c>
      <c r="Y468" s="57">
        <v>3140</v>
      </c>
      <c r="Z468" s="58">
        <v>0</v>
      </c>
      <c r="AA468" s="58">
        <v>0</v>
      </c>
      <c r="AB468" s="58">
        <v>0</v>
      </c>
      <c r="AC468" s="58">
        <v>0</v>
      </c>
      <c r="AD468" s="58">
        <v>0</v>
      </c>
      <c r="AE468" s="58">
        <v>0</v>
      </c>
      <c r="AF468" s="58">
        <v>0</v>
      </c>
      <c r="AG468" s="58">
        <v>0</v>
      </c>
      <c r="AH468" s="58">
        <v>0</v>
      </c>
      <c r="AI468" s="58">
        <v>0</v>
      </c>
      <c r="AJ468" s="58">
        <v>3140</v>
      </c>
      <c r="AK468" s="58">
        <v>0</v>
      </c>
      <c r="AL468" s="75">
        <f>+SUBTOTAL(9,Tabla6[[#This Row],[ENE]:[DIC]])</f>
        <v>3140</v>
      </c>
      <c r="AM468" s="76" t="str">
        <f t="shared" si="9"/>
        <v>OK</v>
      </c>
      <c r="AN468" s="60">
        <v>3140</v>
      </c>
      <c r="AO468" s="61">
        <f>+Tabla6[[#This Row],[PRESUPUESTO VIGENTE]]-Tabla6[[#This Row],[CERTIFICACIÓN PAPP]]</f>
        <v>0</v>
      </c>
      <c r="AP468" s="59">
        <v>0</v>
      </c>
    </row>
    <row r="469" spans="1:42" ht="93" customHeight="1" x14ac:dyDescent="0.25">
      <c r="A469" s="62" t="s">
        <v>78</v>
      </c>
      <c r="B469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469" s="64" t="s">
        <v>79</v>
      </c>
      <c r="D469" s="64" t="s">
        <v>80</v>
      </c>
      <c r="E469" s="64" t="s">
        <v>81</v>
      </c>
      <c r="F469" s="64" t="s">
        <v>96</v>
      </c>
      <c r="G469" s="64" t="s">
        <v>92</v>
      </c>
      <c r="H469" s="65" t="str">
        <f>VLOOKUP(Tabla6[[#This Row],[DIRECCIÓN]],DIRECCIÓN[#All],2,0)</f>
        <v>ADMINISTRACIÓN CENTRAL</v>
      </c>
      <c r="I469" s="66" t="s">
        <v>640</v>
      </c>
      <c r="J469" s="67">
        <v>1</v>
      </c>
      <c r="K469" s="68" t="str">
        <f>VLOOKUP(Tabla6[[#This Row],[DIRECCIÓN GENERAL / COORDINACIÓN / SUBDIRECCIÓN]],Tabla37[[#All],[Columna1]:[EOD]],2,0)</f>
        <v>266_0003</v>
      </c>
      <c r="L469" s="69">
        <f>VLOOKUP(Tabla6[[#This Row],[OBJETIVOS PND]],Listas!$A$1:$C$3,3,0)</f>
        <v>1</v>
      </c>
      <c r="M469" s="70">
        <f>VLOOKUP(Tabla6[[#This Row],[PG]],Listas2!$G$14:$K$16,5,0)</f>
        <v>0</v>
      </c>
      <c r="N469" s="71">
        <v>1</v>
      </c>
      <c r="O469" s="72">
        <v>1801</v>
      </c>
      <c r="P469" s="73" t="str">
        <f>VLOOKUP(Tabla6[[#This Row],[GEO]],Listas!$A$48:$B$77,2,0)</f>
        <v>AMBATO</v>
      </c>
      <c r="Q469" s="70">
        <f>VLOOKUP(Tabla6[[#This Row],[PG]],Listas2!$G$14:$K$16,3,0)</f>
        <v>1</v>
      </c>
      <c r="R469" s="73">
        <f>VLOOKUP(Tabla6[[#This Row],[PG]],Listas2!H135:'Listas2'!$G$14:$K$16,4,0)</f>
        <v>0</v>
      </c>
      <c r="S469" s="73">
        <f>VLOOKUP(Tabla6[[#This Row],[PG]],Listas2!$G$14:$K$16,2,0)</f>
        <v>0</v>
      </c>
      <c r="T469" s="66" t="s">
        <v>84</v>
      </c>
      <c r="U469" s="74">
        <v>53</v>
      </c>
      <c r="V469" s="66">
        <v>530404</v>
      </c>
      <c r="W469" s="63" t="str">
        <f>VLOOKUP(Tabla6[[#This Row],[ÍTEM PRESUPUESTARIO]],Tabla2[#All],2,0)</f>
        <v>MAQUINARIAS Y EQUIPOS (INSTALACIÓN, MANTENIMIENTO Y REPARACIÓN)</v>
      </c>
      <c r="X469" s="57">
        <v>3000</v>
      </c>
      <c r="Y469" s="57">
        <f>3000-107.16+0.01</f>
        <v>2892.8500000000004</v>
      </c>
      <c r="Z469" s="58">
        <v>0</v>
      </c>
      <c r="AA469" s="58">
        <v>241.07</v>
      </c>
      <c r="AB469" s="58">
        <v>241.07</v>
      </c>
      <c r="AC469" s="58">
        <v>241.07</v>
      </c>
      <c r="AD469" s="58">
        <v>241.07</v>
      </c>
      <c r="AE469" s="58">
        <v>241.07</v>
      </c>
      <c r="AF469" s="58">
        <v>241.07</v>
      </c>
      <c r="AG469" s="58">
        <v>241.07</v>
      </c>
      <c r="AH469" s="58">
        <v>241.07</v>
      </c>
      <c r="AI469" s="58">
        <v>241.07</v>
      </c>
      <c r="AJ469" s="58">
        <v>241.07</v>
      </c>
      <c r="AK469" s="58">
        <v>482.15</v>
      </c>
      <c r="AL469" s="75">
        <f>+SUBTOTAL(9,Tabla6[[#This Row],[ENE]:[DIC]])</f>
        <v>2892.85</v>
      </c>
      <c r="AM469" s="76" t="str">
        <f t="shared" si="9"/>
        <v>OK</v>
      </c>
      <c r="AN469" s="60">
        <f>2892.84+0.01</f>
        <v>2892.8500000000004</v>
      </c>
      <c r="AO469" s="61">
        <f>+Tabla6[[#This Row],[PRESUPUESTO VIGENTE]]-Tabla6[[#This Row],[CERTIFICACIÓN PAPP]]</f>
        <v>0</v>
      </c>
      <c r="AP469" s="59">
        <v>0</v>
      </c>
    </row>
    <row r="470" spans="1:42" ht="93" customHeight="1" x14ac:dyDescent="0.25">
      <c r="A470" s="62" t="s">
        <v>78</v>
      </c>
      <c r="B470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470" s="64" t="s">
        <v>79</v>
      </c>
      <c r="D470" s="64" t="s">
        <v>80</v>
      </c>
      <c r="E470" s="64" t="s">
        <v>81</v>
      </c>
      <c r="F470" s="64" t="s">
        <v>96</v>
      </c>
      <c r="G470" s="64" t="s">
        <v>92</v>
      </c>
      <c r="H470" s="65" t="str">
        <f>VLOOKUP(Tabla6[[#This Row],[DIRECCIÓN]],DIRECCIÓN[#All],2,0)</f>
        <v>ADMINISTRACIÓN CENTRAL</v>
      </c>
      <c r="I470" s="66" t="s">
        <v>641</v>
      </c>
      <c r="J470" s="67">
        <v>1</v>
      </c>
      <c r="K470" s="68" t="str">
        <f>VLOOKUP(Tabla6[[#This Row],[DIRECCIÓN GENERAL / COORDINACIÓN / SUBDIRECCIÓN]],Tabla37[[#All],[Columna1]:[EOD]],2,0)</f>
        <v>266_0003</v>
      </c>
      <c r="L470" s="69">
        <f>VLOOKUP(Tabla6[[#This Row],[OBJETIVOS PND]],Listas!$A$1:$C$3,3,0)</f>
        <v>1</v>
      </c>
      <c r="M470" s="70">
        <f>VLOOKUP(Tabla6[[#This Row],[PG]],Listas2!$G$14:$K$16,5,0)</f>
        <v>0</v>
      </c>
      <c r="N470" s="71">
        <v>1</v>
      </c>
      <c r="O470" s="72">
        <v>1801</v>
      </c>
      <c r="P470" s="73" t="str">
        <f>VLOOKUP(Tabla6[[#This Row],[GEO]],Listas!$A$48:$B$77,2,0)</f>
        <v>AMBATO</v>
      </c>
      <c r="Q470" s="70">
        <f>VLOOKUP(Tabla6[[#This Row],[PG]],Listas2!$G$14:$K$16,3,0)</f>
        <v>1</v>
      </c>
      <c r="R470" s="73">
        <f>VLOOKUP(Tabla6[[#This Row],[PG]],Listas2!H136:'Listas2'!$G$14:$K$16,4,0)</f>
        <v>0</v>
      </c>
      <c r="S470" s="73">
        <f>VLOOKUP(Tabla6[[#This Row],[PG]],Listas2!$G$14:$K$16,2,0)</f>
        <v>0</v>
      </c>
      <c r="T470" s="66" t="s">
        <v>84</v>
      </c>
      <c r="U470" s="74">
        <v>53</v>
      </c>
      <c r="V470" s="66">
        <v>530405</v>
      </c>
      <c r="W470" s="63" t="str">
        <f>VLOOKUP(Tabla6[[#This Row],[ÍTEM PRESUPUESTARIO]],Tabla2[#All],2,0)</f>
        <v>VEHÍCULOS (SERVICIO PARA MANTENIMIENTO Y REPARACIÓN)</v>
      </c>
      <c r="X470" s="57">
        <v>2000</v>
      </c>
      <c r="Y470" s="57">
        <f>2000+365.06-1314.99</f>
        <v>1050.07</v>
      </c>
      <c r="Z470" s="58">
        <v>0</v>
      </c>
      <c r="AA470" s="58">
        <v>0</v>
      </c>
      <c r="AB470" s="58">
        <v>300</v>
      </c>
      <c r="AC470" s="58">
        <v>0</v>
      </c>
      <c r="AD470" s="58">
        <v>0</v>
      </c>
      <c r="AE470" s="58">
        <v>632.53</v>
      </c>
      <c r="AF470" s="58">
        <v>0</v>
      </c>
      <c r="AG470" s="58">
        <v>0</v>
      </c>
      <c r="AH470" s="58">
        <v>117.54</v>
      </c>
      <c r="AI470" s="58">
        <v>0</v>
      </c>
      <c r="AJ470" s="58">
        <v>0</v>
      </c>
      <c r="AK470" s="58">
        <v>0</v>
      </c>
      <c r="AL470" s="75">
        <f>+SUBTOTAL(9,Tabla6[[#This Row],[ENE]:[DIC]])</f>
        <v>1050.07</v>
      </c>
      <c r="AM470" s="76" t="str">
        <f t="shared" si="9"/>
        <v>OK</v>
      </c>
      <c r="AN470" s="60">
        <f>2365.06-1314.99</f>
        <v>1050.07</v>
      </c>
      <c r="AO470" s="61">
        <f>+Tabla6[[#This Row],[PRESUPUESTO VIGENTE]]-Tabla6[[#This Row],[CERTIFICACIÓN PAPP]]</f>
        <v>0</v>
      </c>
      <c r="AP470" s="59">
        <v>0</v>
      </c>
    </row>
    <row r="471" spans="1:42" ht="93" customHeight="1" x14ac:dyDescent="0.25">
      <c r="A471" s="62" t="s">
        <v>78</v>
      </c>
      <c r="B471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471" s="64" t="s">
        <v>79</v>
      </c>
      <c r="D471" s="64" t="s">
        <v>80</v>
      </c>
      <c r="E471" s="64" t="s">
        <v>81</v>
      </c>
      <c r="F471" s="64" t="s">
        <v>96</v>
      </c>
      <c r="G471" s="64" t="s">
        <v>92</v>
      </c>
      <c r="H471" s="65" t="str">
        <f>VLOOKUP(Tabla6[[#This Row],[DIRECCIÓN]],DIRECCIÓN[#All],2,0)</f>
        <v>ADMINISTRACIÓN CENTRAL</v>
      </c>
      <c r="I471" s="66" t="s">
        <v>662</v>
      </c>
      <c r="J471" s="67">
        <v>1</v>
      </c>
      <c r="K471" s="68" t="str">
        <f>VLOOKUP(Tabla6[[#This Row],[DIRECCIÓN GENERAL / COORDINACIÓN / SUBDIRECCIÓN]],Tabla37[[#All],[Columna1]:[EOD]],2,0)</f>
        <v>266_0003</v>
      </c>
      <c r="L471" s="69">
        <f>VLOOKUP(Tabla6[[#This Row],[OBJETIVOS PND]],Listas!$A$1:$C$3,3,0)</f>
        <v>1</v>
      </c>
      <c r="M471" s="70">
        <f>VLOOKUP(Tabla6[[#This Row],[PG]],Listas2!$G$14:$K$16,5,0)</f>
        <v>0</v>
      </c>
      <c r="N471" s="71">
        <v>1</v>
      </c>
      <c r="O471" s="72">
        <v>1801</v>
      </c>
      <c r="P471" s="73" t="str">
        <f>VLOOKUP(Tabla6[[#This Row],[GEO]],Listas!$A$48:$B$77,2,0)</f>
        <v>AMBATO</v>
      </c>
      <c r="Q471" s="70">
        <f>VLOOKUP(Tabla6[[#This Row],[PG]],Listas2!$G$14:$K$16,3,0)</f>
        <v>1</v>
      </c>
      <c r="R471" s="73">
        <f>VLOOKUP(Tabla6[[#This Row],[PG]],Listas2!H137:'Listas2'!$G$14:$K$16,4,0)</f>
        <v>0</v>
      </c>
      <c r="S471" s="73">
        <f>VLOOKUP(Tabla6[[#This Row],[PG]],Listas2!$G$14:$K$16,2,0)</f>
        <v>0</v>
      </c>
      <c r="T471" s="66" t="s">
        <v>84</v>
      </c>
      <c r="U471" s="74">
        <v>53</v>
      </c>
      <c r="V471" s="66">
        <v>530418</v>
      </c>
      <c r="W471" s="63" t="str">
        <f>VLOOKUP(Tabla6[[#This Row],[ÍTEM PRESUPUESTARIO]],Tabla2[#All],2,0)</f>
        <v>MANTENIMIENTO DE ÁREAS VERDES Y ARREGLO DE VÍAS INTERNAS</v>
      </c>
      <c r="X471" s="57">
        <v>2800</v>
      </c>
      <c r="Y471" s="57">
        <f>2800-2800</f>
        <v>0</v>
      </c>
      <c r="Z471" s="58">
        <v>0</v>
      </c>
      <c r="AA471" s="58">
        <v>0</v>
      </c>
      <c r="AB471" s="58">
        <v>0</v>
      </c>
      <c r="AC471" s="58">
        <v>0</v>
      </c>
      <c r="AD471" s="58">
        <v>0</v>
      </c>
      <c r="AE471" s="58">
        <v>0</v>
      </c>
      <c r="AF471" s="58">
        <v>0</v>
      </c>
      <c r="AG471" s="58">
        <v>0</v>
      </c>
      <c r="AH471" s="58">
        <v>0</v>
      </c>
      <c r="AI471" s="58">
        <v>0</v>
      </c>
      <c r="AJ471" s="58">
        <v>0</v>
      </c>
      <c r="AK471" s="58">
        <v>0</v>
      </c>
      <c r="AL471" s="75">
        <f>+SUBTOTAL(9,Tabla6[[#This Row],[ENE]:[DIC]])</f>
        <v>0</v>
      </c>
      <c r="AM471" s="76" t="str">
        <f t="shared" si="9"/>
        <v>OK</v>
      </c>
      <c r="AN471" s="60">
        <v>0</v>
      </c>
      <c r="AO471" s="61">
        <f>+Tabla6[[#This Row],[PRESUPUESTO VIGENTE]]-Tabla6[[#This Row],[CERTIFICACIÓN PAPP]]</f>
        <v>0</v>
      </c>
      <c r="AP471" s="59">
        <v>0</v>
      </c>
    </row>
    <row r="472" spans="1:42" ht="93" customHeight="1" x14ac:dyDescent="0.25">
      <c r="A472" s="62" t="s">
        <v>78</v>
      </c>
      <c r="B472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472" s="64" t="s">
        <v>79</v>
      </c>
      <c r="D472" s="64" t="s">
        <v>80</v>
      </c>
      <c r="E472" s="64" t="s">
        <v>81</v>
      </c>
      <c r="F472" s="64" t="s">
        <v>96</v>
      </c>
      <c r="G472" s="64" t="s">
        <v>92</v>
      </c>
      <c r="H472" s="65" t="str">
        <f>VLOOKUP(Tabla6[[#This Row],[DIRECCIÓN]],DIRECCIÓN[#All],2,0)</f>
        <v>ADMINISTRACIÓN CENTRAL</v>
      </c>
      <c r="I472" s="66" t="s">
        <v>642</v>
      </c>
      <c r="J472" s="67">
        <v>1</v>
      </c>
      <c r="K472" s="68" t="str">
        <f>VLOOKUP(Tabla6[[#This Row],[DIRECCIÓN GENERAL / COORDINACIÓN / SUBDIRECCIÓN]],Tabla37[[#All],[Columna1]:[EOD]],2,0)</f>
        <v>266_0003</v>
      </c>
      <c r="L472" s="69">
        <f>VLOOKUP(Tabla6[[#This Row],[OBJETIVOS PND]],Listas!$A$1:$C$3,3,0)</f>
        <v>1</v>
      </c>
      <c r="M472" s="70">
        <f>VLOOKUP(Tabla6[[#This Row],[PG]],Listas2!$G$14:$K$16,5,0)</f>
        <v>0</v>
      </c>
      <c r="N472" s="71">
        <v>1</v>
      </c>
      <c r="O472" s="72">
        <v>1801</v>
      </c>
      <c r="P472" s="73" t="str">
        <f>VLOOKUP(Tabla6[[#This Row],[GEO]],Listas!$A$48:$B$77,2,0)</f>
        <v>AMBATO</v>
      </c>
      <c r="Q472" s="70">
        <f>VLOOKUP(Tabla6[[#This Row],[PG]],Listas2!$G$14:$K$16,3,0)</f>
        <v>1</v>
      </c>
      <c r="R472" s="73">
        <f>VLOOKUP(Tabla6[[#This Row],[PG]],Listas2!H138:'Listas2'!$G$14:$K$16,4,0)</f>
        <v>0</v>
      </c>
      <c r="S472" s="73">
        <f>VLOOKUP(Tabla6[[#This Row],[PG]],Listas2!$G$14:$K$16,2,0)</f>
        <v>0</v>
      </c>
      <c r="T472" s="66" t="s">
        <v>84</v>
      </c>
      <c r="U472" s="74">
        <v>53</v>
      </c>
      <c r="V472" s="66">
        <v>530704</v>
      </c>
      <c r="W472" s="63" t="str">
        <f>VLOOKUP(Tabla6[[#This Row],[ÍTEM PRESUPUESTARIO]],Tabla2[#All],2,0)</f>
        <v xml:space="preserve">MANTENIMIENTO Y REPARACIÓN DE EQUIPOS Y SISTEMAS INFORMÁTICOS </v>
      </c>
      <c r="X472" s="57">
        <v>0</v>
      </c>
      <c r="Y472" s="57">
        <v>267</v>
      </c>
      <c r="Z472" s="58">
        <v>0</v>
      </c>
      <c r="AA472" s="58">
        <v>0</v>
      </c>
      <c r="AB472" s="58">
        <v>0</v>
      </c>
      <c r="AC472" s="58">
        <v>0</v>
      </c>
      <c r="AD472" s="58">
        <v>0</v>
      </c>
      <c r="AE472" s="58">
        <v>0</v>
      </c>
      <c r="AF472" s="58">
        <v>0</v>
      </c>
      <c r="AG472" s="58">
        <v>0</v>
      </c>
      <c r="AH472" s="58">
        <v>0</v>
      </c>
      <c r="AI472" s="58">
        <v>267</v>
      </c>
      <c r="AJ472" s="58">
        <v>0</v>
      </c>
      <c r="AK472" s="58">
        <v>0</v>
      </c>
      <c r="AL472" s="75">
        <f>+SUBTOTAL(9,Tabla6[[#This Row],[ENE]:[DIC]])</f>
        <v>267</v>
      </c>
      <c r="AM472" s="76" t="str">
        <f t="shared" si="9"/>
        <v>OK</v>
      </c>
      <c r="AN472" s="60">
        <v>267</v>
      </c>
      <c r="AO472" s="61">
        <f>+Tabla6[[#This Row],[PRESUPUESTO VIGENTE]]-Tabla6[[#This Row],[CERTIFICACIÓN PAPP]]</f>
        <v>0</v>
      </c>
      <c r="AP472" s="59">
        <v>0</v>
      </c>
    </row>
    <row r="473" spans="1:42" ht="93" customHeight="1" x14ac:dyDescent="0.25">
      <c r="A473" s="62" t="s">
        <v>78</v>
      </c>
      <c r="B473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473" s="64" t="s">
        <v>85</v>
      </c>
      <c r="D473" s="64" t="s">
        <v>80</v>
      </c>
      <c r="E473" s="64" t="s">
        <v>81</v>
      </c>
      <c r="F473" s="64" t="s">
        <v>96</v>
      </c>
      <c r="G473" s="64" t="s">
        <v>94</v>
      </c>
      <c r="H473" s="65" t="str">
        <f>VLOOKUP(Tabla6[[#This Row],[DIRECCIÓN]],DIRECCIÓN[#All],2,0)</f>
        <v>COMUNICACIÓN SOCIAL</v>
      </c>
      <c r="I473" s="66" t="s">
        <v>630</v>
      </c>
      <c r="J473" s="67">
        <v>1</v>
      </c>
      <c r="K473" s="68" t="str">
        <f>VLOOKUP(Tabla6[[#This Row],[DIRECCIÓN GENERAL / COORDINACIÓN / SUBDIRECCIÓN]],Tabla37[[#All],[Columna1]:[EOD]],2,0)</f>
        <v>266_0003</v>
      </c>
      <c r="L473" s="69">
        <f>VLOOKUP(Tabla6[[#This Row],[OBJETIVOS PND]],Listas!$A$1:$C$3,3,0)</f>
        <v>1</v>
      </c>
      <c r="M473" s="70">
        <f>VLOOKUP(Tabla6[[#This Row],[PG]],Listas2!$G$14:$K$16,5,0)</f>
        <v>0</v>
      </c>
      <c r="N473" s="71">
        <v>1</v>
      </c>
      <c r="O473" s="72">
        <v>1801</v>
      </c>
      <c r="P473" s="73" t="str">
        <f>VLOOKUP(Tabla6[[#This Row],[GEO]],Listas!$A$48:$B$77,2,0)</f>
        <v>AMBATO</v>
      </c>
      <c r="Q473" s="70">
        <f>VLOOKUP(Tabla6[[#This Row],[PG]],Listas2!$G$14:$K$16,3,0)</f>
        <v>1</v>
      </c>
      <c r="R473" s="73">
        <f>VLOOKUP(Tabla6[[#This Row],[PG]],Listas2!H139:'Listas2'!$G$14:$K$16,4,0)</f>
        <v>0</v>
      </c>
      <c r="S473" s="73">
        <f>VLOOKUP(Tabla6[[#This Row],[PG]],Listas2!$G$14:$K$16,2,0)</f>
        <v>0</v>
      </c>
      <c r="T473" s="66" t="s">
        <v>84</v>
      </c>
      <c r="U473" s="74">
        <v>53</v>
      </c>
      <c r="V473" s="66">
        <v>530802</v>
      </c>
      <c r="W473" s="63" t="str">
        <f>VLOOKUP(Tabla6[[#This Row],[ÍTEM PRESUPUESTARIO]],Tabla2[#All],2,0)</f>
        <v>VESTUARIO, LENCERÍA, PRENDAS DE PROTECCIÓN Y ACCESORIOS PARA UNIFORMES DEL PERSONAL DE PROTECCIÓN, VIGILANCIA Y SEGURIDAD</v>
      </c>
      <c r="X473" s="57">
        <v>0</v>
      </c>
      <c r="Y473" s="57">
        <f>1350-744.27+294.27</f>
        <v>900</v>
      </c>
      <c r="Z473" s="58">
        <v>0</v>
      </c>
      <c r="AA473" s="58">
        <v>0</v>
      </c>
      <c r="AB473" s="58">
        <v>0</v>
      </c>
      <c r="AC473" s="58">
        <v>0</v>
      </c>
      <c r="AD473" s="58">
        <v>0</v>
      </c>
      <c r="AE473" s="58">
        <v>0</v>
      </c>
      <c r="AF473" s="58">
        <v>0</v>
      </c>
      <c r="AG473" s="58">
        <v>0</v>
      </c>
      <c r="AH473" s="58">
        <v>0</v>
      </c>
      <c r="AI473" s="58">
        <v>0</v>
      </c>
      <c r="AJ473" s="58">
        <v>900</v>
      </c>
      <c r="AK473" s="58">
        <v>0</v>
      </c>
      <c r="AL473" s="75">
        <f>+SUBTOTAL(9,Tabla6[[#This Row],[ENE]:[DIC]])</f>
        <v>900</v>
      </c>
      <c r="AM473" s="76" t="str">
        <f t="shared" si="9"/>
        <v>OK</v>
      </c>
      <c r="AN473" s="60">
        <v>900</v>
      </c>
      <c r="AO473" s="61">
        <f>+Tabla6[[#This Row],[PRESUPUESTO VIGENTE]]-Tabla6[[#This Row],[CERTIFICACIÓN PAPP]]</f>
        <v>0</v>
      </c>
      <c r="AP473" s="59">
        <v>0</v>
      </c>
    </row>
    <row r="474" spans="1:42" ht="93" customHeight="1" x14ac:dyDescent="0.25">
      <c r="A474" s="62" t="s">
        <v>78</v>
      </c>
      <c r="B474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474" s="64" t="s">
        <v>79</v>
      </c>
      <c r="D474" s="64" t="s">
        <v>80</v>
      </c>
      <c r="E474" s="64" t="s">
        <v>81</v>
      </c>
      <c r="F474" s="64" t="s">
        <v>96</v>
      </c>
      <c r="G474" s="64" t="s">
        <v>92</v>
      </c>
      <c r="H474" s="65" t="str">
        <f>VLOOKUP(Tabla6[[#This Row],[DIRECCIÓN]],DIRECCIÓN[#All],2,0)</f>
        <v>ADMINISTRACIÓN CENTRAL</v>
      </c>
      <c r="I474" s="66" t="s">
        <v>643</v>
      </c>
      <c r="J474" s="67">
        <v>1</v>
      </c>
      <c r="K474" s="68" t="str">
        <f>VLOOKUP(Tabla6[[#This Row],[DIRECCIÓN GENERAL / COORDINACIÓN / SUBDIRECCIÓN]],Tabla37[[#All],[Columna1]:[EOD]],2,0)</f>
        <v>266_0003</v>
      </c>
      <c r="L474" s="69">
        <f>VLOOKUP(Tabla6[[#This Row],[OBJETIVOS PND]],Listas!$A$1:$C$3,3,0)</f>
        <v>1</v>
      </c>
      <c r="M474" s="70">
        <f>VLOOKUP(Tabla6[[#This Row],[PG]],Listas2!$G$14:$K$16,5,0)</f>
        <v>0</v>
      </c>
      <c r="N474" s="71">
        <v>1</v>
      </c>
      <c r="O474" s="72">
        <v>1801</v>
      </c>
      <c r="P474" s="73" t="str">
        <f>VLOOKUP(Tabla6[[#This Row],[GEO]],Listas!$A$48:$B$77,2,0)</f>
        <v>AMBATO</v>
      </c>
      <c r="Q474" s="70">
        <f>VLOOKUP(Tabla6[[#This Row],[PG]],Listas2!$G$14:$K$16,3,0)</f>
        <v>1</v>
      </c>
      <c r="R474" s="73">
        <f>VLOOKUP(Tabla6[[#This Row],[PG]],Listas2!H140:'Listas2'!$G$14:$K$16,4,0)</f>
        <v>0</v>
      </c>
      <c r="S474" s="73">
        <f>VLOOKUP(Tabla6[[#This Row],[PG]],Listas2!$G$14:$K$16,2,0)</f>
        <v>0</v>
      </c>
      <c r="T474" s="66" t="s">
        <v>84</v>
      </c>
      <c r="U474" s="74">
        <v>53</v>
      </c>
      <c r="V474" s="66">
        <v>530802</v>
      </c>
      <c r="W474" s="63" t="str">
        <f>VLOOKUP(Tabla6[[#This Row],[ÍTEM PRESUPUESTARIO]],Tabla2[#All],2,0)</f>
        <v>VESTUARIO, LENCERÍA, PRENDAS DE PROTECCIÓN Y ACCESORIOS PARA UNIFORMES DEL PERSONAL DE PROTECCIÓN, VIGILANCIA Y SEGURIDAD</v>
      </c>
      <c r="X474" s="57">
        <v>0</v>
      </c>
      <c r="Y474" s="57">
        <f>1985.54-138.55-1.29</f>
        <v>1845.7</v>
      </c>
      <c r="Z474" s="58">
        <v>0</v>
      </c>
      <c r="AA474" s="58">
        <v>0</v>
      </c>
      <c r="AB474" s="58">
        <v>0</v>
      </c>
      <c r="AC474" s="58">
        <v>0</v>
      </c>
      <c r="AD474" s="58">
        <v>0</v>
      </c>
      <c r="AE474" s="58">
        <v>0</v>
      </c>
      <c r="AF474" s="58">
        <v>0</v>
      </c>
      <c r="AG474" s="58">
        <v>0</v>
      </c>
      <c r="AH474" s="58">
        <v>0</v>
      </c>
      <c r="AI474" s="58">
        <v>1845.7</v>
      </c>
      <c r="AJ474" s="58">
        <v>0</v>
      </c>
      <c r="AK474" s="58">
        <v>0</v>
      </c>
      <c r="AL474" s="75">
        <f>+SUBTOTAL(9,Tabla6[[#This Row],[ENE]:[DIC]])</f>
        <v>1845.7</v>
      </c>
      <c r="AM474" s="76" t="str">
        <f t="shared" si="9"/>
        <v>OK</v>
      </c>
      <c r="AN474" s="60">
        <f>778.8+623.23+444.96-1.29</f>
        <v>1845.7</v>
      </c>
      <c r="AO474" s="61">
        <f>+Tabla6[[#This Row],[PRESUPUESTO VIGENTE]]-Tabla6[[#This Row],[CERTIFICACIÓN PAPP]]</f>
        <v>0</v>
      </c>
      <c r="AP474" s="59">
        <v>0</v>
      </c>
    </row>
    <row r="475" spans="1:42" ht="93" customHeight="1" x14ac:dyDescent="0.25">
      <c r="A475" s="62" t="s">
        <v>78</v>
      </c>
      <c r="B475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475" s="64" t="s">
        <v>79</v>
      </c>
      <c r="D475" s="64" t="s">
        <v>80</v>
      </c>
      <c r="E475" s="64" t="s">
        <v>81</v>
      </c>
      <c r="F475" s="64" t="s">
        <v>96</v>
      </c>
      <c r="G475" s="64" t="s">
        <v>92</v>
      </c>
      <c r="H475" s="65" t="str">
        <f>VLOOKUP(Tabla6[[#This Row],[DIRECCIÓN]],DIRECCIÓN[#All],2,0)</f>
        <v>ADMINISTRACIÓN CENTRAL</v>
      </c>
      <c r="I475" s="66" t="s">
        <v>637</v>
      </c>
      <c r="J475" s="67">
        <v>1</v>
      </c>
      <c r="K475" s="68" t="str">
        <f>VLOOKUP(Tabla6[[#This Row],[DIRECCIÓN GENERAL / COORDINACIÓN / SUBDIRECCIÓN]],Tabla37[[#All],[Columna1]:[EOD]],2,0)</f>
        <v>266_0003</v>
      </c>
      <c r="L475" s="69">
        <f>VLOOKUP(Tabla6[[#This Row],[OBJETIVOS PND]],Listas!$A$1:$C$3,3,0)</f>
        <v>1</v>
      </c>
      <c r="M475" s="70">
        <f>VLOOKUP(Tabla6[[#This Row],[PG]],Listas2!$G$14:$K$16,5,0)</f>
        <v>0</v>
      </c>
      <c r="N475" s="71">
        <v>1</v>
      </c>
      <c r="O475" s="72">
        <v>1801</v>
      </c>
      <c r="P475" s="73" t="str">
        <f>VLOOKUP(Tabla6[[#This Row],[GEO]],Listas!$A$48:$B$77,2,0)</f>
        <v>AMBATO</v>
      </c>
      <c r="Q475" s="70">
        <f>VLOOKUP(Tabla6[[#This Row],[PG]],Listas2!$G$14:$K$16,3,0)</f>
        <v>1</v>
      </c>
      <c r="R475" s="73">
        <f>VLOOKUP(Tabla6[[#This Row],[PG]],Listas2!H141:'Listas2'!$G$14:$K$16,4,0)</f>
        <v>0</v>
      </c>
      <c r="S475" s="73">
        <f>VLOOKUP(Tabla6[[#This Row],[PG]],Listas2!$G$14:$K$16,2,0)</f>
        <v>0</v>
      </c>
      <c r="T475" s="66" t="s">
        <v>84</v>
      </c>
      <c r="U475" s="74">
        <v>53</v>
      </c>
      <c r="V475" s="66">
        <v>530803</v>
      </c>
      <c r="W475" s="63" t="str">
        <f>VLOOKUP(Tabla6[[#This Row],[ÍTEM PRESUPUESTARIO]],Tabla2[#All],2,0)</f>
        <v>LUBRICANTES</v>
      </c>
      <c r="X475" s="57">
        <v>5470</v>
      </c>
      <c r="Y475" s="57">
        <f>5470-1880.71-3589.29</f>
        <v>0</v>
      </c>
      <c r="Z475" s="58">
        <v>0</v>
      </c>
      <c r="AA475" s="58">
        <v>0</v>
      </c>
      <c r="AB475" s="58">
        <v>0</v>
      </c>
      <c r="AC475" s="58">
        <v>0</v>
      </c>
      <c r="AD475" s="58">
        <v>0</v>
      </c>
      <c r="AE475" s="58">
        <v>0</v>
      </c>
      <c r="AF475" s="58">
        <v>0</v>
      </c>
      <c r="AG475" s="58">
        <v>0</v>
      </c>
      <c r="AH475" s="58">
        <v>0</v>
      </c>
      <c r="AI475" s="58">
        <v>0</v>
      </c>
      <c r="AJ475" s="58">
        <v>0</v>
      </c>
      <c r="AK475" s="58">
        <v>0</v>
      </c>
      <c r="AL475" s="75">
        <f>+SUBTOTAL(9,Tabla6[[#This Row],[ENE]:[DIC]])</f>
        <v>0</v>
      </c>
      <c r="AM475" s="76" t="str">
        <f t="shared" si="9"/>
        <v>OK</v>
      </c>
      <c r="AN475" s="60">
        <v>0</v>
      </c>
      <c r="AO475" s="61">
        <f>+Tabla6[[#This Row],[PRESUPUESTO VIGENTE]]-Tabla6[[#This Row],[CERTIFICACIÓN PAPP]]</f>
        <v>0</v>
      </c>
      <c r="AP475" s="59">
        <v>0</v>
      </c>
    </row>
    <row r="476" spans="1:42" ht="93" customHeight="1" x14ac:dyDescent="0.25">
      <c r="A476" s="62" t="s">
        <v>78</v>
      </c>
      <c r="B476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476" s="64" t="s">
        <v>79</v>
      </c>
      <c r="D476" s="64" t="s">
        <v>80</v>
      </c>
      <c r="E476" s="64" t="s">
        <v>81</v>
      </c>
      <c r="F476" s="64" t="s">
        <v>96</v>
      </c>
      <c r="G476" s="64" t="s">
        <v>92</v>
      </c>
      <c r="H476" s="65" t="str">
        <f>VLOOKUP(Tabla6[[#This Row],[DIRECCIÓN]],DIRECCIÓN[#All],2,0)</f>
        <v>ADMINISTRACIÓN CENTRAL</v>
      </c>
      <c r="I476" s="66" t="s">
        <v>644</v>
      </c>
      <c r="J476" s="67">
        <v>1</v>
      </c>
      <c r="K476" s="68" t="str">
        <f>VLOOKUP(Tabla6[[#This Row],[DIRECCIÓN GENERAL / COORDINACIÓN / SUBDIRECCIÓN]],Tabla37[[#All],[Columna1]:[EOD]],2,0)</f>
        <v>266_0003</v>
      </c>
      <c r="L476" s="69">
        <f>VLOOKUP(Tabla6[[#This Row],[OBJETIVOS PND]],Listas!$A$1:$C$3,3,0)</f>
        <v>1</v>
      </c>
      <c r="M476" s="70">
        <f>VLOOKUP(Tabla6[[#This Row],[PG]],Listas2!$G$14:$K$16,5,0)</f>
        <v>0</v>
      </c>
      <c r="N476" s="71">
        <v>1</v>
      </c>
      <c r="O476" s="72">
        <v>1801</v>
      </c>
      <c r="P476" s="73" t="str">
        <f>VLOOKUP(Tabla6[[#This Row],[GEO]],Listas!$A$48:$B$77,2,0)</f>
        <v>AMBATO</v>
      </c>
      <c r="Q476" s="70">
        <f>VLOOKUP(Tabla6[[#This Row],[PG]],Listas2!$G$14:$K$16,3,0)</f>
        <v>1</v>
      </c>
      <c r="R476" s="73">
        <f>VLOOKUP(Tabla6[[#This Row],[PG]],Listas2!H142:'Listas2'!$G$14:$K$16,4,0)</f>
        <v>0</v>
      </c>
      <c r="S476" s="73">
        <f>VLOOKUP(Tabla6[[#This Row],[PG]],Listas2!$G$14:$K$16,2,0)</f>
        <v>0</v>
      </c>
      <c r="T476" s="66" t="s">
        <v>84</v>
      </c>
      <c r="U476" s="74">
        <v>53</v>
      </c>
      <c r="V476" s="66">
        <v>530803</v>
      </c>
      <c r="W476" s="63" t="str">
        <f>VLOOKUP(Tabla6[[#This Row],[ÍTEM PRESUPUESTARIO]],Tabla2[#All],2,0)</f>
        <v>LUBRICANTES</v>
      </c>
      <c r="X476" s="57">
        <v>1700</v>
      </c>
      <c r="Y476" s="57">
        <f>1700-407.03-145.26-145.26-682.93</f>
        <v>319.5200000000001</v>
      </c>
      <c r="Z476" s="58">
        <v>0</v>
      </c>
      <c r="AA476" s="58">
        <v>0</v>
      </c>
      <c r="AB476" s="58">
        <v>200</v>
      </c>
      <c r="AC476" s="58">
        <v>0</v>
      </c>
      <c r="AD476" s="58">
        <v>0</v>
      </c>
      <c r="AE476" s="58">
        <v>119.52</v>
      </c>
      <c r="AF476" s="58">
        <v>0</v>
      </c>
      <c r="AG476" s="58">
        <v>0</v>
      </c>
      <c r="AH476" s="58">
        <v>0</v>
      </c>
      <c r="AI476" s="58">
        <v>0</v>
      </c>
      <c r="AJ476" s="58">
        <v>0</v>
      </c>
      <c r="AK476" s="58">
        <v>0</v>
      </c>
      <c r="AL476" s="75">
        <f>+SUBTOTAL(9,Tabla6[[#This Row],[ENE]:[DIC]])</f>
        <v>319.52</v>
      </c>
      <c r="AM476" s="76" t="str">
        <f t="shared" ref="AM476:AM503" si="10">IF(AL476=Y476,"OK",Y476-AL476)</f>
        <v>OK</v>
      </c>
      <c r="AN476" s="60">
        <f>1002.45-682.93</f>
        <v>319.5200000000001</v>
      </c>
      <c r="AO476" s="61">
        <f>+Tabla6[[#This Row],[PRESUPUESTO VIGENTE]]-Tabla6[[#This Row],[CERTIFICACIÓN PAPP]]</f>
        <v>0</v>
      </c>
      <c r="AP476" s="59">
        <v>0</v>
      </c>
    </row>
    <row r="477" spans="1:42" ht="93" customHeight="1" x14ac:dyDescent="0.25">
      <c r="A477" s="62" t="s">
        <v>78</v>
      </c>
      <c r="B477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477" s="64" t="s">
        <v>79</v>
      </c>
      <c r="D477" s="64" t="s">
        <v>80</v>
      </c>
      <c r="E477" s="64" t="s">
        <v>81</v>
      </c>
      <c r="F477" s="64" t="s">
        <v>96</v>
      </c>
      <c r="G477" s="64" t="s">
        <v>92</v>
      </c>
      <c r="H477" s="65" t="str">
        <f>VLOOKUP(Tabla6[[#This Row],[DIRECCIÓN]],DIRECCIÓN[#All],2,0)</f>
        <v>ADMINISTRACIÓN CENTRAL</v>
      </c>
      <c r="I477" s="66" t="s">
        <v>97</v>
      </c>
      <c r="J477" s="67">
        <v>1</v>
      </c>
      <c r="K477" s="68" t="str">
        <f>VLOOKUP(Tabla6[[#This Row],[DIRECCIÓN GENERAL / COORDINACIÓN / SUBDIRECCIÓN]],Tabla37[[#All],[Columna1]:[EOD]],2,0)</f>
        <v>266_0003</v>
      </c>
      <c r="L477" s="69">
        <f>VLOOKUP(Tabla6[[#This Row],[OBJETIVOS PND]],Listas!$A$1:$C$3,3,0)</f>
        <v>1</v>
      </c>
      <c r="M477" s="70">
        <f>VLOOKUP(Tabla6[[#This Row],[PG]],Listas2!$G$14:$K$16,5,0)</f>
        <v>0</v>
      </c>
      <c r="N477" s="71">
        <v>1</v>
      </c>
      <c r="O477" s="72">
        <v>1801</v>
      </c>
      <c r="P477" s="73" t="str">
        <f>VLOOKUP(Tabla6[[#This Row],[GEO]],Listas!$A$48:$B$77,2,0)</f>
        <v>AMBATO</v>
      </c>
      <c r="Q477" s="70">
        <f>VLOOKUP(Tabla6[[#This Row],[PG]],Listas2!$G$14:$K$16,3,0)</f>
        <v>1</v>
      </c>
      <c r="R477" s="73">
        <f>VLOOKUP(Tabla6[[#This Row],[PG]],Listas2!H143:'Listas2'!$G$14:$K$16,4,0)</f>
        <v>0</v>
      </c>
      <c r="S477" s="73">
        <f>VLOOKUP(Tabla6[[#This Row],[PG]],Listas2!$G$14:$K$16,2,0)</f>
        <v>0</v>
      </c>
      <c r="T477" s="66" t="s">
        <v>84</v>
      </c>
      <c r="U477" s="74">
        <v>53</v>
      </c>
      <c r="V477" s="66">
        <v>530804</v>
      </c>
      <c r="W477" s="63" t="str">
        <f>VLOOKUP(Tabla6[[#This Row],[ÍTEM PRESUPUESTARIO]],Tabla2[#All],2,0)</f>
        <v>MATERIALES DE OFICINA</v>
      </c>
      <c r="X477" s="57">
        <v>0</v>
      </c>
      <c r="Y477" s="57">
        <v>107.64</v>
      </c>
      <c r="Z477" s="58">
        <v>0</v>
      </c>
      <c r="AA477" s="58">
        <v>107.64</v>
      </c>
      <c r="AB477" s="58">
        <v>0</v>
      </c>
      <c r="AC477" s="58">
        <v>0</v>
      </c>
      <c r="AD477" s="58">
        <v>0</v>
      </c>
      <c r="AE477" s="58">
        <v>0</v>
      </c>
      <c r="AF477" s="58">
        <v>0</v>
      </c>
      <c r="AG477" s="58">
        <v>0</v>
      </c>
      <c r="AH477" s="58">
        <v>0</v>
      </c>
      <c r="AI477" s="58">
        <v>0</v>
      </c>
      <c r="AJ477" s="58">
        <v>0</v>
      </c>
      <c r="AK477" s="58">
        <v>0</v>
      </c>
      <c r="AL477" s="75">
        <f>+SUBTOTAL(9,Tabla6[[#This Row],[ENE]:[DIC]])</f>
        <v>107.64</v>
      </c>
      <c r="AM477" s="76" t="str">
        <f t="shared" si="10"/>
        <v>OK</v>
      </c>
      <c r="AN477" s="60">
        <v>107.64</v>
      </c>
      <c r="AO477" s="61">
        <f>+Tabla6[[#This Row],[PRESUPUESTO VIGENTE]]-Tabla6[[#This Row],[CERTIFICACIÓN PAPP]]</f>
        <v>0</v>
      </c>
      <c r="AP477" s="59">
        <v>0</v>
      </c>
    </row>
    <row r="478" spans="1:42" ht="93" customHeight="1" x14ac:dyDescent="0.25">
      <c r="A478" s="62" t="s">
        <v>78</v>
      </c>
      <c r="B478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478" s="64" t="s">
        <v>85</v>
      </c>
      <c r="D478" s="64" t="s">
        <v>80</v>
      </c>
      <c r="E478" s="64" t="s">
        <v>81</v>
      </c>
      <c r="F478" s="64" t="s">
        <v>96</v>
      </c>
      <c r="G478" s="64" t="s">
        <v>94</v>
      </c>
      <c r="H478" s="65" t="str">
        <f>VLOOKUP(Tabla6[[#This Row],[DIRECCIÓN]],DIRECCIÓN[#All],2,0)</f>
        <v>COMUNICACIÓN SOCIAL</v>
      </c>
      <c r="I478" s="66" t="s">
        <v>630</v>
      </c>
      <c r="J478" s="67">
        <v>1</v>
      </c>
      <c r="K478" s="68" t="str">
        <f>VLOOKUP(Tabla6[[#This Row],[DIRECCIÓN GENERAL / COORDINACIÓN / SUBDIRECCIÓN]],Tabla37[[#All],[Columna1]:[EOD]],2,0)</f>
        <v>266_0003</v>
      </c>
      <c r="L478" s="69">
        <f>VLOOKUP(Tabla6[[#This Row],[OBJETIVOS PND]],Listas!$A$1:$C$3,3,0)</f>
        <v>1</v>
      </c>
      <c r="M478" s="70">
        <f>VLOOKUP(Tabla6[[#This Row],[PG]],Listas2!$G$14:$K$16,5,0)</f>
        <v>0</v>
      </c>
      <c r="N478" s="71">
        <v>1</v>
      </c>
      <c r="O478" s="72">
        <v>1801</v>
      </c>
      <c r="P478" s="73" t="str">
        <f>VLOOKUP(Tabla6[[#This Row],[GEO]],Listas!$A$48:$B$77,2,0)</f>
        <v>AMBATO</v>
      </c>
      <c r="Q478" s="70">
        <f>VLOOKUP(Tabla6[[#This Row],[PG]],Listas2!$G$14:$K$16,3,0)</f>
        <v>1</v>
      </c>
      <c r="R478" s="73">
        <f>VLOOKUP(Tabla6[[#This Row],[PG]],Listas2!H144:'Listas2'!$G$14:$K$16,4,0)</f>
        <v>0</v>
      </c>
      <c r="S478" s="73">
        <f>VLOOKUP(Tabla6[[#This Row],[PG]],Listas2!$G$14:$K$16,2,0)</f>
        <v>0</v>
      </c>
      <c r="T478" s="66" t="s">
        <v>84</v>
      </c>
      <c r="U478" s="74">
        <v>53</v>
      </c>
      <c r="V478" s="66">
        <v>530804</v>
      </c>
      <c r="W478" s="63" t="str">
        <f>VLOOKUP(Tabla6[[#This Row],[ÍTEM PRESUPUESTARIO]],Tabla2[#All],2,0)</f>
        <v>MATERIALES DE OFICINA</v>
      </c>
      <c r="X478" s="57">
        <v>0</v>
      </c>
      <c r="Y478" s="57">
        <f>469.8-326.83+18.17+183.86</f>
        <v>345.00000000000006</v>
      </c>
      <c r="Z478" s="58">
        <v>0</v>
      </c>
      <c r="AA478" s="58">
        <v>0</v>
      </c>
      <c r="AB478" s="58">
        <v>0</v>
      </c>
      <c r="AC478" s="58">
        <v>0</v>
      </c>
      <c r="AD478" s="58">
        <v>0</v>
      </c>
      <c r="AE478" s="58">
        <v>0</v>
      </c>
      <c r="AF478" s="58">
        <v>0</v>
      </c>
      <c r="AG478" s="58">
        <v>0</v>
      </c>
      <c r="AH478" s="58">
        <v>0</v>
      </c>
      <c r="AI478" s="58">
        <v>0</v>
      </c>
      <c r="AJ478" s="58">
        <v>345</v>
      </c>
      <c r="AK478" s="58">
        <v>0</v>
      </c>
      <c r="AL478" s="75">
        <f>+SUBTOTAL(9,Tabla6[[#This Row],[ENE]:[DIC]])</f>
        <v>345</v>
      </c>
      <c r="AM478" s="76" t="str">
        <f t="shared" si="10"/>
        <v>OK</v>
      </c>
      <c r="AN478" s="60">
        <v>345</v>
      </c>
      <c r="AO478" s="61">
        <f>+Tabla6[[#This Row],[PRESUPUESTO VIGENTE]]-Tabla6[[#This Row],[CERTIFICACIÓN PAPP]]</f>
        <v>0</v>
      </c>
      <c r="AP478" s="59">
        <v>0</v>
      </c>
    </row>
    <row r="479" spans="1:42" ht="93" customHeight="1" x14ac:dyDescent="0.25">
      <c r="A479" s="62" t="s">
        <v>78</v>
      </c>
      <c r="B479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479" s="64" t="s">
        <v>79</v>
      </c>
      <c r="D479" s="64" t="s">
        <v>80</v>
      </c>
      <c r="E479" s="64" t="s">
        <v>81</v>
      </c>
      <c r="F479" s="64" t="s">
        <v>96</v>
      </c>
      <c r="G479" s="64" t="s">
        <v>92</v>
      </c>
      <c r="H479" s="65" t="str">
        <f>VLOOKUP(Tabla6[[#This Row],[DIRECCIÓN]],DIRECCIÓN[#All],2,0)</f>
        <v>ADMINISTRACIÓN CENTRAL</v>
      </c>
      <c r="I479" s="66" t="s">
        <v>645</v>
      </c>
      <c r="J479" s="67">
        <v>1</v>
      </c>
      <c r="K479" s="68" t="str">
        <f>VLOOKUP(Tabla6[[#This Row],[DIRECCIÓN GENERAL / COORDINACIÓN / SUBDIRECCIÓN]],Tabla37[[#All],[Columna1]:[EOD]],2,0)</f>
        <v>266_0003</v>
      </c>
      <c r="L479" s="69">
        <f>VLOOKUP(Tabla6[[#This Row],[OBJETIVOS PND]],Listas!$A$1:$C$3,3,0)</f>
        <v>1</v>
      </c>
      <c r="M479" s="70">
        <f>VLOOKUP(Tabla6[[#This Row],[PG]],Listas2!$G$14:$K$16,5,0)</f>
        <v>0</v>
      </c>
      <c r="N479" s="71">
        <v>1</v>
      </c>
      <c r="O479" s="72">
        <v>1801</v>
      </c>
      <c r="P479" s="73" t="str">
        <f>VLOOKUP(Tabla6[[#This Row],[GEO]],Listas!$A$48:$B$77,2,0)</f>
        <v>AMBATO</v>
      </c>
      <c r="Q479" s="70">
        <f>VLOOKUP(Tabla6[[#This Row],[PG]],Listas2!$G$14:$K$16,3,0)</f>
        <v>1</v>
      </c>
      <c r="R479" s="73">
        <f>VLOOKUP(Tabla6[[#This Row],[PG]],Listas2!H145:'Listas2'!$G$14:$K$16,4,0)</f>
        <v>0</v>
      </c>
      <c r="S479" s="73">
        <f>VLOOKUP(Tabla6[[#This Row],[PG]],Listas2!$G$14:$K$16,2,0)</f>
        <v>0</v>
      </c>
      <c r="T479" s="66" t="s">
        <v>84</v>
      </c>
      <c r="U479" s="74">
        <v>53</v>
      </c>
      <c r="V479" s="66">
        <v>530804</v>
      </c>
      <c r="W479" s="63" t="str">
        <f>VLOOKUP(Tabla6[[#This Row],[ÍTEM PRESUPUESTARIO]],Tabla2[#All],2,0)</f>
        <v>MATERIALES DE OFICINA</v>
      </c>
      <c r="X479" s="57">
        <v>0</v>
      </c>
      <c r="Y479" s="57">
        <f>927.45-183.86</f>
        <v>743.59</v>
      </c>
      <c r="Z479" s="58">
        <v>0</v>
      </c>
      <c r="AA479" s="58">
        <v>0</v>
      </c>
      <c r="AB479" s="58">
        <v>0</v>
      </c>
      <c r="AC479" s="58">
        <v>0</v>
      </c>
      <c r="AD479" s="58">
        <v>0</v>
      </c>
      <c r="AE479" s="58">
        <v>0</v>
      </c>
      <c r="AF479" s="58">
        <v>743.59</v>
      </c>
      <c r="AG479" s="58">
        <v>0</v>
      </c>
      <c r="AH479" s="58">
        <v>0</v>
      </c>
      <c r="AI479" s="58">
        <v>0</v>
      </c>
      <c r="AJ479" s="58">
        <v>0</v>
      </c>
      <c r="AK479" s="58">
        <v>0</v>
      </c>
      <c r="AL479" s="75">
        <f>+SUBTOTAL(9,Tabla6[[#This Row],[ENE]:[DIC]])</f>
        <v>743.59</v>
      </c>
      <c r="AM479" s="76" t="str">
        <f t="shared" si="10"/>
        <v>OK</v>
      </c>
      <c r="AN479" s="60">
        <f>927.45-183.86</f>
        <v>743.59</v>
      </c>
      <c r="AO479" s="61">
        <f>+Tabla6[[#This Row],[PRESUPUESTO VIGENTE]]-Tabla6[[#This Row],[CERTIFICACIÓN PAPP]]</f>
        <v>0</v>
      </c>
      <c r="AP479" s="59">
        <v>0</v>
      </c>
    </row>
    <row r="480" spans="1:42" ht="93" customHeight="1" x14ac:dyDescent="0.25">
      <c r="A480" s="62" t="s">
        <v>78</v>
      </c>
      <c r="B480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480" s="64" t="s">
        <v>79</v>
      </c>
      <c r="D480" s="64" t="s">
        <v>80</v>
      </c>
      <c r="E480" s="64" t="s">
        <v>81</v>
      </c>
      <c r="F480" s="64" t="s">
        <v>96</v>
      </c>
      <c r="G480" s="64" t="s">
        <v>92</v>
      </c>
      <c r="H480" s="65" t="str">
        <f>VLOOKUP(Tabla6[[#This Row],[DIRECCIÓN]],DIRECCIÓN[#All],2,0)</f>
        <v>ADMINISTRACIÓN CENTRAL</v>
      </c>
      <c r="I480" s="66" t="s">
        <v>663</v>
      </c>
      <c r="J480" s="67">
        <v>1</v>
      </c>
      <c r="K480" s="68" t="str">
        <f>VLOOKUP(Tabla6[[#This Row],[DIRECCIÓN GENERAL / COORDINACIÓN / SUBDIRECCIÓN]],Tabla37[[#All],[Columna1]:[EOD]],2,0)</f>
        <v>266_0003</v>
      </c>
      <c r="L480" s="69">
        <f>VLOOKUP(Tabla6[[#This Row],[OBJETIVOS PND]],Listas!$A$1:$C$3,3,0)</f>
        <v>1</v>
      </c>
      <c r="M480" s="70">
        <f>VLOOKUP(Tabla6[[#This Row],[PG]],Listas2!$G$14:$K$16,5,0)</f>
        <v>0</v>
      </c>
      <c r="N480" s="71">
        <v>1</v>
      </c>
      <c r="O480" s="72">
        <v>1801</v>
      </c>
      <c r="P480" s="73" t="str">
        <f>VLOOKUP(Tabla6[[#This Row],[GEO]],Listas!$A$48:$B$77,2,0)</f>
        <v>AMBATO</v>
      </c>
      <c r="Q480" s="70">
        <f>VLOOKUP(Tabla6[[#This Row],[PG]],Listas2!$G$14:$K$16,3,0)</f>
        <v>1</v>
      </c>
      <c r="R480" s="73">
        <f>VLOOKUP(Tabla6[[#This Row],[PG]],Listas2!H146:'Listas2'!$G$14:$K$16,4,0)</f>
        <v>0</v>
      </c>
      <c r="S480" s="73">
        <f>VLOOKUP(Tabla6[[#This Row],[PG]],Listas2!$G$14:$K$16,2,0)</f>
        <v>0</v>
      </c>
      <c r="T480" s="66" t="s">
        <v>84</v>
      </c>
      <c r="U480" s="74">
        <v>53</v>
      </c>
      <c r="V480" s="66">
        <v>530805</v>
      </c>
      <c r="W480" s="63" t="str">
        <f>VLOOKUP(Tabla6[[#This Row],[ÍTEM PRESUPUESTARIO]],Tabla2[#All],2,0)</f>
        <v>MATERIALES DE ASEO</v>
      </c>
      <c r="X480" s="57">
        <v>1500</v>
      </c>
      <c r="Y480" s="57">
        <f>1500-54.88-424.79-381.35-43.45</f>
        <v>595.52999999999986</v>
      </c>
      <c r="Z480" s="58">
        <v>0</v>
      </c>
      <c r="AA480" s="58">
        <v>0</v>
      </c>
      <c r="AB480" s="58">
        <v>595.53</v>
      </c>
      <c r="AC480" s="58">
        <v>0</v>
      </c>
      <c r="AD480" s="58">
        <v>0</v>
      </c>
      <c r="AE480" s="58">
        <v>0</v>
      </c>
      <c r="AF480" s="58">
        <v>0</v>
      </c>
      <c r="AG480" s="58">
        <v>0</v>
      </c>
      <c r="AH480" s="58">
        <v>0</v>
      </c>
      <c r="AI480" s="58">
        <v>0</v>
      </c>
      <c r="AJ480" s="58">
        <v>0</v>
      </c>
      <c r="AK480" s="58">
        <v>0</v>
      </c>
      <c r="AL480" s="75">
        <f>+SUBTOTAL(9,Tabla6[[#This Row],[ENE]:[DIC]])</f>
        <v>595.53</v>
      </c>
      <c r="AM480" s="76" t="str">
        <f t="shared" si="10"/>
        <v>OK</v>
      </c>
      <c r="AN480" s="60">
        <v>595.53</v>
      </c>
      <c r="AO480" s="61">
        <f>+Tabla6[[#This Row],[PRESUPUESTO VIGENTE]]-Tabla6[[#This Row],[CERTIFICACIÓN PAPP]]</f>
        <v>0</v>
      </c>
      <c r="AP480" s="59">
        <v>0</v>
      </c>
    </row>
    <row r="481" spans="1:42" ht="93" customHeight="1" x14ac:dyDescent="0.25">
      <c r="A481" s="62" t="s">
        <v>78</v>
      </c>
      <c r="B481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481" s="64" t="s">
        <v>85</v>
      </c>
      <c r="D481" s="64" t="s">
        <v>80</v>
      </c>
      <c r="E481" s="64" t="s">
        <v>81</v>
      </c>
      <c r="F481" s="64" t="s">
        <v>96</v>
      </c>
      <c r="G481" s="64" t="s">
        <v>94</v>
      </c>
      <c r="H481" s="65" t="str">
        <f>VLOOKUP(Tabla6[[#This Row],[DIRECCIÓN]],DIRECCIÓN[#All],2,0)</f>
        <v>COMUNICACIÓN SOCIAL</v>
      </c>
      <c r="I481" s="66" t="s">
        <v>630</v>
      </c>
      <c r="J481" s="67">
        <v>1</v>
      </c>
      <c r="K481" s="68" t="str">
        <f>VLOOKUP(Tabla6[[#This Row],[DIRECCIÓN GENERAL / COORDINACIÓN / SUBDIRECCIÓN]],Tabla37[[#All],[Columna1]:[EOD]],2,0)</f>
        <v>266_0003</v>
      </c>
      <c r="L481" s="69">
        <f>VLOOKUP(Tabla6[[#This Row],[OBJETIVOS PND]],Listas!$A$1:$C$3,3,0)</f>
        <v>1</v>
      </c>
      <c r="M481" s="70">
        <f>VLOOKUP(Tabla6[[#This Row],[PG]],Listas2!$G$14:$K$16,5,0)</f>
        <v>0</v>
      </c>
      <c r="N481" s="71">
        <v>1</v>
      </c>
      <c r="O481" s="72">
        <v>1801</v>
      </c>
      <c r="P481" s="73" t="str">
        <f>VLOOKUP(Tabla6[[#This Row],[GEO]],Listas!$A$48:$B$77,2,0)</f>
        <v>AMBATO</v>
      </c>
      <c r="Q481" s="70">
        <f>VLOOKUP(Tabla6[[#This Row],[PG]],Listas2!$G$14:$K$16,3,0)</f>
        <v>1</v>
      </c>
      <c r="R481" s="73">
        <f>VLOOKUP(Tabla6[[#This Row],[PG]],Listas2!H147:'Listas2'!$G$14:$K$16,4,0)</f>
        <v>0</v>
      </c>
      <c r="S481" s="73">
        <f>VLOOKUP(Tabla6[[#This Row],[PG]],Listas2!$G$14:$K$16,2,0)</f>
        <v>0</v>
      </c>
      <c r="T481" s="66" t="s">
        <v>84</v>
      </c>
      <c r="U481" s="74">
        <v>53</v>
      </c>
      <c r="V481" s="66">
        <v>530807</v>
      </c>
      <c r="W481" s="63" t="str">
        <f>VLOOKUP(Tabla6[[#This Row],[ÍTEM PRESUPUESTARIO]],Tabla2[#All],2,0)</f>
        <v>MATERIALES DE IMPRESIÓN, FOTOGRAFÍA, REPRODUCCIÓN Y PUBLICACIONES</v>
      </c>
      <c r="X481" s="57">
        <v>0</v>
      </c>
      <c r="Y481" s="57">
        <f>678-339-339</f>
        <v>0</v>
      </c>
      <c r="Z481" s="58">
        <v>0</v>
      </c>
      <c r="AA481" s="58">
        <v>0</v>
      </c>
      <c r="AB481" s="58">
        <v>0</v>
      </c>
      <c r="AC481" s="58">
        <v>0</v>
      </c>
      <c r="AD481" s="58">
        <v>0</v>
      </c>
      <c r="AE481" s="58">
        <v>0</v>
      </c>
      <c r="AF481" s="58">
        <v>0</v>
      </c>
      <c r="AG481" s="58">
        <v>0</v>
      </c>
      <c r="AH481" s="58">
        <v>0</v>
      </c>
      <c r="AI481" s="58">
        <v>0</v>
      </c>
      <c r="AJ481" s="58">
        <v>0</v>
      </c>
      <c r="AK481" s="58">
        <v>0</v>
      </c>
      <c r="AL481" s="75">
        <f>+SUBTOTAL(9,Tabla6[[#This Row],[ENE]:[DIC]])</f>
        <v>0</v>
      </c>
      <c r="AM481" s="76" t="str">
        <f t="shared" si="10"/>
        <v>OK</v>
      </c>
      <c r="AN481" s="60">
        <v>0</v>
      </c>
      <c r="AO481" s="61">
        <f>+Tabla6[[#This Row],[PRESUPUESTO VIGENTE]]-Tabla6[[#This Row],[CERTIFICACIÓN PAPP]]</f>
        <v>0</v>
      </c>
      <c r="AP481" s="59">
        <v>0</v>
      </c>
    </row>
    <row r="482" spans="1:42" ht="93" customHeight="1" x14ac:dyDescent="0.25">
      <c r="A482" s="62" t="s">
        <v>78</v>
      </c>
      <c r="B482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482" s="64" t="s">
        <v>79</v>
      </c>
      <c r="D482" s="64" t="s">
        <v>80</v>
      </c>
      <c r="E482" s="64" t="s">
        <v>81</v>
      </c>
      <c r="F482" s="64" t="s">
        <v>96</v>
      </c>
      <c r="G482" s="64" t="s">
        <v>92</v>
      </c>
      <c r="H482" s="65" t="str">
        <f>VLOOKUP(Tabla6[[#This Row],[DIRECCIÓN]],DIRECCIÓN[#All],2,0)</f>
        <v>ADMINISTRACIÓN CENTRAL</v>
      </c>
      <c r="I482" s="66" t="s">
        <v>647</v>
      </c>
      <c r="J482" s="67">
        <v>1</v>
      </c>
      <c r="K482" s="68" t="str">
        <f>VLOOKUP(Tabla6[[#This Row],[DIRECCIÓN GENERAL / COORDINACIÓN / SUBDIRECCIÓN]],Tabla37[[#All],[Columna1]:[EOD]],2,0)</f>
        <v>266_0003</v>
      </c>
      <c r="L482" s="69">
        <f>VLOOKUP(Tabla6[[#This Row],[OBJETIVOS PND]],Listas!$A$1:$C$3,3,0)</f>
        <v>1</v>
      </c>
      <c r="M482" s="70">
        <f>VLOOKUP(Tabla6[[#This Row],[PG]],Listas2!$G$14:$K$16,5,0)</f>
        <v>0</v>
      </c>
      <c r="N482" s="71">
        <v>1</v>
      </c>
      <c r="O482" s="72">
        <v>1801</v>
      </c>
      <c r="P482" s="73" t="str">
        <f>VLOOKUP(Tabla6[[#This Row],[GEO]],Listas!$A$48:$B$77,2,0)</f>
        <v>AMBATO</v>
      </c>
      <c r="Q482" s="70">
        <f>VLOOKUP(Tabla6[[#This Row],[PG]],Listas2!$G$14:$K$16,3,0)</f>
        <v>1</v>
      </c>
      <c r="R482" s="73">
        <f>VLOOKUP(Tabla6[[#This Row],[PG]],Listas2!H148:'Listas2'!$G$14:$K$16,4,0)</f>
        <v>0</v>
      </c>
      <c r="S482" s="73">
        <f>VLOOKUP(Tabla6[[#This Row],[PG]],Listas2!$G$14:$K$16,2,0)</f>
        <v>0</v>
      </c>
      <c r="T482" s="66" t="s">
        <v>84</v>
      </c>
      <c r="U482" s="74">
        <v>53</v>
      </c>
      <c r="V482" s="66">
        <v>530807</v>
      </c>
      <c r="W482" s="63" t="str">
        <f>VLOOKUP(Tabla6[[#This Row],[ÍTEM PRESUPUESTARIO]],Tabla2[#All],2,0)</f>
        <v>MATERIALES DE IMPRESIÓN, FOTOGRAFÍA, REPRODUCCIÓN Y PUBLICACIONES</v>
      </c>
      <c r="X482" s="57">
        <v>0</v>
      </c>
      <c r="Y482" s="57">
        <v>1520</v>
      </c>
      <c r="Z482" s="58">
        <v>0</v>
      </c>
      <c r="AA482" s="58">
        <v>0</v>
      </c>
      <c r="AB482" s="58">
        <v>0</v>
      </c>
      <c r="AC482" s="58">
        <v>0</v>
      </c>
      <c r="AD482" s="58">
        <v>1520</v>
      </c>
      <c r="AE482" s="58">
        <v>0</v>
      </c>
      <c r="AF482" s="58">
        <v>0</v>
      </c>
      <c r="AG482" s="58">
        <v>0</v>
      </c>
      <c r="AH482" s="58">
        <v>0</v>
      </c>
      <c r="AI482" s="58">
        <v>0</v>
      </c>
      <c r="AJ482" s="58">
        <v>0</v>
      </c>
      <c r="AK482" s="58">
        <v>0</v>
      </c>
      <c r="AL482" s="75">
        <f>+SUBTOTAL(9,Tabla6[[#This Row],[ENE]:[DIC]])</f>
        <v>1520</v>
      </c>
      <c r="AM482" s="76" t="str">
        <f t="shared" si="10"/>
        <v>OK</v>
      </c>
      <c r="AN482" s="60">
        <v>1520</v>
      </c>
      <c r="AO482" s="61">
        <f>+Tabla6[[#This Row],[PRESUPUESTO VIGENTE]]-Tabla6[[#This Row],[CERTIFICACIÓN PAPP]]</f>
        <v>0</v>
      </c>
      <c r="AP482" s="59">
        <v>0</v>
      </c>
    </row>
    <row r="483" spans="1:42" ht="93" customHeight="1" x14ac:dyDescent="0.25">
      <c r="A483" s="62" t="s">
        <v>78</v>
      </c>
      <c r="B483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483" s="64" t="s">
        <v>79</v>
      </c>
      <c r="D483" s="64" t="s">
        <v>80</v>
      </c>
      <c r="E483" s="64" t="s">
        <v>81</v>
      </c>
      <c r="F483" s="64" t="s">
        <v>96</v>
      </c>
      <c r="G483" s="64" t="s">
        <v>92</v>
      </c>
      <c r="H483" s="65" t="str">
        <f>VLOOKUP(Tabla6[[#This Row],[DIRECCIÓN]],DIRECCIÓN[#All],2,0)</f>
        <v>ADMINISTRACIÓN CENTRAL</v>
      </c>
      <c r="I483" s="66" t="s">
        <v>661</v>
      </c>
      <c r="J483" s="67">
        <v>1</v>
      </c>
      <c r="K483" s="68" t="str">
        <f>VLOOKUP(Tabla6[[#This Row],[DIRECCIÓN GENERAL / COORDINACIÓN / SUBDIRECCIÓN]],Tabla37[[#All],[Columna1]:[EOD]],2,0)</f>
        <v>266_0003</v>
      </c>
      <c r="L483" s="69">
        <f>VLOOKUP(Tabla6[[#This Row],[OBJETIVOS PND]],Listas!$A$1:$C$3,3,0)</f>
        <v>1</v>
      </c>
      <c r="M483" s="70">
        <f>VLOOKUP(Tabla6[[#This Row],[PG]],Listas2!$G$14:$K$16,5,0)</f>
        <v>0</v>
      </c>
      <c r="N483" s="71">
        <v>1</v>
      </c>
      <c r="O483" s="72">
        <v>1801</v>
      </c>
      <c r="P483" s="73" t="str">
        <f>VLOOKUP(Tabla6[[#This Row],[GEO]],Listas!$A$48:$B$77,2,0)</f>
        <v>AMBATO</v>
      </c>
      <c r="Q483" s="70">
        <f>VLOOKUP(Tabla6[[#This Row],[PG]],Listas2!$G$14:$K$16,3,0)</f>
        <v>1</v>
      </c>
      <c r="R483" s="73">
        <f>VLOOKUP(Tabla6[[#This Row],[PG]],Listas2!H149:'Listas2'!$G$14:$K$16,4,0)</f>
        <v>0</v>
      </c>
      <c r="S483" s="73">
        <f>VLOOKUP(Tabla6[[#This Row],[PG]],Listas2!$G$14:$K$16,2,0)</f>
        <v>0</v>
      </c>
      <c r="T483" s="66" t="s">
        <v>84</v>
      </c>
      <c r="U483" s="74">
        <v>53</v>
      </c>
      <c r="V483" s="66">
        <v>530811</v>
      </c>
      <c r="W483" s="63" t="str">
        <f>VLOOKUP(Tabla6[[#This Row],[ÍTEM PRESUPUESTARIO]],Tabla2[#All],2,0)</f>
        <v>INSUMOS, MATERIALES Y SUMINISTROS PARA CONSTRUCCIÓN, ELECTRICIDAD, PLOMERÍA, CARPINTERÍA, SEÑALIZACIÓN VIAL, NAVEGACIÓN, CONTRA INCENDIOS Y PLACAS</v>
      </c>
      <c r="X483" s="57">
        <v>0</v>
      </c>
      <c r="Y483" s="57">
        <v>475</v>
      </c>
      <c r="Z483" s="58">
        <v>0</v>
      </c>
      <c r="AA483" s="58">
        <v>0</v>
      </c>
      <c r="AB483" s="58">
        <v>0</v>
      </c>
      <c r="AC483" s="58">
        <v>0</v>
      </c>
      <c r="AD483" s="58">
        <v>0</v>
      </c>
      <c r="AE483" s="58">
        <v>0</v>
      </c>
      <c r="AF483" s="58">
        <v>0</v>
      </c>
      <c r="AG483" s="58">
        <v>0</v>
      </c>
      <c r="AH483" s="58">
        <v>0</v>
      </c>
      <c r="AI483" s="58">
        <v>0</v>
      </c>
      <c r="AJ483" s="58">
        <v>475</v>
      </c>
      <c r="AK483" s="58">
        <v>0</v>
      </c>
      <c r="AL483" s="75">
        <f>+SUBTOTAL(9,Tabla6[[#This Row],[ENE]:[DIC]])</f>
        <v>475</v>
      </c>
      <c r="AM483" s="76" t="str">
        <f t="shared" si="10"/>
        <v>OK</v>
      </c>
      <c r="AN483" s="60">
        <v>475</v>
      </c>
      <c r="AO483" s="61">
        <f>+Tabla6[[#This Row],[PRESUPUESTO VIGENTE]]-Tabla6[[#This Row],[CERTIFICACIÓN PAPP]]</f>
        <v>0</v>
      </c>
      <c r="AP483" s="59">
        <v>0</v>
      </c>
    </row>
    <row r="484" spans="1:42" ht="93" customHeight="1" x14ac:dyDescent="0.25">
      <c r="A484" s="62" t="s">
        <v>78</v>
      </c>
      <c r="B484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484" s="64" t="s">
        <v>79</v>
      </c>
      <c r="D484" s="64" t="s">
        <v>80</v>
      </c>
      <c r="E484" s="64" t="s">
        <v>81</v>
      </c>
      <c r="F484" s="64" t="s">
        <v>96</v>
      </c>
      <c r="G484" s="64" t="s">
        <v>92</v>
      </c>
      <c r="H484" s="65" t="str">
        <f>VLOOKUP(Tabla6[[#This Row],[DIRECCIÓN]],DIRECCIÓN[#All],2,0)</f>
        <v>ADMINISTRACIÓN CENTRAL</v>
      </c>
      <c r="I484" s="66" t="s">
        <v>97</v>
      </c>
      <c r="J484" s="67">
        <v>1</v>
      </c>
      <c r="K484" s="68" t="str">
        <f>VLOOKUP(Tabla6[[#This Row],[DIRECCIÓN GENERAL / COORDINACIÓN / SUBDIRECCIÓN]],Tabla37[[#All],[Columna1]:[EOD]],2,0)</f>
        <v>266_0003</v>
      </c>
      <c r="L484" s="69">
        <f>VLOOKUP(Tabla6[[#This Row],[OBJETIVOS PND]],Listas!$A$1:$C$3,3,0)</f>
        <v>1</v>
      </c>
      <c r="M484" s="70">
        <f>VLOOKUP(Tabla6[[#This Row],[PG]],Listas2!$G$14:$K$16,5,0)</f>
        <v>0</v>
      </c>
      <c r="N484" s="71">
        <v>1</v>
      </c>
      <c r="O484" s="72">
        <v>1801</v>
      </c>
      <c r="P484" s="73" t="str">
        <f>VLOOKUP(Tabla6[[#This Row],[GEO]],Listas!$A$48:$B$77,2,0)</f>
        <v>AMBATO</v>
      </c>
      <c r="Q484" s="70">
        <f>VLOOKUP(Tabla6[[#This Row],[PG]],Listas2!$G$14:$K$16,3,0)</f>
        <v>1</v>
      </c>
      <c r="R484" s="73">
        <f>VLOOKUP(Tabla6[[#This Row],[PG]],Listas2!H150:'Listas2'!$G$14:$K$16,4,0)</f>
        <v>0</v>
      </c>
      <c r="S484" s="73">
        <f>VLOOKUP(Tabla6[[#This Row],[PG]],Listas2!$G$14:$K$16,2,0)</f>
        <v>0</v>
      </c>
      <c r="T484" s="66" t="s">
        <v>84</v>
      </c>
      <c r="U484" s="74">
        <v>53</v>
      </c>
      <c r="V484" s="66">
        <v>530811</v>
      </c>
      <c r="W484" s="63" t="str">
        <f>VLOOKUP(Tabla6[[#This Row],[ÍTEM PRESUPUESTARIO]],Tabla2[#All],2,0)</f>
        <v>INSUMOS, MATERIALES Y SUMINISTROS PARA CONSTRUCCIÓN, ELECTRICIDAD, PLOMERÍA, CARPINTERÍA, SEÑALIZACIÓN VIAL, NAVEGACIÓN, CONTRA INCENDIOS Y PLACAS</v>
      </c>
      <c r="X484" s="57">
        <v>0</v>
      </c>
      <c r="Y484" s="57">
        <v>96.66</v>
      </c>
      <c r="Z484" s="58">
        <v>0</v>
      </c>
      <c r="AA484" s="58">
        <v>96.66</v>
      </c>
      <c r="AB484" s="58">
        <v>0</v>
      </c>
      <c r="AC484" s="58">
        <v>0</v>
      </c>
      <c r="AD484" s="58">
        <v>0</v>
      </c>
      <c r="AE484" s="58">
        <v>0</v>
      </c>
      <c r="AF484" s="58">
        <v>0</v>
      </c>
      <c r="AG484" s="58">
        <v>0</v>
      </c>
      <c r="AH484" s="58">
        <v>0</v>
      </c>
      <c r="AI484" s="58">
        <v>0</v>
      </c>
      <c r="AJ484" s="58">
        <v>0</v>
      </c>
      <c r="AK484" s="58">
        <v>0</v>
      </c>
      <c r="AL484" s="75">
        <f>+SUBTOTAL(9,Tabla6[[#This Row],[ENE]:[DIC]])</f>
        <v>96.66</v>
      </c>
      <c r="AM484" s="76" t="str">
        <f t="shared" si="10"/>
        <v>OK</v>
      </c>
      <c r="AN484" s="60">
        <v>96.66</v>
      </c>
      <c r="AO484" s="61">
        <f>+Tabla6[[#This Row],[PRESUPUESTO VIGENTE]]-Tabla6[[#This Row],[CERTIFICACIÓN PAPP]]</f>
        <v>0</v>
      </c>
      <c r="AP484" s="59">
        <v>0</v>
      </c>
    </row>
    <row r="485" spans="1:42" ht="93" customHeight="1" x14ac:dyDescent="0.25">
      <c r="A485" s="62" t="s">
        <v>78</v>
      </c>
      <c r="B485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485" s="64" t="s">
        <v>85</v>
      </c>
      <c r="D485" s="64" t="s">
        <v>80</v>
      </c>
      <c r="E485" s="64" t="s">
        <v>81</v>
      </c>
      <c r="F485" s="64" t="s">
        <v>96</v>
      </c>
      <c r="G485" s="64" t="s">
        <v>94</v>
      </c>
      <c r="H485" s="65" t="str">
        <f>VLOOKUP(Tabla6[[#This Row],[DIRECCIÓN]],DIRECCIÓN[#All],2,0)</f>
        <v>COMUNICACIÓN SOCIAL</v>
      </c>
      <c r="I485" s="66" t="s">
        <v>630</v>
      </c>
      <c r="J485" s="67">
        <v>1</v>
      </c>
      <c r="K485" s="68" t="str">
        <f>VLOOKUP(Tabla6[[#This Row],[DIRECCIÓN GENERAL / COORDINACIÓN / SUBDIRECCIÓN]],Tabla37[[#All],[Columna1]:[EOD]],2,0)</f>
        <v>266_0003</v>
      </c>
      <c r="L485" s="69">
        <f>VLOOKUP(Tabla6[[#This Row],[OBJETIVOS PND]],Listas!$A$1:$C$3,3,0)</f>
        <v>1</v>
      </c>
      <c r="M485" s="70">
        <f>VLOOKUP(Tabla6[[#This Row],[PG]],Listas2!$G$14:$K$16,5,0)</f>
        <v>0</v>
      </c>
      <c r="N485" s="71">
        <v>1</v>
      </c>
      <c r="O485" s="72">
        <v>1801</v>
      </c>
      <c r="P485" s="73" t="str">
        <f>VLOOKUP(Tabla6[[#This Row],[GEO]],Listas!$A$48:$B$77,2,0)</f>
        <v>AMBATO</v>
      </c>
      <c r="Q485" s="70">
        <f>VLOOKUP(Tabla6[[#This Row],[PG]],Listas2!$G$14:$K$16,3,0)</f>
        <v>1</v>
      </c>
      <c r="R485" s="73">
        <f>VLOOKUP(Tabla6[[#This Row],[PG]],Listas2!H151:'Listas2'!$G$14:$K$16,4,0)</f>
        <v>0</v>
      </c>
      <c r="S485" s="73">
        <f>VLOOKUP(Tabla6[[#This Row],[PG]],Listas2!$G$14:$K$16,2,0)</f>
        <v>0</v>
      </c>
      <c r="T485" s="66" t="s">
        <v>84</v>
      </c>
      <c r="U485" s="74">
        <v>53</v>
      </c>
      <c r="V485" s="66">
        <v>530812</v>
      </c>
      <c r="W485" s="63" t="str">
        <f>VLOOKUP(Tabla6[[#This Row],[ÍTEM PRESUPUESTARIO]],Tabla2[#All],2,0)</f>
        <v>MATERIALES DIDÁCTICOS</v>
      </c>
      <c r="X485" s="57">
        <v>0</v>
      </c>
      <c r="Y485" s="57">
        <f>810-405+255</f>
        <v>660</v>
      </c>
      <c r="Z485" s="58">
        <v>0</v>
      </c>
      <c r="AA485" s="58">
        <v>0</v>
      </c>
      <c r="AB485" s="58">
        <v>0</v>
      </c>
      <c r="AC485" s="58">
        <v>0</v>
      </c>
      <c r="AD485" s="58">
        <v>0</v>
      </c>
      <c r="AE485" s="58">
        <v>0</v>
      </c>
      <c r="AF485" s="58">
        <v>0</v>
      </c>
      <c r="AG485" s="58">
        <v>0</v>
      </c>
      <c r="AH485" s="58">
        <v>0</v>
      </c>
      <c r="AI485" s="58">
        <v>0</v>
      </c>
      <c r="AJ485" s="58">
        <v>660</v>
      </c>
      <c r="AK485" s="58">
        <v>0</v>
      </c>
      <c r="AL485" s="75">
        <f>+SUBTOTAL(9,Tabla6[[#This Row],[ENE]:[DIC]])</f>
        <v>660</v>
      </c>
      <c r="AM485" s="76" t="str">
        <f t="shared" si="10"/>
        <v>OK</v>
      </c>
      <c r="AN485" s="60">
        <v>660</v>
      </c>
      <c r="AO485" s="61">
        <f>+Tabla6[[#This Row],[PRESUPUESTO VIGENTE]]-Tabla6[[#This Row],[CERTIFICACIÓN PAPP]]</f>
        <v>0</v>
      </c>
      <c r="AP485" s="59">
        <v>0</v>
      </c>
    </row>
    <row r="486" spans="1:42" ht="93" customHeight="1" x14ac:dyDescent="0.25">
      <c r="A486" s="62" t="s">
        <v>78</v>
      </c>
      <c r="B486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486" s="64" t="s">
        <v>79</v>
      </c>
      <c r="D486" s="64" t="s">
        <v>80</v>
      </c>
      <c r="E486" s="64" t="s">
        <v>81</v>
      </c>
      <c r="F486" s="64" t="s">
        <v>96</v>
      </c>
      <c r="G486" s="64" t="s">
        <v>92</v>
      </c>
      <c r="H486" s="65" t="str">
        <f>VLOOKUP(Tabla6[[#This Row],[DIRECCIÓN]],DIRECCIÓN[#All],2,0)</f>
        <v>ADMINISTRACIÓN CENTRAL</v>
      </c>
      <c r="I486" s="66" t="s">
        <v>642</v>
      </c>
      <c r="J486" s="67">
        <v>1</v>
      </c>
      <c r="K486" s="68" t="str">
        <f>VLOOKUP(Tabla6[[#This Row],[DIRECCIÓN GENERAL / COORDINACIÓN / SUBDIRECCIÓN]],Tabla37[[#All],[Columna1]:[EOD]],2,0)</f>
        <v>266_0003</v>
      </c>
      <c r="L486" s="69">
        <f>VLOOKUP(Tabla6[[#This Row],[OBJETIVOS PND]],Listas!$A$1:$C$3,3,0)</f>
        <v>1</v>
      </c>
      <c r="M486" s="70">
        <f>VLOOKUP(Tabla6[[#This Row],[PG]],Listas2!$G$14:$K$16,5,0)</f>
        <v>0</v>
      </c>
      <c r="N486" s="71">
        <v>1</v>
      </c>
      <c r="O486" s="72">
        <v>1801</v>
      </c>
      <c r="P486" s="73" t="str">
        <f>VLOOKUP(Tabla6[[#This Row],[GEO]],Listas!$A$48:$B$77,2,0)</f>
        <v>AMBATO</v>
      </c>
      <c r="Q486" s="70">
        <f>VLOOKUP(Tabla6[[#This Row],[PG]],Listas2!$G$14:$K$16,3,0)</f>
        <v>1</v>
      </c>
      <c r="R486" s="73">
        <f>VLOOKUP(Tabla6[[#This Row],[PG]],Listas2!H152:'Listas2'!$G$14:$K$16,4,0)</f>
        <v>0</v>
      </c>
      <c r="S486" s="73">
        <f>VLOOKUP(Tabla6[[#This Row],[PG]],Listas2!$G$14:$K$16,2,0)</f>
        <v>0</v>
      </c>
      <c r="T486" s="66" t="s">
        <v>84</v>
      </c>
      <c r="U486" s="74">
        <v>53</v>
      </c>
      <c r="V486" s="66">
        <v>530813</v>
      </c>
      <c r="W486" s="63" t="str">
        <f>VLOOKUP(Tabla6[[#This Row],[ÍTEM PRESUPUESTARIO]],Tabla2[#All],2,0)</f>
        <v>REPUESTOS Y ACCESORIOS</v>
      </c>
      <c r="X486" s="57">
        <v>0</v>
      </c>
      <c r="Y486" s="57">
        <v>1711</v>
      </c>
      <c r="Z486" s="58">
        <v>0</v>
      </c>
      <c r="AA486" s="58">
        <v>0</v>
      </c>
      <c r="AB486" s="58">
        <v>0</v>
      </c>
      <c r="AC486" s="58">
        <v>0</v>
      </c>
      <c r="AD486" s="58">
        <v>0</v>
      </c>
      <c r="AE486" s="58">
        <v>0</v>
      </c>
      <c r="AF486" s="58">
        <v>0</v>
      </c>
      <c r="AG486" s="58">
        <v>0</v>
      </c>
      <c r="AH486" s="58">
        <v>0</v>
      </c>
      <c r="AI486" s="58">
        <v>1711</v>
      </c>
      <c r="AJ486" s="58">
        <v>0</v>
      </c>
      <c r="AK486" s="58">
        <v>0</v>
      </c>
      <c r="AL486" s="75">
        <f>+SUBTOTAL(9,Tabla6[[#This Row],[ENE]:[DIC]])</f>
        <v>1711</v>
      </c>
      <c r="AM486" s="76" t="str">
        <f t="shared" si="10"/>
        <v>OK</v>
      </c>
      <c r="AN486" s="60">
        <v>1711</v>
      </c>
      <c r="AO486" s="61">
        <f>+Tabla6[[#This Row],[PRESUPUESTO VIGENTE]]-Tabla6[[#This Row],[CERTIFICACIÓN PAPP]]</f>
        <v>0</v>
      </c>
      <c r="AP486" s="59">
        <v>0</v>
      </c>
    </row>
    <row r="487" spans="1:42" ht="93" customHeight="1" x14ac:dyDescent="0.25">
      <c r="A487" s="62" t="s">
        <v>78</v>
      </c>
      <c r="B487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487" s="64" t="s">
        <v>79</v>
      </c>
      <c r="D487" s="64" t="s">
        <v>80</v>
      </c>
      <c r="E487" s="64" t="s">
        <v>81</v>
      </c>
      <c r="F487" s="64" t="s">
        <v>96</v>
      </c>
      <c r="G487" s="64" t="s">
        <v>92</v>
      </c>
      <c r="H487" s="65" t="str">
        <f>VLOOKUP(Tabla6[[#This Row],[DIRECCIÓN]],DIRECCIÓN[#All],2,0)</f>
        <v>ADMINISTRACIÓN CENTRAL</v>
      </c>
      <c r="I487" s="66" t="s">
        <v>97</v>
      </c>
      <c r="J487" s="67">
        <v>1</v>
      </c>
      <c r="K487" s="68" t="str">
        <f>VLOOKUP(Tabla6[[#This Row],[DIRECCIÓN GENERAL / COORDINACIÓN / SUBDIRECCIÓN]],Tabla37[[#All],[Columna1]:[EOD]],2,0)</f>
        <v>266_0003</v>
      </c>
      <c r="L487" s="69">
        <f>VLOOKUP(Tabla6[[#This Row],[OBJETIVOS PND]],Listas!$A$1:$C$3,3,0)</f>
        <v>1</v>
      </c>
      <c r="M487" s="70">
        <f>VLOOKUP(Tabla6[[#This Row],[PG]],Listas2!$G$14:$K$16,5,0)</f>
        <v>0</v>
      </c>
      <c r="N487" s="71">
        <v>1</v>
      </c>
      <c r="O487" s="72">
        <v>1801</v>
      </c>
      <c r="P487" s="73" t="str">
        <f>VLOOKUP(Tabla6[[#This Row],[GEO]],Listas!$A$48:$B$77,2,0)</f>
        <v>AMBATO</v>
      </c>
      <c r="Q487" s="70">
        <f>VLOOKUP(Tabla6[[#This Row],[PG]],Listas2!$G$14:$K$16,3,0)</f>
        <v>1</v>
      </c>
      <c r="R487" s="73">
        <f>VLOOKUP(Tabla6[[#This Row],[PG]],Listas2!H153:'Listas2'!$G$14:$K$16,4,0)</f>
        <v>0</v>
      </c>
      <c r="S487" s="73">
        <f>VLOOKUP(Tabla6[[#This Row],[PG]],Listas2!$G$14:$K$16,2,0)</f>
        <v>0</v>
      </c>
      <c r="T487" s="66" t="s">
        <v>84</v>
      </c>
      <c r="U487" s="74">
        <v>53</v>
      </c>
      <c r="V487" s="66">
        <v>530813</v>
      </c>
      <c r="W487" s="63" t="str">
        <f>VLOOKUP(Tabla6[[#This Row],[ÍTEM PRESUPUESTARIO]],Tabla2[#All],2,0)</f>
        <v>REPUESTOS Y ACCESORIOS</v>
      </c>
      <c r="X487" s="57">
        <v>0</v>
      </c>
      <c r="Y487" s="57">
        <v>138.5</v>
      </c>
      <c r="Z487" s="58">
        <v>0</v>
      </c>
      <c r="AA487" s="58">
        <v>0</v>
      </c>
      <c r="AB487" s="58">
        <v>0</v>
      </c>
      <c r="AC487" s="58">
        <v>0</v>
      </c>
      <c r="AD487" s="58">
        <v>0</v>
      </c>
      <c r="AE487" s="58">
        <v>0</v>
      </c>
      <c r="AF487" s="58">
        <v>0</v>
      </c>
      <c r="AG487" s="58">
        <v>0</v>
      </c>
      <c r="AH487" s="58">
        <v>0</v>
      </c>
      <c r="AI487" s="58">
        <v>0</v>
      </c>
      <c r="AJ487" s="58">
        <v>138.5</v>
      </c>
      <c r="AK487" s="58">
        <v>0</v>
      </c>
      <c r="AL487" s="75">
        <f>+SUBTOTAL(9,Tabla6[[#This Row],[ENE]:[DIC]])</f>
        <v>138.5</v>
      </c>
      <c r="AM487" s="76" t="str">
        <f t="shared" si="10"/>
        <v>OK</v>
      </c>
      <c r="AN487" s="60">
        <v>138.5</v>
      </c>
      <c r="AO487" s="61">
        <f>+Tabla6[[#This Row],[PRESUPUESTO VIGENTE]]-Tabla6[[#This Row],[CERTIFICACIÓN PAPP]]</f>
        <v>0</v>
      </c>
      <c r="AP487" s="59">
        <v>0</v>
      </c>
    </row>
    <row r="488" spans="1:42" ht="93" customHeight="1" x14ac:dyDescent="0.25">
      <c r="A488" s="62" t="s">
        <v>78</v>
      </c>
      <c r="B488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488" s="64" t="s">
        <v>79</v>
      </c>
      <c r="D488" s="64" t="s">
        <v>80</v>
      </c>
      <c r="E488" s="64" t="s">
        <v>81</v>
      </c>
      <c r="F488" s="64" t="s">
        <v>96</v>
      </c>
      <c r="G488" s="64" t="s">
        <v>92</v>
      </c>
      <c r="H488" s="65" t="str">
        <f>VLOOKUP(Tabla6[[#This Row],[DIRECCIÓN]],DIRECCIÓN[#All],2,0)</f>
        <v>ADMINISTRACIÓN CENTRAL</v>
      </c>
      <c r="I488" s="66" t="s">
        <v>648</v>
      </c>
      <c r="J488" s="67">
        <v>1</v>
      </c>
      <c r="K488" s="68" t="str">
        <f>VLOOKUP(Tabla6[[#This Row],[DIRECCIÓN GENERAL / COORDINACIÓN / SUBDIRECCIÓN]],Tabla37[[#All],[Columna1]:[EOD]],2,0)</f>
        <v>266_0003</v>
      </c>
      <c r="L488" s="69">
        <f>VLOOKUP(Tabla6[[#This Row],[OBJETIVOS PND]],Listas!$A$1:$C$3,3,0)</f>
        <v>1</v>
      </c>
      <c r="M488" s="70">
        <f>VLOOKUP(Tabla6[[#This Row],[PG]],Listas2!$G$14:$K$16,5,0)</f>
        <v>0</v>
      </c>
      <c r="N488" s="71">
        <v>1</v>
      </c>
      <c r="O488" s="72">
        <v>1801</v>
      </c>
      <c r="P488" s="73" t="str">
        <f>VLOOKUP(Tabla6[[#This Row],[GEO]],Listas!$A$48:$B$77,2,0)</f>
        <v>AMBATO</v>
      </c>
      <c r="Q488" s="70">
        <f>VLOOKUP(Tabla6[[#This Row],[PG]],Listas2!$G$14:$K$16,3,0)</f>
        <v>1</v>
      </c>
      <c r="R488" s="73">
        <f>VLOOKUP(Tabla6[[#This Row],[PG]],Listas2!H154:'Listas2'!$G$14:$K$16,4,0)</f>
        <v>0</v>
      </c>
      <c r="S488" s="73">
        <f>VLOOKUP(Tabla6[[#This Row],[PG]],Listas2!$G$14:$K$16,2,0)</f>
        <v>0</v>
      </c>
      <c r="T488" s="66" t="s">
        <v>84</v>
      </c>
      <c r="U488" s="74">
        <v>53</v>
      </c>
      <c r="V488" s="66">
        <v>530813</v>
      </c>
      <c r="W488" s="63" t="str">
        <f>VLOOKUP(Tabla6[[#This Row],[ÍTEM PRESUPUESTARIO]],Tabla2[#All],2,0)</f>
        <v>REPUESTOS Y ACCESORIOS</v>
      </c>
      <c r="X488" s="57">
        <v>2950</v>
      </c>
      <c r="Y488" s="57">
        <f>2950-77.85-77.85-2005.57</f>
        <v>788.73000000000025</v>
      </c>
      <c r="Z488" s="58">
        <v>0</v>
      </c>
      <c r="AA488" s="58">
        <v>0</v>
      </c>
      <c r="AB488" s="58">
        <v>350</v>
      </c>
      <c r="AC488" s="58">
        <v>0</v>
      </c>
      <c r="AD488" s="58">
        <v>0</v>
      </c>
      <c r="AE488" s="58">
        <v>438.73</v>
      </c>
      <c r="AF488" s="58">
        <v>0</v>
      </c>
      <c r="AG488" s="58">
        <v>0</v>
      </c>
      <c r="AH488" s="58">
        <v>0</v>
      </c>
      <c r="AI488" s="58">
        <v>0</v>
      </c>
      <c r="AJ488" s="58">
        <v>0</v>
      </c>
      <c r="AK488" s="58">
        <v>0</v>
      </c>
      <c r="AL488" s="75">
        <f>+SUBTOTAL(9,Tabla6[[#This Row],[ENE]:[DIC]])</f>
        <v>788.73</v>
      </c>
      <c r="AM488" s="76" t="str">
        <f t="shared" si="10"/>
        <v>OK</v>
      </c>
      <c r="AN488" s="60">
        <f>2794.3-2005.57</f>
        <v>788.73000000000025</v>
      </c>
      <c r="AO488" s="61">
        <f>+Tabla6[[#This Row],[PRESUPUESTO VIGENTE]]-Tabla6[[#This Row],[CERTIFICACIÓN PAPP]]</f>
        <v>0</v>
      </c>
      <c r="AP488" s="59">
        <v>0</v>
      </c>
    </row>
    <row r="489" spans="1:42" ht="93" customHeight="1" x14ac:dyDescent="0.25">
      <c r="A489" s="62" t="s">
        <v>78</v>
      </c>
      <c r="B489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489" s="64" t="s">
        <v>85</v>
      </c>
      <c r="D489" s="64" t="s">
        <v>80</v>
      </c>
      <c r="E489" s="64" t="s">
        <v>81</v>
      </c>
      <c r="F489" s="64" t="s">
        <v>96</v>
      </c>
      <c r="G489" s="64" t="s">
        <v>94</v>
      </c>
      <c r="H489" s="65" t="str">
        <f>VLOOKUP(Tabla6[[#This Row],[DIRECCIÓN]],DIRECCIÓN[#All],2,0)</f>
        <v>COMUNICACIÓN SOCIAL</v>
      </c>
      <c r="I489" s="66" t="s">
        <v>630</v>
      </c>
      <c r="J489" s="67">
        <v>1</v>
      </c>
      <c r="K489" s="68" t="str">
        <f>VLOOKUP(Tabla6[[#This Row],[DIRECCIÓN GENERAL / COORDINACIÓN / SUBDIRECCIÓN]],Tabla37[[#All],[Columna1]:[EOD]],2,0)</f>
        <v>266_0003</v>
      </c>
      <c r="L489" s="69">
        <f>VLOOKUP(Tabla6[[#This Row],[OBJETIVOS PND]],Listas!$A$1:$C$3,3,0)</f>
        <v>1</v>
      </c>
      <c r="M489" s="70">
        <f>VLOOKUP(Tabla6[[#This Row],[PG]],Listas2!$G$14:$K$16,5,0)</f>
        <v>0</v>
      </c>
      <c r="N489" s="71">
        <v>1</v>
      </c>
      <c r="O489" s="72">
        <v>1801</v>
      </c>
      <c r="P489" s="73" t="str">
        <f>VLOOKUP(Tabla6[[#This Row],[GEO]],Listas!$A$48:$B$77,2,0)</f>
        <v>AMBATO</v>
      </c>
      <c r="Q489" s="70">
        <f>VLOOKUP(Tabla6[[#This Row],[PG]],Listas2!$G$14:$K$16,3,0)</f>
        <v>1</v>
      </c>
      <c r="R489" s="73">
        <f>VLOOKUP(Tabla6[[#This Row],[PG]],Listas2!H155:'Listas2'!$G$14:$K$16,4,0)</f>
        <v>0</v>
      </c>
      <c r="S489" s="73">
        <f>VLOOKUP(Tabla6[[#This Row],[PG]],Listas2!$G$14:$K$16,2,0)</f>
        <v>0</v>
      </c>
      <c r="T489" s="66" t="s">
        <v>84</v>
      </c>
      <c r="U489" s="74">
        <v>53</v>
      </c>
      <c r="V489" s="66">
        <v>530820</v>
      </c>
      <c r="W489" s="63" t="str">
        <f>VLOOKUP(Tabla6[[#This Row],[ÍTEM PRESUPUESTARIO]],Tabla2[#All],2,0)</f>
        <v>MENAJE Y ACCESORIOS DESCARTABLES</v>
      </c>
      <c r="X489" s="57">
        <v>0</v>
      </c>
      <c r="Y489" s="57">
        <f>468-234+261</f>
        <v>495</v>
      </c>
      <c r="Z489" s="58">
        <v>0</v>
      </c>
      <c r="AA489" s="58">
        <v>0</v>
      </c>
      <c r="AB489" s="58">
        <v>0</v>
      </c>
      <c r="AC489" s="58">
        <v>0</v>
      </c>
      <c r="AD489" s="58">
        <v>0</v>
      </c>
      <c r="AE489" s="58">
        <v>0</v>
      </c>
      <c r="AF489" s="58">
        <v>0</v>
      </c>
      <c r="AG489" s="58">
        <v>0</v>
      </c>
      <c r="AH489" s="58">
        <v>0</v>
      </c>
      <c r="AI489" s="58">
        <v>0</v>
      </c>
      <c r="AJ489" s="58">
        <v>495</v>
      </c>
      <c r="AK489" s="58">
        <v>0</v>
      </c>
      <c r="AL489" s="75">
        <f>+SUBTOTAL(9,Tabla6[[#This Row],[ENE]:[DIC]])</f>
        <v>495</v>
      </c>
      <c r="AM489" s="76" t="str">
        <f t="shared" si="10"/>
        <v>OK</v>
      </c>
      <c r="AN489" s="60">
        <v>495</v>
      </c>
      <c r="AO489" s="61">
        <f>+Tabla6[[#This Row],[PRESUPUESTO VIGENTE]]-Tabla6[[#This Row],[CERTIFICACIÓN PAPP]]</f>
        <v>0</v>
      </c>
      <c r="AP489" s="59">
        <v>0</v>
      </c>
    </row>
    <row r="490" spans="1:42" ht="93" customHeight="1" x14ac:dyDescent="0.25">
      <c r="A490" s="62" t="s">
        <v>78</v>
      </c>
      <c r="B490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490" s="64" t="s">
        <v>79</v>
      </c>
      <c r="D490" s="64" t="s">
        <v>80</v>
      </c>
      <c r="E490" s="64" t="s">
        <v>81</v>
      </c>
      <c r="F490" s="64" t="s">
        <v>96</v>
      </c>
      <c r="G490" s="64" t="s">
        <v>92</v>
      </c>
      <c r="H490" s="65" t="str">
        <f>VLOOKUP(Tabla6[[#This Row],[DIRECCIÓN]],DIRECCIÓN[#All],2,0)</f>
        <v>ADMINISTRACIÓN CENTRAL</v>
      </c>
      <c r="I490" s="66" t="s">
        <v>97</v>
      </c>
      <c r="J490" s="67">
        <v>1</v>
      </c>
      <c r="K490" s="68" t="str">
        <f>VLOOKUP(Tabla6[[#This Row],[DIRECCIÓN GENERAL / COORDINACIÓN / SUBDIRECCIÓN]],Tabla37[[#All],[Columna1]:[EOD]],2,0)</f>
        <v>266_0003</v>
      </c>
      <c r="L490" s="69">
        <f>VLOOKUP(Tabla6[[#This Row],[OBJETIVOS PND]],Listas!$A$1:$C$3,3,0)</f>
        <v>1</v>
      </c>
      <c r="M490" s="70">
        <f>VLOOKUP(Tabla6[[#This Row],[PG]],Listas2!$G$14:$K$16,5,0)</f>
        <v>0</v>
      </c>
      <c r="N490" s="71">
        <v>1</v>
      </c>
      <c r="O490" s="72">
        <v>1801</v>
      </c>
      <c r="P490" s="73" t="str">
        <f>VLOOKUP(Tabla6[[#This Row],[GEO]],Listas!$A$48:$B$77,2,0)</f>
        <v>AMBATO</v>
      </c>
      <c r="Q490" s="70">
        <f>VLOOKUP(Tabla6[[#This Row],[PG]],Listas2!$G$14:$K$16,3,0)</f>
        <v>1</v>
      </c>
      <c r="R490" s="73">
        <f>VLOOKUP(Tabla6[[#This Row],[PG]],Listas2!H156:'Listas2'!$G$14:$K$16,4,0)</f>
        <v>0</v>
      </c>
      <c r="S490" s="73">
        <f>VLOOKUP(Tabla6[[#This Row],[PG]],Listas2!$G$14:$K$16,2,0)</f>
        <v>0</v>
      </c>
      <c r="T490" s="66" t="s">
        <v>84</v>
      </c>
      <c r="U490" s="74">
        <v>57</v>
      </c>
      <c r="V490" s="66">
        <v>570102</v>
      </c>
      <c r="W490" s="63" t="str">
        <f>VLOOKUP(Tabla6[[#This Row],[ÍTEM PRESUPUESTARIO]],Tabla2[#All],2,0)</f>
        <v>TASAS GENERALES, IMPUESTOS, CONTRIBUCIONES, PERMISOS, LICENCIAS Y PATENTES</v>
      </c>
      <c r="X490" s="57">
        <v>0</v>
      </c>
      <c r="Y490" s="57">
        <v>266.70999999999998</v>
      </c>
      <c r="Z490" s="58">
        <v>0</v>
      </c>
      <c r="AA490" s="58">
        <v>266.70999999999998</v>
      </c>
      <c r="AB490" s="58">
        <v>0</v>
      </c>
      <c r="AC490" s="58">
        <v>0</v>
      </c>
      <c r="AD490" s="58">
        <v>0</v>
      </c>
      <c r="AE490" s="58">
        <v>0</v>
      </c>
      <c r="AF490" s="58">
        <v>0</v>
      </c>
      <c r="AG490" s="58">
        <v>0</v>
      </c>
      <c r="AH490" s="58">
        <v>0</v>
      </c>
      <c r="AI490" s="58">
        <v>0</v>
      </c>
      <c r="AJ490" s="58">
        <v>0</v>
      </c>
      <c r="AK490" s="58">
        <v>0</v>
      </c>
      <c r="AL490" s="75">
        <f>+SUBTOTAL(9,Tabla6[[#This Row],[ENE]:[DIC]])</f>
        <v>266.70999999999998</v>
      </c>
      <c r="AM490" s="76" t="str">
        <f t="shared" si="10"/>
        <v>OK</v>
      </c>
      <c r="AN490" s="60">
        <f>78.71+188</f>
        <v>266.70999999999998</v>
      </c>
      <c r="AO490" s="61">
        <f>+Tabla6[[#This Row],[PRESUPUESTO VIGENTE]]-Tabla6[[#This Row],[CERTIFICACIÓN PAPP]]</f>
        <v>0</v>
      </c>
      <c r="AP490" s="59">
        <v>0</v>
      </c>
    </row>
    <row r="491" spans="1:42" ht="93" customHeight="1" x14ac:dyDescent="0.25">
      <c r="A491" s="62" t="s">
        <v>78</v>
      </c>
      <c r="B491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491" s="64" t="s">
        <v>79</v>
      </c>
      <c r="D491" s="64" t="s">
        <v>80</v>
      </c>
      <c r="E491" s="64" t="s">
        <v>81</v>
      </c>
      <c r="F491" s="64" t="s">
        <v>96</v>
      </c>
      <c r="G491" s="64" t="s">
        <v>92</v>
      </c>
      <c r="H491" s="65" t="str">
        <f>VLOOKUP(Tabla6[[#This Row],[DIRECCIÓN]],DIRECCIÓN[#All],2,0)</f>
        <v>ADMINISTRACIÓN CENTRAL</v>
      </c>
      <c r="I491" s="66" t="s">
        <v>664</v>
      </c>
      <c r="J491" s="67">
        <v>1</v>
      </c>
      <c r="K491" s="68" t="str">
        <f>VLOOKUP(Tabla6[[#This Row],[DIRECCIÓN GENERAL / COORDINACIÓN / SUBDIRECCIÓN]],Tabla37[[#All],[Columna1]:[EOD]],2,0)</f>
        <v>266_0003</v>
      </c>
      <c r="L491" s="69">
        <f>VLOOKUP(Tabla6[[#This Row],[OBJETIVOS PND]],Listas!$A$1:$C$3,3,0)</f>
        <v>1</v>
      </c>
      <c r="M491" s="70">
        <f>VLOOKUP(Tabla6[[#This Row],[PG]],Listas2!$G$14:$K$16,5,0)</f>
        <v>0</v>
      </c>
      <c r="N491" s="71">
        <v>1</v>
      </c>
      <c r="O491" s="72">
        <v>1801</v>
      </c>
      <c r="P491" s="73" t="str">
        <f>VLOOKUP(Tabla6[[#This Row],[GEO]],Listas!$A$48:$B$77,2,0)</f>
        <v>AMBATO</v>
      </c>
      <c r="Q491" s="70">
        <f>VLOOKUP(Tabla6[[#This Row],[PG]],Listas2!$G$14:$K$16,3,0)</f>
        <v>1</v>
      </c>
      <c r="R491" s="73">
        <f>VLOOKUP(Tabla6[[#This Row],[PG]],Listas2!H157:'Listas2'!$G$14:$K$16,4,0)</f>
        <v>0</v>
      </c>
      <c r="S491" s="73">
        <f>VLOOKUP(Tabla6[[#This Row],[PG]],Listas2!$G$14:$K$16,2,0)</f>
        <v>0</v>
      </c>
      <c r="T491" s="66" t="s">
        <v>84</v>
      </c>
      <c r="U491" s="74">
        <v>57</v>
      </c>
      <c r="V491" s="66">
        <v>570102</v>
      </c>
      <c r="W491" s="63" t="str">
        <f>VLOOKUP(Tabla6[[#This Row],[ÍTEM PRESUPUESTARIO]],Tabla2[#All],2,0)</f>
        <v>TASAS GENERALES, IMPUESTOS, CONTRIBUCIONES, PERMISOS, LICENCIAS Y PATENTES</v>
      </c>
      <c r="X491" s="57">
        <v>2650</v>
      </c>
      <c r="Y491" s="57">
        <f>2650-266.71-3.53-269.83-200.96</f>
        <v>1908.9699999999998</v>
      </c>
      <c r="Z491" s="58">
        <v>0</v>
      </c>
      <c r="AA491" s="58">
        <v>0</v>
      </c>
      <c r="AB491" s="58">
        <v>1908.97</v>
      </c>
      <c r="AC491" s="58">
        <v>0</v>
      </c>
      <c r="AD491" s="58">
        <v>0</v>
      </c>
      <c r="AE491" s="58">
        <v>0</v>
      </c>
      <c r="AF491" s="58">
        <v>0</v>
      </c>
      <c r="AG491" s="58">
        <v>0</v>
      </c>
      <c r="AH491" s="58">
        <v>0</v>
      </c>
      <c r="AI491" s="58">
        <v>0</v>
      </c>
      <c r="AJ491" s="58">
        <v>0</v>
      </c>
      <c r="AK491" s="58">
        <v>0</v>
      </c>
      <c r="AL491" s="75">
        <f>+SUBTOTAL(9,Tabla6[[#This Row],[ENE]:[DIC]])</f>
        <v>1908.97</v>
      </c>
      <c r="AM491" s="76" t="str">
        <f t="shared" si="10"/>
        <v>OK</v>
      </c>
      <c r="AN491" s="60">
        <f>2080.51+17.42+12-8.96-192</f>
        <v>1908.9700000000003</v>
      </c>
      <c r="AO491" s="61">
        <f>+Tabla6[[#This Row],[PRESUPUESTO VIGENTE]]-Tabla6[[#This Row],[CERTIFICACIÓN PAPP]]</f>
        <v>0</v>
      </c>
      <c r="AP491" s="59">
        <v>0</v>
      </c>
    </row>
    <row r="492" spans="1:42" ht="93" customHeight="1" x14ac:dyDescent="0.25">
      <c r="A492" s="62" t="s">
        <v>78</v>
      </c>
      <c r="B492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492" s="64" t="s">
        <v>79</v>
      </c>
      <c r="D492" s="64" t="s">
        <v>80</v>
      </c>
      <c r="E492" s="64" t="s">
        <v>81</v>
      </c>
      <c r="F492" s="64" t="s">
        <v>96</v>
      </c>
      <c r="G492" s="64" t="s">
        <v>92</v>
      </c>
      <c r="H492" s="65" t="str">
        <f>VLOOKUP(Tabla6[[#This Row],[DIRECCIÓN]],DIRECCIÓN[#All],2,0)</f>
        <v>ADMINISTRACIÓN CENTRAL</v>
      </c>
      <c r="I492" s="66" t="s">
        <v>665</v>
      </c>
      <c r="J492" s="67">
        <v>1</v>
      </c>
      <c r="K492" s="68" t="str">
        <f>VLOOKUP(Tabla6[[#This Row],[DIRECCIÓN GENERAL / COORDINACIÓN / SUBDIRECCIÓN]],Tabla37[[#All],[Columna1]:[EOD]],2,0)</f>
        <v>266_0003</v>
      </c>
      <c r="L492" s="69">
        <f>VLOOKUP(Tabla6[[#This Row],[OBJETIVOS PND]],Listas!$A$1:$C$3,3,0)</f>
        <v>1</v>
      </c>
      <c r="M492" s="70">
        <f>VLOOKUP(Tabla6[[#This Row],[PG]],Listas2!$G$14:$K$16,5,0)</f>
        <v>0</v>
      </c>
      <c r="N492" s="71">
        <v>1</v>
      </c>
      <c r="O492" s="72">
        <v>1801</v>
      </c>
      <c r="P492" s="73" t="str">
        <f>VLOOKUP(Tabla6[[#This Row],[GEO]],Listas!$A$48:$B$77,2,0)</f>
        <v>AMBATO</v>
      </c>
      <c r="Q492" s="70">
        <f>VLOOKUP(Tabla6[[#This Row],[PG]],Listas2!$G$14:$K$16,3,0)</f>
        <v>1</v>
      </c>
      <c r="R492" s="73">
        <f>VLOOKUP(Tabla6[[#This Row],[PG]],Listas2!H158:'Listas2'!$G$14:$K$16,4,0)</f>
        <v>0</v>
      </c>
      <c r="S492" s="73">
        <f>VLOOKUP(Tabla6[[#This Row],[PG]],Listas2!$G$14:$K$16,2,0)</f>
        <v>0</v>
      </c>
      <c r="T492" s="66" t="s">
        <v>84</v>
      </c>
      <c r="U492" s="74">
        <v>57</v>
      </c>
      <c r="V492" s="66">
        <v>570102</v>
      </c>
      <c r="W492" s="63" t="str">
        <f>VLOOKUP(Tabla6[[#This Row],[ÍTEM PRESUPUESTARIO]],Tabla2[#All],2,0)</f>
        <v>TASAS GENERALES, IMPUESTOS, CONTRIBUCIONES, PERMISOS, LICENCIAS Y PATENTES</v>
      </c>
      <c r="X492" s="57">
        <v>270</v>
      </c>
      <c r="Y492" s="57">
        <v>270</v>
      </c>
      <c r="Z492" s="58">
        <v>0</v>
      </c>
      <c r="AA492" s="58">
        <v>0</v>
      </c>
      <c r="AB492" s="58">
        <v>270</v>
      </c>
      <c r="AC492" s="58">
        <v>0</v>
      </c>
      <c r="AD492" s="58">
        <v>0</v>
      </c>
      <c r="AE492" s="58">
        <v>0</v>
      </c>
      <c r="AF492" s="58">
        <v>0</v>
      </c>
      <c r="AG492" s="58">
        <v>0</v>
      </c>
      <c r="AH492" s="58">
        <v>0</v>
      </c>
      <c r="AI492" s="58">
        <v>0</v>
      </c>
      <c r="AJ492" s="58">
        <v>0</v>
      </c>
      <c r="AK492" s="58">
        <v>0</v>
      </c>
      <c r="AL492" s="75">
        <f>+SUBTOTAL(9,Tabla6[[#This Row],[ENE]:[DIC]])</f>
        <v>270</v>
      </c>
      <c r="AM492" s="76" t="str">
        <f t="shared" si="10"/>
        <v>OK</v>
      </c>
      <c r="AN492" s="60">
        <v>270</v>
      </c>
      <c r="AO492" s="61">
        <f>+Tabla6[[#This Row],[PRESUPUESTO VIGENTE]]-Tabla6[[#This Row],[CERTIFICACIÓN PAPP]]</f>
        <v>0</v>
      </c>
      <c r="AP492" s="59">
        <v>0</v>
      </c>
    </row>
    <row r="493" spans="1:42" ht="93" customHeight="1" x14ac:dyDescent="0.25">
      <c r="A493" s="62" t="s">
        <v>78</v>
      </c>
      <c r="B493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493" s="64" t="s">
        <v>79</v>
      </c>
      <c r="D493" s="64" t="s">
        <v>80</v>
      </c>
      <c r="E493" s="64" t="s">
        <v>81</v>
      </c>
      <c r="F493" s="64" t="s">
        <v>96</v>
      </c>
      <c r="G493" s="64" t="s">
        <v>92</v>
      </c>
      <c r="H493" s="65" t="str">
        <f>VLOOKUP(Tabla6[[#This Row],[DIRECCIÓN]],DIRECCIÓN[#All],2,0)</f>
        <v>ADMINISTRACIÓN CENTRAL</v>
      </c>
      <c r="I493" s="66" t="s">
        <v>652</v>
      </c>
      <c r="J493" s="67">
        <v>1</v>
      </c>
      <c r="K493" s="68" t="str">
        <f>VLOOKUP(Tabla6[[#This Row],[DIRECCIÓN GENERAL / COORDINACIÓN / SUBDIRECCIÓN]],Tabla37[[#All],[Columna1]:[EOD]],2,0)</f>
        <v>266_0003</v>
      </c>
      <c r="L493" s="69">
        <f>VLOOKUP(Tabla6[[#This Row],[OBJETIVOS PND]],Listas!$A$1:$C$3,3,0)</f>
        <v>1</v>
      </c>
      <c r="M493" s="70">
        <f>VLOOKUP(Tabla6[[#This Row],[PG]],Listas2!$G$14:$K$16,5,0)</f>
        <v>0</v>
      </c>
      <c r="N493" s="71">
        <v>1</v>
      </c>
      <c r="O493" s="72">
        <v>1801</v>
      </c>
      <c r="P493" s="73" t="str">
        <f>VLOOKUP(Tabla6[[#This Row],[GEO]],Listas!$A$48:$B$77,2,0)</f>
        <v>AMBATO</v>
      </c>
      <c r="Q493" s="70">
        <f>VLOOKUP(Tabla6[[#This Row],[PG]],Listas2!$G$14:$K$16,3,0)</f>
        <v>1</v>
      </c>
      <c r="R493" s="73">
        <f>VLOOKUP(Tabla6[[#This Row],[PG]],Listas2!H159:'Listas2'!$G$14:$K$16,4,0)</f>
        <v>0</v>
      </c>
      <c r="S493" s="73">
        <f>VLOOKUP(Tabla6[[#This Row],[PG]],Listas2!$G$14:$K$16,2,0)</f>
        <v>0</v>
      </c>
      <c r="T493" s="66" t="s">
        <v>84</v>
      </c>
      <c r="U493" s="74">
        <v>57</v>
      </c>
      <c r="V493" s="66">
        <v>570102</v>
      </c>
      <c r="W493" s="63" t="str">
        <f>VLOOKUP(Tabla6[[#This Row],[ÍTEM PRESUPUESTARIO]],Tabla2[#All],2,0)</f>
        <v>TASAS GENERALES, IMPUESTOS, CONTRIBUCIONES, PERMISOS, LICENCIAS Y PATENTES</v>
      </c>
      <c r="X493" s="57">
        <v>400</v>
      </c>
      <c r="Y493" s="57">
        <f>400+269.83</f>
        <v>669.82999999999993</v>
      </c>
      <c r="Z493" s="58">
        <v>0</v>
      </c>
      <c r="AA493" s="58">
        <v>0</v>
      </c>
      <c r="AB493" s="58">
        <v>0</v>
      </c>
      <c r="AC493" s="58">
        <v>0</v>
      </c>
      <c r="AD493" s="58">
        <v>0</v>
      </c>
      <c r="AE493" s="58">
        <v>0</v>
      </c>
      <c r="AF493" s="58">
        <v>0</v>
      </c>
      <c r="AG493" s="58">
        <v>669.83</v>
      </c>
      <c r="AH493" s="58">
        <v>0</v>
      </c>
      <c r="AI493" s="58">
        <v>0</v>
      </c>
      <c r="AJ493" s="58">
        <v>0</v>
      </c>
      <c r="AK493" s="58">
        <v>0</v>
      </c>
      <c r="AL493" s="75">
        <f>+SUBTOTAL(9,Tabla6[[#This Row],[ENE]:[DIC]])</f>
        <v>669.83</v>
      </c>
      <c r="AM493" s="76" t="str">
        <f t="shared" si="10"/>
        <v>OK</v>
      </c>
      <c r="AN493" s="60">
        <f>200+469.83</f>
        <v>669.82999999999993</v>
      </c>
      <c r="AO493" s="61">
        <f>+Tabla6[[#This Row],[PRESUPUESTO VIGENTE]]-Tabla6[[#This Row],[CERTIFICACIÓN PAPP]]</f>
        <v>0</v>
      </c>
      <c r="AP493" s="59">
        <v>0</v>
      </c>
    </row>
    <row r="494" spans="1:42" ht="93" customHeight="1" x14ac:dyDescent="0.25">
      <c r="A494" s="62" t="s">
        <v>78</v>
      </c>
      <c r="B494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494" s="64" t="s">
        <v>79</v>
      </c>
      <c r="D494" s="64" t="s">
        <v>80</v>
      </c>
      <c r="E494" s="64" t="s">
        <v>81</v>
      </c>
      <c r="F494" s="64" t="s">
        <v>96</v>
      </c>
      <c r="G494" s="64" t="s">
        <v>92</v>
      </c>
      <c r="H494" s="65" t="str">
        <f>VLOOKUP(Tabla6[[#This Row],[DIRECCIÓN]],DIRECCIÓN[#All],2,0)</f>
        <v>ADMINISTRACIÓN CENTRAL</v>
      </c>
      <c r="I494" s="66" t="s">
        <v>97</v>
      </c>
      <c r="J494" s="67">
        <v>1</v>
      </c>
      <c r="K494" s="68" t="str">
        <f>VLOOKUP(Tabla6[[#This Row],[DIRECCIÓN GENERAL / COORDINACIÓN / SUBDIRECCIÓN]],Tabla37[[#All],[Columna1]:[EOD]],2,0)</f>
        <v>266_0003</v>
      </c>
      <c r="L494" s="69">
        <f>VLOOKUP(Tabla6[[#This Row],[OBJETIVOS PND]],Listas!$A$1:$C$3,3,0)</f>
        <v>1</v>
      </c>
      <c r="M494" s="70">
        <f>VLOOKUP(Tabla6[[#This Row],[PG]],Listas2!$G$14:$K$16,5,0)</f>
        <v>0</v>
      </c>
      <c r="N494" s="71">
        <v>1</v>
      </c>
      <c r="O494" s="72">
        <v>1801</v>
      </c>
      <c r="P494" s="73" t="str">
        <f>VLOOKUP(Tabla6[[#This Row],[GEO]],Listas!$A$48:$B$77,2,0)</f>
        <v>AMBATO</v>
      </c>
      <c r="Q494" s="70">
        <f>VLOOKUP(Tabla6[[#This Row],[PG]],Listas2!$G$14:$K$16,3,0)</f>
        <v>1</v>
      </c>
      <c r="R494" s="73">
        <f>VLOOKUP(Tabla6[[#This Row],[PG]],Listas2!H160:'Listas2'!$G$14:$K$16,4,0)</f>
        <v>0</v>
      </c>
      <c r="S494" s="73">
        <f>VLOOKUP(Tabla6[[#This Row],[PG]],Listas2!$G$14:$K$16,2,0)</f>
        <v>0</v>
      </c>
      <c r="T494" s="66" t="s">
        <v>84</v>
      </c>
      <c r="U494" s="74">
        <v>57</v>
      </c>
      <c r="V494" s="66">
        <v>570203</v>
      </c>
      <c r="W494" s="63" t="str">
        <f>VLOOKUP(Tabla6[[#This Row],[ÍTEM PRESUPUESTARIO]],Tabla2[#All],2,0)</f>
        <v>COMISIONES BANCARIAS</v>
      </c>
      <c r="X494" s="57">
        <v>0</v>
      </c>
      <c r="Y494" s="57">
        <v>3.53</v>
      </c>
      <c r="Z494" s="58">
        <v>0</v>
      </c>
      <c r="AA494" s="58">
        <v>3.53</v>
      </c>
      <c r="AB494" s="58">
        <v>0</v>
      </c>
      <c r="AC494" s="58">
        <v>0</v>
      </c>
      <c r="AD494" s="58">
        <v>0</v>
      </c>
      <c r="AE494" s="58">
        <v>0</v>
      </c>
      <c r="AF494" s="58">
        <v>0</v>
      </c>
      <c r="AG494" s="58">
        <v>0</v>
      </c>
      <c r="AH494" s="58">
        <v>0</v>
      </c>
      <c r="AI494" s="58">
        <v>0</v>
      </c>
      <c r="AJ494" s="58">
        <v>0</v>
      </c>
      <c r="AK494" s="58">
        <v>0</v>
      </c>
      <c r="AL494" s="75">
        <f>+SUBTOTAL(9,Tabla6[[#This Row],[ENE]:[DIC]])</f>
        <v>3.53</v>
      </c>
      <c r="AM494" s="76" t="str">
        <f t="shared" si="10"/>
        <v>OK</v>
      </c>
      <c r="AN494" s="60">
        <v>3.53</v>
      </c>
      <c r="AO494" s="61">
        <f>+Tabla6[[#This Row],[PRESUPUESTO VIGENTE]]-Tabla6[[#This Row],[CERTIFICACIÓN PAPP]]</f>
        <v>0</v>
      </c>
      <c r="AP494" s="59">
        <v>0</v>
      </c>
    </row>
    <row r="495" spans="1:42" ht="93" customHeight="1" x14ac:dyDescent="0.25">
      <c r="A495" s="62" t="s">
        <v>88</v>
      </c>
      <c r="B495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495" s="64" t="s">
        <v>89</v>
      </c>
      <c r="D495" s="64" t="s">
        <v>80</v>
      </c>
      <c r="E495" s="64" t="s">
        <v>81</v>
      </c>
      <c r="F495" s="64" t="s">
        <v>96</v>
      </c>
      <c r="G495" s="64" t="s">
        <v>9</v>
      </c>
      <c r="H495" s="65" t="str">
        <f>VLOOKUP(Tabla6[[#This Row],[DIRECCIÓN]],DIRECCIÓN[#All],2,0)</f>
        <v>OPERACIONES</v>
      </c>
      <c r="I495" s="66" t="s">
        <v>653</v>
      </c>
      <c r="J495" s="67">
        <v>1</v>
      </c>
      <c r="K495" s="68" t="str">
        <f>VLOOKUP(Tabla6[[#This Row],[DIRECCIÓN GENERAL / COORDINACIÓN / SUBDIRECCIÓN]],Tabla37[[#All],[Columna1]:[EOD]],2,0)</f>
        <v>266_0003</v>
      </c>
      <c r="L495" s="69">
        <f>VLOOKUP(Tabla6[[#This Row],[OBJETIVOS PND]],Listas!$A$1:$C$3,3,0)</f>
        <v>55</v>
      </c>
      <c r="M495" s="70">
        <f>VLOOKUP(Tabla6[[#This Row],[PG]],Listas2!$G$14:$K$16,5,0)</f>
        <v>0</v>
      </c>
      <c r="N495" s="71">
        <v>2</v>
      </c>
      <c r="O495" s="72">
        <v>1801</v>
      </c>
      <c r="P495" s="73" t="str">
        <f>VLOOKUP(Tabla6[[#This Row],[GEO]],Listas!$A$48:$B$77,2,0)</f>
        <v>AMBATO</v>
      </c>
      <c r="Q495" s="70">
        <f>VLOOKUP(Tabla6[[#This Row],[PG]],Listas2!$G$14:$K$16,3,0)</f>
        <v>1</v>
      </c>
      <c r="R495" s="73">
        <f>VLOOKUP(Tabla6[[#This Row],[PG]],Listas2!H161:'Listas2'!$G$14:$K$16,4,0)</f>
        <v>0</v>
      </c>
      <c r="S495" s="73">
        <f>VLOOKUP(Tabla6[[#This Row],[PG]],Listas2!$G$14:$K$16,2,0)</f>
        <v>0</v>
      </c>
      <c r="T495" s="66" t="s">
        <v>84</v>
      </c>
      <c r="U495" s="74">
        <v>53</v>
      </c>
      <c r="V495" s="66">
        <v>530204</v>
      </c>
      <c r="W495" s="63" t="str">
        <f>VLOOKUP(Tabla6[[#This Row],[ÍTEM PRESUPUESTARIO]],Tabla2[#All],2,0)</f>
        <v>EDICIÓN, IMPRESIÓN, REPRODUCCIÓN, PUBLICACIONES, SUSCRIPCIONES, FOTOCOPIADO, TRADUCCIÓN, EMPASTADO, ENMARCACIÓN, SERIGRAFÍA, FOTOGRAFÍA, CARNETIZACIÓN, FILMACIÓN E IMÁGENES SATELITALES</v>
      </c>
      <c r="X495" s="57">
        <v>0</v>
      </c>
      <c r="Y495" s="57">
        <f>4300.57-2150.28-2150.29</f>
        <v>0</v>
      </c>
      <c r="Z495" s="58">
        <v>0</v>
      </c>
      <c r="AA495" s="58">
        <v>0</v>
      </c>
      <c r="AB495" s="58">
        <v>0</v>
      </c>
      <c r="AC495" s="58">
        <v>0</v>
      </c>
      <c r="AD495" s="58">
        <v>0</v>
      </c>
      <c r="AE495" s="58">
        <v>0</v>
      </c>
      <c r="AF495" s="58">
        <v>0</v>
      </c>
      <c r="AG495" s="58">
        <v>0</v>
      </c>
      <c r="AH495" s="58">
        <v>0</v>
      </c>
      <c r="AI495" s="58">
        <v>0</v>
      </c>
      <c r="AJ495" s="58">
        <v>0</v>
      </c>
      <c r="AK495" s="58">
        <v>0</v>
      </c>
      <c r="AL495" s="75">
        <f>+SUBTOTAL(9,Tabla6[[#This Row],[ENE]:[DIC]])</f>
        <v>0</v>
      </c>
      <c r="AM495" s="76" t="str">
        <f t="shared" si="10"/>
        <v>OK</v>
      </c>
      <c r="AN495" s="60">
        <v>0</v>
      </c>
      <c r="AO495" s="61">
        <f>+Tabla6[[#This Row],[PRESUPUESTO VIGENTE]]-Tabla6[[#This Row],[CERTIFICACIÓN PAPP]]</f>
        <v>0</v>
      </c>
      <c r="AP495" s="59">
        <v>0</v>
      </c>
    </row>
    <row r="496" spans="1:42" ht="93" customHeight="1" x14ac:dyDescent="0.25">
      <c r="A496" s="62" t="s">
        <v>88</v>
      </c>
      <c r="B496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496" s="64" t="s">
        <v>89</v>
      </c>
      <c r="D496" s="64" t="s">
        <v>80</v>
      </c>
      <c r="E496" s="64" t="s">
        <v>81</v>
      </c>
      <c r="F496" s="64" t="s">
        <v>96</v>
      </c>
      <c r="G496" s="64" t="s">
        <v>9</v>
      </c>
      <c r="H496" s="65" t="str">
        <f>VLOOKUP(Tabla6[[#This Row],[DIRECCIÓN]],DIRECCIÓN[#All],2,0)</f>
        <v>OPERACIONES</v>
      </c>
      <c r="I496" s="66" t="s">
        <v>653</v>
      </c>
      <c r="J496" s="67">
        <v>1</v>
      </c>
      <c r="K496" s="68" t="str">
        <f>VLOOKUP(Tabla6[[#This Row],[DIRECCIÓN GENERAL / COORDINACIÓN / SUBDIRECCIÓN]],Tabla37[[#All],[Columna1]:[EOD]],2,0)</f>
        <v>266_0003</v>
      </c>
      <c r="L496" s="69">
        <f>VLOOKUP(Tabla6[[#This Row],[OBJETIVOS PND]],Listas!$A$1:$C$3,3,0)</f>
        <v>55</v>
      </c>
      <c r="M496" s="70">
        <f>VLOOKUP(Tabla6[[#This Row],[PG]],Listas2!$G$14:$K$16,5,0)</f>
        <v>0</v>
      </c>
      <c r="N496" s="71">
        <v>2</v>
      </c>
      <c r="O496" s="72">
        <v>1801</v>
      </c>
      <c r="P496" s="73" t="str">
        <f>VLOOKUP(Tabla6[[#This Row],[GEO]],Listas!$A$48:$B$77,2,0)</f>
        <v>AMBATO</v>
      </c>
      <c r="Q496" s="70">
        <f>VLOOKUP(Tabla6[[#This Row],[PG]],Listas2!$G$14:$K$16,3,0)</f>
        <v>1</v>
      </c>
      <c r="R496" s="73">
        <f>VLOOKUP(Tabla6[[#This Row],[PG]],Listas2!H162:'Listas2'!$G$14:$K$16,4,0)</f>
        <v>0</v>
      </c>
      <c r="S496" s="73">
        <f>VLOOKUP(Tabla6[[#This Row],[PG]],Listas2!$G$14:$K$16,2,0)</f>
        <v>0</v>
      </c>
      <c r="T496" s="66" t="s">
        <v>84</v>
      </c>
      <c r="U496" s="74">
        <v>53</v>
      </c>
      <c r="V496" s="66">
        <v>530804</v>
      </c>
      <c r="W496" s="63" t="str">
        <f>VLOOKUP(Tabla6[[#This Row],[ÍTEM PRESUPUESTARIO]],Tabla2[#All],2,0)</f>
        <v>MATERIALES DE OFICINA</v>
      </c>
      <c r="X496" s="57">
        <v>0</v>
      </c>
      <c r="Y496" s="57">
        <v>254.56</v>
      </c>
      <c r="Z496" s="58">
        <v>0</v>
      </c>
      <c r="AA496" s="58">
        <v>0</v>
      </c>
      <c r="AB496" s="58">
        <v>0</v>
      </c>
      <c r="AC496" s="58">
        <v>0</v>
      </c>
      <c r="AD496" s="58">
        <v>0</v>
      </c>
      <c r="AE496" s="58">
        <v>0</v>
      </c>
      <c r="AF496" s="58">
        <v>0</v>
      </c>
      <c r="AG496" s="58">
        <v>0</v>
      </c>
      <c r="AH496" s="58">
        <v>0</v>
      </c>
      <c r="AI496" s="58">
        <v>0</v>
      </c>
      <c r="AJ496" s="58">
        <v>0</v>
      </c>
      <c r="AK496" s="58">
        <v>254.56</v>
      </c>
      <c r="AL496" s="75">
        <f>+SUBTOTAL(9,Tabla6[[#This Row],[ENE]:[DIC]])</f>
        <v>254.56</v>
      </c>
      <c r="AM496" s="76" t="str">
        <f t="shared" si="10"/>
        <v>OK</v>
      </c>
      <c r="AN496" s="60">
        <v>254.56</v>
      </c>
      <c r="AO496" s="61">
        <f>+Tabla6[[#This Row],[PRESUPUESTO VIGENTE]]-Tabla6[[#This Row],[CERTIFICACIÓN PAPP]]</f>
        <v>0</v>
      </c>
      <c r="AP496" s="59">
        <v>0</v>
      </c>
    </row>
    <row r="497" spans="1:42" ht="93" customHeight="1" x14ac:dyDescent="0.25">
      <c r="A497" s="62" t="s">
        <v>88</v>
      </c>
      <c r="B497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497" s="64" t="s">
        <v>89</v>
      </c>
      <c r="D497" s="64" t="s">
        <v>80</v>
      </c>
      <c r="E497" s="64" t="s">
        <v>81</v>
      </c>
      <c r="F497" s="64" t="s">
        <v>96</v>
      </c>
      <c r="G497" s="64" t="s">
        <v>9</v>
      </c>
      <c r="H497" s="65" t="str">
        <f>VLOOKUP(Tabla6[[#This Row],[DIRECCIÓN]],DIRECCIÓN[#All],2,0)</f>
        <v>OPERACIONES</v>
      </c>
      <c r="I497" s="66" t="s">
        <v>653</v>
      </c>
      <c r="J497" s="67">
        <v>1</v>
      </c>
      <c r="K497" s="68" t="str">
        <f>VLOOKUP(Tabla6[[#This Row],[DIRECCIÓN GENERAL / COORDINACIÓN / SUBDIRECCIÓN]],Tabla37[[#All],[Columna1]:[EOD]],2,0)</f>
        <v>266_0003</v>
      </c>
      <c r="L497" s="69">
        <f>VLOOKUP(Tabla6[[#This Row],[OBJETIVOS PND]],Listas!$A$1:$C$3,3,0)</f>
        <v>55</v>
      </c>
      <c r="M497" s="70">
        <f>VLOOKUP(Tabla6[[#This Row],[PG]],Listas2!$G$14:$K$16,5,0)</f>
        <v>0</v>
      </c>
      <c r="N497" s="71">
        <v>2</v>
      </c>
      <c r="O497" s="72">
        <v>1801</v>
      </c>
      <c r="P497" s="73" t="str">
        <f>VLOOKUP(Tabla6[[#This Row],[GEO]],Listas!$A$48:$B$77,2,0)</f>
        <v>AMBATO</v>
      </c>
      <c r="Q497" s="70">
        <f>VLOOKUP(Tabla6[[#This Row],[PG]],Listas2!$G$14:$K$16,3,0)</f>
        <v>1</v>
      </c>
      <c r="R497" s="73">
        <f>VLOOKUP(Tabla6[[#This Row],[PG]],Listas2!H163:'Listas2'!$G$14:$K$16,4,0)</f>
        <v>0</v>
      </c>
      <c r="S497" s="73">
        <f>VLOOKUP(Tabla6[[#This Row],[PG]],Listas2!$G$14:$K$16,2,0)</f>
        <v>0</v>
      </c>
      <c r="T497" s="66" t="s">
        <v>84</v>
      </c>
      <c r="U497" s="74">
        <v>53</v>
      </c>
      <c r="V497" s="66">
        <v>530807</v>
      </c>
      <c r="W497" s="63" t="str">
        <f>VLOOKUP(Tabla6[[#This Row],[ÍTEM PRESUPUESTARIO]],Tabla2[#All],2,0)</f>
        <v>MATERIALES DE IMPRESIÓN, FOTOGRAFÍA, REPRODUCCIÓN Y PUBLICACIONES</v>
      </c>
      <c r="X497" s="57">
        <v>0</v>
      </c>
      <c r="Y497" s="57">
        <v>305</v>
      </c>
      <c r="Z497" s="58">
        <v>0</v>
      </c>
      <c r="AA497" s="58">
        <v>0</v>
      </c>
      <c r="AB497" s="58">
        <v>0</v>
      </c>
      <c r="AC497" s="58">
        <v>0</v>
      </c>
      <c r="AD497" s="58">
        <v>0</v>
      </c>
      <c r="AE497" s="58">
        <v>0</v>
      </c>
      <c r="AF497" s="58">
        <v>0</v>
      </c>
      <c r="AG497" s="58">
        <v>0</v>
      </c>
      <c r="AH497" s="58">
        <v>0</v>
      </c>
      <c r="AI497" s="58">
        <v>0</v>
      </c>
      <c r="AJ497" s="58">
        <v>0</v>
      </c>
      <c r="AK497" s="58">
        <v>305</v>
      </c>
      <c r="AL497" s="75">
        <f>+SUBTOTAL(9,Tabla6[[#This Row],[ENE]:[DIC]])</f>
        <v>305</v>
      </c>
      <c r="AM497" s="76" t="str">
        <f t="shared" si="10"/>
        <v>OK</v>
      </c>
      <c r="AN497" s="60">
        <v>305</v>
      </c>
      <c r="AO497" s="61">
        <f>+Tabla6[[#This Row],[PRESUPUESTO VIGENTE]]-Tabla6[[#This Row],[CERTIFICACIÓN PAPP]]</f>
        <v>0</v>
      </c>
      <c r="AP497" s="59">
        <v>0</v>
      </c>
    </row>
    <row r="498" spans="1:42" ht="93" customHeight="1" x14ac:dyDescent="0.25">
      <c r="A498" s="62" t="s">
        <v>88</v>
      </c>
      <c r="B498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498" s="64" t="s">
        <v>89</v>
      </c>
      <c r="D498" s="64" t="s">
        <v>80</v>
      </c>
      <c r="E498" s="64" t="s">
        <v>81</v>
      </c>
      <c r="F498" s="64" t="s">
        <v>96</v>
      </c>
      <c r="G498" s="64" t="s">
        <v>9</v>
      </c>
      <c r="H498" s="65" t="str">
        <f>VLOOKUP(Tabla6[[#This Row],[DIRECCIÓN]],DIRECCIÓN[#All],2,0)</f>
        <v>OPERACIONES</v>
      </c>
      <c r="I498" s="66" t="s">
        <v>653</v>
      </c>
      <c r="J498" s="67">
        <v>1</v>
      </c>
      <c r="K498" s="68" t="str">
        <f>VLOOKUP(Tabla6[[#This Row],[DIRECCIÓN GENERAL / COORDINACIÓN / SUBDIRECCIÓN]],Tabla37[[#All],[Columna1]:[EOD]],2,0)</f>
        <v>266_0003</v>
      </c>
      <c r="L498" s="69">
        <f>VLOOKUP(Tabla6[[#This Row],[OBJETIVOS PND]],Listas!$A$1:$C$3,3,0)</f>
        <v>55</v>
      </c>
      <c r="M498" s="70">
        <f>VLOOKUP(Tabla6[[#This Row],[PG]],Listas2!$G$14:$K$16,5,0)</f>
        <v>0</v>
      </c>
      <c r="N498" s="71">
        <v>2</v>
      </c>
      <c r="O498" s="72">
        <v>1801</v>
      </c>
      <c r="P498" s="73" t="str">
        <f>VLOOKUP(Tabla6[[#This Row],[GEO]],Listas!$A$48:$B$77,2,0)</f>
        <v>AMBATO</v>
      </c>
      <c r="Q498" s="70">
        <f>VLOOKUP(Tabla6[[#This Row],[PG]],Listas2!$G$14:$K$16,3,0)</f>
        <v>1</v>
      </c>
      <c r="R498" s="73">
        <f>VLOOKUP(Tabla6[[#This Row],[PG]],Listas2!H164:'Listas2'!$G$14:$K$16,4,0)</f>
        <v>0</v>
      </c>
      <c r="S498" s="73">
        <f>VLOOKUP(Tabla6[[#This Row],[PG]],Listas2!$G$14:$K$16,2,0)</f>
        <v>0</v>
      </c>
      <c r="T498" s="66" t="s">
        <v>84</v>
      </c>
      <c r="U498" s="74">
        <v>53</v>
      </c>
      <c r="V498" s="66">
        <v>530812</v>
      </c>
      <c r="W498" s="63" t="str">
        <f>VLOOKUP(Tabla6[[#This Row],[ÍTEM PRESUPUESTARIO]],Tabla2[#All],2,0)</f>
        <v>MATERIALES DIDÁCTICOS</v>
      </c>
      <c r="X498" s="57">
        <v>0</v>
      </c>
      <c r="Y498" s="57">
        <v>1823.2</v>
      </c>
      <c r="Z498" s="58">
        <v>0</v>
      </c>
      <c r="AA498" s="58">
        <v>0</v>
      </c>
      <c r="AB498" s="58">
        <v>0</v>
      </c>
      <c r="AC498" s="58">
        <v>0</v>
      </c>
      <c r="AD498" s="58">
        <v>0</v>
      </c>
      <c r="AE498" s="58">
        <v>0</v>
      </c>
      <c r="AF498" s="58">
        <v>0</v>
      </c>
      <c r="AG498" s="58">
        <v>0</v>
      </c>
      <c r="AH498" s="58">
        <v>0</v>
      </c>
      <c r="AI498" s="58">
        <v>0</v>
      </c>
      <c r="AJ498" s="58">
        <v>0</v>
      </c>
      <c r="AK498" s="58">
        <v>1823.2</v>
      </c>
      <c r="AL498" s="75">
        <f>+SUBTOTAL(9,Tabla6[[#This Row],[ENE]:[DIC]])</f>
        <v>1823.2</v>
      </c>
      <c r="AM498" s="76" t="str">
        <f t="shared" si="10"/>
        <v>OK</v>
      </c>
      <c r="AN498" s="60">
        <v>1823.2</v>
      </c>
      <c r="AO498" s="61">
        <f>+Tabla6[[#This Row],[PRESUPUESTO VIGENTE]]-Tabla6[[#This Row],[CERTIFICACIÓN PAPP]]</f>
        <v>0</v>
      </c>
      <c r="AP498" s="59">
        <v>0</v>
      </c>
    </row>
    <row r="499" spans="1:42" ht="93" customHeight="1" x14ac:dyDescent="0.25">
      <c r="A499" s="62" t="s">
        <v>88</v>
      </c>
      <c r="B499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499" s="64" t="s">
        <v>89</v>
      </c>
      <c r="D499" s="64" t="s">
        <v>80</v>
      </c>
      <c r="E499" s="64" t="s">
        <v>81</v>
      </c>
      <c r="F499" s="64" t="s">
        <v>96</v>
      </c>
      <c r="G499" s="64" t="s">
        <v>10</v>
      </c>
      <c r="H499" s="65" t="str">
        <f>VLOOKUP(Tabla6[[#This Row],[DIRECCIÓN]],DIRECCIÓN[#All],2,0)</f>
        <v>TECNOLOGÍA</v>
      </c>
      <c r="I499" s="66" t="s">
        <v>654</v>
      </c>
      <c r="J499" s="67">
        <v>1</v>
      </c>
      <c r="K499" s="68" t="str">
        <f>VLOOKUP(Tabla6[[#This Row],[DIRECCIÓN GENERAL / COORDINACIÓN / SUBDIRECCIÓN]],Tabla37[[#All],[Columna1]:[EOD]],2,0)</f>
        <v>266_0003</v>
      </c>
      <c r="L499" s="69">
        <f>VLOOKUP(Tabla6[[#This Row],[OBJETIVOS PND]],Listas!$A$1:$C$3,3,0)</f>
        <v>55</v>
      </c>
      <c r="M499" s="70">
        <f>VLOOKUP(Tabla6[[#This Row],[PG]],Listas2!$G$14:$K$16,5,0)</f>
        <v>0</v>
      </c>
      <c r="N499" s="71">
        <v>3</v>
      </c>
      <c r="O499" s="72">
        <v>1801</v>
      </c>
      <c r="P499" s="73" t="str">
        <f>VLOOKUP(Tabla6[[#This Row],[GEO]],Listas!$A$48:$B$77,2,0)</f>
        <v>AMBATO</v>
      </c>
      <c r="Q499" s="70">
        <f>VLOOKUP(Tabla6[[#This Row],[PG]],Listas2!$G$14:$K$16,3,0)</f>
        <v>1</v>
      </c>
      <c r="R499" s="73">
        <f>VLOOKUP(Tabla6[[#This Row],[PG]],Listas2!H165:'Listas2'!$G$14:$K$16,4,0)</f>
        <v>0</v>
      </c>
      <c r="S499" s="73">
        <f>VLOOKUP(Tabla6[[#This Row],[PG]],Listas2!$G$14:$K$16,2,0)</f>
        <v>0</v>
      </c>
      <c r="T499" s="66" t="s">
        <v>84</v>
      </c>
      <c r="U499" s="74">
        <v>53</v>
      </c>
      <c r="V499" s="66">
        <v>530105</v>
      </c>
      <c r="W499" s="63" t="str">
        <f>VLOOKUP(Tabla6[[#This Row],[ÍTEM PRESUPUESTARIO]],Tabla2[#All],2,0)</f>
        <v>TELECOMUNICACIONES</v>
      </c>
      <c r="X499" s="57">
        <v>150000</v>
      </c>
      <c r="Y499" s="57">
        <f>150000-24674.26-65380.65</f>
        <v>59945.090000000004</v>
      </c>
      <c r="Z499" s="58">
        <v>8993.5400000000009</v>
      </c>
      <c r="AA499" s="58">
        <v>4631.95</v>
      </c>
      <c r="AB499" s="58">
        <v>4631.95</v>
      </c>
      <c r="AC499" s="58">
        <v>4631.95</v>
      </c>
      <c r="AD499" s="58">
        <v>4631.95</v>
      </c>
      <c r="AE499" s="58">
        <v>4631.95</v>
      </c>
      <c r="AF499" s="58">
        <v>4631.95</v>
      </c>
      <c r="AG499" s="58">
        <v>4631.95</v>
      </c>
      <c r="AH499" s="58">
        <v>4631.95</v>
      </c>
      <c r="AI499" s="58">
        <v>4631.95</v>
      </c>
      <c r="AJ499" s="58">
        <v>4631.95</v>
      </c>
      <c r="AK499" s="58">
        <v>4632.05</v>
      </c>
      <c r="AL499" s="75">
        <f>+SUBTOTAL(9,Tabla6[[#This Row],[ENE]:[DIC]])</f>
        <v>59945.09</v>
      </c>
      <c r="AM499" s="76" t="str">
        <f t="shared" si="10"/>
        <v>OK</v>
      </c>
      <c r="AN499" s="60">
        <f>61425.84-1480.75</f>
        <v>59945.09</v>
      </c>
      <c r="AO499" s="61">
        <f>+Tabla6[[#This Row],[PRESUPUESTO VIGENTE]]-Tabla6[[#This Row],[CERTIFICACIÓN PAPP]]</f>
        <v>0</v>
      </c>
      <c r="AP499" s="59">
        <v>0</v>
      </c>
    </row>
    <row r="500" spans="1:42" ht="93" customHeight="1" x14ac:dyDescent="0.25">
      <c r="A500" s="62" t="s">
        <v>88</v>
      </c>
      <c r="B500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500" s="64" t="s">
        <v>89</v>
      </c>
      <c r="D500" s="64" t="s">
        <v>80</v>
      </c>
      <c r="E500" s="64" t="s">
        <v>81</v>
      </c>
      <c r="F500" s="64" t="s">
        <v>96</v>
      </c>
      <c r="G500" s="64" t="s">
        <v>10</v>
      </c>
      <c r="H500" s="65" t="str">
        <f>VLOOKUP(Tabla6[[#This Row],[DIRECCIÓN]],DIRECCIÓN[#All],2,0)</f>
        <v>TECNOLOGÍA</v>
      </c>
      <c r="I500" s="66" t="s">
        <v>666</v>
      </c>
      <c r="J500" s="67">
        <v>1</v>
      </c>
      <c r="K500" s="68" t="str">
        <f>VLOOKUP(Tabla6[[#This Row],[DIRECCIÓN GENERAL / COORDINACIÓN / SUBDIRECCIÓN]],Tabla37[[#All],[Columna1]:[EOD]],2,0)</f>
        <v>266_0003</v>
      </c>
      <c r="L500" s="69">
        <f>VLOOKUP(Tabla6[[#This Row],[OBJETIVOS PND]],Listas!$A$1:$C$3,3,0)</f>
        <v>55</v>
      </c>
      <c r="M500" s="70">
        <f>VLOOKUP(Tabla6[[#This Row],[PG]],Listas2!$G$14:$K$16,5,0)</f>
        <v>0</v>
      </c>
      <c r="N500" s="71">
        <v>3</v>
      </c>
      <c r="O500" s="72">
        <v>1801</v>
      </c>
      <c r="P500" s="73" t="str">
        <f>VLOOKUP(Tabla6[[#This Row],[GEO]],Listas!$A$48:$B$77,2,0)</f>
        <v>AMBATO</v>
      </c>
      <c r="Q500" s="70">
        <f>VLOOKUP(Tabla6[[#This Row],[PG]],Listas2!$G$14:$K$16,3,0)</f>
        <v>1</v>
      </c>
      <c r="R500" s="73">
        <f>VLOOKUP(Tabla6[[#This Row],[PG]],Listas2!H166:'Listas2'!$G$14:$K$16,4,0)</f>
        <v>0</v>
      </c>
      <c r="S500" s="73">
        <f>VLOOKUP(Tabla6[[#This Row],[PG]],Listas2!$G$14:$K$16,2,0)</f>
        <v>0</v>
      </c>
      <c r="T500" s="66" t="s">
        <v>84</v>
      </c>
      <c r="U500" s="74">
        <v>53</v>
      </c>
      <c r="V500" s="66">
        <v>530402</v>
      </c>
      <c r="W500" s="63" t="str">
        <f>VLOOKUP(Tabla6[[#This Row],[ÍTEM PRESUPUESTARIO]],Tabla2[#All],2,0)</f>
        <v>EDIFICIOS, LOCALES, RESIDENCIAS Y CABLEADO ESTRUCTURADO (INSTALACIÓN, MANTENIMIENTO Y REPARACIÓN)</v>
      </c>
      <c r="X500" s="57">
        <v>25441</v>
      </c>
      <c r="Y500" s="57">
        <f>25441+10000-11362.24-6932.8-6550.55</f>
        <v>10595.410000000003</v>
      </c>
      <c r="Z500" s="58">
        <v>0</v>
      </c>
      <c r="AA500" s="58">
        <v>0</v>
      </c>
      <c r="AB500" s="58">
        <v>0</v>
      </c>
      <c r="AC500" s="58">
        <v>0</v>
      </c>
      <c r="AD500" s="58">
        <v>0</v>
      </c>
      <c r="AE500" s="58">
        <v>0</v>
      </c>
      <c r="AF500" s="58">
        <v>0</v>
      </c>
      <c r="AG500" s="58">
        <v>0</v>
      </c>
      <c r="AH500" s="58">
        <v>0</v>
      </c>
      <c r="AI500" s="58">
        <v>0</v>
      </c>
      <c r="AJ500" s="58">
        <v>10595.41</v>
      </c>
      <c r="AK500" s="58">
        <v>0</v>
      </c>
      <c r="AL500" s="75">
        <f>+SUBTOTAL(9,Tabla6[[#This Row],[ENE]:[DIC]])</f>
        <v>10595.41</v>
      </c>
      <c r="AM500" s="76" t="str">
        <f t="shared" si="10"/>
        <v>OK</v>
      </c>
      <c r="AN500" s="60">
        <f>22681.24-5535.28-6174.75-375.8</f>
        <v>10595.410000000003</v>
      </c>
      <c r="AO500" s="61">
        <f>+Tabla6[[#This Row],[PRESUPUESTO VIGENTE]]-Tabla6[[#This Row],[CERTIFICACIÓN PAPP]]</f>
        <v>0</v>
      </c>
      <c r="AP500" s="59" t="s">
        <v>87</v>
      </c>
    </row>
    <row r="501" spans="1:42" ht="93" customHeight="1" x14ac:dyDescent="0.25">
      <c r="A501" s="62" t="s">
        <v>88</v>
      </c>
      <c r="B501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501" s="64" t="s">
        <v>89</v>
      </c>
      <c r="D501" s="64" t="s">
        <v>80</v>
      </c>
      <c r="E501" s="64" t="s">
        <v>81</v>
      </c>
      <c r="F501" s="64" t="s">
        <v>96</v>
      </c>
      <c r="G501" s="64" t="s">
        <v>10</v>
      </c>
      <c r="H501" s="65" t="str">
        <f>VLOOKUP(Tabla6[[#This Row],[DIRECCIÓN]],DIRECCIÓN[#All],2,0)</f>
        <v>TECNOLOGÍA</v>
      </c>
      <c r="I501" s="66" t="s">
        <v>667</v>
      </c>
      <c r="J501" s="67">
        <v>1</v>
      </c>
      <c r="K501" s="68" t="str">
        <f>VLOOKUP(Tabla6[[#This Row],[DIRECCIÓN GENERAL / COORDINACIÓN / SUBDIRECCIÓN]],Tabla37[[#All],[Columna1]:[EOD]],2,0)</f>
        <v>266_0003</v>
      </c>
      <c r="L501" s="69">
        <f>VLOOKUP(Tabla6[[#This Row],[OBJETIVOS PND]],Listas!$A$1:$C$3,3,0)</f>
        <v>55</v>
      </c>
      <c r="M501" s="70">
        <f>VLOOKUP(Tabla6[[#This Row],[PG]],Listas2!$G$14:$K$16,5,0)</f>
        <v>0</v>
      </c>
      <c r="N501" s="71">
        <v>3</v>
      </c>
      <c r="O501" s="72">
        <v>1801</v>
      </c>
      <c r="P501" s="73" t="str">
        <f>VLOOKUP(Tabla6[[#This Row],[GEO]],Listas!$A$48:$B$77,2,0)</f>
        <v>AMBATO</v>
      </c>
      <c r="Q501" s="70">
        <f>VLOOKUP(Tabla6[[#This Row],[PG]],Listas2!$G$14:$K$16,3,0)</f>
        <v>1</v>
      </c>
      <c r="R501" s="73">
        <f>VLOOKUP(Tabla6[[#This Row],[PG]],Listas2!H167:'Listas2'!$G$14:$K$16,4,0)</f>
        <v>0</v>
      </c>
      <c r="S501" s="73">
        <f>VLOOKUP(Tabla6[[#This Row],[PG]],Listas2!$G$14:$K$16,2,0)</f>
        <v>0</v>
      </c>
      <c r="T501" s="66" t="s">
        <v>84</v>
      </c>
      <c r="U501" s="74">
        <v>53</v>
      </c>
      <c r="V501" s="66">
        <v>530402</v>
      </c>
      <c r="W501" s="63" t="str">
        <f>VLOOKUP(Tabla6[[#This Row],[ÍTEM PRESUPUESTARIO]],Tabla2[#All],2,0)</f>
        <v>EDIFICIOS, LOCALES, RESIDENCIAS Y CABLEADO ESTRUCTURADO (INSTALACIÓN, MANTENIMIENTO Y REPARACIÓN)</v>
      </c>
      <c r="X501" s="57">
        <v>30000</v>
      </c>
      <c r="Y501" s="57">
        <f>30000-11067.2-6550.54</f>
        <v>12382.259999999998</v>
      </c>
      <c r="Z501" s="58">
        <v>0</v>
      </c>
      <c r="AA501" s="58">
        <v>0</v>
      </c>
      <c r="AB501" s="58">
        <v>0</v>
      </c>
      <c r="AC501" s="58">
        <v>0</v>
      </c>
      <c r="AD501" s="58">
        <v>0</v>
      </c>
      <c r="AE501" s="58">
        <v>0</v>
      </c>
      <c r="AF501" s="58">
        <v>0</v>
      </c>
      <c r="AG501" s="58">
        <v>0</v>
      </c>
      <c r="AH501" s="58">
        <v>0</v>
      </c>
      <c r="AI501" s="58">
        <v>0</v>
      </c>
      <c r="AJ501" s="58">
        <v>4382.26</v>
      </c>
      <c r="AK501" s="58">
        <v>8000</v>
      </c>
      <c r="AL501" s="75">
        <f>+SUBTOTAL(9,Tabla6[[#This Row],[ENE]:[DIC]])</f>
        <v>12382.26</v>
      </c>
      <c r="AM501" s="76" t="str">
        <f t="shared" si="10"/>
        <v>OK</v>
      </c>
      <c r="AN501" s="60">
        <f>14500-2117.74</f>
        <v>12382.26</v>
      </c>
      <c r="AO501" s="61">
        <f>+Tabla6[[#This Row],[PRESUPUESTO VIGENTE]]-Tabla6[[#This Row],[CERTIFICACIÓN PAPP]]</f>
        <v>0</v>
      </c>
      <c r="AP501" s="59" t="s">
        <v>87</v>
      </c>
    </row>
    <row r="502" spans="1:42" ht="93" customHeight="1" x14ac:dyDescent="0.25">
      <c r="A502" s="62" t="s">
        <v>88</v>
      </c>
      <c r="B502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502" s="64" t="s">
        <v>89</v>
      </c>
      <c r="D502" s="64" t="s">
        <v>80</v>
      </c>
      <c r="E502" s="64" t="s">
        <v>81</v>
      </c>
      <c r="F502" s="64" t="s">
        <v>96</v>
      </c>
      <c r="G502" s="64" t="s">
        <v>10</v>
      </c>
      <c r="H502" s="65" t="str">
        <f>VLOOKUP(Tabla6[[#This Row],[DIRECCIÓN]],DIRECCIÓN[#All],2,0)</f>
        <v>TECNOLOGÍA</v>
      </c>
      <c r="I502" s="66" t="s">
        <v>655</v>
      </c>
      <c r="J502" s="67">
        <v>1</v>
      </c>
      <c r="K502" s="68" t="str">
        <f>VLOOKUP(Tabla6[[#This Row],[DIRECCIÓN GENERAL / COORDINACIÓN / SUBDIRECCIÓN]],Tabla37[[#All],[Columna1]:[EOD]],2,0)</f>
        <v>266_0003</v>
      </c>
      <c r="L502" s="69">
        <f>VLOOKUP(Tabla6[[#This Row],[OBJETIVOS PND]],Listas!$A$1:$C$3,3,0)</f>
        <v>55</v>
      </c>
      <c r="M502" s="70">
        <f>VLOOKUP(Tabla6[[#This Row],[PG]],Listas2!$G$14:$K$16,5,0)</f>
        <v>0</v>
      </c>
      <c r="N502" s="71">
        <v>3</v>
      </c>
      <c r="O502" s="72">
        <v>1801</v>
      </c>
      <c r="P502" s="73" t="str">
        <f>VLOOKUP(Tabla6[[#This Row],[GEO]],Listas!$A$48:$B$77,2,0)</f>
        <v>AMBATO</v>
      </c>
      <c r="Q502" s="70">
        <f>VLOOKUP(Tabla6[[#This Row],[PG]],Listas2!$G$14:$K$16,3,0)</f>
        <v>1</v>
      </c>
      <c r="R502" s="73">
        <f>VLOOKUP(Tabla6[[#This Row],[PG]],Listas2!H168:'Listas2'!$G$14:$K$16,4,0)</f>
        <v>0</v>
      </c>
      <c r="S502" s="73">
        <f>VLOOKUP(Tabla6[[#This Row],[PG]],Listas2!$G$14:$K$16,2,0)</f>
        <v>0</v>
      </c>
      <c r="T502" s="66" t="s">
        <v>84</v>
      </c>
      <c r="U502" s="74">
        <v>53</v>
      </c>
      <c r="V502" s="66">
        <v>530704</v>
      </c>
      <c r="W502" s="63" t="str">
        <f>VLOOKUP(Tabla6[[#This Row],[ÍTEM PRESUPUESTARIO]],Tabla2[#All],2,0)</f>
        <v xml:space="preserve">MANTENIMIENTO Y REPARACIÓN DE EQUIPOS Y SISTEMAS INFORMÁTICOS </v>
      </c>
      <c r="X502" s="57">
        <v>27000</v>
      </c>
      <c r="Y502" s="57">
        <f>27000+36394.38-19123.49-20000-2248.89</f>
        <v>22022</v>
      </c>
      <c r="Z502" s="58">
        <v>0</v>
      </c>
      <c r="AA502" s="58">
        <v>0</v>
      </c>
      <c r="AB502" s="58">
        <v>0</v>
      </c>
      <c r="AC502" s="58">
        <v>0</v>
      </c>
      <c r="AD502" s="58">
        <v>0</v>
      </c>
      <c r="AE502" s="58">
        <v>0</v>
      </c>
      <c r="AF502" s="58">
        <v>0</v>
      </c>
      <c r="AG502" s="58">
        <v>0</v>
      </c>
      <c r="AH502" s="58">
        <v>2615.4899999999998</v>
      </c>
      <c r="AI502" s="58">
        <v>8000</v>
      </c>
      <c r="AJ502" s="58">
        <v>6476.62</v>
      </c>
      <c r="AK502" s="58">
        <v>4929.8900000000003</v>
      </c>
      <c r="AL502" s="75">
        <f>+SUBTOTAL(9,Tabla6[[#This Row],[ENE]:[DIC]])</f>
        <v>22022</v>
      </c>
      <c r="AM502" s="76" t="str">
        <f t="shared" si="10"/>
        <v>OK</v>
      </c>
      <c r="AN502" s="60">
        <f>24055.8-2033.8</f>
        <v>22022</v>
      </c>
      <c r="AO502" s="61">
        <f>+Tabla6[[#This Row],[PRESUPUESTO VIGENTE]]-Tabla6[[#This Row],[CERTIFICACIÓN PAPP]]</f>
        <v>0</v>
      </c>
      <c r="AP502" s="59" t="s">
        <v>87</v>
      </c>
    </row>
    <row r="503" spans="1:42" ht="93" customHeight="1" x14ac:dyDescent="0.25">
      <c r="A503" s="62" t="s">
        <v>88</v>
      </c>
      <c r="B503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503" s="64" t="s">
        <v>89</v>
      </c>
      <c r="D503" s="64" t="s">
        <v>80</v>
      </c>
      <c r="E503" s="64" t="s">
        <v>81</v>
      </c>
      <c r="F503" s="64" t="s">
        <v>96</v>
      </c>
      <c r="G503" s="64" t="s">
        <v>10</v>
      </c>
      <c r="H503" s="65" t="str">
        <f>VLOOKUP(Tabla6[[#This Row],[DIRECCIÓN]],DIRECCIÓN[#All],2,0)</f>
        <v>TECNOLOGÍA</v>
      </c>
      <c r="I503" s="66" t="s">
        <v>668</v>
      </c>
      <c r="J503" s="67">
        <v>1</v>
      </c>
      <c r="K503" s="68" t="str">
        <f>VLOOKUP(Tabla6[[#This Row],[DIRECCIÓN GENERAL / COORDINACIÓN / SUBDIRECCIÓN]],Tabla37[[#All],[Columna1]:[EOD]],2,0)</f>
        <v>266_0003</v>
      </c>
      <c r="L503" s="69">
        <f>VLOOKUP(Tabla6[[#This Row],[OBJETIVOS PND]],Listas!$A$1:$C$3,3,0)</f>
        <v>55</v>
      </c>
      <c r="M503" s="70">
        <f>VLOOKUP(Tabla6[[#This Row],[PG]],Listas2!$G$14:$K$16,5,0)</f>
        <v>0</v>
      </c>
      <c r="N503" s="71">
        <v>3</v>
      </c>
      <c r="O503" s="72">
        <v>1801</v>
      </c>
      <c r="P503" s="73" t="str">
        <f>VLOOKUP(Tabla6[[#This Row],[GEO]],Listas!$A$48:$B$77,2,0)</f>
        <v>AMBATO</v>
      </c>
      <c r="Q503" s="70">
        <f>VLOOKUP(Tabla6[[#This Row],[PG]],Listas2!$G$14:$K$16,3,0)</f>
        <v>1</v>
      </c>
      <c r="R503" s="73">
        <f>VLOOKUP(Tabla6[[#This Row],[PG]],Listas2!H169:'Listas2'!$G$14:$K$16,4,0)</f>
        <v>0</v>
      </c>
      <c r="S503" s="73">
        <f>VLOOKUP(Tabla6[[#This Row],[PG]],Listas2!$G$14:$K$16,2,0)</f>
        <v>0</v>
      </c>
      <c r="T503" s="66" t="s">
        <v>95</v>
      </c>
      <c r="U503" s="74">
        <v>84</v>
      </c>
      <c r="V503" s="66">
        <v>840107</v>
      </c>
      <c r="W503" s="63" t="str">
        <f>VLOOKUP(Tabla6[[#This Row],[ÍTEM PRESUPUESTARIO]],Tabla2[#All],2,0)</f>
        <v>EQUIPOS SISTEMAS Y PAQUETES INFORMÁTICOS</v>
      </c>
      <c r="X503" s="57">
        <v>0</v>
      </c>
      <c r="Y503" s="57">
        <f>53391-9465</f>
        <v>43926</v>
      </c>
      <c r="Z503" s="58">
        <v>0</v>
      </c>
      <c r="AA503" s="58">
        <v>0</v>
      </c>
      <c r="AB503" s="58">
        <v>0</v>
      </c>
      <c r="AC503" s="58">
        <v>0</v>
      </c>
      <c r="AD503" s="58">
        <v>0</v>
      </c>
      <c r="AE503" s="58">
        <v>0</v>
      </c>
      <c r="AF503" s="58">
        <v>0</v>
      </c>
      <c r="AG503" s="58">
        <v>0</v>
      </c>
      <c r="AH503" s="58">
        <v>26736</v>
      </c>
      <c r="AI503" s="58">
        <v>0</v>
      </c>
      <c r="AJ503" s="58">
        <v>17190</v>
      </c>
      <c r="AK503" s="58">
        <v>0</v>
      </c>
      <c r="AL503" s="75">
        <f>+SUBTOTAL(9,Tabla6[[#This Row],[ENE]:[DIC]])</f>
        <v>43926</v>
      </c>
      <c r="AM503" s="76" t="str">
        <f t="shared" si="10"/>
        <v>OK</v>
      </c>
      <c r="AN503" s="60">
        <f>31191+12735</f>
        <v>43926</v>
      </c>
      <c r="AO503" s="61">
        <f>+Tabla6[[#This Row],[PRESUPUESTO VIGENTE]]-Tabla6[[#This Row],[CERTIFICACIÓN PAPP]]</f>
        <v>0</v>
      </c>
      <c r="AP503" s="59">
        <v>0</v>
      </c>
    </row>
    <row r="504" spans="1:42" ht="93" customHeight="1" x14ac:dyDescent="0.25">
      <c r="A504" s="62" t="s">
        <v>78</v>
      </c>
      <c r="B504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504" s="64" t="s">
        <v>79</v>
      </c>
      <c r="D504" s="64" t="s">
        <v>80</v>
      </c>
      <c r="E504" s="64" t="s">
        <v>81</v>
      </c>
      <c r="F504" s="64" t="s">
        <v>99</v>
      </c>
      <c r="G504" s="64" t="s">
        <v>92</v>
      </c>
      <c r="H504" s="65" t="str">
        <f>VLOOKUP(Tabla6[[#This Row],[DIRECCIÓN]],DIRECCIÓN[#All],2,0)</f>
        <v>ADMINISTRACIÓN CENTRAL</v>
      </c>
      <c r="I504" s="66" t="s">
        <v>93</v>
      </c>
      <c r="J504" s="67">
        <v>1</v>
      </c>
      <c r="K504" s="68" t="str">
        <f>VLOOKUP(Tabla6[[#This Row],[DIRECCIÓN GENERAL / COORDINACIÓN / SUBDIRECCIÓN]],Tabla37[[#All],[Columna1]:[EOD]],2,0)</f>
        <v>266_0004</v>
      </c>
      <c r="L504" s="69">
        <f>VLOOKUP(Tabla6[[#This Row],[OBJETIVOS PND]],Listas!$A$1:$C$3,3,0)</f>
        <v>1</v>
      </c>
      <c r="M504" s="70">
        <f>VLOOKUP(Tabla6[[#This Row],[PG]],Listas2!$G$14:$K$16,5,0)</f>
        <v>0</v>
      </c>
      <c r="N504" s="71">
        <v>1</v>
      </c>
      <c r="O504" s="72">
        <v>1300</v>
      </c>
      <c r="P504" s="73" t="str">
        <f>VLOOKUP(Tabla6[[#This Row],[GEO]],Listas!$A$48:$B$77,2,0)</f>
        <v>PORTOVIEJO</v>
      </c>
      <c r="Q504" s="70">
        <f>VLOOKUP(Tabla6[[#This Row],[PG]],Listas2!$G$14:$K$16,3,0)</f>
        <v>1</v>
      </c>
      <c r="R504" s="73">
        <f>VLOOKUP(Tabla6[[#This Row],[PG]],Listas2!H14:'Listas2'!$G$14:$K$16,4,0)</f>
        <v>0</v>
      </c>
      <c r="S504" s="73">
        <f>VLOOKUP(Tabla6[[#This Row],[PG]],Listas2!$G$14:$K$16,2,0)</f>
        <v>0</v>
      </c>
      <c r="T504" s="66" t="s">
        <v>84</v>
      </c>
      <c r="U504" s="74">
        <v>51</v>
      </c>
      <c r="V504" s="66">
        <v>510105</v>
      </c>
      <c r="W504" s="63" t="str">
        <f>VLOOKUP(Tabla6[[#This Row],[ÍTEM PRESUPUESTARIO]],Tabla2[#All],2,0)</f>
        <v>REMUNERACIONES UNIFICADAS</v>
      </c>
      <c r="X504" s="57">
        <v>260688</v>
      </c>
      <c r="Y504" s="57">
        <v>260688</v>
      </c>
      <c r="Z504" s="58">
        <v>21724</v>
      </c>
      <c r="AA504" s="58">
        <v>21724</v>
      </c>
      <c r="AB504" s="58">
        <v>21724</v>
      </c>
      <c r="AC504" s="58">
        <v>21724</v>
      </c>
      <c r="AD504" s="58">
        <v>21724</v>
      </c>
      <c r="AE504" s="58">
        <v>21724</v>
      </c>
      <c r="AF504" s="58">
        <v>21724</v>
      </c>
      <c r="AG504" s="58">
        <v>21724</v>
      </c>
      <c r="AH504" s="58">
        <v>21724</v>
      </c>
      <c r="AI504" s="58">
        <v>21724</v>
      </c>
      <c r="AJ504" s="58">
        <v>21724</v>
      </c>
      <c r="AK504" s="58">
        <v>21724</v>
      </c>
      <c r="AL504" s="75">
        <f>+SUBTOTAL(9,Tabla6[[#This Row],[ENE]:[DIC]])</f>
        <v>260688</v>
      </c>
      <c r="AM504" s="76" t="str">
        <f t="shared" ref="AM504:AM567" si="11">IF(AL504=Y504,"OK",Y504-AL504)</f>
        <v>OK</v>
      </c>
      <c r="AN504" s="60">
        <v>260688</v>
      </c>
      <c r="AO504" s="61">
        <f>+Tabla6[[#This Row],[PRESUPUESTO VIGENTE]]-Tabla6[[#This Row],[CERTIFICACIÓN PAPP]]</f>
        <v>0</v>
      </c>
      <c r="AP504" s="59">
        <v>0</v>
      </c>
    </row>
    <row r="505" spans="1:42" ht="93" customHeight="1" x14ac:dyDescent="0.25">
      <c r="A505" s="62" t="s">
        <v>78</v>
      </c>
      <c r="B505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505" s="64" t="s">
        <v>79</v>
      </c>
      <c r="D505" s="64" t="s">
        <v>80</v>
      </c>
      <c r="E505" s="64" t="s">
        <v>81</v>
      </c>
      <c r="F505" s="64" t="s">
        <v>99</v>
      </c>
      <c r="G505" s="64" t="s">
        <v>92</v>
      </c>
      <c r="H505" s="65" t="str">
        <f>VLOOKUP(Tabla6[[#This Row],[DIRECCIÓN]],DIRECCIÓN[#All],2,0)</f>
        <v>ADMINISTRACIÓN CENTRAL</v>
      </c>
      <c r="I505" s="66" t="s">
        <v>93</v>
      </c>
      <c r="J505" s="67">
        <v>1</v>
      </c>
      <c r="K505" s="68" t="str">
        <f>VLOOKUP(Tabla6[[#This Row],[DIRECCIÓN GENERAL / COORDINACIÓN / SUBDIRECCIÓN]],Tabla37[[#All],[Columna1]:[EOD]],2,0)</f>
        <v>266_0004</v>
      </c>
      <c r="L505" s="69">
        <f>VLOOKUP(Tabla6[[#This Row],[OBJETIVOS PND]],Listas!$A$1:$C$3,3,0)</f>
        <v>1</v>
      </c>
      <c r="M505" s="70">
        <f>VLOOKUP(Tabla6[[#This Row],[PG]],Listas2!$G$14:$K$16,5,0)</f>
        <v>0</v>
      </c>
      <c r="N505" s="71">
        <v>1</v>
      </c>
      <c r="O505" s="72">
        <v>1300</v>
      </c>
      <c r="P505" s="73" t="str">
        <f>VLOOKUP(Tabla6[[#This Row],[GEO]],Listas!$A$48:$B$77,2,0)</f>
        <v>PORTOVIEJO</v>
      </c>
      <c r="Q505" s="70">
        <f>VLOOKUP(Tabla6[[#This Row],[PG]],Listas2!$G$14:$K$16,3,0)</f>
        <v>1</v>
      </c>
      <c r="R505" s="73">
        <f>VLOOKUP(Tabla6[[#This Row],[PG]],Listas2!H15:'Listas2'!$G$14:$K$16,4,0)</f>
        <v>0</v>
      </c>
      <c r="S505" s="73">
        <f>VLOOKUP(Tabla6[[#This Row],[PG]],Listas2!$G$14:$K$16,2,0)</f>
        <v>0</v>
      </c>
      <c r="T505" s="66" t="s">
        <v>84</v>
      </c>
      <c r="U505" s="74">
        <v>51</v>
      </c>
      <c r="V505" s="66">
        <v>510106</v>
      </c>
      <c r="W505" s="63" t="str">
        <f>VLOOKUP(Tabla6[[#This Row],[ÍTEM PRESUPUESTARIO]],Tabla2[#All],2,0)</f>
        <v>SALARIOS UNIFICADOS</v>
      </c>
      <c r="X505" s="57">
        <v>36120</v>
      </c>
      <c r="Y505" s="57">
        <v>36120</v>
      </c>
      <c r="Z505" s="58">
        <v>3010</v>
      </c>
      <c r="AA505" s="58">
        <v>3010</v>
      </c>
      <c r="AB505" s="58">
        <v>3010</v>
      </c>
      <c r="AC505" s="58">
        <v>3010</v>
      </c>
      <c r="AD505" s="58">
        <v>3010</v>
      </c>
      <c r="AE505" s="58">
        <v>3010</v>
      </c>
      <c r="AF505" s="58">
        <v>3010</v>
      </c>
      <c r="AG505" s="58">
        <v>3010</v>
      </c>
      <c r="AH505" s="58">
        <v>3010</v>
      </c>
      <c r="AI505" s="58">
        <v>3010</v>
      </c>
      <c r="AJ505" s="58">
        <v>3010</v>
      </c>
      <c r="AK505" s="58">
        <v>3010</v>
      </c>
      <c r="AL505" s="75">
        <f>+SUBTOTAL(9,Tabla6[[#This Row],[ENE]:[DIC]])</f>
        <v>36120</v>
      </c>
      <c r="AM505" s="76" t="str">
        <f t="shared" si="11"/>
        <v>OK</v>
      </c>
      <c r="AN505" s="60">
        <v>36120</v>
      </c>
      <c r="AO505" s="61">
        <f>+Tabla6[[#This Row],[PRESUPUESTO VIGENTE]]-Tabla6[[#This Row],[CERTIFICACIÓN PAPP]]</f>
        <v>0</v>
      </c>
      <c r="AP505" s="59">
        <v>0</v>
      </c>
    </row>
    <row r="506" spans="1:42" ht="93" customHeight="1" x14ac:dyDescent="0.25">
      <c r="A506" s="62" t="s">
        <v>78</v>
      </c>
      <c r="B506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506" s="64" t="s">
        <v>79</v>
      </c>
      <c r="D506" s="64" t="s">
        <v>80</v>
      </c>
      <c r="E506" s="64" t="s">
        <v>81</v>
      </c>
      <c r="F506" s="64" t="s">
        <v>99</v>
      </c>
      <c r="G506" s="64" t="s">
        <v>92</v>
      </c>
      <c r="H506" s="65" t="str">
        <f>VLOOKUP(Tabla6[[#This Row],[DIRECCIÓN]],DIRECCIÓN[#All],2,0)</f>
        <v>ADMINISTRACIÓN CENTRAL</v>
      </c>
      <c r="I506" s="66" t="s">
        <v>93</v>
      </c>
      <c r="J506" s="67">
        <v>1</v>
      </c>
      <c r="K506" s="68" t="str">
        <f>VLOOKUP(Tabla6[[#This Row],[DIRECCIÓN GENERAL / COORDINACIÓN / SUBDIRECCIÓN]],Tabla37[[#All],[Columna1]:[EOD]],2,0)</f>
        <v>266_0004</v>
      </c>
      <c r="L506" s="69">
        <f>VLOOKUP(Tabla6[[#This Row],[OBJETIVOS PND]],Listas!$A$1:$C$3,3,0)</f>
        <v>1</v>
      </c>
      <c r="M506" s="70">
        <f>VLOOKUP(Tabla6[[#This Row],[PG]],Listas2!$G$14:$K$16,5,0)</f>
        <v>0</v>
      </c>
      <c r="N506" s="71">
        <v>1</v>
      </c>
      <c r="O506" s="72">
        <v>1300</v>
      </c>
      <c r="P506" s="73" t="str">
        <f>VLOOKUP(Tabla6[[#This Row],[GEO]],Listas!$A$48:$B$77,2,0)</f>
        <v>PORTOVIEJO</v>
      </c>
      <c r="Q506" s="70">
        <f>VLOOKUP(Tabla6[[#This Row],[PG]],Listas2!$G$14:$K$16,3,0)</f>
        <v>1</v>
      </c>
      <c r="R506" s="73">
        <f>VLOOKUP(Tabla6[[#This Row],[PG]],Listas2!H16:'Listas2'!$G$14:$K$16,4,0)</f>
        <v>0</v>
      </c>
      <c r="S506" s="73">
        <f>VLOOKUP(Tabla6[[#This Row],[PG]],Listas2!$G$14:$K$16,2,0)</f>
        <v>0</v>
      </c>
      <c r="T506" s="66" t="s">
        <v>84</v>
      </c>
      <c r="U506" s="74">
        <v>51</v>
      </c>
      <c r="V506" s="66">
        <v>510203</v>
      </c>
      <c r="W506" s="63" t="str">
        <f>VLOOKUP(Tabla6[[#This Row],[ÍTEM PRESUPUESTARIO]],Tabla2[#All],2,0)</f>
        <v>DÉCIMO TERCER SUELDO</v>
      </c>
      <c r="X506" s="57">
        <v>24734</v>
      </c>
      <c r="Y506" s="57">
        <f>24734+100+700-728.58</f>
        <v>24805.42</v>
      </c>
      <c r="Z506" s="58">
        <v>0</v>
      </c>
      <c r="AA506" s="58">
        <v>0</v>
      </c>
      <c r="AB506" s="58">
        <v>0</v>
      </c>
      <c r="AC506" s="58">
        <v>0</v>
      </c>
      <c r="AD506" s="58">
        <v>0</v>
      </c>
      <c r="AE506" s="58">
        <v>0</v>
      </c>
      <c r="AF506" s="58">
        <v>0</v>
      </c>
      <c r="AG506" s="58">
        <v>0</v>
      </c>
      <c r="AH506" s="58">
        <v>0</v>
      </c>
      <c r="AI506" s="58">
        <v>0</v>
      </c>
      <c r="AJ506" s="58">
        <v>0</v>
      </c>
      <c r="AK506" s="58">
        <v>24805.42</v>
      </c>
      <c r="AL506" s="75">
        <f>+SUBTOTAL(9,Tabla6[[#This Row],[ENE]:[DIC]])</f>
        <v>24805.42</v>
      </c>
      <c r="AM506" s="76" t="str">
        <f t="shared" si="11"/>
        <v>OK</v>
      </c>
      <c r="AN506" s="60">
        <v>24805.42</v>
      </c>
      <c r="AO506" s="61">
        <f>+Tabla6[[#This Row],[PRESUPUESTO VIGENTE]]-Tabla6[[#This Row],[CERTIFICACIÓN PAPP]]</f>
        <v>0</v>
      </c>
      <c r="AP506" s="59">
        <v>0</v>
      </c>
    </row>
    <row r="507" spans="1:42" ht="93" customHeight="1" x14ac:dyDescent="0.25">
      <c r="A507" s="62" t="s">
        <v>78</v>
      </c>
      <c r="B507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507" s="64" t="s">
        <v>79</v>
      </c>
      <c r="D507" s="64" t="s">
        <v>80</v>
      </c>
      <c r="E507" s="64" t="s">
        <v>81</v>
      </c>
      <c r="F507" s="64" t="s">
        <v>99</v>
      </c>
      <c r="G507" s="64" t="s">
        <v>92</v>
      </c>
      <c r="H507" s="65" t="str">
        <f>VLOOKUP(Tabla6[[#This Row],[DIRECCIÓN]],DIRECCIÓN[#All],2,0)</f>
        <v>ADMINISTRACIÓN CENTRAL</v>
      </c>
      <c r="I507" s="66" t="s">
        <v>93</v>
      </c>
      <c r="J507" s="67">
        <v>1</v>
      </c>
      <c r="K507" s="68" t="str">
        <f>VLOOKUP(Tabla6[[#This Row],[DIRECCIÓN GENERAL / COORDINACIÓN / SUBDIRECCIÓN]],Tabla37[[#All],[Columna1]:[EOD]],2,0)</f>
        <v>266_0004</v>
      </c>
      <c r="L507" s="69">
        <f>VLOOKUP(Tabla6[[#This Row],[OBJETIVOS PND]],Listas!$A$1:$C$3,3,0)</f>
        <v>1</v>
      </c>
      <c r="M507" s="70">
        <f>VLOOKUP(Tabla6[[#This Row],[PG]],Listas2!$G$14:$K$16,5,0)</f>
        <v>0</v>
      </c>
      <c r="N507" s="71">
        <v>1</v>
      </c>
      <c r="O507" s="72">
        <v>1300</v>
      </c>
      <c r="P507" s="73" t="str">
        <f>VLOOKUP(Tabla6[[#This Row],[GEO]],Listas!$A$48:$B$77,2,0)</f>
        <v>PORTOVIEJO</v>
      </c>
      <c r="Q507" s="70">
        <f>VLOOKUP(Tabla6[[#This Row],[PG]],Listas2!$G$14:$K$16,3,0)</f>
        <v>1</v>
      </c>
      <c r="R507" s="73">
        <f>VLOOKUP(Tabla6[[#This Row],[PG]],Listas2!H17:'Listas2'!$G$14:$K$16,4,0)</f>
        <v>0</v>
      </c>
      <c r="S507" s="73">
        <f>VLOOKUP(Tabla6[[#This Row],[PG]],Listas2!$G$14:$K$16,2,0)</f>
        <v>0</v>
      </c>
      <c r="T507" s="66" t="s">
        <v>84</v>
      </c>
      <c r="U507" s="74">
        <v>51</v>
      </c>
      <c r="V507" s="66">
        <v>510204</v>
      </c>
      <c r="W507" s="63" t="str">
        <f>VLOOKUP(Tabla6[[#This Row],[ÍTEM PRESUPUESTARIO]],Tabla2[#All],2,0)</f>
        <v>DÉCIMO CUARTO SUELDO</v>
      </c>
      <c r="X507" s="57">
        <v>10200</v>
      </c>
      <c r="Y507" s="57">
        <f>10800+375-919.71</f>
        <v>10255.290000000001</v>
      </c>
      <c r="Z507" s="58">
        <v>0</v>
      </c>
      <c r="AA507" s="58">
        <v>0</v>
      </c>
      <c r="AB507" s="58">
        <v>0</v>
      </c>
      <c r="AC507" s="58">
        <v>10255.290000000001</v>
      </c>
      <c r="AD507" s="58">
        <v>0</v>
      </c>
      <c r="AE507" s="58">
        <v>0</v>
      </c>
      <c r="AF507" s="58">
        <v>0</v>
      </c>
      <c r="AG507" s="58">
        <v>0</v>
      </c>
      <c r="AH507" s="58">
        <v>0</v>
      </c>
      <c r="AI507" s="58">
        <v>0</v>
      </c>
      <c r="AJ507" s="58">
        <v>0</v>
      </c>
      <c r="AK507" s="58">
        <v>0</v>
      </c>
      <c r="AL507" s="75">
        <f>+SUBTOTAL(9,Tabla6[[#This Row],[ENE]:[DIC]])</f>
        <v>10255.290000000001</v>
      </c>
      <c r="AM507" s="76" t="str">
        <f t="shared" si="11"/>
        <v>OK</v>
      </c>
      <c r="AN507" s="60">
        <v>10255.290000000001</v>
      </c>
      <c r="AO507" s="61">
        <f>+Tabla6[[#This Row],[PRESUPUESTO VIGENTE]]-Tabla6[[#This Row],[CERTIFICACIÓN PAPP]]</f>
        <v>0</v>
      </c>
      <c r="AP507" s="59">
        <v>0</v>
      </c>
    </row>
    <row r="508" spans="1:42" ht="93" customHeight="1" x14ac:dyDescent="0.25">
      <c r="A508" s="62" t="s">
        <v>78</v>
      </c>
      <c r="B508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508" s="64" t="s">
        <v>79</v>
      </c>
      <c r="D508" s="64" t="s">
        <v>80</v>
      </c>
      <c r="E508" s="64" t="s">
        <v>81</v>
      </c>
      <c r="F508" s="64" t="s">
        <v>99</v>
      </c>
      <c r="G508" s="64" t="s">
        <v>92</v>
      </c>
      <c r="H508" s="65" t="str">
        <f>VLOOKUP(Tabla6[[#This Row],[DIRECCIÓN]],DIRECCIÓN[#All],2,0)</f>
        <v>ADMINISTRACIÓN CENTRAL</v>
      </c>
      <c r="I508" s="66" t="s">
        <v>93</v>
      </c>
      <c r="J508" s="67">
        <v>1</v>
      </c>
      <c r="K508" s="68" t="str">
        <f>VLOOKUP(Tabla6[[#This Row],[DIRECCIÓN GENERAL / COORDINACIÓN / SUBDIRECCIÓN]],Tabla37[[#All],[Columna1]:[EOD]],2,0)</f>
        <v>266_0004</v>
      </c>
      <c r="L508" s="69">
        <f>VLOOKUP(Tabla6[[#This Row],[OBJETIVOS PND]],Listas!$A$1:$C$3,3,0)</f>
        <v>1</v>
      </c>
      <c r="M508" s="70">
        <f>VLOOKUP(Tabla6[[#This Row],[PG]],Listas2!$G$14:$K$16,5,0)</f>
        <v>0</v>
      </c>
      <c r="N508" s="71">
        <v>1</v>
      </c>
      <c r="O508" s="72">
        <v>1300</v>
      </c>
      <c r="P508" s="73" t="str">
        <f>VLOOKUP(Tabla6[[#This Row],[GEO]],Listas!$A$48:$B$77,2,0)</f>
        <v>PORTOVIEJO</v>
      </c>
      <c r="Q508" s="70">
        <f>VLOOKUP(Tabla6[[#This Row],[PG]],Listas2!$G$14:$K$16,3,0)</f>
        <v>1</v>
      </c>
      <c r="R508" s="73">
        <f>VLOOKUP(Tabla6[[#This Row],[PG]],Listas2!H18:'Listas2'!$G$14:$K$16,4,0)</f>
        <v>0</v>
      </c>
      <c r="S508" s="73">
        <f>VLOOKUP(Tabla6[[#This Row],[PG]],Listas2!$G$14:$K$16,2,0)</f>
        <v>0</v>
      </c>
      <c r="T508" s="66" t="s">
        <v>84</v>
      </c>
      <c r="U508" s="74">
        <v>51</v>
      </c>
      <c r="V508" s="66">
        <v>510304</v>
      </c>
      <c r="W508" s="63" t="str">
        <f>VLOOKUP(Tabla6[[#This Row],[ÍTEM PRESUPUESTARIO]],Tabla2[#All],2,0)</f>
        <v>COMPENSACION POR TRANSPORTE</v>
      </c>
      <c r="X508" s="57">
        <v>0</v>
      </c>
      <c r="Y508" s="57">
        <f>330-330</f>
        <v>0</v>
      </c>
      <c r="Z508" s="58">
        <v>0</v>
      </c>
      <c r="AA508" s="58">
        <v>0</v>
      </c>
      <c r="AB508" s="58">
        <v>0</v>
      </c>
      <c r="AC508" s="58">
        <v>0</v>
      </c>
      <c r="AD508" s="58">
        <v>0</v>
      </c>
      <c r="AE508" s="58">
        <v>0</v>
      </c>
      <c r="AF508" s="58">
        <v>0</v>
      </c>
      <c r="AG508" s="58">
        <v>0</v>
      </c>
      <c r="AH508" s="58">
        <v>0</v>
      </c>
      <c r="AI508" s="58">
        <v>0</v>
      </c>
      <c r="AJ508" s="58">
        <v>0</v>
      </c>
      <c r="AK508" s="58">
        <v>0</v>
      </c>
      <c r="AL508" s="75">
        <f>+SUBTOTAL(9,Tabla6[[#This Row],[ENE]:[DIC]])</f>
        <v>0</v>
      </c>
      <c r="AM508" s="76" t="str">
        <f t="shared" si="11"/>
        <v>OK</v>
      </c>
      <c r="AN508" s="60">
        <v>0</v>
      </c>
      <c r="AO508" s="61">
        <f>+Tabla6[[#This Row],[PRESUPUESTO VIGENTE]]-Tabla6[[#This Row],[CERTIFICACIÓN PAPP]]</f>
        <v>0</v>
      </c>
      <c r="AP508" s="59">
        <v>0</v>
      </c>
    </row>
    <row r="509" spans="1:42" ht="93" customHeight="1" x14ac:dyDescent="0.25">
      <c r="A509" s="62" t="s">
        <v>78</v>
      </c>
      <c r="B509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509" s="64" t="s">
        <v>79</v>
      </c>
      <c r="D509" s="64" t="s">
        <v>80</v>
      </c>
      <c r="E509" s="64" t="s">
        <v>81</v>
      </c>
      <c r="F509" s="64" t="s">
        <v>99</v>
      </c>
      <c r="G509" s="64" t="s">
        <v>92</v>
      </c>
      <c r="H509" s="65" t="str">
        <f>VLOOKUP(Tabla6[[#This Row],[DIRECCIÓN]],DIRECCIÓN[#All],2,0)</f>
        <v>ADMINISTRACIÓN CENTRAL</v>
      </c>
      <c r="I509" s="66" t="s">
        <v>93</v>
      </c>
      <c r="J509" s="67">
        <v>1</v>
      </c>
      <c r="K509" s="68" t="str">
        <f>VLOOKUP(Tabla6[[#This Row],[DIRECCIÓN GENERAL / COORDINACIÓN / SUBDIRECCIÓN]],Tabla37[[#All],[Columna1]:[EOD]],2,0)</f>
        <v>266_0004</v>
      </c>
      <c r="L509" s="69">
        <f>VLOOKUP(Tabla6[[#This Row],[OBJETIVOS PND]],Listas!$A$1:$C$3,3,0)</f>
        <v>1</v>
      </c>
      <c r="M509" s="70">
        <f>VLOOKUP(Tabla6[[#This Row],[PG]],Listas2!$G$14:$K$16,5,0)</f>
        <v>0</v>
      </c>
      <c r="N509" s="71">
        <v>1</v>
      </c>
      <c r="O509" s="72">
        <v>1300</v>
      </c>
      <c r="P509" s="73" t="str">
        <f>VLOOKUP(Tabla6[[#This Row],[GEO]],Listas!$A$48:$B$77,2,0)</f>
        <v>PORTOVIEJO</v>
      </c>
      <c r="Q509" s="70">
        <f>VLOOKUP(Tabla6[[#This Row],[PG]],Listas2!$G$14:$K$16,3,0)</f>
        <v>1</v>
      </c>
      <c r="R509" s="73">
        <f>VLOOKUP(Tabla6[[#This Row],[PG]],Listas2!H19:'Listas2'!$G$14:$K$16,4,0)</f>
        <v>0</v>
      </c>
      <c r="S509" s="73">
        <f>VLOOKUP(Tabla6[[#This Row],[PG]],Listas2!$G$14:$K$16,2,0)</f>
        <v>0</v>
      </c>
      <c r="T509" s="66" t="s">
        <v>84</v>
      </c>
      <c r="U509" s="74">
        <v>51</v>
      </c>
      <c r="V509" s="66">
        <v>510306</v>
      </c>
      <c r="W509" s="63" t="str">
        <f>VLOOKUP(Tabla6[[#This Row],[ÍTEM PRESUPUESTARIO]],Tabla2[#All],2,0)</f>
        <v>ALIMENTACION</v>
      </c>
      <c r="X509" s="57">
        <v>0</v>
      </c>
      <c r="Y509" s="57">
        <f>1650-1650</f>
        <v>0</v>
      </c>
      <c r="Z509" s="58">
        <v>0</v>
      </c>
      <c r="AA509" s="58">
        <v>0</v>
      </c>
      <c r="AB509" s="58">
        <v>0</v>
      </c>
      <c r="AC509" s="58">
        <v>0</v>
      </c>
      <c r="AD509" s="58">
        <v>0</v>
      </c>
      <c r="AE509" s="58">
        <v>0</v>
      </c>
      <c r="AF509" s="58">
        <v>0</v>
      </c>
      <c r="AG509" s="58">
        <v>0</v>
      </c>
      <c r="AH509" s="58">
        <v>0</v>
      </c>
      <c r="AI509" s="58">
        <v>0</v>
      </c>
      <c r="AJ509" s="58">
        <v>0</v>
      </c>
      <c r="AK509" s="58">
        <v>0</v>
      </c>
      <c r="AL509" s="75">
        <f>+SUBTOTAL(9,Tabla6[[#This Row],[ENE]:[DIC]])</f>
        <v>0</v>
      </c>
      <c r="AM509" s="76" t="str">
        <f t="shared" si="11"/>
        <v>OK</v>
      </c>
      <c r="AN509" s="60">
        <v>0</v>
      </c>
      <c r="AO509" s="61">
        <f>+Tabla6[[#This Row],[PRESUPUESTO VIGENTE]]-Tabla6[[#This Row],[CERTIFICACIÓN PAPP]]</f>
        <v>0</v>
      </c>
      <c r="AP509" s="59">
        <v>0</v>
      </c>
    </row>
    <row r="510" spans="1:42" ht="93" customHeight="1" x14ac:dyDescent="0.25">
      <c r="A510" s="62" t="s">
        <v>78</v>
      </c>
      <c r="B510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510" s="64" t="s">
        <v>79</v>
      </c>
      <c r="D510" s="64" t="s">
        <v>80</v>
      </c>
      <c r="E510" s="64" t="s">
        <v>81</v>
      </c>
      <c r="F510" s="64" t="s">
        <v>99</v>
      </c>
      <c r="G510" s="64" t="s">
        <v>92</v>
      </c>
      <c r="H510" s="65" t="str">
        <f>VLOOKUP(Tabla6[[#This Row],[DIRECCIÓN]],DIRECCIÓN[#All],2,0)</f>
        <v>ADMINISTRACIÓN CENTRAL</v>
      </c>
      <c r="I510" s="66" t="s">
        <v>93</v>
      </c>
      <c r="J510" s="67">
        <v>1</v>
      </c>
      <c r="K510" s="68" t="str">
        <f>VLOOKUP(Tabla6[[#This Row],[DIRECCIÓN GENERAL / COORDINACIÓN / SUBDIRECCIÓN]],Tabla37[[#All],[Columna1]:[EOD]],2,0)</f>
        <v>266_0004</v>
      </c>
      <c r="L510" s="69">
        <f>VLOOKUP(Tabla6[[#This Row],[OBJETIVOS PND]],Listas!$A$1:$C$3,3,0)</f>
        <v>1</v>
      </c>
      <c r="M510" s="70">
        <f>VLOOKUP(Tabla6[[#This Row],[PG]],Listas2!$G$14:$K$16,5,0)</f>
        <v>0</v>
      </c>
      <c r="N510" s="71">
        <v>1</v>
      </c>
      <c r="O510" s="72">
        <v>1300</v>
      </c>
      <c r="P510" s="73" t="str">
        <f>VLOOKUP(Tabla6[[#This Row],[GEO]],Listas!$A$48:$B$77,2,0)</f>
        <v>PORTOVIEJO</v>
      </c>
      <c r="Q510" s="70">
        <f>VLOOKUP(Tabla6[[#This Row],[PG]],Listas2!$G$14:$K$16,3,0)</f>
        <v>1</v>
      </c>
      <c r="R510" s="73">
        <f>VLOOKUP(Tabla6[[#This Row],[PG]],Listas2!H20:'Listas2'!$G$14:$K$16,4,0)</f>
        <v>0</v>
      </c>
      <c r="S510" s="73">
        <f>VLOOKUP(Tabla6[[#This Row],[PG]],Listas2!$G$14:$K$16,2,0)</f>
        <v>0</v>
      </c>
      <c r="T510" s="66" t="s">
        <v>84</v>
      </c>
      <c r="U510" s="74">
        <v>51</v>
      </c>
      <c r="V510" s="66">
        <v>510401</v>
      </c>
      <c r="W510" s="63" t="str">
        <f>VLOOKUP(Tabla6[[#This Row],[ÍTEM PRESUPUESTARIO]],Tabla2[#All],2,0)</f>
        <v>POR CARGAS FAMILIARES</v>
      </c>
      <c r="X510" s="57">
        <v>0</v>
      </c>
      <c r="Y510" s="57">
        <f>128-128</f>
        <v>0</v>
      </c>
      <c r="Z510" s="58">
        <v>0</v>
      </c>
      <c r="AA510" s="58">
        <v>0</v>
      </c>
      <c r="AB510" s="58">
        <v>0</v>
      </c>
      <c r="AC510" s="58">
        <v>0</v>
      </c>
      <c r="AD510" s="58">
        <v>0</v>
      </c>
      <c r="AE510" s="58">
        <v>0</v>
      </c>
      <c r="AF510" s="58">
        <v>0</v>
      </c>
      <c r="AG510" s="58">
        <v>0</v>
      </c>
      <c r="AH510" s="58">
        <v>0</v>
      </c>
      <c r="AI510" s="58">
        <v>0</v>
      </c>
      <c r="AJ510" s="58">
        <v>0</v>
      </c>
      <c r="AK510" s="58">
        <v>0</v>
      </c>
      <c r="AL510" s="75">
        <f>+SUBTOTAL(9,Tabla6[[#This Row],[ENE]:[DIC]])</f>
        <v>0</v>
      </c>
      <c r="AM510" s="76" t="str">
        <f t="shared" si="11"/>
        <v>OK</v>
      </c>
      <c r="AN510" s="60">
        <v>0</v>
      </c>
      <c r="AO510" s="61">
        <f>+Tabla6[[#This Row],[PRESUPUESTO VIGENTE]]-Tabla6[[#This Row],[CERTIFICACIÓN PAPP]]</f>
        <v>0</v>
      </c>
      <c r="AP510" s="59">
        <v>0</v>
      </c>
    </row>
    <row r="511" spans="1:42" ht="93" customHeight="1" x14ac:dyDescent="0.25">
      <c r="A511" s="62" t="s">
        <v>78</v>
      </c>
      <c r="B511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511" s="64" t="s">
        <v>79</v>
      </c>
      <c r="D511" s="64" t="s">
        <v>80</v>
      </c>
      <c r="E511" s="64" t="s">
        <v>81</v>
      </c>
      <c r="F511" s="64" t="s">
        <v>99</v>
      </c>
      <c r="G511" s="64" t="s">
        <v>92</v>
      </c>
      <c r="H511" s="65" t="str">
        <f>VLOOKUP(Tabla6[[#This Row],[DIRECCIÓN]],DIRECCIÓN[#All],2,0)</f>
        <v>ADMINISTRACIÓN CENTRAL</v>
      </c>
      <c r="I511" s="66" t="s">
        <v>93</v>
      </c>
      <c r="J511" s="67">
        <v>1</v>
      </c>
      <c r="K511" s="68" t="str">
        <f>VLOOKUP(Tabla6[[#This Row],[DIRECCIÓN GENERAL / COORDINACIÓN / SUBDIRECCIÓN]],Tabla37[[#All],[Columna1]:[EOD]],2,0)</f>
        <v>266_0004</v>
      </c>
      <c r="L511" s="69">
        <f>VLOOKUP(Tabla6[[#This Row],[OBJETIVOS PND]],Listas!$A$1:$C$3,3,0)</f>
        <v>1</v>
      </c>
      <c r="M511" s="70">
        <f>VLOOKUP(Tabla6[[#This Row],[PG]],Listas2!$G$14:$K$16,5,0)</f>
        <v>0</v>
      </c>
      <c r="N511" s="71">
        <v>1</v>
      </c>
      <c r="O511" s="72">
        <v>1300</v>
      </c>
      <c r="P511" s="73" t="str">
        <f>VLOOKUP(Tabla6[[#This Row],[GEO]],Listas!$A$48:$B$77,2,0)</f>
        <v>PORTOVIEJO</v>
      </c>
      <c r="Q511" s="70">
        <f>VLOOKUP(Tabla6[[#This Row],[PG]],Listas2!$G$14:$K$16,3,0)</f>
        <v>1</v>
      </c>
      <c r="R511" s="73">
        <f>VLOOKUP(Tabla6[[#This Row],[PG]],Listas2!H21:'Listas2'!$G$14:$K$16,4,0)</f>
        <v>0</v>
      </c>
      <c r="S511" s="73">
        <f>VLOOKUP(Tabla6[[#This Row],[PG]],Listas2!$G$14:$K$16,2,0)</f>
        <v>0</v>
      </c>
      <c r="T511" s="66" t="s">
        <v>84</v>
      </c>
      <c r="U511" s="74">
        <v>51</v>
      </c>
      <c r="V511" s="66">
        <v>510408</v>
      </c>
      <c r="W511" s="63" t="str">
        <f>VLOOKUP(Tabla6[[#This Row],[ÍTEM PRESUPUESTARIO]],Tabla2[#All],2,0)</f>
        <v>SUBSIDIO DE ANTIGUEDAD</v>
      </c>
      <c r="X511" s="57">
        <v>0</v>
      </c>
      <c r="Y511" s="57">
        <f>331-331</f>
        <v>0</v>
      </c>
      <c r="Z511" s="58">
        <v>0</v>
      </c>
      <c r="AA511" s="58">
        <v>0</v>
      </c>
      <c r="AB511" s="58">
        <v>0</v>
      </c>
      <c r="AC511" s="58">
        <v>0</v>
      </c>
      <c r="AD511" s="58">
        <v>0</v>
      </c>
      <c r="AE511" s="58">
        <v>0</v>
      </c>
      <c r="AF511" s="58">
        <v>0</v>
      </c>
      <c r="AG511" s="58">
        <v>0</v>
      </c>
      <c r="AH511" s="58">
        <v>0</v>
      </c>
      <c r="AI511" s="58">
        <v>0</v>
      </c>
      <c r="AJ511" s="58">
        <v>0</v>
      </c>
      <c r="AK511" s="58">
        <v>0</v>
      </c>
      <c r="AL511" s="75">
        <f>+SUBTOTAL(9,Tabla6[[#This Row],[ENE]:[DIC]])</f>
        <v>0</v>
      </c>
      <c r="AM511" s="76" t="str">
        <f t="shared" si="11"/>
        <v>OK</v>
      </c>
      <c r="AN511" s="60">
        <v>0</v>
      </c>
      <c r="AO511" s="61">
        <f>+Tabla6[[#This Row],[PRESUPUESTO VIGENTE]]-Tabla6[[#This Row],[CERTIFICACIÓN PAPP]]</f>
        <v>0</v>
      </c>
      <c r="AP511" s="59">
        <v>0</v>
      </c>
    </row>
    <row r="512" spans="1:42" ht="93" customHeight="1" x14ac:dyDescent="0.25">
      <c r="A512" s="62" t="s">
        <v>78</v>
      </c>
      <c r="B512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512" s="64" t="s">
        <v>79</v>
      </c>
      <c r="D512" s="64" t="s">
        <v>80</v>
      </c>
      <c r="E512" s="64" t="s">
        <v>81</v>
      </c>
      <c r="F512" s="64" t="s">
        <v>99</v>
      </c>
      <c r="G512" s="64" t="s">
        <v>92</v>
      </c>
      <c r="H512" s="65" t="str">
        <f>VLOOKUP(Tabla6[[#This Row],[DIRECCIÓN]],DIRECCIÓN[#All],2,0)</f>
        <v>ADMINISTRACIÓN CENTRAL</v>
      </c>
      <c r="I512" s="66" t="s">
        <v>93</v>
      </c>
      <c r="J512" s="67">
        <v>1</v>
      </c>
      <c r="K512" s="68" t="str">
        <f>VLOOKUP(Tabla6[[#This Row],[DIRECCIÓN GENERAL / COORDINACIÓN / SUBDIRECCIÓN]],Tabla37[[#All],[Columna1]:[EOD]],2,0)</f>
        <v>266_0004</v>
      </c>
      <c r="L512" s="69">
        <f>VLOOKUP(Tabla6[[#This Row],[OBJETIVOS PND]],Listas!$A$1:$C$3,3,0)</f>
        <v>1</v>
      </c>
      <c r="M512" s="70">
        <f>VLOOKUP(Tabla6[[#This Row],[PG]],Listas2!$G$14:$K$16,5,0)</f>
        <v>0</v>
      </c>
      <c r="N512" s="71">
        <v>1</v>
      </c>
      <c r="O512" s="72">
        <v>1300</v>
      </c>
      <c r="P512" s="73" t="str">
        <f>VLOOKUP(Tabla6[[#This Row],[GEO]],Listas!$A$48:$B$77,2,0)</f>
        <v>PORTOVIEJO</v>
      </c>
      <c r="Q512" s="70">
        <f>VLOOKUP(Tabla6[[#This Row],[PG]],Listas2!$G$14:$K$16,3,0)</f>
        <v>1</v>
      </c>
      <c r="R512" s="73">
        <f>VLOOKUP(Tabla6[[#This Row],[PG]],Listas2!H22:'Listas2'!$G$14:$K$16,4,0)</f>
        <v>0</v>
      </c>
      <c r="S512" s="73">
        <f>VLOOKUP(Tabla6[[#This Row],[PG]],Listas2!$G$14:$K$16,2,0)</f>
        <v>0</v>
      </c>
      <c r="T512" s="66" t="s">
        <v>84</v>
      </c>
      <c r="U512" s="74">
        <v>51</v>
      </c>
      <c r="V512" s="66">
        <v>510509</v>
      </c>
      <c r="W512" s="63" t="str">
        <f>VLOOKUP(Tabla6[[#This Row],[ÍTEM PRESUPUESTARIO]],Tabla2[#All],2,0)</f>
        <v>HORAS EXTRAORDINARIAS Y SUPLEMENTARIAS</v>
      </c>
      <c r="X512" s="57">
        <v>840</v>
      </c>
      <c r="Y512" s="57">
        <f>1200-342.87</f>
        <v>857.13</v>
      </c>
      <c r="Z512" s="58">
        <v>120</v>
      </c>
      <c r="AA512" s="58">
        <v>80</v>
      </c>
      <c r="AB512" s="58">
        <v>60</v>
      </c>
      <c r="AC512" s="58">
        <v>80</v>
      </c>
      <c r="AD512" s="58">
        <v>80</v>
      </c>
      <c r="AE512" s="58">
        <v>50</v>
      </c>
      <c r="AF512" s="58">
        <v>80</v>
      </c>
      <c r="AG512" s="58">
        <v>80</v>
      </c>
      <c r="AH512" s="58">
        <v>60</v>
      </c>
      <c r="AI512" s="58">
        <v>70</v>
      </c>
      <c r="AJ512" s="58">
        <v>80</v>
      </c>
      <c r="AK512" s="58">
        <v>17.13</v>
      </c>
      <c r="AL512" s="75">
        <f>+SUBTOTAL(9,Tabla6[[#This Row],[ENE]:[DIC]])</f>
        <v>857.13</v>
      </c>
      <c r="AM512" s="76" t="str">
        <f t="shared" si="11"/>
        <v>OK</v>
      </c>
      <c r="AN512" s="60">
        <v>857.13</v>
      </c>
      <c r="AO512" s="61">
        <f>+Tabla6[[#This Row],[PRESUPUESTO VIGENTE]]-Tabla6[[#This Row],[CERTIFICACIÓN PAPP]]</f>
        <v>0</v>
      </c>
      <c r="AP512" s="59">
        <v>0</v>
      </c>
    </row>
    <row r="513" spans="1:42" ht="93" customHeight="1" x14ac:dyDescent="0.25">
      <c r="A513" s="62" t="s">
        <v>78</v>
      </c>
      <c r="B513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513" s="64" t="s">
        <v>79</v>
      </c>
      <c r="D513" s="64" t="s">
        <v>80</v>
      </c>
      <c r="E513" s="64" t="s">
        <v>81</v>
      </c>
      <c r="F513" s="64" t="s">
        <v>99</v>
      </c>
      <c r="G513" s="64" t="s">
        <v>92</v>
      </c>
      <c r="H513" s="65" t="str">
        <f>VLOOKUP(Tabla6[[#This Row],[DIRECCIÓN]],DIRECCIÓN[#All],2,0)</f>
        <v>ADMINISTRACIÓN CENTRAL</v>
      </c>
      <c r="I513" s="66" t="s">
        <v>93</v>
      </c>
      <c r="J513" s="67">
        <v>1</v>
      </c>
      <c r="K513" s="68" t="str">
        <f>VLOOKUP(Tabla6[[#This Row],[DIRECCIÓN GENERAL / COORDINACIÓN / SUBDIRECCIÓN]],Tabla37[[#All],[Columna1]:[EOD]],2,0)</f>
        <v>266_0004</v>
      </c>
      <c r="L513" s="69">
        <f>VLOOKUP(Tabla6[[#This Row],[OBJETIVOS PND]],Listas!$A$1:$C$3,3,0)</f>
        <v>1</v>
      </c>
      <c r="M513" s="70">
        <f>VLOOKUP(Tabla6[[#This Row],[PG]],Listas2!$G$14:$K$16,5,0)</f>
        <v>0</v>
      </c>
      <c r="N513" s="71">
        <v>1</v>
      </c>
      <c r="O513" s="72">
        <v>1300</v>
      </c>
      <c r="P513" s="73" t="str">
        <f>VLOOKUP(Tabla6[[#This Row],[GEO]],Listas!$A$48:$B$77,2,0)</f>
        <v>PORTOVIEJO</v>
      </c>
      <c r="Q513" s="70">
        <f>VLOOKUP(Tabla6[[#This Row],[PG]],Listas2!$G$14:$K$16,3,0)</f>
        <v>1</v>
      </c>
      <c r="R513" s="73">
        <f>VLOOKUP(Tabla6[[#This Row],[PG]],Listas2!H23:'Listas2'!$G$14:$K$16,4,0)</f>
        <v>0</v>
      </c>
      <c r="S513" s="73">
        <f>VLOOKUP(Tabla6[[#This Row],[PG]],Listas2!$G$14:$K$16,2,0)</f>
        <v>0</v>
      </c>
      <c r="T513" s="66" t="s">
        <v>84</v>
      </c>
      <c r="U513" s="74">
        <v>51</v>
      </c>
      <c r="V513" s="66">
        <v>510601</v>
      </c>
      <c r="W513" s="63" t="str">
        <f>VLOOKUP(Tabla6[[#This Row],[ÍTEM PRESUPUESTARIO]],Tabla2[#All],2,0)</f>
        <v>APORTE PATRONAL</v>
      </c>
      <c r="X513" s="57">
        <v>29545</v>
      </c>
      <c r="Y513" s="57">
        <f>29695-45.3</f>
        <v>29649.7</v>
      </c>
      <c r="Z513" s="58">
        <v>2462</v>
      </c>
      <c r="AA513" s="58">
        <v>2462</v>
      </c>
      <c r="AB513" s="58">
        <v>2462</v>
      </c>
      <c r="AC513" s="58">
        <v>2462</v>
      </c>
      <c r="AD513" s="58">
        <v>2462</v>
      </c>
      <c r="AE513" s="58">
        <v>2462</v>
      </c>
      <c r="AF513" s="58">
        <v>2462</v>
      </c>
      <c r="AG513" s="58">
        <v>2462</v>
      </c>
      <c r="AH513" s="58">
        <v>2462</v>
      </c>
      <c r="AI513" s="58">
        <v>2462</v>
      </c>
      <c r="AJ513" s="58">
        <v>2462</v>
      </c>
      <c r="AK513" s="58">
        <v>2567.6999999999998</v>
      </c>
      <c r="AL513" s="75">
        <f>+SUBTOTAL(9,Tabla6[[#This Row],[ENE]:[DIC]])</f>
        <v>29649.7</v>
      </c>
      <c r="AM513" s="76" t="str">
        <f t="shared" si="11"/>
        <v>OK</v>
      </c>
      <c r="AN513" s="60">
        <v>29649.7</v>
      </c>
      <c r="AO513" s="61">
        <f>+Tabla6[[#This Row],[PRESUPUESTO VIGENTE]]-Tabla6[[#This Row],[CERTIFICACIÓN PAPP]]</f>
        <v>0</v>
      </c>
      <c r="AP513" s="59">
        <v>0</v>
      </c>
    </row>
    <row r="514" spans="1:42" ht="93" customHeight="1" x14ac:dyDescent="0.25">
      <c r="A514" s="62" t="s">
        <v>78</v>
      </c>
      <c r="B514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514" s="64" t="s">
        <v>79</v>
      </c>
      <c r="D514" s="64" t="s">
        <v>80</v>
      </c>
      <c r="E514" s="64" t="s">
        <v>81</v>
      </c>
      <c r="F514" s="64" t="s">
        <v>99</v>
      </c>
      <c r="G514" s="64" t="s">
        <v>92</v>
      </c>
      <c r="H514" s="65" t="str">
        <f>VLOOKUP(Tabla6[[#This Row],[DIRECCIÓN]],DIRECCIÓN[#All],2,0)</f>
        <v>ADMINISTRACIÓN CENTRAL</v>
      </c>
      <c r="I514" s="66" t="s">
        <v>93</v>
      </c>
      <c r="J514" s="67">
        <v>1</v>
      </c>
      <c r="K514" s="68" t="str">
        <f>VLOOKUP(Tabla6[[#This Row],[DIRECCIÓN GENERAL / COORDINACIÓN / SUBDIRECCIÓN]],Tabla37[[#All],[Columna1]:[EOD]],2,0)</f>
        <v>266_0004</v>
      </c>
      <c r="L514" s="69">
        <f>VLOOKUP(Tabla6[[#This Row],[OBJETIVOS PND]],Listas!$A$1:$C$3,3,0)</f>
        <v>1</v>
      </c>
      <c r="M514" s="70">
        <f>VLOOKUP(Tabla6[[#This Row],[PG]],Listas2!$G$14:$K$16,5,0)</f>
        <v>0</v>
      </c>
      <c r="N514" s="71">
        <v>1</v>
      </c>
      <c r="O514" s="72">
        <v>1300</v>
      </c>
      <c r="P514" s="73" t="str">
        <f>VLOOKUP(Tabla6[[#This Row],[GEO]],Listas!$A$48:$B$77,2,0)</f>
        <v>PORTOVIEJO</v>
      </c>
      <c r="Q514" s="70">
        <f>VLOOKUP(Tabla6[[#This Row],[PG]],Listas2!$G$14:$K$16,3,0)</f>
        <v>1</v>
      </c>
      <c r="R514" s="73">
        <f>VLOOKUP(Tabla6[[#This Row],[PG]],Listas2!H24:'Listas2'!$G$14:$K$16,4,0)</f>
        <v>0</v>
      </c>
      <c r="S514" s="73">
        <f>VLOOKUP(Tabla6[[#This Row],[PG]],Listas2!$G$14:$K$16,2,0)</f>
        <v>0</v>
      </c>
      <c r="T514" s="66" t="s">
        <v>84</v>
      </c>
      <c r="U514" s="74">
        <v>51</v>
      </c>
      <c r="V514" s="66">
        <v>510602</v>
      </c>
      <c r="W514" s="63" t="str">
        <f>VLOOKUP(Tabla6[[#This Row],[ÍTEM PRESUPUESTARIO]],Tabla2[#All],2,0)</f>
        <v>FONDO DE RESERVA</v>
      </c>
      <c r="X514" s="57">
        <v>24734</v>
      </c>
      <c r="Y514" s="57">
        <f>24734-500-167.65</f>
        <v>24066.35</v>
      </c>
      <c r="Z514" s="58">
        <v>1727</v>
      </c>
      <c r="AA514" s="58">
        <v>1727</v>
      </c>
      <c r="AB514" s="58">
        <v>2020</v>
      </c>
      <c r="AC514" s="58">
        <v>2020</v>
      </c>
      <c r="AD514" s="58">
        <v>2020</v>
      </c>
      <c r="AE514" s="58">
        <v>2020</v>
      </c>
      <c r="AF514" s="58">
        <v>2020</v>
      </c>
      <c r="AG514" s="58">
        <v>2020</v>
      </c>
      <c r="AH514" s="58">
        <v>2240</v>
      </c>
      <c r="AI514" s="58">
        <v>2040</v>
      </c>
      <c r="AJ514" s="58">
        <v>2040</v>
      </c>
      <c r="AK514" s="58">
        <v>2172.35</v>
      </c>
      <c r="AL514" s="75">
        <f>+SUBTOTAL(9,Tabla6[[#This Row],[ENE]:[DIC]])</f>
        <v>24066.35</v>
      </c>
      <c r="AM514" s="76" t="str">
        <f t="shared" si="11"/>
        <v>OK</v>
      </c>
      <c r="AN514" s="60">
        <v>24066.35</v>
      </c>
      <c r="AO514" s="61">
        <f>+Tabla6[[#This Row],[PRESUPUESTO VIGENTE]]-Tabla6[[#This Row],[CERTIFICACIÓN PAPP]]</f>
        <v>0</v>
      </c>
      <c r="AP514" s="59">
        <v>0</v>
      </c>
    </row>
    <row r="515" spans="1:42" ht="93" customHeight="1" x14ac:dyDescent="0.25">
      <c r="A515" s="62" t="s">
        <v>78</v>
      </c>
      <c r="B515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515" s="64" t="s">
        <v>79</v>
      </c>
      <c r="D515" s="64" t="s">
        <v>80</v>
      </c>
      <c r="E515" s="64" t="s">
        <v>81</v>
      </c>
      <c r="F515" s="64" t="s">
        <v>99</v>
      </c>
      <c r="G515" s="64" t="s">
        <v>92</v>
      </c>
      <c r="H515" s="65" t="str">
        <f>VLOOKUP(Tabla6[[#This Row],[DIRECCIÓN]],DIRECCIÓN[#All],2,0)</f>
        <v>ADMINISTRACIÓN CENTRAL</v>
      </c>
      <c r="I515" s="66" t="s">
        <v>93</v>
      </c>
      <c r="J515" s="67">
        <v>1</v>
      </c>
      <c r="K515" s="68" t="str">
        <f>VLOOKUP(Tabla6[[#This Row],[DIRECCIÓN GENERAL / COORDINACIÓN / SUBDIRECCIÓN]],Tabla37[[#All],[Columna1]:[EOD]],2,0)</f>
        <v>266_0004</v>
      </c>
      <c r="L515" s="69">
        <f>VLOOKUP(Tabla6[[#This Row],[OBJETIVOS PND]],Listas!$A$1:$C$3,3,0)</f>
        <v>1</v>
      </c>
      <c r="M515" s="70">
        <f>VLOOKUP(Tabla6[[#This Row],[PG]],Listas2!$G$14:$K$16,5,0)</f>
        <v>0</v>
      </c>
      <c r="N515" s="71">
        <v>1</v>
      </c>
      <c r="O515" s="72">
        <v>1300</v>
      </c>
      <c r="P515" s="73" t="str">
        <f>VLOOKUP(Tabla6[[#This Row],[GEO]],Listas!$A$48:$B$77,2,0)</f>
        <v>PORTOVIEJO</v>
      </c>
      <c r="Q515" s="70">
        <f>VLOOKUP(Tabla6[[#This Row],[PG]],Listas2!$G$14:$K$16,3,0)</f>
        <v>1</v>
      </c>
      <c r="R515" s="73">
        <f>VLOOKUP(Tabla6[[#This Row],[PG]],Listas2!H25:'Listas2'!$G$14:$K$16,4,0)</f>
        <v>0</v>
      </c>
      <c r="S515" s="73">
        <f>VLOOKUP(Tabla6[[#This Row],[PG]],Listas2!$G$14:$K$16,2,0)</f>
        <v>0</v>
      </c>
      <c r="T515" s="66" t="s">
        <v>84</v>
      </c>
      <c r="U515" s="74">
        <v>51</v>
      </c>
      <c r="V515" s="66">
        <v>510707</v>
      </c>
      <c r="W515" s="63" t="str">
        <f>VLOOKUP(Tabla6[[#This Row],[ÍTEM PRESUPUESTARIO]],Tabla2[#All],2,0)</f>
        <v>COMPENSACIÓN POR VACACIONES NO GOZADAS POR CESACIÓN DE FUNCIONES</v>
      </c>
      <c r="X515" s="57">
        <v>0</v>
      </c>
      <c r="Y515" s="57">
        <f>1000+2000-3000</f>
        <v>0</v>
      </c>
      <c r="Z515" s="58">
        <v>0</v>
      </c>
      <c r="AA515" s="58">
        <v>0</v>
      </c>
      <c r="AB515" s="58">
        <v>0</v>
      </c>
      <c r="AC515" s="58">
        <v>0</v>
      </c>
      <c r="AD515" s="58">
        <v>0</v>
      </c>
      <c r="AE515" s="58">
        <v>0</v>
      </c>
      <c r="AF515" s="58">
        <v>0</v>
      </c>
      <c r="AG515" s="58">
        <v>0</v>
      </c>
      <c r="AH515" s="58">
        <v>0</v>
      </c>
      <c r="AI515" s="58">
        <v>0</v>
      </c>
      <c r="AJ515" s="58">
        <v>0</v>
      </c>
      <c r="AK515" s="58">
        <v>0</v>
      </c>
      <c r="AL515" s="75">
        <f>+SUBTOTAL(9,Tabla6[[#This Row],[ENE]:[DIC]])</f>
        <v>0</v>
      </c>
      <c r="AM515" s="76" t="str">
        <f t="shared" si="11"/>
        <v>OK</v>
      </c>
      <c r="AN515" s="60">
        <v>0</v>
      </c>
      <c r="AO515" s="61">
        <f>+Tabla6[[#This Row],[PRESUPUESTO VIGENTE]]-Tabla6[[#This Row],[CERTIFICACIÓN PAPP]]</f>
        <v>0</v>
      </c>
      <c r="AP515" s="59">
        <v>0</v>
      </c>
    </row>
    <row r="516" spans="1:42" ht="93" customHeight="1" x14ac:dyDescent="0.25">
      <c r="A516" s="62" t="s">
        <v>88</v>
      </c>
      <c r="B516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516" s="64" t="s">
        <v>89</v>
      </c>
      <c r="D516" s="64" t="s">
        <v>80</v>
      </c>
      <c r="E516" s="64" t="s">
        <v>81</v>
      </c>
      <c r="F516" s="64" t="s">
        <v>99</v>
      </c>
      <c r="G516" s="64" t="s">
        <v>9</v>
      </c>
      <c r="H516" s="65" t="str">
        <f>VLOOKUP(Tabla6[[#This Row],[DIRECCIÓN]],DIRECCIÓN[#All],2,0)</f>
        <v>OPERACIONES</v>
      </c>
      <c r="I516" s="66" t="s">
        <v>93</v>
      </c>
      <c r="J516" s="67">
        <v>1</v>
      </c>
      <c r="K516" s="68" t="str">
        <f>VLOOKUP(Tabla6[[#This Row],[DIRECCIÓN GENERAL / COORDINACIÓN / SUBDIRECCIÓN]],Tabla37[[#All],[Columna1]:[EOD]],2,0)</f>
        <v>266_0004</v>
      </c>
      <c r="L516" s="69">
        <f>VLOOKUP(Tabla6[[#This Row],[OBJETIVOS PND]],Listas!$A$1:$C$3,3,0)</f>
        <v>55</v>
      </c>
      <c r="M516" s="70">
        <f>VLOOKUP(Tabla6[[#This Row],[PG]],Listas2!$G$14:$K$16,5,0)</f>
        <v>0</v>
      </c>
      <c r="N516" s="71">
        <v>2</v>
      </c>
      <c r="O516" s="72">
        <v>1300</v>
      </c>
      <c r="P516" s="73" t="str">
        <f>VLOOKUP(Tabla6[[#This Row],[GEO]],Listas!$A$48:$B$77,2,0)</f>
        <v>PORTOVIEJO</v>
      </c>
      <c r="Q516" s="70">
        <f>VLOOKUP(Tabla6[[#This Row],[PG]],Listas2!$G$14:$K$16,3,0)</f>
        <v>1</v>
      </c>
      <c r="R516" s="73">
        <f>VLOOKUP(Tabla6[[#This Row],[PG]],Listas2!H26:'Listas2'!$G$14:$K$16,4,0)</f>
        <v>0</v>
      </c>
      <c r="S516" s="73">
        <f>VLOOKUP(Tabla6[[#This Row],[PG]],Listas2!$G$14:$K$16,2,0)</f>
        <v>0</v>
      </c>
      <c r="T516" s="66" t="s">
        <v>84</v>
      </c>
      <c r="U516" s="74">
        <v>51</v>
      </c>
      <c r="V516" s="66">
        <v>510105</v>
      </c>
      <c r="W516" s="63" t="str">
        <f>VLOOKUP(Tabla6[[#This Row],[ÍTEM PRESUPUESTARIO]],Tabla2[#All],2,0)</f>
        <v>REMUNERACIONES UNIFICADAS</v>
      </c>
      <c r="X516" s="57">
        <v>673308</v>
      </c>
      <c r="Y516" s="57">
        <f>673308-2809.83</f>
        <v>670498.17000000004</v>
      </c>
      <c r="Z516" s="58">
        <v>56109</v>
      </c>
      <c r="AA516" s="58">
        <v>56109</v>
      </c>
      <c r="AB516" s="58">
        <v>56109</v>
      </c>
      <c r="AC516" s="58">
        <v>56109</v>
      </c>
      <c r="AD516" s="58">
        <v>56109</v>
      </c>
      <c r="AE516" s="58">
        <v>56109</v>
      </c>
      <c r="AF516" s="58">
        <v>56109</v>
      </c>
      <c r="AG516" s="58">
        <v>56109</v>
      </c>
      <c r="AH516" s="58">
        <v>56109</v>
      </c>
      <c r="AI516" s="58">
        <v>56109</v>
      </c>
      <c r="AJ516" s="58">
        <v>56109</v>
      </c>
      <c r="AK516" s="58">
        <v>53299.17</v>
      </c>
      <c r="AL516" s="75">
        <f>+SUBTOTAL(9,Tabla6[[#This Row],[ENE]:[DIC]])</f>
        <v>670498.17000000004</v>
      </c>
      <c r="AM516" s="76" t="str">
        <f t="shared" si="11"/>
        <v>OK</v>
      </c>
      <c r="AN516" s="60">
        <v>670498.17000000004</v>
      </c>
      <c r="AO516" s="61">
        <f>+Tabla6[[#This Row],[PRESUPUESTO VIGENTE]]-Tabla6[[#This Row],[CERTIFICACIÓN PAPP]]</f>
        <v>0</v>
      </c>
      <c r="AP516" s="59">
        <v>0</v>
      </c>
    </row>
    <row r="517" spans="1:42" ht="93" customHeight="1" x14ac:dyDescent="0.25">
      <c r="A517" s="62" t="s">
        <v>88</v>
      </c>
      <c r="B517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517" s="64" t="s">
        <v>89</v>
      </c>
      <c r="D517" s="64" t="s">
        <v>80</v>
      </c>
      <c r="E517" s="64" t="s">
        <v>81</v>
      </c>
      <c r="F517" s="64" t="s">
        <v>99</v>
      </c>
      <c r="G517" s="64" t="s">
        <v>9</v>
      </c>
      <c r="H517" s="65" t="str">
        <f>VLOOKUP(Tabla6[[#This Row],[DIRECCIÓN]],DIRECCIÓN[#All],2,0)</f>
        <v>OPERACIONES</v>
      </c>
      <c r="I517" s="66" t="s">
        <v>93</v>
      </c>
      <c r="J517" s="67">
        <v>1</v>
      </c>
      <c r="K517" s="68" t="str">
        <f>VLOOKUP(Tabla6[[#This Row],[DIRECCIÓN GENERAL / COORDINACIÓN / SUBDIRECCIÓN]],Tabla37[[#All],[Columna1]:[EOD]],2,0)</f>
        <v>266_0004</v>
      </c>
      <c r="L517" s="69">
        <f>VLOOKUP(Tabla6[[#This Row],[OBJETIVOS PND]],Listas!$A$1:$C$3,3,0)</f>
        <v>55</v>
      </c>
      <c r="M517" s="70">
        <f>VLOOKUP(Tabla6[[#This Row],[PG]],Listas2!$G$14:$K$16,5,0)</f>
        <v>0</v>
      </c>
      <c r="N517" s="71">
        <v>2</v>
      </c>
      <c r="O517" s="72">
        <v>1300</v>
      </c>
      <c r="P517" s="73" t="str">
        <f>VLOOKUP(Tabla6[[#This Row],[GEO]],Listas!$A$48:$B$77,2,0)</f>
        <v>PORTOVIEJO</v>
      </c>
      <c r="Q517" s="70">
        <f>VLOOKUP(Tabla6[[#This Row],[PG]],Listas2!$G$14:$K$16,3,0)</f>
        <v>1</v>
      </c>
      <c r="R517" s="73">
        <f>VLOOKUP(Tabla6[[#This Row],[PG]],Listas2!H27:'Listas2'!$G$14:$K$16,4,0)</f>
        <v>0</v>
      </c>
      <c r="S517" s="73">
        <f>VLOOKUP(Tabla6[[#This Row],[PG]],Listas2!$G$14:$K$16,2,0)</f>
        <v>0</v>
      </c>
      <c r="T517" s="66" t="s">
        <v>84</v>
      </c>
      <c r="U517" s="74">
        <v>51</v>
      </c>
      <c r="V517" s="66">
        <v>510203</v>
      </c>
      <c r="W517" s="63" t="str">
        <f>VLOOKUP(Tabla6[[#This Row],[ÍTEM PRESUPUESTARIO]],Tabla2[#All],2,0)</f>
        <v>DÉCIMO TERCER SUELDO</v>
      </c>
      <c r="X517" s="57">
        <v>65384</v>
      </c>
      <c r="Y517" s="57">
        <f>65384+1300-400-1000-1342.45</f>
        <v>63941.55</v>
      </c>
      <c r="Z517" s="58">
        <v>2350</v>
      </c>
      <c r="AA517" s="58">
        <v>2350</v>
      </c>
      <c r="AB517" s="58">
        <v>2350</v>
      </c>
      <c r="AC517" s="58">
        <v>2350</v>
      </c>
      <c r="AD517" s="58">
        <v>2350</v>
      </c>
      <c r="AE517" s="58">
        <v>2350</v>
      </c>
      <c r="AF517" s="58">
        <v>2350</v>
      </c>
      <c r="AG517" s="58">
        <v>2350</v>
      </c>
      <c r="AH517" s="58">
        <v>2350</v>
      </c>
      <c r="AI517" s="58">
        <v>2350</v>
      </c>
      <c r="AJ517" s="58">
        <v>2350</v>
      </c>
      <c r="AK517" s="58">
        <v>38091.550000000003</v>
      </c>
      <c r="AL517" s="75">
        <f>+SUBTOTAL(9,Tabla6[[#This Row],[ENE]:[DIC]])</f>
        <v>63941.55</v>
      </c>
      <c r="AM517" s="76" t="str">
        <f t="shared" si="11"/>
        <v>OK</v>
      </c>
      <c r="AN517" s="60">
        <v>63941.55</v>
      </c>
      <c r="AO517" s="61">
        <f>+Tabla6[[#This Row],[PRESUPUESTO VIGENTE]]-Tabla6[[#This Row],[CERTIFICACIÓN PAPP]]</f>
        <v>0</v>
      </c>
      <c r="AP517" s="59">
        <v>0</v>
      </c>
    </row>
    <row r="518" spans="1:42" ht="93" customHeight="1" x14ac:dyDescent="0.25">
      <c r="A518" s="62" t="s">
        <v>88</v>
      </c>
      <c r="B518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518" s="64" t="s">
        <v>89</v>
      </c>
      <c r="D518" s="64" t="s">
        <v>80</v>
      </c>
      <c r="E518" s="64" t="s">
        <v>81</v>
      </c>
      <c r="F518" s="64" t="s">
        <v>99</v>
      </c>
      <c r="G518" s="64" t="s">
        <v>9</v>
      </c>
      <c r="H518" s="65" t="str">
        <f>VLOOKUP(Tabla6[[#This Row],[DIRECCIÓN]],DIRECCIÓN[#All],2,0)</f>
        <v>OPERACIONES</v>
      </c>
      <c r="I518" s="66" t="s">
        <v>93</v>
      </c>
      <c r="J518" s="67">
        <v>1</v>
      </c>
      <c r="K518" s="68" t="str">
        <f>VLOOKUP(Tabla6[[#This Row],[DIRECCIÓN GENERAL / COORDINACIÓN / SUBDIRECCIÓN]],Tabla37[[#All],[Columna1]:[EOD]],2,0)</f>
        <v>266_0004</v>
      </c>
      <c r="L518" s="69">
        <f>VLOOKUP(Tabla6[[#This Row],[OBJETIVOS PND]],Listas!$A$1:$C$3,3,0)</f>
        <v>55</v>
      </c>
      <c r="M518" s="70">
        <f>VLOOKUP(Tabla6[[#This Row],[PG]],Listas2!$G$14:$K$16,5,0)</f>
        <v>0</v>
      </c>
      <c r="N518" s="71">
        <v>2</v>
      </c>
      <c r="O518" s="72">
        <v>1300</v>
      </c>
      <c r="P518" s="73" t="str">
        <f>VLOOKUP(Tabla6[[#This Row],[GEO]],Listas!$A$48:$B$77,2,0)</f>
        <v>PORTOVIEJO</v>
      </c>
      <c r="Q518" s="70">
        <f>VLOOKUP(Tabla6[[#This Row],[PG]],Listas2!$G$14:$K$16,3,0)</f>
        <v>1</v>
      </c>
      <c r="R518" s="73">
        <f>VLOOKUP(Tabla6[[#This Row],[PG]],Listas2!H28:'Listas2'!$G$14:$K$16,4,0)</f>
        <v>0</v>
      </c>
      <c r="S518" s="73">
        <f>VLOOKUP(Tabla6[[#This Row],[PG]],Listas2!$G$14:$K$16,2,0)</f>
        <v>0</v>
      </c>
      <c r="T518" s="66" t="s">
        <v>84</v>
      </c>
      <c r="U518" s="74">
        <v>51</v>
      </c>
      <c r="V518" s="66">
        <v>510204</v>
      </c>
      <c r="W518" s="63" t="str">
        <f>VLOOKUP(Tabla6[[#This Row],[ÍTEM PRESUPUESTARIO]],Tabla2[#All],2,0)</f>
        <v>DÉCIMO CUARTO SUELDO</v>
      </c>
      <c r="X518" s="57">
        <v>34000</v>
      </c>
      <c r="Y518" s="57">
        <f>35550-400-500-239.2</f>
        <v>34410.800000000003</v>
      </c>
      <c r="Z518" s="58">
        <v>288</v>
      </c>
      <c r="AA518" s="58">
        <v>288</v>
      </c>
      <c r="AB518" s="58">
        <v>288</v>
      </c>
      <c r="AC518" s="58">
        <v>30832</v>
      </c>
      <c r="AD518" s="58">
        <v>500</v>
      </c>
      <c r="AE518" s="58">
        <v>500</v>
      </c>
      <c r="AF518" s="58">
        <v>454</v>
      </c>
      <c r="AG518" s="58">
        <v>400</v>
      </c>
      <c r="AH518" s="58">
        <v>400</v>
      </c>
      <c r="AI518" s="58">
        <v>400</v>
      </c>
      <c r="AJ518" s="58">
        <v>60.8</v>
      </c>
      <c r="AK518" s="58">
        <v>0</v>
      </c>
      <c r="AL518" s="75">
        <f>+SUBTOTAL(9,Tabla6[[#This Row],[ENE]:[DIC]])</f>
        <v>34410.800000000003</v>
      </c>
      <c r="AM518" s="76" t="str">
        <f t="shared" si="11"/>
        <v>OK</v>
      </c>
      <c r="AN518" s="60">
        <v>34410.800000000003</v>
      </c>
      <c r="AO518" s="61">
        <f>+Tabla6[[#This Row],[PRESUPUESTO VIGENTE]]-Tabla6[[#This Row],[CERTIFICACIÓN PAPP]]</f>
        <v>0</v>
      </c>
      <c r="AP518" s="59">
        <v>0</v>
      </c>
    </row>
    <row r="519" spans="1:42" ht="93" customHeight="1" x14ac:dyDescent="0.25">
      <c r="A519" s="62" t="s">
        <v>88</v>
      </c>
      <c r="B519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519" s="64" t="s">
        <v>89</v>
      </c>
      <c r="D519" s="64" t="s">
        <v>80</v>
      </c>
      <c r="E519" s="64" t="s">
        <v>81</v>
      </c>
      <c r="F519" s="64" t="s">
        <v>99</v>
      </c>
      <c r="G519" s="64" t="s">
        <v>9</v>
      </c>
      <c r="H519" s="65" t="str">
        <f>VLOOKUP(Tabla6[[#This Row],[DIRECCIÓN]],DIRECCIÓN[#All],2,0)</f>
        <v>OPERACIONES</v>
      </c>
      <c r="I519" s="66" t="s">
        <v>93</v>
      </c>
      <c r="J519" s="67">
        <v>1</v>
      </c>
      <c r="K519" s="68" t="str">
        <f>VLOOKUP(Tabla6[[#This Row],[DIRECCIÓN GENERAL / COORDINACIÓN / SUBDIRECCIÓN]],Tabla37[[#All],[Columna1]:[EOD]],2,0)</f>
        <v>266_0004</v>
      </c>
      <c r="L519" s="69">
        <f>VLOOKUP(Tabla6[[#This Row],[OBJETIVOS PND]],Listas!$A$1:$C$3,3,0)</f>
        <v>55</v>
      </c>
      <c r="M519" s="70">
        <f>VLOOKUP(Tabla6[[#This Row],[PG]],Listas2!$G$14:$K$16,5,0)</f>
        <v>0</v>
      </c>
      <c r="N519" s="71">
        <v>2</v>
      </c>
      <c r="O519" s="72">
        <v>1300</v>
      </c>
      <c r="P519" s="73" t="str">
        <f>VLOOKUP(Tabla6[[#This Row],[GEO]],Listas!$A$48:$B$77,2,0)</f>
        <v>PORTOVIEJO</v>
      </c>
      <c r="Q519" s="70">
        <f>VLOOKUP(Tabla6[[#This Row],[PG]],Listas2!$G$14:$K$16,3,0)</f>
        <v>1</v>
      </c>
      <c r="R519" s="73">
        <f>VLOOKUP(Tabla6[[#This Row],[PG]],Listas2!H29:'Listas2'!$G$14:$K$16,4,0)</f>
        <v>0</v>
      </c>
      <c r="S519" s="73">
        <f>VLOOKUP(Tabla6[[#This Row],[PG]],Listas2!$G$14:$K$16,2,0)</f>
        <v>0</v>
      </c>
      <c r="T519" s="66" t="s">
        <v>84</v>
      </c>
      <c r="U519" s="74">
        <v>51</v>
      </c>
      <c r="V519" s="66">
        <v>510510</v>
      </c>
      <c r="W519" s="63" t="str">
        <f>VLOOKUP(Tabla6[[#This Row],[ÍTEM PRESUPUESTARIO]],Tabla2[#All],2,0)</f>
        <v>SERVICIOS PERSONALES POR CONTRATO</v>
      </c>
      <c r="X519" s="57">
        <v>111300</v>
      </c>
      <c r="Y519" s="57">
        <f>111300-2525-12135</f>
        <v>96640</v>
      </c>
      <c r="Z519" s="58">
        <v>9275</v>
      </c>
      <c r="AA519" s="58">
        <v>9275</v>
      </c>
      <c r="AB519" s="58">
        <v>9275</v>
      </c>
      <c r="AC519" s="58">
        <v>9275</v>
      </c>
      <c r="AD519" s="58">
        <v>9275</v>
      </c>
      <c r="AE519" s="58">
        <v>9275</v>
      </c>
      <c r="AF519" s="58">
        <v>9275</v>
      </c>
      <c r="AG519" s="58">
        <v>9275</v>
      </c>
      <c r="AH519" s="58">
        <v>9275</v>
      </c>
      <c r="AI519" s="58">
        <v>9275</v>
      </c>
      <c r="AJ519" s="58">
        <v>3890</v>
      </c>
      <c r="AK519" s="58">
        <v>0</v>
      </c>
      <c r="AL519" s="75">
        <f>+SUBTOTAL(9,Tabla6[[#This Row],[ENE]:[DIC]])</f>
        <v>96640</v>
      </c>
      <c r="AM519" s="76" t="str">
        <f t="shared" si="11"/>
        <v>OK</v>
      </c>
      <c r="AN519" s="60">
        <v>96640</v>
      </c>
      <c r="AO519" s="61">
        <f>+Tabla6[[#This Row],[PRESUPUESTO VIGENTE]]-Tabla6[[#This Row],[CERTIFICACIÓN PAPP]]</f>
        <v>0</v>
      </c>
      <c r="AP519" s="59">
        <v>0</v>
      </c>
    </row>
    <row r="520" spans="1:42" ht="93" customHeight="1" x14ac:dyDescent="0.25">
      <c r="A520" s="62" t="s">
        <v>88</v>
      </c>
      <c r="B520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520" s="64" t="s">
        <v>89</v>
      </c>
      <c r="D520" s="64" t="s">
        <v>80</v>
      </c>
      <c r="E520" s="64" t="s">
        <v>81</v>
      </c>
      <c r="F520" s="64" t="s">
        <v>99</v>
      </c>
      <c r="G520" s="64" t="s">
        <v>9</v>
      </c>
      <c r="H520" s="65" t="str">
        <f>VLOOKUP(Tabla6[[#This Row],[DIRECCIÓN]],DIRECCIÓN[#All],2,0)</f>
        <v>OPERACIONES</v>
      </c>
      <c r="I520" s="66" t="s">
        <v>93</v>
      </c>
      <c r="J520" s="67">
        <v>1</v>
      </c>
      <c r="K520" s="68" t="str">
        <f>VLOOKUP(Tabla6[[#This Row],[DIRECCIÓN GENERAL / COORDINACIÓN / SUBDIRECCIÓN]],Tabla37[[#All],[Columna1]:[EOD]],2,0)</f>
        <v>266_0004</v>
      </c>
      <c r="L520" s="69">
        <f>VLOOKUP(Tabla6[[#This Row],[OBJETIVOS PND]],Listas!$A$1:$C$3,3,0)</f>
        <v>55</v>
      </c>
      <c r="M520" s="70">
        <f>VLOOKUP(Tabla6[[#This Row],[PG]],Listas2!$G$14:$K$16,5,0)</f>
        <v>0</v>
      </c>
      <c r="N520" s="71">
        <v>2</v>
      </c>
      <c r="O520" s="72">
        <v>1300</v>
      </c>
      <c r="P520" s="73" t="str">
        <f>VLOOKUP(Tabla6[[#This Row],[GEO]],Listas!$A$48:$B$77,2,0)</f>
        <v>PORTOVIEJO</v>
      </c>
      <c r="Q520" s="70">
        <f>VLOOKUP(Tabla6[[#This Row],[PG]],Listas2!$G$14:$K$16,3,0)</f>
        <v>1</v>
      </c>
      <c r="R520" s="73">
        <f>VLOOKUP(Tabla6[[#This Row],[PG]],Listas2!H30:'Listas2'!$G$14:$K$16,4,0)</f>
        <v>0</v>
      </c>
      <c r="S520" s="73">
        <f>VLOOKUP(Tabla6[[#This Row],[PG]],Listas2!$G$14:$K$16,2,0)</f>
        <v>0</v>
      </c>
      <c r="T520" s="66" t="s">
        <v>84</v>
      </c>
      <c r="U520" s="74">
        <v>51</v>
      </c>
      <c r="V520" s="66">
        <v>510512</v>
      </c>
      <c r="W520" s="63" t="str">
        <f>VLOOKUP(Tabla6[[#This Row],[ÍTEM PRESUPUESTARIO]],Tabla2[#All],2,0)</f>
        <v xml:space="preserve">SUBROGACIÓN </v>
      </c>
      <c r="X520" s="57">
        <v>154</v>
      </c>
      <c r="Y520" s="57">
        <f>302+44</f>
        <v>346</v>
      </c>
      <c r="Z520" s="58">
        <v>0</v>
      </c>
      <c r="AA520" s="58">
        <v>0</v>
      </c>
      <c r="AB520" s="58">
        <v>0</v>
      </c>
      <c r="AC520" s="58">
        <v>0</v>
      </c>
      <c r="AD520" s="58">
        <v>0</v>
      </c>
      <c r="AE520" s="58">
        <v>0</v>
      </c>
      <c r="AF520" s="58">
        <v>142</v>
      </c>
      <c r="AG520" s="58">
        <v>204</v>
      </c>
      <c r="AH520" s="58">
        <v>0</v>
      </c>
      <c r="AI520" s="58">
        <v>0</v>
      </c>
      <c r="AJ520" s="58">
        <v>0</v>
      </c>
      <c r="AK520" s="58">
        <v>0</v>
      </c>
      <c r="AL520" s="75">
        <f>+SUBTOTAL(9,Tabla6[[#This Row],[ENE]:[DIC]])</f>
        <v>346</v>
      </c>
      <c r="AM520" s="76" t="str">
        <f t="shared" si="11"/>
        <v>OK</v>
      </c>
      <c r="AN520" s="60">
        <v>346</v>
      </c>
      <c r="AO520" s="61">
        <f>+Tabla6[[#This Row],[PRESUPUESTO VIGENTE]]-Tabla6[[#This Row],[CERTIFICACIÓN PAPP]]</f>
        <v>0</v>
      </c>
      <c r="AP520" s="59">
        <v>0</v>
      </c>
    </row>
    <row r="521" spans="1:42" ht="93" customHeight="1" x14ac:dyDescent="0.25">
      <c r="A521" s="62" t="s">
        <v>88</v>
      </c>
      <c r="B521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521" s="64" t="s">
        <v>89</v>
      </c>
      <c r="D521" s="64" t="s">
        <v>80</v>
      </c>
      <c r="E521" s="64" t="s">
        <v>81</v>
      </c>
      <c r="F521" s="64" t="s">
        <v>99</v>
      </c>
      <c r="G521" s="64" t="s">
        <v>9</v>
      </c>
      <c r="H521" s="65" t="str">
        <f>VLOOKUP(Tabla6[[#This Row],[DIRECCIÓN]],DIRECCIÓN[#All],2,0)</f>
        <v>OPERACIONES</v>
      </c>
      <c r="I521" s="66" t="s">
        <v>93</v>
      </c>
      <c r="J521" s="67">
        <v>1</v>
      </c>
      <c r="K521" s="68" t="str">
        <f>VLOOKUP(Tabla6[[#This Row],[DIRECCIÓN GENERAL / COORDINACIÓN / SUBDIRECCIÓN]],Tabla37[[#All],[Columna1]:[EOD]],2,0)</f>
        <v>266_0004</v>
      </c>
      <c r="L521" s="69">
        <f>VLOOKUP(Tabla6[[#This Row],[OBJETIVOS PND]],Listas!$A$1:$C$3,3,0)</f>
        <v>55</v>
      </c>
      <c r="M521" s="70">
        <f>VLOOKUP(Tabla6[[#This Row],[PG]],Listas2!$G$14:$K$16,5,0)</f>
        <v>0</v>
      </c>
      <c r="N521" s="71">
        <v>2</v>
      </c>
      <c r="O521" s="72">
        <v>1300</v>
      </c>
      <c r="P521" s="73" t="str">
        <f>VLOOKUP(Tabla6[[#This Row],[GEO]],Listas!$A$48:$B$77,2,0)</f>
        <v>PORTOVIEJO</v>
      </c>
      <c r="Q521" s="70">
        <f>VLOOKUP(Tabla6[[#This Row],[PG]],Listas2!$G$14:$K$16,3,0)</f>
        <v>1</v>
      </c>
      <c r="R521" s="73">
        <f>VLOOKUP(Tabla6[[#This Row],[PG]],Listas2!H31:'Listas2'!$G$14:$K$16,4,0)</f>
        <v>0</v>
      </c>
      <c r="S521" s="73">
        <f>VLOOKUP(Tabla6[[#This Row],[PG]],Listas2!$G$14:$K$16,2,0)</f>
        <v>0</v>
      </c>
      <c r="T521" s="66" t="s">
        <v>84</v>
      </c>
      <c r="U521" s="74">
        <v>51</v>
      </c>
      <c r="V521" s="66">
        <v>510513</v>
      </c>
      <c r="W521" s="63" t="str">
        <f>VLOOKUP(Tabla6[[#This Row],[ÍTEM PRESUPUESTARIO]],Tabla2[#All],2,0)</f>
        <v>ENCARGOS</v>
      </c>
      <c r="X521" s="57">
        <v>0</v>
      </c>
      <c r="Y521" s="57">
        <f>100-100</f>
        <v>0</v>
      </c>
      <c r="Z521" s="58">
        <v>0</v>
      </c>
      <c r="AA521" s="58">
        <v>0</v>
      </c>
      <c r="AB521" s="58">
        <v>0</v>
      </c>
      <c r="AC521" s="58">
        <v>0</v>
      </c>
      <c r="AD521" s="58">
        <v>0</v>
      </c>
      <c r="AE521" s="58">
        <v>0</v>
      </c>
      <c r="AF521" s="58">
        <v>0</v>
      </c>
      <c r="AG521" s="58">
        <v>0</v>
      </c>
      <c r="AH521" s="58">
        <v>0</v>
      </c>
      <c r="AI521" s="58">
        <v>0</v>
      </c>
      <c r="AJ521" s="58">
        <v>0</v>
      </c>
      <c r="AK521" s="58">
        <v>0</v>
      </c>
      <c r="AL521" s="75">
        <f>+SUBTOTAL(9,Tabla6[[#This Row],[ENE]:[DIC]])</f>
        <v>0</v>
      </c>
      <c r="AM521" s="76" t="str">
        <f t="shared" si="11"/>
        <v>OK</v>
      </c>
      <c r="AN521" s="60">
        <f>100-100</f>
        <v>0</v>
      </c>
      <c r="AO521" s="61">
        <f>+Tabla6[[#This Row],[PRESUPUESTO VIGENTE]]-Tabla6[[#This Row],[CERTIFICACIÓN PAPP]]</f>
        <v>0</v>
      </c>
      <c r="AP521" s="59">
        <v>0</v>
      </c>
    </row>
    <row r="522" spans="1:42" ht="93" customHeight="1" x14ac:dyDescent="0.25">
      <c r="A522" s="62" t="s">
        <v>88</v>
      </c>
      <c r="B522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522" s="64" t="s">
        <v>89</v>
      </c>
      <c r="D522" s="64" t="s">
        <v>80</v>
      </c>
      <c r="E522" s="64" t="s">
        <v>81</v>
      </c>
      <c r="F522" s="64" t="s">
        <v>99</v>
      </c>
      <c r="G522" s="64" t="s">
        <v>9</v>
      </c>
      <c r="H522" s="65" t="str">
        <f>VLOOKUP(Tabla6[[#This Row],[DIRECCIÓN]],DIRECCIÓN[#All],2,0)</f>
        <v>OPERACIONES</v>
      </c>
      <c r="I522" s="66" t="s">
        <v>93</v>
      </c>
      <c r="J522" s="67">
        <v>1</v>
      </c>
      <c r="K522" s="68" t="str">
        <f>VLOOKUP(Tabla6[[#This Row],[DIRECCIÓN GENERAL / COORDINACIÓN / SUBDIRECCIÓN]],Tabla37[[#All],[Columna1]:[EOD]],2,0)</f>
        <v>266_0004</v>
      </c>
      <c r="L522" s="69">
        <f>VLOOKUP(Tabla6[[#This Row],[OBJETIVOS PND]],Listas!$A$1:$C$3,3,0)</f>
        <v>55</v>
      </c>
      <c r="M522" s="70">
        <f>VLOOKUP(Tabla6[[#This Row],[PG]],Listas2!$G$14:$K$16,5,0)</f>
        <v>0</v>
      </c>
      <c r="N522" s="71">
        <v>2</v>
      </c>
      <c r="O522" s="72">
        <v>1300</v>
      </c>
      <c r="P522" s="73" t="str">
        <f>VLOOKUP(Tabla6[[#This Row],[GEO]],Listas!$A$48:$B$77,2,0)</f>
        <v>PORTOVIEJO</v>
      </c>
      <c r="Q522" s="70">
        <f>VLOOKUP(Tabla6[[#This Row],[PG]],Listas2!$G$14:$K$16,3,0)</f>
        <v>1</v>
      </c>
      <c r="R522" s="73">
        <f>VLOOKUP(Tabla6[[#This Row],[PG]],Listas2!H32:'Listas2'!$G$14:$K$16,4,0)</f>
        <v>0</v>
      </c>
      <c r="S522" s="73">
        <f>VLOOKUP(Tabla6[[#This Row],[PG]],Listas2!$G$14:$K$16,2,0)</f>
        <v>0</v>
      </c>
      <c r="T522" s="66" t="s">
        <v>84</v>
      </c>
      <c r="U522" s="74">
        <v>51</v>
      </c>
      <c r="V522" s="66">
        <v>510601</v>
      </c>
      <c r="W522" s="63" t="str">
        <f>VLOOKUP(Tabla6[[#This Row],[ÍTEM PRESUPUESTARIO]],Tabla2[#All],2,0)</f>
        <v>APORTE PATRONAL</v>
      </c>
      <c r="X522" s="57">
        <v>77694</v>
      </c>
      <c r="Y522" s="57">
        <f>77694-1500-1000-1111.85</f>
        <v>74082.149999999994</v>
      </c>
      <c r="Z522" s="58">
        <v>6474</v>
      </c>
      <c r="AA522" s="58">
        <v>6474</v>
      </c>
      <c r="AB522" s="58">
        <v>6474</v>
      </c>
      <c r="AC522" s="58">
        <v>6474</v>
      </c>
      <c r="AD522" s="58">
        <v>6474</v>
      </c>
      <c r="AE522" s="58">
        <v>6474</v>
      </c>
      <c r="AF522" s="58">
        <v>6474</v>
      </c>
      <c r="AG522" s="58">
        <v>6474</v>
      </c>
      <c r="AH522" s="58">
        <v>6474</v>
      </c>
      <c r="AI522" s="58">
        <v>6474</v>
      </c>
      <c r="AJ522" s="58">
        <v>5974</v>
      </c>
      <c r="AK522" s="58">
        <v>3368.15</v>
      </c>
      <c r="AL522" s="75">
        <f>+SUBTOTAL(9,Tabla6[[#This Row],[ENE]:[DIC]])</f>
        <v>74082.149999999994</v>
      </c>
      <c r="AM522" s="76" t="str">
        <f t="shared" si="11"/>
        <v>OK</v>
      </c>
      <c r="AN522" s="60">
        <v>74082.149999999994</v>
      </c>
      <c r="AO522" s="61">
        <f>+Tabla6[[#This Row],[PRESUPUESTO VIGENTE]]-Tabla6[[#This Row],[CERTIFICACIÓN PAPP]]</f>
        <v>0</v>
      </c>
      <c r="AP522" s="59">
        <v>0</v>
      </c>
    </row>
    <row r="523" spans="1:42" ht="93" customHeight="1" x14ac:dyDescent="0.25">
      <c r="A523" s="62" t="s">
        <v>88</v>
      </c>
      <c r="B523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523" s="64" t="s">
        <v>89</v>
      </c>
      <c r="D523" s="64" t="s">
        <v>80</v>
      </c>
      <c r="E523" s="64" t="s">
        <v>81</v>
      </c>
      <c r="F523" s="64" t="s">
        <v>99</v>
      </c>
      <c r="G523" s="64" t="s">
        <v>9</v>
      </c>
      <c r="H523" s="65" t="str">
        <f>VLOOKUP(Tabla6[[#This Row],[DIRECCIÓN]],DIRECCIÓN[#All],2,0)</f>
        <v>OPERACIONES</v>
      </c>
      <c r="I523" s="66" t="s">
        <v>93</v>
      </c>
      <c r="J523" s="67">
        <v>1</v>
      </c>
      <c r="K523" s="68" t="str">
        <f>VLOOKUP(Tabla6[[#This Row],[DIRECCIÓN GENERAL / COORDINACIÓN / SUBDIRECCIÓN]],Tabla37[[#All],[Columna1]:[EOD]],2,0)</f>
        <v>266_0004</v>
      </c>
      <c r="L523" s="69">
        <f>VLOOKUP(Tabla6[[#This Row],[OBJETIVOS PND]],Listas!$A$1:$C$3,3,0)</f>
        <v>55</v>
      </c>
      <c r="M523" s="70">
        <f>VLOOKUP(Tabla6[[#This Row],[PG]],Listas2!$G$14:$K$16,5,0)</f>
        <v>0</v>
      </c>
      <c r="N523" s="71">
        <v>2</v>
      </c>
      <c r="O523" s="72">
        <v>1300</v>
      </c>
      <c r="P523" s="73" t="str">
        <f>VLOOKUP(Tabla6[[#This Row],[GEO]],Listas!$A$48:$B$77,2,0)</f>
        <v>PORTOVIEJO</v>
      </c>
      <c r="Q523" s="70">
        <f>VLOOKUP(Tabla6[[#This Row],[PG]],Listas2!$G$14:$K$16,3,0)</f>
        <v>1</v>
      </c>
      <c r="R523" s="73">
        <f>VLOOKUP(Tabla6[[#This Row],[PG]],Listas2!H33:'Listas2'!$G$14:$K$16,4,0)</f>
        <v>0</v>
      </c>
      <c r="S523" s="73">
        <f>VLOOKUP(Tabla6[[#This Row],[PG]],Listas2!$G$14:$K$16,2,0)</f>
        <v>0</v>
      </c>
      <c r="T523" s="66" t="s">
        <v>84</v>
      </c>
      <c r="U523" s="74">
        <v>51</v>
      </c>
      <c r="V523" s="66">
        <v>510602</v>
      </c>
      <c r="W523" s="63" t="str">
        <f>VLOOKUP(Tabla6[[#This Row],[ÍTEM PRESUPUESTARIO]],Tabla2[#All],2,0)</f>
        <v>FONDO DE RESERVA</v>
      </c>
      <c r="X523" s="57">
        <v>65384</v>
      </c>
      <c r="Y523" s="57">
        <f>58734-500-1074.96</f>
        <v>57159.040000000001</v>
      </c>
      <c r="Z523" s="58">
        <v>2920</v>
      </c>
      <c r="AA523" s="58">
        <v>4920</v>
      </c>
      <c r="AB523" s="58">
        <v>4800</v>
      </c>
      <c r="AC523" s="58">
        <v>4800</v>
      </c>
      <c r="AD523" s="58">
        <v>4800</v>
      </c>
      <c r="AE523" s="58">
        <v>4800</v>
      </c>
      <c r="AF523" s="58">
        <v>4800</v>
      </c>
      <c r="AG523" s="58">
        <v>4800</v>
      </c>
      <c r="AH523" s="58">
        <v>4638</v>
      </c>
      <c r="AI523" s="58">
        <v>4584</v>
      </c>
      <c r="AJ523" s="58">
        <v>6436</v>
      </c>
      <c r="AK523" s="58">
        <v>4861.04</v>
      </c>
      <c r="AL523" s="75">
        <f>+SUBTOTAL(9,Tabla6[[#This Row],[ENE]:[DIC]])</f>
        <v>57159.040000000001</v>
      </c>
      <c r="AM523" s="76" t="str">
        <f t="shared" si="11"/>
        <v>OK</v>
      </c>
      <c r="AN523" s="60">
        <v>57159.040000000001</v>
      </c>
      <c r="AO523" s="61">
        <f>+Tabla6[[#This Row],[PRESUPUESTO VIGENTE]]-Tabla6[[#This Row],[CERTIFICACIÓN PAPP]]</f>
        <v>0</v>
      </c>
      <c r="AP523" s="59">
        <v>0</v>
      </c>
    </row>
    <row r="524" spans="1:42" ht="93" customHeight="1" x14ac:dyDescent="0.25">
      <c r="A524" s="62" t="s">
        <v>88</v>
      </c>
      <c r="B524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524" s="64" t="s">
        <v>89</v>
      </c>
      <c r="D524" s="64" t="s">
        <v>80</v>
      </c>
      <c r="E524" s="64" t="s">
        <v>81</v>
      </c>
      <c r="F524" s="64" t="s">
        <v>99</v>
      </c>
      <c r="G524" s="64" t="s">
        <v>9</v>
      </c>
      <c r="H524" s="65" t="str">
        <f>VLOOKUP(Tabla6[[#This Row],[DIRECCIÓN]],DIRECCIÓN[#All],2,0)</f>
        <v>OPERACIONES</v>
      </c>
      <c r="I524" s="66" t="s">
        <v>93</v>
      </c>
      <c r="J524" s="67">
        <v>1</v>
      </c>
      <c r="K524" s="68" t="str">
        <f>VLOOKUP(Tabla6[[#This Row],[DIRECCIÓN GENERAL / COORDINACIÓN / SUBDIRECCIÓN]],Tabla37[[#All],[Columna1]:[EOD]],2,0)</f>
        <v>266_0004</v>
      </c>
      <c r="L524" s="69">
        <f>VLOOKUP(Tabla6[[#This Row],[OBJETIVOS PND]],Listas!$A$1:$C$3,3,0)</f>
        <v>55</v>
      </c>
      <c r="M524" s="70">
        <f>VLOOKUP(Tabla6[[#This Row],[PG]],Listas2!$G$14:$K$16,5,0)</f>
        <v>0</v>
      </c>
      <c r="N524" s="71">
        <v>2</v>
      </c>
      <c r="O524" s="72">
        <v>1300</v>
      </c>
      <c r="P524" s="73" t="str">
        <f>VLOOKUP(Tabla6[[#This Row],[GEO]],Listas!$A$48:$B$77,2,0)</f>
        <v>PORTOVIEJO</v>
      </c>
      <c r="Q524" s="70">
        <f>VLOOKUP(Tabla6[[#This Row],[PG]],Listas2!$G$14:$K$16,3,0)</f>
        <v>1</v>
      </c>
      <c r="R524" s="73">
        <f>VLOOKUP(Tabla6[[#This Row],[PG]],Listas2!H34:'Listas2'!$G$14:$K$16,4,0)</f>
        <v>0</v>
      </c>
      <c r="S524" s="73">
        <f>VLOOKUP(Tabla6[[#This Row],[PG]],Listas2!$G$14:$K$16,2,0)</f>
        <v>0</v>
      </c>
      <c r="T524" s="66" t="s">
        <v>84</v>
      </c>
      <c r="U524" s="74">
        <v>51</v>
      </c>
      <c r="V524" s="66">
        <v>510707</v>
      </c>
      <c r="W524" s="63" t="str">
        <f>VLOOKUP(Tabla6[[#This Row],[ÍTEM PRESUPUESTARIO]],Tabla2[#All],2,0)</f>
        <v>COMPENSACIÓN POR VACACIONES NO GOZADAS POR CESACIÓN DE FUNCIONES</v>
      </c>
      <c r="X524" s="57">
        <v>0</v>
      </c>
      <c r="Y524" s="57">
        <f>2000+2500-3509.54</f>
        <v>990.46</v>
      </c>
      <c r="Z524" s="58">
        <v>167</v>
      </c>
      <c r="AA524" s="58">
        <v>167</v>
      </c>
      <c r="AB524" s="58">
        <v>167</v>
      </c>
      <c r="AC524" s="58">
        <v>167</v>
      </c>
      <c r="AD524" s="58">
        <v>167</v>
      </c>
      <c r="AE524" s="58">
        <v>155.46</v>
      </c>
      <c r="AF524" s="58">
        <v>0</v>
      </c>
      <c r="AG524" s="58">
        <v>0</v>
      </c>
      <c r="AH524" s="58">
        <v>0</v>
      </c>
      <c r="AI524" s="58">
        <v>0</v>
      </c>
      <c r="AJ524" s="58">
        <v>0</v>
      </c>
      <c r="AK524" s="58">
        <v>0</v>
      </c>
      <c r="AL524" s="75">
        <f>+SUBTOTAL(9,Tabla6[[#This Row],[ENE]:[DIC]])</f>
        <v>990.46</v>
      </c>
      <c r="AM524" s="76" t="str">
        <f t="shared" si="11"/>
        <v>OK</v>
      </c>
      <c r="AN524" s="60">
        <v>990.46</v>
      </c>
      <c r="AO524" s="61">
        <f>+Tabla6[[#This Row],[PRESUPUESTO VIGENTE]]-Tabla6[[#This Row],[CERTIFICACIÓN PAPP]]</f>
        <v>0</v>
      </c>
      <c r="AP524" s="59">
        <v>0</v>
      </c>
    </row>
    <row r="525" spans="1:42" ht="93" customHeight="1" x14ac:dyDescent="0.25">
      <c r="A525" s="62" t="s">
        <v>88</v>
      </c>
      <c r="B525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525" s="64" t="s">
        <v>89</v>
      </c>
      <c r="D525" s="64" t="s">
        <v>80</v>
      </c>
      <c r="E525" s="64" t="s">
        <v>81</v>
      </c>
      <c r="F525" s="64" t="s">
        <v>99</v>
      </c>
      <c r="G525" s="64" t="s">
        <v>10</v>
      </c>
      <c r="H525" s="65" t="str">
        <f>VLOOKUP(Tabla6[[#This Row],[DIRECCIÓN]],DIRECCIÓN[#All],2,0)</f>
        <v>TECNOLOGÍA</v>
      </c>
      <c r="I525" s="66" t="s">
        <v>93</v>
      </c>
      <c r="J525" s="67">
        <v>1</v>
      </c>
      <c r="K525" s="68" t="str">
        <f>VLOOKUP(Tabla6[[#This Row],[DIRECCIÓN GENERAL / COORDINACIÓN / SUBDIRECCIÓN]],Tabla37[[#All],[Columna1]:[EOD]],2,0)</f>
        <v>266_0004</v>
      </c>
      <c r="L525" s="69">
        <f>VLOOKUP(Tabla6[[#This Row],[OBJETIVOS PND]],Listas!$A$1:$C$3,3,0)</f>
        <v>55</v>
      </c>
      <c r="M525" s="70">
        <f>VLOOKUP(Tabla6[[#This Row],[PG]],Listas2!$G$14:$K$16,5,0)</f>
        <v>0</v>
      </c>
      <c r="N525" s="71">
        <v>3</v>
      </c>
      <c r="O525" s="72">
        <v>1300</v>
      </c>
      <c r="P525" s="73" t="str">
        <f>VLOOKUP(Tabla6[[#This Row],[GEO]],Listas!$A$48:$B$77,2,0)</f>
        <v>PORTOVIEJO</v>
      </c>
      <c r="Q525" s="70">
        <f>VLOOKUP(Tabla6[[#This Row],[PG]],Listas2!$G$14:$K$16,3,0)</f>
        <v>1</v>
      </c>
      <c r="R525" s="73">
        <f>VLOOKUP(Tabla6[[#This Row],[PG]],Listas2!H35:'Listas2'!$G$14:$K$16,4,0)</f>
        <v>0</v>
      </c>
      <c r="S525" s="73">
        <f>VLOOKUP(Tabla6[[#This Row],[PG]],Listas2!$G$14:$K$16,2,0)</f>
        <v>0</v>
      </c>
      <c r="T525" s="66" t="s">
        <v>84</v>
      </c>
      <c r="U525" s="74">
        <v>51</v>
      </c>
      <c r="V525" s="66">
        <v>510105</v>
      </c>
      <c r="W525" s="63" t="str">
        <f>VLOOKUP(Tabla6[[#This Row],[ÍTEM PRESUPUESTARIO]],Tabla2[#All],2,0)</f>
        <v>REMUNERACIONES UNIFICADAS</v>
      </c>
      <c r="X525" s="57">
        <v>92160</v>
      </c>
      <c r="Y525" s="57">
        <v>92160</v>
      </c>
      <c r="Z525" s="58">
        <v>7680</v>
      </c>
      <c r="AA525" s="58">
        <v>7680</v>
      </c>
      <c r="AB525" s="58">
        <v>7680</v>
      </c>
      <c r="AC525" s="58">
        <v>7680</v>
      </c>
      <c r="AD525" s="58">
        <v>7680</v>
      </c>
      <c r="AE525" s="58">
        <v>7680</v>
      </c>
      <c r="AF525" s="58">
        <v>7680</v>
      </c>
      <c r="AG525" s="58">
        <v>7680</v>
      </c>
      <c r="AH525" s="58">
        <v>7680</v>
      </c>
      <c r="AI525" s="58">
        <v>7680</v>
      </c>
      <c r="AJ525" s="58">
        <v>7680</v>
      </c>
      <c r="AK525" s="58">
        <v>7680</v>
      </c>
      <c r="AL525" s="75">
        <f>+SUBTOTAL(9,Tabla6[[#This Row],[ENE]:[DIC]])</f>
        <v>92160</v>
      </c>
      <c r="AM525" s="76" t="str">
        <f t="shared" si="11"/>
        <v>OK</v>
      </c>
      <c r="AN525" s="60">
        <v>92160</v>
      </c>
      <c r="AO525" s="61">
        <f>+Tabla6[[#This Row],[PRESUPUESTO VIGENTE]]-Tabla6[[#This Row],[CERTIFICACIÓN PAPP]]</f>
        <v>0</v>
      </c>
      <c r="AP525" s="59">
        <v>0</v>
      </c>
    </row>
    <row r="526" spans="1:42" ht="93" customHeight="1" x14ac:dyDescent="0.25">
      <c r="A526" s="62" t="s">
        <v>88</v>
      </c>
      <c r="B526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526" s="64" t="s">
        <v>89</v>
      </c>
      <c r="D526" s="64" t="s">
        <v>80</v>
      </c>
      <c r="E526" s="64" t="s">
        <v>81</v>
      </c>
      <c r="F526" s="64" t="s">
        <v>99</v>
      </c>
      <c r="G526" s="64" t="s">
        <v>10</v>
      </c>
      <c r="H526" s="65" t="str">
        <f>VLOOKUP(Tabla6[[#This Row],[DIRECCIÓN]],DIRECCIÓN[#All],2,0)</f>
        <v>TECNOLOGÍA</v>
      </c>
      <c r="I526" s="66" t="s">
        <v>93</v>
      </c>
      <c r="J526" s="67">
        <v>1</v>
      </c>
      <c r="K526" s="68" t="str">
        <f>VLOOKUP(Tabla6[[#This Row],[DIRECCIÓN GENERAL / COORDINACIÓN / SUBDIRECCIÓN]],Tabla37[[#All],[Columna1]:[EOD]],2,0)</f>
        <v>266_0004</v>
      </c>
      <c r="L526" s="69">
        <f>VLOOKUP(Tabla6[[#This Row],[OBJETIVOS PND]],Listas!$A$1:$C$3,3,0)</f>
        <v>55</v>
      </c>
      <c r="M526" s="70">
        <f>VLOOKUP(Tabla6[[#This Row],[PG]],Listas2!$G$14:$K$16,5,0)</f>
        <v>0</v>
      </c>
      <c r="N526" s="71">
        <v>3</v>
      </c>
      <c r="O526" s="72">
        <v>1300</v>
      </c>
      <c r="P526" s="73" t="str">
        <f>VLOOKUP(Tabla6[[#This Row],[GEO]],Listas!$A$48:$B$77,2,0)</f>
        <v>PORTOVIEJO</v>
      </c>
      <c r="Q526" s="70">
        <f>VLOOKUP(Tabla6[[#This Row],[PG]],Listas2!$G$14:$K$16,3,0)</f>
        <v>1</v>
      </c>
      <c r="R526" s="73">
        <f>VLOOKUP(Tabla6[[#This Row],[PG]],Listas2!H36:'Listas2'!$G$14:$K$16,4,0)</f>
        <v>0</v>
      </c>
      <c r="S526" s="73">
        <f>VLOOKUP(Tabla6[[#This Row],[PG]],Listas2!$G$14:$K$16,2,0)</f>
        <v>0</v>
      </c>
      <c r="T526" s="66" t="s">
        <v>84</v>
      </c>
      <c r="U526" s="74">
        <v>51</v>
      </c>
      <c r="V526" s="66">
        <v>510203</v>
      </c>
      <c r="W526" s="63" t="str">
        <f>VLOOKUP(Tabla6[[#This Row],[ÍTEM PRESUPUESTARIO]],Tabla2[#All],2,0)</f>
        <v>DÉCIMO TERCER SUELDO</v>
      </c>
      <c r="X526" s="57">
        <v>7680</v>
      </c>
      <c r="Y526" s="57">
        <f>7680+250-250</f>
        <v>7680</v>
      </c>
      <c r="Z526" s="58">
        <v>0</v>
      </c>
      <c r="AA526" s="58">
        <v>0</v>
      </c>
      <c r="AB526" s="58">
        <v>0</v>
      </c>
      <c r="AC526" s="58">
        <v>0</v>
      </c>
      <c r="AD526" s="58">
        <v>0</v>
      </c>
      <c r="AE526" s="58">
        <v>0</v>
      </c>
      <c r="AF526" s="58">
        <v>0</v>
      </c>
      <c r="AG526" s="58">
        <v>0</v>
      </c>
      <c r="AH526" s="58">
        <v>0</v>
      </c>
      <c r="AI526" s="58">
        <v>0</v>
      </c>
      <c r="AJ526" s="58">
        <v>0</v>
      </c>
      <c r="AK526" s="58">
        <v>7680</v>
      </c>
      <c r="AL526" s="75">
        <f>+SUBTOTAL(9,Tabla6[[#This Row],[ENE]:[DIC]])</f>
        <v>7680</v>
      </c>
      <c r="AM526" s="76" t="str">
        <f t="shared" si="11"/>
        <v>OK</v>
      </c>
      <c r="AN526" s="60">
        <v>7680</v>
      </c>
      <c r="AO526" s="61">
        <f>+Tabla6[[#This Row],[PRESUPUESTO VIGENTE]]-Tabla6[[#This Row],[CERTIFICACIÓN PAPP]]</f>
        <v>0</v>
      </c>
      <c r="AP526" s="59">
        <v>0</v>
      </c>
    </row>
    <row r="527" spans="1:42" ht="93" customHeight="1" x14ac:dyDescent="0.25">
      <c r="A527" s="62" t="s">
        <v>88</v>
      </c>
      <c r="B527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527" s="64" t="s">
        <v>89</v>
      </c>
      <c r="D527" s="64" t="s">
        <v>80</v>
      </c>
      <c r="E527" s="64" t="s">
        <v>81</v>
      </c>
      <c r="F527" s="64" t="s">
        <v>99</v>
      </c>
      <c r="G527" s="64" t="s">
        <v>10</v>
      </c>
      <c r="H527" s="65" t="str">
        <f>VLOOKUP(Tabla6[[#This Row],[DIRECCIÓN]],DIRECCIÓN[#All],2,0)</f>
        <v>TECNOLOGÍA</v>
      </c>
      <c r="I527" s="66" t="s">
        <v>93</v>
      </c>
      <c r="J527" s="67">
        <v>1</v>
      </c>
      <c r="K527" s="68" t="str">
        <f>VLOOKUP(Tabla6[[#This Row],[DIRECCIÓN GENERAL / COORDINACIÓN / SUBDIRECCIÓN]],Tabla37[[#All],[Columna1]:[EOD]],2,0)</f>
        <v>266_0004</v>
      </c>
      <c r="L527" s="69">
        <f>VLOOKUP(Tabla6[[#This Row],[OBJETIVOS PND]],Listas!$A$1:$C$3,3,0)</f>
        <v>55</v>
      </c>
      <c r="M527" s="70">
        <f>VLOOKUP(Tabla6[[#This Row],[PG]],Listas2!$G$14:$K$16,5,0)</f>
        <v>0</v>
      </c>
      <c r="N527" s="71">
        <v>3</v>
      </c>
      <c r="O527" s="72">
        <v>1300</v>
      </c>
      <c r="P527" s="73" t="str">
        <f>VLOOKUP(Tabla6[[#This Row],[GEO]],Listas!$A$48:$B$77,2,0)</f>
        <v>PORTOVIEJO</v>
      </c>
      <c r="Q527" s="70">
        <f>VLOOKUP(Tabla6[[#This Row],[PG]],Listas2!$G$14:$K$16,3,0)</f>
        <v>1</v>
      </c>
      <c r="R527" s="73">
        <f>VLOOKUP(Tabla6[[#This Row],[PG]],Listas2!H37:'Listas2'!$G$14:$K$16,4,0)</f>
        <v>0</v>
      </c>
      <c r="S527" s="73">
        <f>VLOOKUP(Tabla6[[#This Row],[PG]],Listas2!$G$14:$K$16,2,0)</f>
        <v>0</v>
      </c>
      <c r="T527" s="66" t="s">
        <v>84</v>
      </c>
      <c r="U527" s="74">
        <v>51</v>
      </c>
      <c r="V527" s="66">
        <v>510204</v>
      </c>
      <c r="W527" s="63" t="str">
        <f>VLOOKUP(Tabla6[[#This Row],[ÍTEM PRESUPUESTARIO]],Tabla2[#All],2,0)</f>
        <v>DÉCIMO CUARTO SUELDO</v>
      </c>
      <c r="X527" s="57">
        <v>2125</v>
      </c>
      <c r="Y527" s="57">
        <f>2250+400-400</f>
        <v>2250</v>
      </c>
      <c r="Z527" s="58">
        <v>0</v>
      </c>
      <c r="AA527" s="58">
        <v>0</v>
      </c>
      <c r="AB527" s="58">
        <v>0</v>
      </c>
      <c r="AC527" s="58">
        <v>2250</v>
      </c>
      <c r="AD527" s="58">
        <v>0</v>
      </c>
      <c r="AE527" s="58">
        <v>0</v>
      </c>
      <c r="AF527" s="58">
        <v>0</v>
      </c>
      <c r="AG527" s="58">
        <v>0</v>
      </c>
      <c r="AH527" s="58">
        <v>0</v>
      </c>
      <c r="AI527" s="58">
        <v>0</v>
      </c>
      <c r="AJ527" s="58">
        <v>0</v>
      </c>
      <c r="AK527" s="58">
        <v>0</v>
      </c>
      <c r="AL527" s="75">
        <f>+SUBTOTAL(9,Tabla6[[#This Row],[ENE]:[DIC]])</f>
        <v>2250</v>
      </c>
      <c r="AM527" s="76" t="str">
        <f t="shared" si="11"/>
        <v>OK</v>
      </c>
      <c r="AN527" s="60">
        <v>2250</v>
      </c>
      <c r="AO527" s="61">
        <f>+Tabla6[[#This Row],[PRESUPUESTO VIGENTE]]-Tabla6[[#This Row],[CERTIFICACIÓN PAPP]]</f>
        <v>0</v>
      </c>
      <c r="AP527" s="59">
        <v>0</v>
      </c>
    </row>
    <row r="528" spans="1:42" ht="93" customHeight="1" x14ac:dyDescent="0.25">
      <c r="A528" s="62" t="s">
        <v>88</v>
      </c>
      <c r="B528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528" s="64" t="s">
        <v>89</v>
      </c>
      <c r="D528" s="64" t="s">
        <v>80</v>
      </c>
      <c r="E528" s="64" t="s">
        <v>81</v>
      </c>
      <c r="F528" s="64" t="s">
        <v>99</v>
      </c>
      <c r="G528" s="64" t="s">
        <v>10</v>
      </c>
      <c r="H528" s="65" t="str">
        <f>VLOOKUP(Tabla6[[#This Row],[DIRECCIÓN]],DIRECCIÓN[#All],2,0)</f>
        <v>TECNOLOGÍA</v>
      </c>
      <c r="I528" s="66" t="s">
        <v>93</v>
      </c>
      <c r="J528" s="67">
        <v>1</v>
      </c>
      <c r="K528" s="68" t="str">
        <f>VLOOKUP(Tabla6[[#This Row],[DIRECCIÓN GENERAL / COORDINACIÓN / SUBDIRECCIÓN]],Tabla37[[#All],[Columna1]:[EOD]],2,0)</f>
        <v>266_0004</v>
      </c>
      <c r="L528" s="69">
        <f>VLOOKUP(Tabla6[[#This Row],[OBJETIVOS PND]],Listas!$A$1:$C$3,3,0)</f>
        <v>55</v>
      </c>
      <c r="M528" s="70">
        <f>VLOOKUP(Tabla6[[#This Row],[PG]],Listas2!$G$14:$K$16,5,0)</f>
        <v>0</v>
      </c>
      <c r="N528" s="71">
        <v>3</v>
      </c>
      <c r="O528" s="72">
        <v>1300</v>
      </c>
      <c r="P528" s="73" t="str">
        <f>VLOOKUP(Tabla6[[#This Row],[GEO]],Listas!$A$48:$B$77,2,0)</f>
        <v>PORTOVIEJO</v>
      </c>
      <c r="Q528" s="70">
        <f>VLOOKUP(Tabla6[[#This Row],[PG]],Listas2!$G$14:$K$16,3,0)</f>
        <v>1</v>
      </c>
      <c r="R528" s="73">
        <f>VLOOKUP(Tabla6[[#This Row],[PG]],Listas2!H38:'Listas2'!$G$14:$K$16,4,0)</f>
        <v>0</v>
      </c>
      <c r="S528" s="73">
        <f>VLOOKUP(Tabla6[[#This Row],[PG]],Listas2!$G$14:$K$16,2,0)</f>
        <v>0</v>
      </c>
      <c r="T528" s="66" t="s">
        <v>84</v>
      </c>
      <c r="U528" s="74">
        <v>51</v>
      </c>
      <c r="V528" s="66">
        <v>510512</v>
      </c>
      <c r="W528" s="63" t="str">
        <f>VLOOKUP(Tabla6[[#This Row],[ÍTEM PRESUPUESTARIO]],Tabla2[#All],2,0)</f>
        <v xml:space="preserve">SUBROGACIÓN </v>
      </c>
      <c r="X528" s="57">
        <v>150</v>
      </c>
      <c r="Y528" s="57">
        <f>295-133.53</f>
        <v>161.47</v>
      </c>
      <c r="Z528" s="58">
        <v>0</v>
      </c>
      <c r="AA528" s="58">
        <v>0</v>
      </c>
      <c r="AB528" s="58">
        <v>0</v>
      </c>
      <c r="AC528" s="58">
        <v>0</v>
      </c>
      <c r="AD528" s="58">
        <v>161.47</v>
      </c>
      <c r="AE528" s="58">
        <v>0</v>
      </c>
      <c r="AF528" s="58">
        <v>0</v>
      </c>
      <c r="AG528" s="58">
        <v>0</v>
      </c>
      <c r="AH528" s="58">
        <v>0</v>
      </c>
      <c r="AI528" s="58">
        <v>0</v>
      </c>
      <c r="AJ528" s="58">
        <v>0</v>
      </c>
      <c r="AK528" s="58">
        <v>0</v>
      </c>
      <c r="AL528" s="75">
        <f>+SUBTOTAL(9,Tabla6[[#This Row],[ENE]:[DIC]])</f>
        <v>161.47</v>
      </c>
      <c r="AM528" s="76" t="str">
        <f t="shared" si="11"/>
        <v>OK</v>
      </c>
      <c r="AN528" s="60">
        <v>161.47</v>
      </c>
      <c r="AO528" s="61">
        <f>+Tabla6[[#This Row],[PRESUPUESTO VIGENTE]]-Tabla6[[#This Row],[CERTIFICACIÓN PAPP]]</f>
        <v>0</v>
      </c>
      <c r="AP528" s="59">
        <v>0</v>
      </c>
    </row>
    <row r="529" spans="1:42" ht="93" customHeight="1" x14ac:dyDescent="0.25">
      <c r="A529" s="62" t="s">
        <v>88</v>
      </c>
      <c r="B529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529" s="64" t="s">
        <v>89</v>
      </c>
      <c r="D529" s="64" t="s">
        <v>80</v>
      </c>
      <c r="E529" s="64" t="s">
        <v>81</v>
      </c>
      <c r="F529" s="64" t="s">
        <v>99</v>
      </c>
      <c r="G529" s="64" t="s">
        <v>10</v>
      </c>
      <c r="H529" s="65" t="str">
        <f>VLOOKUP(Tabla6[[#This Row],[DIRECCIÓN]],DIRECCIÓN[#All],2,0)</f>
        <v>TECNOLOGÍA</v>
      </c>
      <c r="I529" s="66" t="s">
        <v>93</v>
      </c>
      <c r="J529" s="67">
        <v>1</v>
      </c>
      <c r="K529" s="68" t="str">
        <f>VLOOKUP(Tabla6[[#This Row],[DIRECCIÓN GENERAL / COORDINACIÓN / SUBDIRECCIÓN]],Tabla37[[#All],[Columna1]:[EOD]],2,0)</f>
        <v>266_0004</v>
      </c>
      <c r="L529" s="69">
        <f>VLOOKUP(Tabla6[[#This Row],[OBJETIVOS PND]],Listas!$A$1:$C$3,3,0)</f>
        <v>55</v>
      </c>
      <c r="M529" s="70">
        <f>VLOOKUP(Tabla6[[#This Row],[PG]],Listas2!$G$14:$K$16,5,0)</f>
        <v>0</v>
      </c>
      <c r="N529" s="71">
        <v>3</v>
      </c>
      <c r="O529" s="72">
        <v>1300</v>
      </c>
      <c r="P529" s="73" t="str">
        <f>VLOOKUP(Tabla6[[#This Row],[GEO]],Listas!$A$48:$B$77,2,0)</f>
        <v>PORTOVIEJO</v>
      </c>
      <c r="Q529" s="70">
        <f>VLOOKUP(Tabla6[[#This Row],[PG]],Listas2!$G$14:$K$16,3,0)</f>
        <v>1</v>
      </c>
      <c r="R529" s="73">
        <f>VLOOKUP(Tabla6[[#This Row],[PG]],Listas2!H39:'Listas2'!$G$14:$K$16,4,0)</f>
        <v>0</v>
      </c>
      <c r="S529" s="73">
        <f>VLOOKUP(Tabla6[[#This Row],[PG]],Listas2!$G$14:$K$16,2,0)</f>
        <v>0</v>
      </c>
      <c r="T529" s="66" t="s">
        <v>84</v>
      </c>
      <c r="U529" s="74">
        <v>51</v>
      </c>
      <c r="V529" s="66">
        <v>510513</v>
      </c>
      <c r="W529" s="63" t="str">
        <f>VLOOKUP(Tabla6[[#This Row],[ÍTEM PRESUPUESTARIO]],Tabla2[#All],2,0)</f>
        <v>ENCARGOS</v>
      </c>
      <c r="X529" s="57">
        <v>0</v>
      </c>
      <c r="Y529" s="57">
        <f>100-100</f>
        <v>0</v>
      </c>
      <c r="Z529" s="58">
        <v>0</v>
      </c>
      <c r="AA529" s="58">
        <v>0</v>
      </c>
      <c r="AB529" s="58">
        <v>0</v>
      </c>
      <c r="AC529" s="58">
        <v>0</v>
      </c>
      <c r="AD529" s="58">
        <v>0</v>
      </c>
      <c r="AE529" s="58">
        <v>0</v>
      </c>
      <c r="AF529" s="58">
        <v>0</v>
      </c>
      <c r="AG529" s="58">
        <v>0</v>
      </c>
      <c r="AH529" s="58">
        <v>0</v>
      </c>
      <c r="AI529" s="58">
        <v>0</v>
      </c>
      <c r="AJ529" s="58">
        <v>0</v>
      </c>
      <c r="AK529" s="58">
        <v>0</v>
      </c>
      <c r="AL529" s="75">
        <f>+SUBTOTAL(9,Tabla6[[#This Row],[ENE]:[DIC]])</f>
        <v>0</v>
      </c>
      <c r="AM529" s="76" t="str">
        <f t="shared" si="11"/>
        <v>OK</v>
      </c>
      <c r="AN529" s="60">
        <v>0</v>
      </c>
      <c r="AO529" s="61">
        <f>+Tabla6[[#This Row],[PRESUPUESTO VIGENTE]]-Tabla6[[#This Row],[CERTIFICACIÓN PAPP]]</f>
        <v>0</v>
      </c>
      <c r="AP529" s="59">
        <v>0</v>
      </c>
    </row>
    <row r="530" spans="1:42" ht="93" customHeight="1" x14ac:dyDescent="0.25">
      <c r="A530" s="62" t="s">
        <v>88</v>
      </c>
      <c r="B530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530" s="64" t="s">
        <v>89</v>
      </c>
      <c r="D530" s="64" t="s">
        <v>80</v>
      </c>
      <c r="E530" s="64" t="s">
        <v>81</v>
      </c>
      <c r="F530" s="64" t="s">
        <v>99</v>
      </c>
      <c r="G530" s="64" t="s">
        <v>10</v>
      </c>
      <c r="H530" s="65" t="str">
        <f>VLOOKUP(Tabla6[[#This Row],[DIRECCIÓN]],DIRECCIÓN[#All],2,0)</f>
        <v>TECNOLOGÍA</v>
      </c>
      <c r="I530" s="66" t="s">
        <v>93</v>
      </c>
      <c r="J530" s="67">
        <v>1</v>
      </c>
      <c r="K530" s="68" t="str">
        <f>VLOOKUP(Tabla6[[#This Row],[DIRECCIÓN GENERAL / COORDINACIÓN / SUBDIRECCIÓN]],Tabla37[[#All],[Columna1]:[EOD]],2,0)</f>
        <v>266_0004</v>
      </c>
      <c r="L530" s="69">
        <f>VLOOKUP(Tabla6[[#This Row],[OBJETIVOS PND]],Listas!$A$1:$C$3,3,0)</f>
        <v>55</v>
      </c>
      <c r="M530" s="70">
        <f>VLOOKUP(Tabla6[[#This Row],[PG]],Listas2!$G$14:$K$16,5,0)</f>
        <v>0</v>
      </c>
      <c r="N530" s="71">
        <v>3</v>
      </c>
      <c r="O530" s="72">
        <v>1300</v>
      </c>
      <c r="P530" s="73" t="str">
        <f>VLOOKUP(Tabla6[[#This Row],[GEO]],Listas!$A$48:$B$77,2,0)</f>
        <v>PORTOVIEJO</v>
      </c>
      <c r="Q530" s="70">
        <f>VLOOKUP(Tabla6[[#This Row],[PG]],Listas2!$G$14:$K$16,3,0)</f>
        <v>1</v>
      </c>
      <c r="R530" s="73">
        <f>VLOOKUP(Tabla6[[#This Row],[PG]],Listas2!H40:'Listas2'!$G$14:$K$16,4,0)</f>
        <v>0</v>
      </c>
      <c r="S530" s="73">
        <f>VLOOKUP(Tabla6[[#This Row],[PG]],Listas2!$G$14:$K$16,2,0)</f>
        <v>0</v>
      </c>
      <c r="T530" s="66" t="s">
        <v>84</v>
      </c>
      <c r="U530" s="74">
        <v>51</v>
      </c>
      <c r="V530" s="66">
        <v>510601</v>
      </c>
      <c r="W530" s="63" t="str">
        <f>VLOOKUP(Tabla6[[#This Row],[ÍTEM PRESUPUESTARIO]],Tabla2[#All],2,0)</f>
        <v>APORTE PATRONAL</v>
      </c>
      <c r="X530" s="57">
        <v>8893</v>
      </c>
      <c r="Y530" s="57">
        <f>8893+25-24.56</f>
        <v>8893.44</v>
      </c>
      <c r="Z530" s="58">
        <v>741</v>
      </c>
      <c r="AA530" s="58">
        <v>741</v>
      </c>
      <c r="AB530" s="58">
        <v>741</v>
      </c>
      <c r="AC530" s="58">
        <v>741</v>
      </c>
      <c r="AD530" s="58">
        <v>741</v>
      </c>
      <c r="AE530" s="58">
        <v>741</v>
      </c>
      <c r="AF530" s="58">
        <v>741</v>
      </c>
      <c r="AG530" s="58">
        <v>741</v>
      </c>
      <c r="AH530" s="58">
        <v>741</v>
      </c>
      <c r="AI530" s="58">
        <v>741</v>
      </c>
      <c r="AJ530" s="58">
        <v>741</v>
      </c>
      <c r="AK530" s="58">
        <v>742.44</v>
      </c>
      <c r="AL530" s="75">
        <f>+SUBTOTAL(9,Tabla6[[#This Row],[ENE]:[DIC]])</f>
        <v>8893.44</v>
      </c>
      <c r="AM530" s="76" t="str">
        <f t="shared" si="11"/>
        <v>OK</v>
      </c>
      <c r="AN530" s="60">
        <v>8893.44</v>
      </c>
      <c r="AO530" s="61">
        <f>+Tabla6[[#This Row],[PRESUPUESTO VIGENTE]]-Tabla6[[#This Row],[CERTIFICACIÓN PAPP]]</f>
        <v>0</v>
      </c>
      <c r="AP530" s="59">
        <v>0</v>
      </c>
    </row>
    <row r="531" spans="1:42" ht="93" customHeight="1" x14ac:dyDescent="0.25">
      <c r="A531" s="62" t="s">
        <v>88</v>
      </c>
      <c r="B531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531" s="64" t="s">
        <v>89</v>
      </c>
      <c r="D531" s="64" t="s">
        <v>80</v>
      </c>
      <c r="E531" s="64" t="s">
        <v>81</v>
      </c>
      <c r="F531" s="64" t="s">
        <v>99</v>
      </c>
      <c r="G531" s="64" t="s">
        <v>10</v>
      </c>
      <c r="H531" s="65" t="str">
        <f>VLOOKUP(Tabla6[[#This Row],[DIRECCIÓN]],DIRECCIÓN[#All],2,0)</f>
        <v>TECNOLOGÍA</v>
      </c>
      <c r="I531" s="66" t="s">
        <v>93</v>
      </c>
      <c r="J531" s="67">
        <v>1</v>
      </c>
      <c r="K531" s="68" t="str">
        <f>VLOOKUP(Tabla6[[#This Row],[DIRECCIÓN GENERAL / COORDINACIÓN / SUBDIRECCIÓN]],Tabla37[[#All],[Columna1]:[EOD]],2,0)</f>
        <v>266_0004</v>
      </c>
      <c r="L531" s="69">
        <f>VLOOKUP(Tabla6[[#This Row],[OBJETIVOS PND]],Listas!$A$1:$C$3,3,0)</f>
        <v>55</v>
      </c>
      <c r="M531" s="70">
        <f>VLOOKUP(Tabla6[[#This Row],[PG]],Listas2!$G$14:$K$16,5,0)</f>
        <v>0</v>
      </c>
      <c r="N531" s="71">
        <v>3</v>
      </c>
      <c r="O531" s="72">
        <v>1300</v>
      </c>
      <c r="P531" s="73" t="str">
        <f>VLOOKUP(Tabla6[[#This Row],[GEO]],Listas!$A$48:$B$77,2,0)</f>
        <v>PORTOVIEJO</v>
      </c>
      <c r="Q531" s="70">
        <f>VLOOKUP(Tabla6[[#This Row],[PG]],Listas2!$G$14:$K$16,3,0)</f>
        <v>1</v>
      </c>
      <c r="R531" s="73">
        <f>VLOOKUP(Tabla6[[#This Row],[PG]],Listas2!H41:'Listas2'!$G$14:$K$16,4,0)</f>
        <v>0</v>
      </c>
      <c r="S531" s="73">
        <f>VLOOKUP(Tabla6[[#This Row],[PG]],Listas2!$G$14:$K$16,2,0)</f>
        <v>0</v>
      </c>
      <c r="T531" s="66" t="s">
        <v>84</v>
      </c>
      <c r="U531" s="74">
        <v>51</v>
      </c>
      <c r="V531" s="66">
        <v>510602</v>
      </c>
      <c r="W531" s="63" t="str">
        <f>VLOOKUP(Tabla6[[#This Row],[ÍTEM PRESUPUESTARIO]],Tabla2[#All],2,0)</f>
        <v>FONDO DE RESERVA</v>
      </c>
      <c r="X531" s="57">
        <v>7680</v>
      </c>
      <c r="Y531" s="57">
        <f>9336-922.42-201-531.86</f>
        <v>7680.72</v>
      </c>
      <c r="Z531" s="58">
        <v>800</v>
      </c>
      <c r="AA531" s="58">
        <v>800</v>
      </c>
      <c r="AB531" s="58">
        <v>800</v>
      </c>
      <c r="AC531" s="58">
        <v>650</v>
      </c>
      <c r="AD531" s="58">
        <v>650</v>
      </c>
      <c r="AE531" s="58">
        <v>650</v>
      </c>
      <c r="AF531" s="58">
        <v>650</v>
      </c>
      <c r="AG531" s="58">
        <v>650</v>
      </c>
      <c r="AH531" s="58">
        <v>642.58000000000004</v>
      </c>
      <c r="AI531" s="58">
        <v>620</v>
      </c>
      <c r="AJ531" s="58">
        <v>650</v>
      </c>
      <c r="AK531" s="58">
        <v>118.14</v>
      </c>
      <c r="AL531" s="75">
        <f>+SUBTOTAL(9,Tabla6[[#This Row],[ENE]:[DIC]])</f>
        <v>7680.72</v>
      </c>
      <c r="AM531" s="76" t="str">
        <f t="shared" si="11"/>
        <v>OK</v>
      </c>
      <c r="AN531" s="60">
        <v>7680.72</v>
      </c>
      <c r="AO531" s="61">
        <f>+Tabla6[[#This Row],[PRESUPUESTO VIGENTE]]-Tabla6[[#This Row],[CERTIFICACIÓN PAPP]]</f>
        <v>0</v>
      </c>
      <c r="AP531" s="59">
        <v>0</v>
      </c>
    </row>
    <row r="532" spans="1:42" ht="93" customHeight="1" x14ac:dyDescent="0.25">
      <c r="A532" s="62" t="s">
        <v>88</v>
      </c>
      <c r="B532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532" s="64" t="s">
        <v>89</v>
      </c>
      <c r="D532" s="64" t="s">
        <v>80</v>
      </c>
      <c r="E532" s="64" t="s">
        <v>81</v>
      </c>
      <c r="F532" s="64" t="s">
        <v>99</v>
      </c>
      <c r="G532" s="64" t="s">
        <v>10</v>
      </c>
      <c r="H532" s="65" t="str">
        <f>VLOOKUP(Tabla6[[#This Row],[DIRECCIÓN]],DIRECCIÓN[#All],2,0)</f>
        <v>TECNOLOGÍA</v>
      </c>
      <c r="I532" s="66" t="s">
        <v>93</v>
      </c>
      <c r="J532" s="67">
        <v>1</v>
      </c>
      <c r="K532" s="68" t="str">
        <f>VLOOKUP(Tabla6[[#This Row],[DIRECCIÓN GENERAL / COORDINACIÓN / SUBDIRECCIÓN]],Tabla37[[#All],[Columna1]:[EOD]],2,0)</f>
        <v>266_0004</v>
      </c>
      <c r="L532" s="69">
        <f>VLOOKUP(Tabla6[[#This Row],[OBJETIVOS PND]],Listas!$A$1:$C$3,3,0)</f>
        <v>55</v>
      </c>
      <c r="M532" s="70">
        <f>VLOOKUP(Tabla6[[#This Row],[PG]],Listas2!$G$14:$K$16,5,0)</f>
        <v>0</v>
      </c>
      <c r="N532" s="71">
        <v>3</v>
      </c>
      <c r="O532" s="72">
        <v>1300</v>
      </c>
      <c r="P532" s="73" t="str">
        <f>VLOOKUP(Tabla6[[#This Row],[GEO]],Listas!$A$48:$B$77,2,0)</f>
        <v>PORTOVIEJO</v>
      </c>
      <c r="Q532" s="70">
        <f>VLOOKUP(Tabla6[[#This Row],[PG]],Listas2!$G$14:$K$16,3,0)</f>
        <v>1</v>
      </c>
      <c r="R532" s="73">
        <f>VLOOKUP(Tabla6[[#This Row],[PG]],Listas2!H42:'Listas2'!$G$14:$K$16,4,0)</f>
        <v>0</v>
      </c>
      <c r="S532" s="73">
        <f>VLOOKUP(Tabla6[[#This Row],[PG]],Listas2!$G$14:$K$16,2,0)</f>
        <v>0</v>
      </c>
      <c r="T532" s="66" t="s">
        <v>84</v>
      </c>
      <c r="U532" s="74">
        <v>51</v>
      </c>
      <c r="V532" s="66">
        <v>510707</v>
      </c>
      <c r="W532" s="63" t="str">
        <f>VLOOKUP(Tabla6[[#This Row],[ÍTEM PRESUPUESTARIO]],Tabla2[#All],2,0)</f>
        <v>COMPENSACIÓN POR VACACIONES NO GOZADAS POR CESACIÓN DE FUNCIONES</v>
      </c>
      <c r="X532" s="57">
        <v>0</v>
      </c>
      <c r="Y532" s="57">
        <f>500+1000-1500</f>
        <v>0</v>
      </c>
      <c r="Z532" s="58">
        <v>0</v>
      </c>
      <c r="AA532" s="58">
        <v>0</v>
      </c>
      <c r="AB532" s="58">
        <v>0</v>
      </c>
      <c r="AC532" s="58">
        <v>0</v>
      </c>
      <c r="AD532" s="58">
        <v>0</v>
      </c>
      <c r="AE532" s="58">
        <v>0</v>
      </c>
      <c r="AF532" s="58">
        <v>0</v>
      </c>
      <c r="AG532" s="58">
        <v>0</v>
      </c>
      <c r="AH532" s="58">
        <v>0</v>
      </c>
      <c r="AI532" s="58">
        <v>0</v>
      </c>
      <c r="AJ532" s="58">
        <v>0</v>
      </c>
      <c r="AK532" s="58">
        <v>0</v>
      </c>
      <c r="AL532" s="75">
        <f>+SUBTOTAL(9,Tabla6[[#This Row],[ENE]:[DIC]])</f>
        <v>0</v>
      </c>
      <c r="AM532" s="76" t="str">
        <f t="shared" si="11"/>
        <v>OK</v>
      </c>
      <c r="AN532" s="60">
        <v>0</v>
      </c>
      <c r="AO532" s="61">
        <f>+Tabla6[[#This Row],[PRESUPUESTO VIGENTE]]-Tabla6[[#This Row],[CERTIFICACIÓN PAPP]]</f>
        <v>0</v>
      </c>
      <c r="AP532" s="59">
        <v>0</v>
      </c>
    </row>
    <row r="533" spans="1:42" ht="93" customHeight="1" x14ac:dyDescent="0.25">
      <c r="A533" s="62" t="s">
        <v>78</v>
      </c>
      <c r="B533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533" s="64" t="s">
        <v>79</v>
      </c>
      <c r="D533" s="64" t="s">
        <v>80</v>
      </c>
      <c r="E533" s="64" t="s">
        <v>81</v>
      </c>
      <c r="F533" s="64" t="s">
        <v>99</v>
      </c>
      <c r="G533" s="64" t="s">
        <v>92</v>
      </c>
      <c r="H533" s="65" t="str">
        <f>VLOOKUP(Tabla6[[#This Row],[DIRECCIÓN]],DIRECCIÓN[#All],2,0)</f>
        <v>ADMINISTRACIÓN CENTRAL</v>
      </c>
      <c r="I533" s="66" t="s">
        <v>536</v>
      </c>
      <c r="J533" s="67">
        <v>1</v>
      </c>
      <c r="K533" s="68" t="str">
        <f>VLOOKUP(Tabla6[[#This Row],[DIRECCIÓN GENERAL / COORDINACIÓN / SUBDIRECCIÓN]],Tabla37[[#All],[Columna1]:[EOD]],2,0)</f>
        <v>266_0004</v>
      </c>
      <c r="L533" s="69">
        <f>VLOOKUP(Tabla6[[#This Row],[OBJETIVOS PND]],Listas!$A$1:$C$3,3,0)</f>
        <v>1</v>
      </c>
      <c r="M533" s="70">
        <f>VLOOKUP(Tabla6[[#This Row],[PG]],Listas2!$G$14:$K$16,5,0)</f>
        <v>0</v>
      </c>
      <c r="N533" s="71">
        <v>1</v>
      </c>
      <c r="O533" s="72">
        <v>1301</v>
      </c>
      <c r="P533" s="73" t="str">
        <f>VLOOKUP(Tabla6[[#This Row],[GEO]],Listas!$A$48:$B$77,2,0)</f>
        <v>PORTOVIEJO</v>
      </c>
      <c r="Q533" s="70">
        <f>VLOOKUP(Tabla6[[#This Row],[PG]],Listas2!$G$14:$K$16,3,0)</f>
        <v>1</v>
      </c>
      <c r="R533" s="73">
        <f>VLOOKUP(Tabla6[[#This Row],[PG]],Listas2!H43:'Listas2'!$G$14:$K$16,4,0)</f>
        <v>0</v>
      </c>
      <c r="S533" s="73">
        <f>VLOOKUP(Tabla6[[#This Row],[PG]],Listas2!$G$14:$K$16,2,0)</f>
        <v>0</v>
      </c>
      <c r="T533" s="66" t="s">
        <v>84</v>
      </c>
      <c r="U533" s="74">
        <v>53</v>
      </c>
      <c r="V533" s="66">
        <v>530101</v>
      </c>
      <c r="W533" s="63" t="str">
        <f>VLOOKUP(Tabla6[[#This Row],[ÍTEM PRESUPUESTARIO]],Tabla2[#All],2,0)</f>
        <v>AGUA POTABLE</v>
      </c>
      <c r="X533" s="57">
        <v>4998</v>
      </c>
      <c r="Y533" s="57">
        <f>4998+5405.41+1594.59+2255.44-2255.44-2255.44</f>
        <v>9742.56</v>
      </c>
      <c r="Z533" s="58">
        <v>833</v>
      </c>
      <c r="AA533" s="58">
        <v>833</v>
      </c>
      <c r="AB533" s="58">
        <v>833</v>
      </c>
      <c r="AC533" s="58">
        <v>833</v>
      </c>
      <c r="AD533" s="58">
        <v>833</v>
      </c>
      <c r="AE533" s="58">
        <v>833</v>
      </c>
      <c r="AF533" s="58">
        <v>0</v>
      </c>
      <c r="AG533" s="58">
        <v>1400</v>
      </c>
      <c r="AH533" s="58">
        <v>1400</v>
      </c>
      <c r="AI533" s="58">
        <v>1400</v>
      </c>
      <c r="AJ533" s="58">
        <v>544.55999999999995</v>
      </c>
      <c r="AK533" s="58">
        <v>0</v>
      </c>
      <c r="AL533" s="75">
        <f>+SUBTOTAL(9,Tabla6[[#This Row],[ENE]:[DIC]])</f>
        <v>9742.56</v>
      </c>
      <c r="AM533" s="76" t="str">
        <f t="shared" si="11"/>
        <v>OK</v>
      </c>
      <c r="AN533" s="60">
        <f>853.87+4144.13+7000-2255.44</f>
        <v>9742.56</v>
      </c>
      <c r="AO533" s="61">
        <f>+Tabla6[[#This Row],[PRESUPUESTO VIGENTE]]-Tabla6[[#This Row],[CERTIFICACIÓN PAPP]]</f>
        <v>0</v>
      </c>
      <c r="AP533" s="59">
        <v>0</v>
      </c>
    </row>
    <row r="534" spans="1:42" ht="93" customHeight="1" x14ac:dyDescent="0.25">
      <c r="A534" s="62" t="s">
        <v>78</v>
      </c>
      <c r="B534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534" s="64" t="s">
        <v>79</v>
      </c>
      <c r="D534" s="64" t="s">
        <v>80</v>
      </c>
      <c r="E534" s="64" t="s">
        <v>81</v>
      </c>
      <c r="F534" s="64" t="s">
        <v>99</v>
      </c>
      <c r="G534" s="64" t="s">
        <v>92</v>
      </c>
      <c r="H534" s="65" t="str">
        <f>VLOOKUP(Tabla6[[#This Row],[DIRECCIÓN]],DIRECCIÓN[#All],2,0)</f>
        <v>ADMINISTRACIÓN CENTRAL</v>
      </c>
      <c r="I534" s="66" t="s">
        <v>537</v>
      </c>
      <c r="J534" s="67">
        <v>1</v>
      </c>
      <c r="K534" s="68" t="str">
        <f>VLOOKUP(Tabla6[[#This Row],[DIRECCIÓN GENERAL / COORDINACIÓN / SUBDIRECCIÓN]],Tabla37[[#All],[Columna1]:[EOD]],2,0)</f>
        <v>266_0004</v>
      </c>
      <c r="L534" s="69">
        <f>VLOOKUP(Tabla6[[#This Row],[OBJETIVOS PND]],Listas!$A$1:$C$3,3,0)</f>
        <v>1</v>
      </c>
      <c r="M534" s="70">
        <f>VLOOKUP(Tabla6[[#This Row],[PG]],Listas2!$G$14:$K$16,5,0)</f>
        <v>0</v>
      </c>
      <c r="N534" s="71">
        <v>1</v>
      </c>
      <c r="O534" s="72">
        <v>1301</v>
      </c>
      <c r="P534" s="73" t="str">
        <f>VLOOKUP(Tabla6[[#This Row],[GEO]],Listas!$A$48:$B$77,2,0)</f>
        <v>PORTOVIEJO</v>
      </c>
      <c r="Q534" s="70">
        <f>VLOOKUP(Tabla6[[#This Row],[PG]],Listas2!$G$14:$K$16,3,0)</f>
        <v>1</v>
      </c>
      <c r="R534" s="73">
        <f>VLOOKUP(Tabla6[[#This Row],[PG]],Listas2!H44:'Listas2'!$G$14:$K$16,4,0)</f>
        <v>0</v>
      </c>
      <c r="S534" s="73">
        <f>VLOOKUP(Tabla6[[#This Row],[PG]],Listas2!$G$14:$K$16,2,0)</f>
        <v>0</v>
      </c>
      <c r="T534" s="66" t="s">
        <v>84</v>
      </c>
      <c r="U534" s="74">
        <v>53</v>
      </c>
      <c r="V534" s="66">
        <v>530104</v>
      </c>
      <c r="W534" s="63" t="str">
        <f>VLOOKUP(Tabla6[[#This Row],[ÍTEM PRESUPUESTARIO]],Tabla2[#All],2,0)</f>
        <v>ENERGÍA ELÉCTRICA</v>
      </c>
      <c r="X534" s="57">
        <v>36000</v>
      </c>
      <c r="Y534" s="57">
        <f>36000+30000+5654.28</f>
        <v>71654.28</v>
      </c>
      <c r="Z534" s="58">
        <v>6000</v>
      </c>
      <c r="AA534" s="58">
        <v>6000</v>
      </c>
      <c r="AB534" s="58">
        <v>6000</v>
      </c>
      <c r="AC534" s="58">
        <v>6000</v>
      </c>
      <c r="AD534" s="58">
        <v>6000</v>
      </c>
      <c r="AE534" s="58">
        <v>6000</v>
      </c>
      <c r="AF534" s="58">
        <v>6000</v>
      </c>
      <c r="AG534" s="58">
        <v>6000</v>
      </c>
      <c r="AH534" s="58">
        <v>6000</v>
      </c>
      <c r="AI534" s="58">
        <v>6000</v>
      </c>
      <c r="AJ534" s="58">
        <v>11654.28</v>
      </c>
      <c r="AK534" s="58">
        <v>0</v>
      </c>
      <c r="AL534" s="75">
        <f>+SUBTOTAL(9,Tabla6[[#This Row],[ENE]:[DIC]])</f>
        <v>71654.28</v>
      </c>
      <c r="AM534" s="76" t="str">
        <f t="shared" si="11"/>
        <v>OK</v>
      </c>
      <c r="AN534" s="60">
        <f>5678.02+5828.06+54493.92+5654.28</f>
        <v>71654.28</v>
      </c>
      <c r="AO534" s="61">
        <f>+Tabla6[[#This Row],[PRESUPUESTO VIGENTE]]-Tabla6[[#This Row],[CERTIFICACIÓN PAPP]]</f>
        <v>0</v>
      </c>
      <c r="AP534" s="59">
        <v>0</v>
      </c>
    </row>
    <row r="535" spans="1:42" ht="93" customHeight="1" x14ac:dyDescent="0.25">
      <c r="A535" s="62" t="s">
        <v>78</v>
      </c>
      <c r="B535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535" s="64" t="s">
        <v>79</v>
      </c>
      <c r="D535" s="64" t="s">
        <v>80</v>
      </c>
      <c r="E535" s="64" t="s">
        <v>81</v>
      </c>
      <c r="F535" s="64" t="s">
        <v>99</v>
      </c>
      <c r="G535" s="64" t="s">
        <v>92</v>
      </c>
      <c r="H535" s="65" t="str">
        <f>VLOOKUP(Tabla6[[#This Row],[DIRECCIÓN]],DIRECCIÓN[#All],2,0)</f>
        <v>ADMINISTRACIÓN CENTRAL</v>
      </c>
      <c r="I535" s="66" t="s">
        <v>538</v>
      </c>
      <c r="J535" s="67">
        <v>1</v>
      </c>
      <c r="K535" s="68" t="str">
        <f>VLOOKUP(Tabla6[[#This Row],[DIRECCIÓN GENERAL / COORDINACIÓN / SUBDIRECCIÓN]],Tabla37[[#All],[Columna1]:[EOD]],2,0)</f>
        <v>266_0004</v>
      </c>
      <c r="L535" s="69">
        <f>VLOOKUP(Tabla6[[#This Row],[OBJETIVOS PND]],Listas!$A$1:$C$3,3,0)</f>
        <v>1</v>
      </c>
      <c r="M535" s="70">
        <f>VLOOKUP(Tabla6[[#This Row],[PG]],Listas2!$G$14:$K$16,5,0)</f>
        <v>0</v>
      </c>
      <c r="N535" s="71">
        <v>1</v>
      </c>
      <c r="O535" s="72">
        <v>1301</v>
      </c>
      <c r="P535" s="73" t="str">
        <f>VLOOKUP(Tabla6[[#This Row],[GEO]],Listas!$A$48:$B$77,2,0)</f>
        <v>PORTOVIEJO</v>
      </c>
      <c r="Q535" s="70">
        <f>VLOOKUP(Tabla6[[#This Row],[PG]],Listas2!$G$14:$K$16,3,0)</f>
        <v>1</v>
      </c>
      <c r="R535" s="73">
        <f>VLOOKUP(Tabla6[[#This Row],[PG]],Listas2!H45:'Listas2'!$G$14:$K$16,4,0)</f>
        <v>0</v>
      </c>
      <c r="S535" s="73">
        <f>VLOOKUP(Tabla6[[#This Row],[PG]],Listas2!$G$14:$K$16,2,0)</f>
        <v>0</v>
      </c>
      <c r="T535" s="66" t="s">
        <v>84</v>
      </c>
      <c r="U535" s="74">
        <v>53</v>
      </c>
      <c r="V535" s="66">
        <v>530106</v>
      </c>
      <c r="W535" s="63" t="str">
        <f>VLOOKUP(Tabla6[[#This Row],[ÍTEM PRESUPUESTARIO]],Tabla2[#All],2,0)</f>
        <v>SERVICIO DE CORREO</v>
      </c>
      <c r="X535" s="57">
        <v>1200</v>
      </c>
      <c r="Y535" s="57">
        <f>1200+611-611-782.26</f>
        <v>417.74</v>
      </c>
      <c r="Z535" s="58">
        <v>100</v>
      </c>
      <c r="AA535" s="58">
        <v>100</v>
      </c>
      <c r="AB535" s="58">
        <v>100</v>
      </c>
      <c r="AC535" s="58">
        <v>100</v>
      </c>
      <c r="AD535" s="58">
        <v>0</v>
      </c>
      <c r="AE535" s="58">
        <v>0</v>
      </c>
      <c r="AF535" s="58">
        <v>0</v>
      </c>
      <c r="AG535" s="58">
        <v>0</v>
      </c>
      <c r="AH535" s="58">
        <v>0</v>
      </c>
      <c r="AI535" s="58">
        <v>0</v>
      </c>
      <c r="AJ535" s="58">
        <v>0</v>
      </c>
      <c r="AK535" s="58">
        <v>17.739999999999998</v>
      </c>
      <c r="AL535" s="75">
        <f>+SUBTOTAL(9,Tabla6[[#This Row],[ENE]:[DIC]])</f>
        <v>417.74</v>
      </c>
      <c r="AM535" s="76" t="str">
        <f t="shared" si="11"/>
        <v>OK</v>
      </c>
      <c r="AN535" s="60">
        <f>26.5+1173.5-782.26</f>
        <v>417.74</v>
      </c>
      <c r="AO535" s="61">
        <f>+Tabla6[[#This Row],[PRESUPUESTO VIGENTE]]-Tabla6[[#This Row],[CERTIFICACIÓN PAPP]]</f>
        <v>0</v>
      </c>
      <c r="AP535" s="59">
        <v>0</v>
      </c>
    </row>
    <row r="536" spans="1:42" ht="93" customHeight="1" x14ac:dyDescent="0.25">
      <c r="A536" s="62" t="s">
        <v>78</v>
      </c>
      <c r="B536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536" s="64" t="s">
        <v>79</v>
      </c>
      <c r="D536" s="64" t="s">
        <v>80</v>
      </c>
      <c r="E536" s="64" t="s">
        <v>81</v>
      </c>
      <c r="F536" s="64" t="s">
        <v>99</v>
      </c>
      <c r="G536" s="64" t="s">
        <v>92</v>
      </c>
      <c r="H536" s="65" t="str">
        <f>VLOOKUP(Tabla6[[#This Row],[DIRECCIÓN]],DIRECCIÓN[#All],2,0)</f>
        <v>ADMINISTRACIÓN CENTRAL</v>
      </c>
      <c r="I536" s="66" t="s">
        <v>539</v>
      </c>
      <c r="J536" s="67">
        <v>1</v>
      </c>
      <c r="K536" s="68" t="str">
        <f>VLOOKUP(Tabla6[[#This Row],[DIRECCIÓN GENERAL / COORDINACIÓN / SUBDIRECCIÓN]],Tabla37[[#All],[Columna1]:[EOD]],2,0)</f>
        <v>266_0004</v>
      </c>
      <c r="L536" s="69">
        <f>VLOOKUP(Tabla6[[#This Row],[OBJETIVOS PND]],Listas!$A$1:$C$3,3,0)</f>
        <v>1</v>
      </c>
      <c r="M536" s="70">
        <f>VLOOKUP(Tabla6[[#This Row],[PG]],Listas2!$G$14:$K$16,5,0)</f>
        <v>0</v>
      </c>
      <c r="N536" s="71">
        <v>1</v>
      </c>
      <c r="O536" s="72">
        <v>1301</v>
      </c>
      <c r="P536" s="73" t="str">
        <f>VLOOKUP(Tabla6[[#This Row],[GEO]],Listas!$A$48:$B$77,2,0)</f>
        <v>PORTOVIEJO</v>
      </c>
      <c r="Q536" s="70">
        <f>VLOOKUP(Tabla6[[#This Row],[PG]],Listas2!$G$14:$K$16,3,0)</f>
        <v>1</v>
      </c>
      <c r="R536" s="73">
        <f>VLOOKUP(Tabla6[[#This Row],[PG]],Listas2!H46:'Listas2'!$G$14:$K$16,4,0)</f>
        <v>0</v>
      </c>
      <c r="S536" s="73">
        <f>VLOOKUP(Tabla6[[#This Row],[PG]],Listas2!$G$14:$K$16,2,0)</f>
        <v>0</v>
      </c>
      <c r="T536" s="66" t="s">
        <v>84</v>
      </c>
      <c r="U536" s="74">
        <v>53</v>
      </c>
      <c r="V536" s="66">
        <v>530201</v>
      </c>
      <c r="W536" s="63" t="str">
        <f>VLOOKUP(Tabla6[[#This Row],[ÍTEM PRESUPUESTARIO]],Tabla2[#All],2,0)</f>
        <v>TRANSPORTE DE PERSONAL</v>
      </c>
      <c r="X536" s="57">
        <v>57600</v>
      </c>
      <c r="Y536" s="57">
        <f>56700-11907.93+6190.41-6190.41-6190.41+1+1-1</f>
        <v>38602.659999999989</v>
      </c>
      <c r="Z536" s="58">
        <v>3731</v>
      </c>
      <c r="AA536" s="58">
        <v>3731</v>
      </c>
      <c r="AB536" s="58">
        <v>3731</v>
      </c>
      <c r="AC536" s="58">
        <v>3731</v>
      </c>
      <c r="AD536" s="58">
        <v>3731</v>
      </c>
      <c r="AE536" s="58">
        <v>3731</v>
      </c>
      <c r="AF536" s="58">
        <v>3731</v>
      </c>
      <c r="AG536" s="58">
        <v>2600</v>
      </c>
      <c r="AH536" s="58">
        <v>2600</v>
      </c>
      <c r="AI536" s="58">
        <v>2600</v>
      </c>
      <c r="AJ536" s="58">
        <v>2600</v>
      </c>
      <c r="AK536" s="58">
        <v>2085.66</v>
      </c>
      <c r="AL536" s="75">
        <f>+SUBTOTAL(9,Tabla6[[#This Row],[ENE]:[DIC]])</f>
        <v>38602.660000000003</v>
      </c>
      <c r="AM536" s="76" t="str">
        <f t="shared" si="11"/>
        <v>OK</v>
      </c>
      <c r="AN536" s="60">
        <f>4099.66+40692.41-6190.41+1</f>
        <v>38602.660000000003</v>
      </c>
      <c r="AO536" s="61">
        <f>+Tabla6[[#This Row],[PRESUPUESTO VIGENTE]]-Tabla6[[#This Row],[CERTIFICACIÓN PAPP]]</f>
        <v>0</v>
      </c>
      <c r="AP536" s="59">
        <v>0</v>
      </c>
    </row>
    <row r="537" spans="1:42" ht="93" customHeight="1" x14ac:dyDescent="0.25">
      <c r="A537" s="62" t="s">
        <v>78</v>
      </c>
      <c r="B537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537" s="64" t="s">
        <v>79</v>
      </c>
      <c r="D537" s="64" t="s">
        <v>80</v>
      </c>
      <c r="E537" s="64" t="s">
        <v>81</v>
      </c>
      <c r="F537" s="64" t="s">
        <v>99</v>
      </c>
      <c r="G537" s="64" t="s">
        <v>92</v>
      </c>
      <c r="H537" s="65" t="str">
        <f>VLOOKUP(Tabla6[[#This Row],[DIRECCIÓN]],DIRECCIÓN[#All],2,0)</f>
        <v>ADMINISTRACIÓN CENTRAL</v>
      </c>
      <c r="I537" s="66" t="s">
        <v>540</v>
      </c>
      <c r="J537" s="67">
        <v>1</v>
      </c>
      <c r="K537" s="68" t="str">
        <f>VLOOKUP(Tabla6[[#This Row],[DIRECCIÓN GENERAL / COORDINACIÓN / SUBDIRECCIÓN]],Tabla37[[#All],[Columna1]:[EOD]],2,0)</f>
        <v>266_0004</v>
      </c>
      <c r="L537" s="69">
        <f>VLOOKUP(Tabla6[[#This Row],[OBJETIVOS PND]],Listas!$A$1:$C$3,3,0)</f>
        <v>1</v>
      </c>
      <c r="M537" s="70">
        <f>VLOOKUP(Tabla6[[#This Row],[PG]],Listas2!$G$14:$K$16,5,0)</f>
        <v>0</v>
      </c>
      <c r="N537" s="71">
        <v>1</v>
      </c>
      <c r="O537" s="72">
        <v>1301</v>
      </c>
      <c r="P537" s="73" t="str">
        <f>VLOOKUP(Tabla6[[#This Row],[GEO]],Listas!$A$48:$B$77,2,0)</f>
        <v>PORTOVIEJO</v>
      </c>
      <c r="Q537" s="70">
        <f>VLOOKUP(Tabla6[[#This Row],[PG]],Listas2!$G$14:$K$16,3,0)</f>
        <v>1</v>
      </c>
      <c r="R537" s="73">
        <f>VLOOKUP(Tabla6[[#This Row],[PG]],Listas2!H47:'Listas2'!$G$14:$K$16,4,0)</f>
        <v>0</v>
      </c>
      <c r="S537" s="73">
        <f>VLOOKUP(Tabla6[[#This Row],[PG]],Listas2!$G$14:$K$16,2,0)</f>
        <v>0</v>
      </c>
      <c r="T537" s="66" t="s">
        <v>84</v>
      </c>
      <c r="U537" s="74">
        <v>53</v>
      </c>
      <c r="V537" s="66">
        <v>530203</v>
      </c>
      <c r="W537" s="63" t="str">
        <f>VLOOKUP(Tabla6[[#This Row],[ÍTEM PRESUPUESTARIO]],Tabla2[#All],2,0)</f>
        <v>ALMACENAMIENTO, EMBALAJE, DESEMBALAJE, ENVASE, DESENVASE Y RECARGA DE EXTINTORES</v>
      </c>
      <c r="X537" s="57">
        <v>0</v>
      </c>
      <c r="Y537" s="57">
        <f>2500-1250+637.6</f>
        <v>1887.6</v>
      </c>
      <c r="Z537" s="58">
        <v>0</v>
      </c>
      <c r="AA537" s="58">
        <v>0</v>
      </c>
      <c r="AB537" s="58">
        <v>0</v>
      </c>
      <c r="AC537" s="58">
        <v>0</v>
      </c>
      <c r="AD537" s="58">
        <v>0</v>
      </c>
      <c r="AE537" s="58">
        <v>0</v>
      </c>
      <c r="AF537" s="58">
        <v>0</v>
      </c>
      <c r="AG537" s="58">
        <v>0</v>
      </c>
      <c r="AH537" s="58">
        <v>0</v>
      </c>
      <c r="AI537" s="58">
        <v>0</v>
      </c>
      <c r="AJ537" s="58">
        <v>1887.6</v>
      </c>
      <c r="AK537" s="58">
        <v>0</v>
      </c>
      <c r="AL537" s="75">
        <f>+SUBTOTAL(9,Tabla6[[#This Row],[ENE]:[DIC]])</f>
        <v>1887.6</v>
      </c>
      <c r="AM537" s="76" t="str">
        <f t="shared" si="11"/>
        <v>OK</v>
      </c>
      <c r="AN537" s="60">
        <v>1887.6</v>
      </c>
      <c r="AO537" s="61">
        <f>+Tabla6[[#This Row],[PRESUPUESTO VIGENTE]]-Tabla6[[#This Row],[CERTIFICACIÓN PAPP]]</f>
        <v>0</v>
      </c>
      <c r="AP537" s="59">
        <v>0</v>
      </c>
    </row>
    <row r="538" spans="1:42" ht="93" customHeight="1" x14ac:dyDescent="0.25">
      <c r="A538" s="62" t="s">
        <v>78</v>
      </c>
      <c r="B538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538" s="64" t="s">
        <v>79</v>
      </c>
      <c r="D538" s="64" t="s">
        <v>80</v>
      </c>
      <c r="E538" s="64" t="s">
        <v>81</v>
      </c>
      <c r="F538" s="64" t="s">
        <v>99</v>
      </c>
      <c r="G538" s="64" t="s">
        <v>94</v>
      </c>
      <c r="H538" s="65" t="str">
        <f>VLOOKUP(Tabla6[[#This Row],[DIRECCIÓN]],DIRECCIÓN[#All],2,0)</f>
        <v>COMUNICACIÓN SOCIAL</v>
      </c>
      <c r="I538" s="66" t="s">
        <v>541</v>
      </c>
      <c r="J538" s="67">
        <v>1</v>
      </c>
      <c r="K538" s="68" t="str">
        <f>VLOOKUP(Tabla6[[#This Row],[DIRECCIÓN GENERAL / COORDINACIÓN / SUBDIRECCIÓN]],Tabla37[[#All],[Columna1]:[EOD]],2,0)</f>
        <v>266_0004</v>
      </c>
      <c r="L538" s="69">
        <f>VLOOKUP(Tabla6[[#This Row],[OBJETIVOS PND]],Listas!$A$1:$C$3,3,0)</f>
        <v>1</v>
      </c>
      <c r="M538" s="70">
        <f>VLOOKUP(Tabla6[[#This Row],[PG]],Listas2!$G$14:$K$16,5,0)</f>
        <v>0</v>
      </c>
      <c r="N538" s="71">
        <v>1</v>
      </c>
      <c r="O538" s="72">
        <v>1301</v>
      </c>
      <c r="P538" s="73" t="str">
        <f>VLOOKUP(Tabla6[[#This Row],[GEO]],Listas!$A$48:$B$77,2,0)</f>
        <v>PORTOVIEJO</v>
      </c>
      <c r="Q538" s="70">
        <f>VLOOKUP(Tabla6[[#This Row],[PG]],Listas2!$G$14:$K$16,3,0)</f>
        <v>1</v>
      </c>
      <c r="R538" s="73">
        <f>VLOOKUP(Tabla6[[#This Row],[PG]],Listas2!H48:'Listas2'!$G$14:$K$16,4,0)</f>
        <v>0</v>
      </c>
      <c r="S538" s="73">
        <f>VLOOKUP(Tabla6[[#This Row],[PG]],Listas2!$G$14:$K$16,2,0)</f>
        <v>0</v>
      </c>
      <c r="T538" s="66" t="s">
        <v>84</v>
      </c>
      <c r="U538" s="74">
        <v>53</v>
      </c>
      <c r="V538" s="66">
        <v>530204</v>
      </c>
      <c r="W538" s="63" t="str">
        <f>VLOOKUP(Tabla6[[#This Row],[ÍTEM PRESUPUESTARIO]],Tabla2[#All],2,0)</f>
        <v>EDICIÓN, IMPRESIÓN, REPRODUCCIÓN, PUBLICACIONES, SUSCRIPCIONES, FOTOCOPIADO, TRADUCCIÓN, EMPASTADO, ENMARCACIÓN, SERIGRAFÍA, FOTOGRAFÍA, CARNETIZACIÓN, FILMACIÓN E IMÁGENES SATELITALES</v>
      </c>
      <c r="X538" s="57">
        <v>0</v>
      </c>
      <c r="Y538" s="57">
        <f>4600+460-94</f>
        <v>4966</v>
      </c>
      <c r="Z538" s="58">
        <v>0</v>
      </c>
      <c r="AA538" s="58">
        <v>0</v>
      </c>
      <c r="AB538" s="58">
        <v>0</v>
      </c>
      <c r="AC538" s="58">
        <v>0</v>
      </c>
      <c r="AD538" s="58">
        <v>0</v>
      </c>
      <c r="AE538" s="58">
        <v>0</v>
      </c>
      <c r="AF538" s="58">
        <v>0</v>
      </c>
      <c r="AG538" s="58">
        <v>4966</v>
      </c>
      <c r="AH538" s="58">
        <v>0</v>
      </c>
      <c r="AI538" s="58">
        <v>0</v>
      </c>
      <c r="AJ538" s="58">
        <v>0</v>
      </c>
      <c r="AK538" s="58">
        <v>0</v>
      </c>
      <c r="AL538" s="75">
        <f>+SUBTOTAL(9,Tabla6[[#This Row],[ENE]:[DIC]])</f>
        <v>4966</v>
      </c>
      <c r="AM538" s="76" t="str">
        <f t="shared" si="11"/>
        <v>OK</v>
      </c>
      <c r="AN538" s="60">
        <f>4966</f>
        <v>4966</v>
      </c>
      <c r="AO538" s="61">
        <f>+Tabla6[[#This Row],[PRESUPUESTO VIGENTE]]-Tabla6[[#This Row],[CERTIFICACIÓN PAPP]]</f>
        <v>0</v>
      </c>
      <c r="AP538" s="59">
        <v>0</v>
      </c>
    </row>
    <row r="539" spans="1:42" ht="93" customHeight="1" x14ac:dyDescent="0.25">
      <c r="A539" s="62" t="s">
        <v>78</v>
      </c>
      <c r="B539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539" s="64" t="s">
        <v>79</v>
      </c>
      <c r="D539" s="64" t="s">
        <v>80</v>
      </c>
      <c r="E539" s="64" t="s">
        <v>81</v>
      </c>
      <c r="F539" s="64" t="s">
        <v>99</v>
      </c>
      <c r="G539" s="64" t="s">
        <v>94</v>
      </c>
      <c r="H539" s="65" t="str">
        <f>VLOOKUP(Tabla6[[#This Row],[DIRECCIÓN]],DIRECCIÓN[#All],2,0)</f>
        <v>COMUNICACIÓN SOCIAL</v>
      </c>
      <c r="I539" s="66" t="s">
        <v>542</v>
      </c>
      <c r="J539" s="67">
        <v>1</v>
      </c>
      <c r="K539" s="68" t="str">
        <f>VLOOKUP(Tabla6[[#This Row],[DIRECCIÓN GENERAL / COORDINACIÓN / SUBDIRECCIÓN]],Tabla37[[#All],[Columna1]:[EOD]],2,0)</f>
        <v>266_0004</v>
      </c>
      <c r="L539" s="69">
        <f>VLOOKUP(Tabla6[[#This Row],[OBJETIVOS PND]],Listas!$A$1:$C$3,3,0)</f>
        <v>1</v>
      </c>
      <c r="M539" s="70">
        <f>VLOOKUP(Tabla6[[#This Row],[PG]],Listas2!$G$14:$K$16,5,0)</f>
        <v>0</v>
      </c>
      <c r="N539" s="71">
        <v>1</v>
      </c>
      <c r="O539" s="72">
        <v>1301</v>
      </c>
      <c r="P539" s="73" t="str">
        <f>VLOOKUP(Tabla6[[#This Row],[GEO]],Listas!$A$48:$B$77,2,0)</f>
        <v>PORTOVIEJO</v>
      </c>
      <c r="Q539" s="70">
        <f>VLOOKUP(Tabla6[[#This Row],[PG]],Listas2!$G$14:$K$16,3,0)</f>
        <v>1</v>
      </c>
      <c r="R539" s="73">
        <f>VLOOKUP(Tabla6[[#This Row],[PG]],Listas2!H49:'Listas2'!$G$14:$K$16,4,0)</f>
        <v>0</v>
      </c>
      <c r="S539" s="73">
        <f>VLOOKUP(Tabla6[[#This Row],[PG]],Listas2!$G$14:$K$16,2,0)</f>
        <v>0</v>
      </c>
      <c r="T539" s="66" t="s">
        <v>84</v>
      </c>
      <c r="U539" s="74">
        <v>53</v>
      </c>
      <c r="V539" s="66">
        <v>530204</v>
      </c>
      <c r="W539" s="63" t="str">
        <f>VLOOKUP(Tabla6[[#This Row],[ÍTEM PRESUPUESTARIO]],Tabla2[#All],2,0)</f>
        <v>EDICIÓN, IMPRESIÓN, REPRODUCCIÓN, PUBLICACIONES, SUSCRIPCIONES, FOTOCOPIADO, TRADUCCIÓN, EMPASTADO, ENMARCACIÓN, SERIGRAFÍA, FOTOGRAFÍA, CARNETIZACIÓN, FILMACIÓN E IMÁGENES SATELITALES</v>
      </c>
      <c r="X539" s="57">
        <v>0</v>
      </c>
      <c r="Y539" s="57">
        <f>6300-6300</f>
        <v>0</v>
      </c>
      <c r="Z539" s="58">
        <v>0</v>
      </c>
      <c r="AA539" s="58">
        <v>0</v>
      </c>
      <c r="AB539" s="58">
        <v>0</v>
      </c>
      <c r="AC539" s="58">
        <v>0</v>
      </c>
      <c r="AD539" s="58">
        <v>0</v>
      </c>
      <c r="AE539" s="58">
        <v>0</v>
      </c>
      <c r="AF539" s="58">
        <v>0</v>
      </c>
      <c r="AG539" s="58">
        <v>0</v>
      </c>
      <c r="AH539" s="58">
        <v>0</v>
      </c>
      <c r="AI539" s="58">
        <v>0</v>
      </c>
      <c r="AJ539" s="58">
        <v>0</v>
      </c>
      <c r="AK539" s="58">
        <v>0</v>
      </c>
      <c r="AL539" s="75">
        <f>+SUBTOTAL(9,Tabla6[[#This Row],[ENE]:[DIC]])</f>
        <v>0</v>
      </c>
      <c r="AM539" s="76" t="str">
        <f t="shared" si="11"/>
        <v>OK</v>
      </c>
      <c r="AN539" s="60">
        <v>0</v>
      </c>
      <c r="AO539" s="61">
        <f>+Tabla6[[#This Row],[PRESUPUESTO VIGENTE]]-Tabla6[[#This Row],[CERTIFICACIÓN PAPP]]</f>
        <v>0</v>
      </c>
      <c r="AP539" s="59">
        <v>0</v>
      </c>
    </row>
    <row r="540" spans="1:42" ht="93" customHeight="1" x14ac:dyDescent="0.25">
      <c r="A540" s="62" t="s">
        <v>78</v>
      </c>
      <c r="B540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540" s="64" t="s">
        <v>79</v>
      </c>
      <c r="D540" s="64" t="s">
        <v>80</v>
      </c>
      <c r="E540" s="64" t="s">
        <v>81</v>
      </c>
      <c r="F540" s="64" t="s">
        <v>99</v>
      </c>
      <c r="G540" s="64" t="s">
        <v>92</v>
      </c>
      <c r="H540" s="65" t="str">
        <f>VLOOKUP(Tabla6[[#This Row],[DIRECCIÓN]],DIRECCIÓN[#All],2,0)</f>
        <v>ADMINISTRACIÓN CENTRAL</v>
      </c>
      <c r="I540" s="66" t="s">
        <v>543</v>
      </c>
      <c r="J540" s="67">
        <v>1</v>
      </c>
      <c r="K540" s="68" t="str">
        <f>VLOOKUP(Tabla6[[#This Row],[DIRECCIÓN GENERAL / COORDINACIÓN / SUBDIRECCIÓN]],Tabla37[[#All],[Columna1]:[EOD]],2,0)</f>
        <v>266_0004</v>
      </c>
      <c r="L540" s="69">
        <f>VLOOKUP(Tabla6[[#This Row],[OBJETIVOS PND]],Listas!$A$1:$C$3,3,0)</f>
        <v>1</v>
      </c>
      <c r="M540" s="70">
        <f>VLOOKUP(Tabla6[[#This Row],[PG]],Listas2!$G$14:$K$16,5,0)</f>
        <v>0</v>
      </c>
      <c r="N540" s="71">
        <v>1</v>
      </c>
      <c r="O540" s="72">
        <v>1301</v>
      </c>
      <c r="P540" s="73" t="str">
        <f>VLOOKUP(Tabla6[[#This Row],[GEO]],Listas!$A$48:$B$77,2,0)</f>
        <v>PORTOVIEJO</v>
      </c>
      <c r="Q540" s="70">
        <f>VLOOKUP(Tabla6[[#This Row],[PG]],Listas2!$G$14:$K$16,3,0)</f>
        <v>1</v>
      </c>
      <c r="R540" s="73">
        <f>VLOOKUP(Tabla6[[#This Row],[PG]],Listas2!H50:'Listas2'!$G$14:$K$16,4,0)</f>
        <v>0</v>
      </c>
      <c r="S540" s="73">
        <f>VLOOKUP(Tabla6[[#This Row],[PG]],Listas2!$G$14:$K$16,2,0)</f>
        <v>0</v>
      </c>
      <c r="T540" s="66" t="s">
        <v>84</v>
      </c>
      <c r="U540" s="74">
        <v>53</v>
      </c>
      <c r="V540" s="66">
        <v>530208</v>
      </c>
      <c r="W540" s="63" t="str">
        <f>VLOOKUP(Tabla6[[#This Row],[ÍTEM PRESUPUESTARIO]],Tabla2[#All],2,0)</f>
        <v>SERVICIO DE SEGURIDAD Y VIGILANCIA</v>
      </c>
      <c r="X540" s="57">
        <v>192000</v>
      </c>
      <c r="Y540" s="57">
        <f>192000-13042.07-23080.33+1-12972.44</f>
        <v>142906.15999999997</v>
      </c>
      <c r="Z540" s="58">
        <v>12980</v>
      </c>
      <c r="AA540" s="58">
        <v>12980</v>
      </c>
      <c r="AB540" s="58">
        <v>12980</v>
      </c>
      <c r="AC540" s="58">
        <v>12980</v>
      </c>
      <c r="AD540" s="58">
        <v>12980</v>
      </c>
      <c r="AE540" s="58">
        <v>12980</v>
      </c>
      <c r="AF540" s="58">
        <v>12980</v>
      </c>
      <c r="AG540" s="58">
        <v>12980</v>
      </c>
      <c r="AH540" s="58">
        <v>12980</v>
      </c>
      <c r="AI540" s="58">
        <v>12980</v>
      </c>
      <c r="AJ540" s="58">
        <v>12980</v>
      </c>
      <c r="AK540" s="58">
        <v>126.16</v>
      </c>
      <c r="AL540" s="75">
        <f>+SUBTOTAL(9,Tabla6[[#This Row],[ENE]:[DIC]])</f>
        <v>142906.16</v>
      </c>
      <c r="AM540" s="76" t="str">
        <f t="shared" si="11"/>
        <v>OK</v>
      </c>
      <c r="AN540" s="60">
        <f>168850.17-12972.57+1-12972.44</f>
        <v>142906.16</v>
      </c>
      <c r="AO540" s="61">
        <f>+Tabla6[[#This Row],[PRESUPUESTO VIGENTE]]-Tabla6[[#This Row],[CERTIFICACIÓN PAPP]]</f>
        <v>0</v>
      </c>
      <c r="AP540" s="59">
        <v>0</v>
      </c>
    </row>
    <row r="541" spans="1:42" ht="93" customHeight="1" x14ac:dyDescent="0.25">
      <c r="A541" s="62" t="s">
        <v>78</v>
      </c>
      <c r="B541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541" s="64" t="s">
        <v>79</v>
      </c>
      <c r="D541" s="64" t="s">
        <v>80</v>
      </c>
      <c r="E541" s="64" t="s">
        <v>81</v>
      </c>
      <c r="F541" s="64" t="s">
        <v>99</v>
      </c>
      <c r="G541" s="64" t="s">
        <v>92</v>
      </c>
      <c r="H541" s="65" t="str">
        <f>VLOOKUP(Tabla6[[#This Row],[DIRECCIÓN]],DIRECCIÓN[#All],2,0)</f>
        <v>ADMINISTRACIÓN CENTRAL</v>
      </c>
      <c r="I541" s="66" t="s">
        <v>544</v>
      </c>
      <c r="J541" s="67">
        <v>1</v>
      </c>
      <c r="K541" s="68" t="str">
        <f>VLOOKUP(Tabla6[[#This Row],[DIRECCIÓN GENERAL / COORDINACIÓN / SUBDIRECCIÓN]],Tabla37[[#All],[Columna1]:[EOD]],2,0)</f>
        <v>266_0004</v>
      </c>
      <c r="L541" s="69">
        <f>VLOOKUP(Tabla6[[#This Row],[OBJETIVOS PND]],Listas!$A$1:$C$3,3,0)</f>
        <v>1</v>
      </c>
      <c r="M541" s="70">
        <f>VLOOKUP(Tabla6[[#This Row],[PG]],Listas2!$G$14:$K$16,5,0)</f>
        <v>0</v>
      </c>
      <c r="N541" s="71">
        <v>1</v>
      </c>
      <c r="O541" s="72">
        <v>1301</v>
      </c>
      <c r="P541" s="73" t="str">
        <f>VLOOKUP(Tabla6[[#This Row],[GEO]],Listas!$A$48:$B$77,2,0)</f>
        <v>PORTOVIEJO</v>
      </c>
      <c r="Q541" s="70">
        <f>VLOOKUP(Tabla6[[#This Row],[PG]],Listas2!$G$14:$K$16,3,0)</f>
        <v>1</v>
      </c>
      <c r="R541" s="73">
        <f>VLOOKUP(Tabla6[[#This Row],[PG]],Listas2!H51:'Listas2'!$G$14:$K$16,4,0)</f>
        <v>0</v>
      </c>
      <c r="S541" s="73">
        <f>VLOOKUP(Tabla6[[#This Row],[PG]],Listas2!$G$14:$K$16,2,0)</f>
        <v>0</v>
      </c>
      <c r="T541" s="66" t="s">
        <v>84</v>
      </c>
      <c r="U541" s="74">
        <v>53</v>
      </c>
      <c r="V541" s="66">
        <v>530209</v>
      </c>
      <c r="W541" s="63" t="str">
        <f>VLOOKUP(Tabla6[[#This Row],[ÍTEM PRESUPUESTARIO]],Tabla2[#All],2,0)</f>
        <v>SERVICIOS DE ASEO, LAVADO DE VESTIMENTA DE TRABAJO, FUMIGACIÓN, DESINFECCIÓN, LIMPIEZA DE INSTALACIONES, MANEJO DE DESECHOS CONTAMINADOS, RECUPERACIÓN Y CLASIFICACIÓN DE MATERIALES RECICLABLES</v>
      </c>
      <c r="X541" s="57">
        <v>52280</v>
      </c>
      <c r="Y541" s="57">
        <f>52280-11645+1</f>
        <v>40636</v>
      </c>
      <c r="Z541" s="58">
        <v>5500</v>
      </c>
      <c r="AA541" s="58">
        <v>5135</v>
      </c>
      <c r="AB541" s="58">
        <v>5000</v>
      </c>
      <c r="AC541" s="58">
        <v>5000</v>
      </c>
      <c r="AD541" s="58">
        <v>5000</v>
      </c>
      <c r="AE541" s="58">
        <v>5000</v>
      </c>
      <c r="AF541" s="58">
        <v>5000</v>
      </c>
      <c r="AG541" s="58">
        <v>5001</v>
      </c>
      <c r="AH541" s="58">
        <v>0</v>
      </c>
      <c r="AI541" s="58">
        <v>0</v>
      </c>
      <c r="AJ541" s="58">
        <v>0</v>
      </c>
      <c r="AK541" s="58">
        <v>0</v>
      </c>
      <c r="AL541" s="75">
        <f>+SUBTOTAL(9,Tabla6[[#This Row],[ENE]:[DIC]])</f>
        <v>40636</v>
      </c>
      <c r="AM541" s="76" t="str">
        <f t="shared" si="11"/>
        <v>OK</v>
      </c>
      <c r="AN541" s="60">
        <f>40635+1</f>
        <v>40636</v>
      </c>
      <c r="AO541" s="61">
        <f>+Tabla6[[#This Row],[PRESUPUESTO VIGENTE]]-Tabla6[[#This Row],[CERTIFICACIÓN PAPP]]</f>
        <v>0</v>
      </c>
      <c r="AP541" s="59">
        <v>0</v>
      </c>
    </row>
    <row r="542" spans="1:42" ht="93" customHeight="1" x14ac:dyDescent="0.25">
      <c r="A542" s="62" t="s">
        <v>78</v>
      </c>
      <c r="B542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542" s="64" t="s">
        <v>79</v>
      </c>
      <c r="D542" s="64" t="s">
        <v>80</v>
      </c>
      <c r="E542" s="64" t="s">
        <v>81</v>
      </c>
      <c r="F542" s="64" t="s">
        <v>99</v>
      </c>
      <c r="G542" s="64" t="s">
        <v>92</v>
      </c>
      <c r="H542" s="65" t="str">
        <f>VLOOKUP(Tabla6[[#This Row],[DIRECCIÓN]],DIRECCIÓN[#All],2,0)</f>
        <v>ADMINISTRACIÓN CENTRAL</v>
      </c>
      <c r="I542" s="66" t="s">
        <v>545</v>
      </c>
      <c r="J542" s="67">
        <v>1</v>
      </c>
      <c r="K542" s="68" t="str">
        <f>VLOOKUP(Tabla6[[#This Row],[DIRECCIÓN GENERAL / COORDINACIÓN / SUBDIRECCIÓN]],Tabla37[[#All],[Columna1]:[EOD]],2,0)</f>
        <v>266_0004</v>
      </c>
      <c r="L542" s="69">
        <f>VLOOKUP(Tabla6[[#This Row],[OBJETIVOS PND]],Listas!$A$1:$C$3,3,0)</f>
        <v>1</v>
      </c>
      <c r="M542" s="70">
        <f>VLOOKUP(Tabla6[[#This Row],[PG]],Listas2!$G$14:$K$16,5,0)</f>
        <v>0</v>
      </c>
      <c r="N542" s="71">
        <v>1</v>
      </c>
      <c r="O542" s="72">
        <v>1301</v>
      </c>
      <c r="P542" s="73" t="str">
        <f>VLOOKUP(Tabla6[[#This Row],[GEO]],Listas!$A$48:$B$77,2,0)</f>
        <v>PORTOVIEJO</v>
      </c>
      <c r="Q542" s="70">
        <f>VLOOKUP(Tabla6[[#This Row],[PG]],Listas2!$G$14:$K$16,3,0)</f>
        <v>1</v>
      </c>
      <c r="R542" s="73">
        <f>VLOOKUP(Tabla6[[#This Row],[PG]],Listas2!H52:'Listas2'!$G$14:$K$16,4,0)</f>
        <v>0</v>
      </c>
      <c r="S542" s="73">
        <f>VLOOKUP(Tabla6[[#This Row],[PG]],Listas2!$G$14:$K$16,2,0)</f>
        <v>0</v>
      </c>
      <c r="T542" s="66" t="s">
        <v>84</v>
      </c>
      <c r="U542" s="74">
        <v>53</v>
      </c>
      <c r="V542" s="66">
        <v>530209</v>
      </c>
      <c r="W542" s="63" t="str">
        <f>VLOOKUP(Tabla6[[#This Row],[ÍTEM PRESUPUESTARIO]],Tabla2[#All],2,0)</f>
        <v>SERVICIOS DE ASEO, LAVADO DE VESTIMENTA DE TRABAJO, FUMIGACIÓN, DESINFECCIÓN, LIMPIEZA DE INSTALACIONES, MANEJO DE DESECHOS CONTAMINADOS, RECUPERACIÓN Y CLASIFICACIÓN DE MATERIALES RECICLABLES</v>
      </c>
      <c r="X542" s="57">
        <v>0</v>
      </c>
      <c r="Y542" s="57">
        <f>34830-1000-4805-5805</f>
        <v>23220</v>
      </c>
      <c r="Z542" s="58">
        <v>0</v>
      </c>
      <c r="AA542" s="58">
        <v>0</v>
      </c>
      <c r="AB542" s="58">
        <v>0</v>
      </c>
      <c r="AC542" s="58">
        <v>0</v>
      </c>
      <c r="AD542" s="58">
        <v>0</v>
      </c>
      <c r="AE542" s="58">
        <v>0</v>
      </c>
      <c r="AF542" s="58">
        <v>4805</v>
      </c>
      <c r="AG542" s="58">
        <v>4805</v>
      </c>
      <c r="AH542" s="58">
        <v>4805</v>
      </c>
      <c r="AI542" s="58">
        <v>4805</v>
      </c>
      <c r="AJ542" s="58">
        <v>4000</v>
      </c>
      <c r="AK542" s="58">
        <v>0</v>
      </c>
      <c r="AL542" s="75">
        <f>+SUBTOTAL(9,Tabla6[[#This Row],[ENE]:[DIC]])</f>
        <v>23220</v>
      </c>
      <c r="AM542" s="76" t="str">
        <f t="shared" si="11"/>
        <v>OK</v>
      </c>
      <c r="AN542" s="60">
        <f>34830-1000-4805-5805</f>
        <v>23220</v>
      </c>
      <c r="AO542" s="61">
        <f>+Tabla6[[#This Row],[PRESUPUESTO VIGENTE]]-Tabla6[[#This Row],[CERTIFICACIÓN PAPP]]</f>
        <v>0</v>
      </c>
      <c r="AP542" s="59">
        <v>0</v>
      </c>
    </row>
    <row r="543" spans="1:42" ht="93" customHeight="1" x14ac:dyDescent="0.25">
      <c r="A543" s="62" t="s">
        <v>78</v>
      </c>
      <c r="B543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543" s="64" t="s">
        <v>79</v>
      </c>
      <c r="D543" s="64" t="s">
        <v>80</v>
      </c>
      <c r="E543" s="64" t="s">
        <v>81</v>
      </c>
      <c r="F543" s="64" t="s">
        <v>99</v>
      </c>
      <c r="G543" s="64" t="s">
        <v>92</v>
      </c>
      <c r="H543" s="65" t="str">
        <f>VLOOKUP(Tabla6[[#This Row],[DIRECCIÓN]],DIRECCIÓN[#All],2,0)</f>
        <v>ADMINISTRACIÓN CENTRAL</v>
      </c>
      <c r="I543" s="66" t="s">
        <v>546</v>
      </c>
      <c r="J543" s="67">
        <v>1</v>
      </c>
      <c r="K543" s="68" t="str">
        <f>VLOOKUP(Tabla6[[#This Row],[DIRECCIÓN GENERAL / COORDINACIÓN / SUBDIRECCIÓN]],Tabla37[[#All],[Columna1]:[EOD]],2,0)</f>
        <v>266_0004</v>
      </c>
      <c r="L543" s="69">
        <f>VLOOKUP(Tabla6[[#This Row],[OBJETIVOS PND]],Listas!$A$1:$C$3,3,0)</f>
        <v>1</v>
      </c>
      <c r="M543" s="70">
        <f>VLOOKUP(Tabla6[[#This Row],[PG]],Listas2!$G$14:$K$16,5,0)</f>
        <v>0</v>
      </c>
      <c r="N543" s="71">
        <v>1</v>
      </c>
      <c r="O543" s="72">
        <v>1301</v>
      </c>
      <c r="P543" s="73" t="str">
        <f>VLOOKUP(Tabla6[[#This Row],[GEO]],Listas!$A$48:$B$77,2,0)</f>
        <v>PORTOVIEJO</v>
      </c>
      <c r="Q543" s="70">
        <f>VLOOKUP(Tabla6[[#This Row],[PG]],Listas2!$G$14:$K$16,3,0)</f>
        <v>1</v>
      </c>
      <c r="R543" s="73">
        <f>VLOOKUP(Tabla6[[#This Row],[PG]],Listas2!H53:'Listas2'!$G$14:$K$16,4,0)</f>
        <v>0</v>
      </c>
      <c r="S543" s="73">
        <f>VLOOKUP(Tabla6[[#This Row],[PG]],Listas2!$G$14:$K$16,2,0)</f>
        <v>0</v>
      </c>
      <c r="T543" s="66" t="s">
        <v>84</v>
      </c>
      <c r="U543" s="74">
        <v>53</v>
      </c>
      <c r="V543" s="66">
        <v>530210</v>
      </c>
      <c r="W543" s="63" t="str">
        <f>VLOOKUP(Tabla6[[#This Row],[ÍTEM PRESUPUESTARIO]],Tabla2[#All],2,0)</f>
        <v>SERVICIO DE GUARDERÍA</v>
      </c>
      <c r="X543" s="57">
        <v>0</v>
      </c>
      <c r="Y543" s="57">
        <f>4464-4278</f>
        <v>186</v>
      </c>
      <c r="Z543" s="58">
        <v>0</v>
      </c>
      <c r="AA543" s="58">
        <v>0</v>
      </c>
      <c r="AB543" s="58">
        <v>0</v>
      </c>
      <c r="AC543" s="58">
        <v>0</v>
      </c>
      <c r="AD543" s="58">
        <v>0</v>
      </c>
      <c r="AE543" s="58">
        <v>0</v>
      </c>
      <c r="AF543" s="58">
        <v>0</v>
      </c>
      <c r="AG543" s="58">
        <v>0</v>
      </c>
      <c r="AH543" s="58">
        <v>0</v>
      </c>
      <c r="AI543" s="58">
        <v>0</v>
      </c>
      <c r="AJ543" s="58">
        <v>186</v>
      </c>
      <c r="AK543" s="58">
        <v>0</v>
      </c>
      <c r="AL543" s="75">
        <f>+SUBTOTAL(9,Tabla6[[#This Row],[ENE]:[DIC]])</f>
        <v>186</v>
      </c>
      <c r="AM543" s="76" t="str">
        <f t="shared" si="11"/>
        <v>OK</v>
      </c>
      <c r="AN543" s="60">
        <f>4464-4278</f>
        <v>186</v>
      </c>
      <c r="AO543" s="61">
        <f>+Tabla6[[#This Row],[PRESUPUESTO VIGENTE]]-Tabla6[[#This Row],[CERTIFICACIÓN PAPP]]</f>
        <v>0</v>
      </c>
      <c r="AP543" s="59">
        <v>0</v>
      </c>
    </row>
    <row r="544" spans="1:42" ht="93" customHeight="1" x14ac:dyDescent="0.25">
      <c r="A544" s="62" t="s">
        <v>78</v>
      </c>
      <c r="B544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544" s="64" t="s">
        <v>79</v>
      </c>
      <c r="D544" s="64" t="s">
        <v>80</v>
      </c>
      <c r="E544" s="64" t="s">
        <v>81</v>
      </c>
      <c r="F544" s="64" t="s">
        <v>99</v>
      </c>
      <c r="G544" s="64" t="s">
        <v>92</v>
      </c>
      <c r="H544" s="65" t="str">
        <f>VLOOKUP(Tabla6[[#This Row],[DIRECCIÓN]],DIRECCIÓN[#All],2,0)</f>
        <v>ADMINISTRACIÓN CENTRAL</v>
      </c>
      <c r="I544" s="66" t="s">
        <v>547</v>
      </c>
      <c r="J544" s="67">
        <v>1</v>
      </c>
      <c r="K544" s="68" t="str">
        <f>VLOOKUP(Tabla6[[#This Row],[DIRECCIÓN GENERAL / COORDINACIÓN / SUBDIRECCIÓN]],Tabla37[[#All],[Columna1]:[EOD]],2,0)</f>
        <v>266_0004</v>
      </c>
      <c r="L544" s="69">
        <f>VLOOKUP(Tabla6[[#This Row],[OBJETIVOS PND]],Listas!$A$1:$C$3,3,0)</f>
        <v>1</v>
      </c>
      <c r="M544" s="70">
        <f>VLOOKUP(Tabla6[[#This Row],[PG]],Listas2!$G$14:$K$16,5,0)</f>
        <v>0</v>
      </c>
      <c r="N544" s="71">
        <v>1</v>
      </c>
      <c r="O544" s="72">
        <v>1301</v>
      </c>
      <c r="P544" s="73" t="str">
        <f>VLOOKUP(Tabla6[[#This Row],[GEO]],Listas!$A$48:$B$77,2,0)</f>
        <v>PORTOVIEJO</v>
      </c>
      <c r="Q544" s="70">
        <f>VLOOKUP(Tabla6[[#This Row],[PG]],Listas2!$G$14:$K$16,3,0)</f>
        <v>1</v>
      </c>
      <c r="R544" s="73">
        <f>VLOOKUP(Tabla6[[#This Row],[PG]],Listas2!H54:'Listas2'!$G$14:$K$16,4,0)</f>
        <v>0</v>
      </c>
      <c r="S544" s="73">
        <f>VLOOKUP(Tabla6[[#This Row],[PG]],Listas2!$G$14:$K$16,2,0)</f>
        <v>0</v>
      </c>
      <c r="T544" s="66" t="s">
        <v>84</v>
      </c>
      <c r="U544" s="74">
        <v>53</v>
      </c>
      <c r="V544" s="66">
        <v>530246</v>
      </c>
      <c r="W544" s="63" t="str">
        <f>VLOOKUP(Tabla6[[#This Row],[ÍTEM PRESUPUESTARIO]],Tabla2[#All],2,0)</f>
        <v>SERVICIOS DE IDENTIFICACIÓN, MARCACIÓN, AUTENTIFICACIÓN, RASTREO, MONITOREO, SEGUIMIENTO Y/O TRAZABILIDAD</v>
      </c>
      <c r="X544" s="57">
        <v>1200</v>
      </c>
      <c r="Y544" s="57">
        <f>1200-660</f>
        <v>540</v>
      </c>
      <c r="Z544" s="58">
        <v>0</v>
      </c>
      <c r="AA544" s="58">
        <v>0</v>
      </c>
      <c r="AB544" s="58">
        <v>0</v>
      </c>
      <c r="AC544" s="58">
        <v>540</v>
      </c>
      <c r="AD544" s="58">
        <v>0</v>
      </c>
      <c r="AE544" s="58">
        <v>0</v>
      </c>
      <c r="AF544" s="58">
        <v>0</v>
      </c>
      <c r="AG544" s="58">
        <v>0</v>
      </c>
      <c r="AH544" s="58">
        <v>0</v>
      </c>
      <c r="AI544" s="58">
        <v>0</v>
      </c>
      <c r="AJ544" s="58">
        <v>0</v>
      </c>
      <c r="AK544" s="58">
        <v>0</v>
      </c>
      <c r="AL544" s="75">
        <f>+SUBTOTAL(9,Tabla6[[#This Row],[ENE]:[DIC]])</f>
        <v>540</v>
      </c>
      <c r="AM544" s="76" t="str">
        <f t="shared" si="11"/>
        <v>OK</v>
      </c>
      <c r="AN544" s="60">
        <v>540</v>
      </c>
      <c r="AO544" s="61">
        <f>+Tabla6[[#This Row],[PRESUPUESTO VIGENTE]]-Tabla6[[#This Row],[CERTIFICACIÓN PAPP]]</f>
        <v>0</v>
      </c>
      <c r="AP544" s="59">
        <v>0</v>
      </c>
    </row>
    <row r="545" spans="1:42" ht="93" customHeight="1" x14ac:dyDescent="0.25">
      <c r="A545" s="62" t="s">
        <v>78</v>
      </c>
      <c r="B545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545" s="64" t="s">
        <v>79</v>
      </c>
      <c r="D545" s="64" t="s">
        <v>80</v>
      </c>
      <c r="E545" s="64" t="s">
        <v>81</v>
      </c>
      <c r="F545" s="64" t="s">
        <v>99</v>
      </c>
      <c r="G545" s="64" t="s">
        <v>92</v>
      </c>
      <c r="H545" s="65" t="str">
        <f>VLOOKUP(Tabla6[[#This Row],[DIRECCIÓN]],DIRECCIÓN[#All],2,0)</f>
        <v>ADMINISTRACIÓN CENTRAL</v>
      </c>
      <c r="I545" s="66" t="s">
        <v>548</v>
      </c>
      <c r="J545" s="67">
        <v>1</v>
      </c>
      <c r="K545" s="68" t="str">
        <f>VLOOKUP(Tabla6[[#This Row],[DIRECCIÓN GENERAL / COORDINACIÓN / SUBDIRECCIÓN]],Tabla37[[#All],[Columna1]:[EOD]],2,0)</f>
        <v>266_0004</v>
      </c>
      <c r="L545" s="69">
        <f>VLOOKUP(Tabla6[[#This Row],[OBJETIVOS PND]],Listas!$A$1:$C$3,3,0)</f>
        <v>1</v>
      </c>
      <c r="M545" s="70">
        <f>VLOOKUP(Tabla6[[#This Row],[PG]],Listas2!$G$14:$K$16,5,0)</f>
        <v>0</v>
      </c>
      <c r="N545" s="71">
        <v>1</v>
      </c>
      <c r="O545" s="72">
        <v>1301</v>
      </c>
      <c r="P545" s="73" t="str">
        <f>VLOOKUP(Tabla6[[#This Row],[GEO]],Listas!$A$48:$B$77,2,0)</f>
        <v>PORTOVIEJO</v>
      </c>
      <c r="Q545" s="70">
        <f>VLOOKUP(Tabla6[[#This Row],[PG]],Listas2!$G$14:$K$16,3,0)</f>
        <v>1</v>
      </c>
      <c r="R545" s="73">
        <f>VLOOKUP(Tabla6[[#This Row],[PG]],Listas2!H55:'Listas2'!$G$14:$K$16,4,0)</f>
        <v>0</v>
      </c>
      <c r="S545" s="73">
        <f>VLOOKUP(Tabla6[[#This Row],[PG]],Listas2!$G$14:$K$16,2,0)</f>
        <v>0</v>
      </c>
      <c r="T545" s="66" t="s">
        <v>84</v>
      </c>
      <c r="U545" s="74">
        <v>53</v>
      </c>
      <c r="V545" s="66">
        <v>530255</v>
      </c>
      <c r="W545" s="63" t="str">
        <f>VLOOKUP(Tabla6[[#This Row],[ÍTEM PRESUPUESTARIO]],Tabla2[#All],2,0)</f>
        <v>COMBUSTIBLES</v>
      </c>
      <c r="X545" s="57">
        <v>0</v>
      </c>
      <c r="Y545" s="57">
        <f>4216.01+1+2700-2701-2851.37</f>
        <v>1364.6400000000003</v>
      </c>
      <c r="Z545" s="58">
        <v>351</v>
      </c>
      <c r="AA545" s="58">
        <v>351</v>
      </c>
      <c r="AB545" s="58">
        <v>351</v>
      </c>
      <c r="AC545" s="58">
        <v>311.64</v>
      </c>
      <c r="AD545" s="58">
        <v>0</v>
      </c>
      <c r="AE545" s="58">
        <v>0</v>
      </c>
      <c r="AF545" s="58">
        <v>0</v>
      </c>
      <c r="AG545" s="58">
        <v>0</v>
      </c>
      <c r="AH545" s="58">
        <v>0</v>
      </c>
      <c r="AI545" s="58">
        <v>0</v>
      </c>
      <c r="AJ545" s="58">
        <v>0</v>
      </c>
      <c r="AK545" s="58">
        <v>0</v>
      </c>
      <c r="AL545" s="75">
        <f>+SUBTOTAL(9,Tabla6[[#This Row],[ENE]:[DIC]])</f>
        <v>1364.6399999999999</v>
      </c>
      <c r="AM545" s="76" t="str">
        <f t="shared" si="11"/>
        <v>OK</v>
      </c>
      <c r="AN545" s="60">
        <f>66.01+4150-2851.37</f>
        <v>1364.6400000000003</v>
      </c>
      <c r="AO545" s="61">
        <f>+Tabla6[[#This Row],[PRESUPUESTO VIGENTE]]-Tabla6[[#This Row],[CERTIFICACIÓN PAPP]]</f>
        <v>0</v>
      </c>
      <c r="AP545" s="59">
        <v>0</v>
      </c>
    </row>
    <row r="546" spans="1:42" ht="93" customHeight="1" x14ac:dyDescent="0.25">
      <c r="A546" s="62" t="s">
        <v>78</v>
      </c>
      <c r="B546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546" s="64" t="s">
        <v>79</v>
      </c>
      <c r="D546" s="64" t="s">
        <v>80</v>
      </c>
      <c r="E546" s="64" t="s">
        <v>81</v>
      </c>
      <c r="F546" s="64" t="s">
        <v>99</v>
      </c>
      <c r="G546" s="64" t="s">
        <v>92</v>
      </c>
      <c r="H546" s="65" t="str">
        <f>VLOOKUP(Tabla6[[#This Row],[DIRECCIÓN]],DIRECCIÓN[#All],2,0)</f>
        <v>ADMINISTRACIÓN CENTRAL</v>
      </c>
      <c r="I546" s="66" t="s">
        <v>549</v>
      </c>
      <c r="J546" s="67">
        <v>1</v>
      </c>
      <c r="K546" s="68" t="str">
        <f>VLOOKUP(Tabla6[[#This Row],[DIRECCIÓN GENERAL / COORDINACIÓN / SUBDIRECCIÓN]],Tabla37[[#All],[Columna1]:[EOD]],2,0)</f>
        <v>266_0004</v>
      </c>
      <c r="L546" s="69">
        <f>VLOOKUP(Tabla6[[#This Row],[OBJETIVOS PND]],Listas!$A$1:$C$3,3,0)</f>
        <v>1</v>
      </c>
      <c r="M546" s="70">
        <f>VLOOKUP(Tabla6[[#This Row],[PG]],Listas2!$G$14:$K$16,5,0)</f>
        <v>0</v>
      </c>
      <c r="N546" s="71">
        <v>1</v>
      </c>
      <c r="O546" s="72">
        <v>1301</v>
      </c>
      <c r="P546" s="73" t="str">
        <f>VLOOKUP(Tabla6[[#This Row],[GEO]],Listas!$A$48:$B$77,2,0)</f>
        <v>PORTOVIEJO</v>
      </c>
      <c r="Q546" s="70">
        <f>VLOOKUP(Tabla6[[#This Row],[PG]],Listas2!$G$14:$K$16,3,0)</f>
        <v>1</v>
      </c>
      <c r="R546" s="73">
        <f>VLOOKUP(Tabla6[[#This Row],[PG]],Listas2!H56:'Listas2'!$G$14:$K$16,4,0)</f>
        <v>0</v>
      </c>
      <c r="S546" s="73">
        <f>VLOOKUP(Tabla6[[#This Row],[PG]],Listas2!$G$14:$K$16,2,0)</f>
        <v>0</v>
      </c>
      <c r="T546" s="66" t="s">
        <v>84</v>
      </c>
      <c r="U546" s="74">
        <v>53</v>
      </c>
      <c r="V546" s="66">
        <v>530255</v>
      </c>
      <c r="W546" s="63" t="str">
        <f>VLOOKUP(Tabla6[[#This Row],[ÍTEM PRESUPUESTARIO]],Tabla2[#All],2,0)</f>
        <v>COMBUSTIBLES</v>
      </c>
      <c r="X546" s="57">
        <v>0</v>
      </c>
      <c r="Y546" s="57">
        <v>50</v>
      </c>
      <c r="Z546" s="58">
        <v>5</v>
      </c>
      <c r="AA546" s="58">
        <v>4</v>
      </c>
      <c r="AB546" s="58">
        <v>3</v>
      </c>
      <c r="AC546" s="58">
        <v>5</v>
      </c>
      <c r="AD546" s="58">
        <v>4</v>
      </c>
      <c r="AE546" s="58">
        <v>3</v>
      </c>
      <c r="AF546" s="58">
        <v>5</v>
      </c>
      <c r="AG546" s="58">
        <v>4</v>
      </c>
      <c r="AH546" s="58">
        <v>4</v>
      </c>
      <c r="AI546" s="58">
        <v>4</v>
      </c>
      <c r="AJ546" s="58">
        <v>4</v>
      </c>
      <c r="AK546" s="58">
        <v>5</v>
      </c>
      <c r="AL546" s="75">
        <f>+SUBTOTAL(9,Tabla6[[#This Row],[ENE]:[DIC]])</f>
        <v>50</v>
      </c>
      <c r="AM546" s="76" t="str">
        <f t="shared" si="11"/>
        <v>OK</v>
      </c>
      <c r="AN546" s="60">
        <v>50</v>
      </c>
      <c r="AO546" s="61">
        <f>+Tabla6[[#This Row],[PRESUPUESTO VIGENTE]]-Tabla6[[#This Row],[CERTIFICACIÓN PAPP]]</f>
        <v>0</v>
      </c>
      <c r="AP546" s="59">
        <v>0</v>
      </c>
    </row>
    <row r="547" spans="1:42" ht="93" customHeight="1" x14ac:dyDescent="0.25">
      <c r="A547" s="62" t="s">
        <v>78</v>
      </c>
      <c r="B547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547" s="64" t="s">
        <v>79</v>
      </c>
      <c r="D547" s="64" t="s">
        <v>80</v>
      </c>
      <c r="E547" s="64" t="s">
        <v>81</v>
      </c>
      <c r="F547" s="64" t="s">
        <v>99</v>
      </c>
      <c r="G547" s="64" t="s">
        <v>92</v>
      </c>
      <c r="H547" s="65" t="str">
        <f>VLOOKUP(Tabla6[[#This Row],[DIRECCIÓN]],DIRECCIÓN[#All],2,0)</f>
        <v>ADMINISTRACIÓN CENTRAL</v>
      </c>
      <c r="I547" s="66" t="s">
        <v>549</v>
      </c>
      <c r="J547" s="67">
        <v>1</v>
      </c>
      <c r="K547" s="68" t="str">
        <f>VLOOKUP(Tabla6[[#This Row],[DIRECCIÓN GENERAL / COORDINACIÓN / SUBDIRECCIÓN]],Tabla37[[#All],[Columna1]:[EOD]],2,0)</f>
        <v>266_0004</v>
      </c>
      <c r="L547" s="69">
        <f>VLOOKUP(Tabla6[[#This Row],[OBJETIVOS PND]],Listas!$A$1:$C$3,3,0)</f>
        <v>1</v>
      </c>
      <c r="M547" s="70">
        <f>VLOOKUP(Tabla6[[#This Row],[PG]],Listas2!$G$14:$K$16,5,0)</f>
        <v>0</v>
      </c>
      <c r="N547" s="71">
        <v>1</v>
      </c>
      <c r="O547" s="72">
        <v>1301</v>
      </c>
      <c r="P547" s="73" t="str">
        <f>VLOOKUP(Tabla6[[#This Row],[GEO]],Listas!$A$48:$B$77,2,0)</f>
        <v>PORTOVIEJO</v>
      </c>
      <c r="Q547" s="70">
        <f>VLOOKUP(Tabla6[[#This Row],[PG]],Listas2!$G$14:$K$16,3,0)</f>
        <v>1</v>
      </c>
      <c r="R547" s="73">
        <f>VLOOKUP(Tabla6[[#This Row],[PG]],Listas2!H57:'Listas2'!$G$14:$K$16,4,0)</f>
        <v>0</v>
      </c>
      <c r="S547" s="73">
        <f>VLOOKUP(Tabla6[[#This Row],[PG]],Listas2!$G$14:$K$16,2,0)</f>
        <v>0</v>
      </c>
      <c r="T547" s="66" t="s">
        <v>84</v>
      </c>
      <c r="U547" s="74">
        <v>53</v>
      </c>
      <c r="V547" s="66">
        <v>530301</v>
      </c>
      <c r="W547" s="63" t="str">
        <f>VLOOKUP(Tabla6[[#This Row],[ÍTEM PRESUPUESTARIO]],Tabla2[#All],2,0)</f>
        <v>PASAJES AL INTERIOR</v>
      </c>
      <c r="X547" s="57">
        <v>0</v>
      </c>
      <c r="Y547" s="57">
        <f>50+1000-350-661</f>
        <v>39</v>
      </c>
      <c r="Z547" s="58">
        <v>5</v>
      </c>
      <c r="AA547" s="58">
        <v>5</v>
      </c>
      <c r="AB547" s="58">
        <v>5</v>
      </c>
      <c r="AC547" s="58">
        <v>5</v>
      </c>
      <c r="AD547" s="58">
        <v>5</v>
      </c>
      <c r="AE547" s="58">
        <v>5</v>
      </c>
      <c r="AF547" s="58">
        <v>5</v>
      </c>
      <c r="AG547" s="58">
        <v>4</v>
      </c>
      <c r="AH547" s="58">
        <v>0</v>
      </c>
      <c r="AI547" s="58">
        <v>0</v>
      </c>
      <c r="AJ547" s="58">
        <v>0</v>
      </c>
      <c r="AK547" s="58">
        <v>0</v>
      </c>
      <c r="AL547" s="75">
        <f>+SUBTOTAL(9,Tabla6[[#This Row],[ENE]:[DIC]])</f>
        <v>39</v>
      </c>
      <c r="AM547" s="76" t="str">
        <f t="shared" si="11"/>
        <v>OK</v>
      </c>
      <c r="AN547" s="60">
        <f>350-311</f>
        <v>39</v>
      </c>
      <c r="AO547" s="61">
        <f>+Tabla6[[#This Row],[PRESUPUESTO VIGENTE]]-Tabla6[[#This Row],[CERTIFICACIÓN PAPP]]</f>
        <v>0</v>
      </c>
      <c r="AP547" s="59">
        <v>0</v>
      </c>
    </row>
    <row r="548" spans="1:42" ht="93" customHeight="1" x14ac:dyDescent="0.25">
      <c r="A548" s="62" t="s">
        <v>78</v>
      </c>
      <c r="B548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548" s="64" t="s">
        <v>79</v>
      </c>
      <c r="D548" s="64" t="s">
        <v>80</v>
      </c>
      <c r="E548" s="64" t="s">
        <v>81</v>
      </c>
      <c r="F548" s="64" t="s">
        <v>99</v>
      </c>
      <c r="G548" s="64" t="s">
        <v>92</v>
      </c>
      <c r="H548" s="65" t="str">
        <f>VLOOKUP(Tabla6[[#This Row],[DIRECCIÓN]],DIRECCIÓN[#All],2,0)</f>
        <v>ADMINISTRACIÓN CENTRAL</v>
      </c>
      <c r="I548" s="66" t="s">
        <v>549</v>
      </c>
      <c r="J548" s="67">
        <v>1</v>
      </c>
      <c r="K548" s="68" t="str">
        <f>VLOOKUP(Tabla6[[#This Row],[DIRECCIÓN GENERAL / COORDINACIÓN / SUBDIRECCIÓN]],Tabla37[[#All],[Columna1]:[EOD]],2,0)</f>
        <v>266_0004</v>
      </c>
      <c r="L548" s="69">
        <f>VLOOKUP(Tabla6[[#This Row],[OBJETIVOS PND]],Listas!$A$1:$C$3,3,0)</f>
        <v>1</v>
      </c>
      <c r="M548" s="70">
        <f>VLOOKUP(Tabla6[[#This Row],[PG]],Listas2!$G$14:$K$16,5,0)</f>
        <v>0</v>
      </c>
      <c r="N548" s="71">
        <v>1</v>
      </c>
      <c r="O548" s="72">
        <v>1301</v>
      </c>
      <c r="P548" s="73" t="str">
        <f>VLOOKUP(Tabla6[[#This Row],[GEO]],Listas!$A$48:$B$77,2,0)</f>
        <v>PORTOVIEJO</v>
      </c>
      <c r="Q548" s="70">
        <f>VLOOKUP(Tabla6[[#This Row],[PG]],Listas2!$G$14:$K$16,3,0)</f>
        <v>1</v>
      </c>
      <c r="R548" s="73">
        <f>VLOOKUP(Tabla6[[#This Row],[PG]],Listas2!H58:'Listas2'!$G$14:$K$16,4,0)</f>
        <v>0</v>
      </c>
      <c r="S548" s="73">
        <f>VLOOKUP(Tabla6[[#This Row],[PG]],Listas2!$G$14:$K$16,2,0)</f>
        <v>0</v>
      </c>
      <c r="T548" s="66" t="s">
        <v>84</v>
      </c>
      <c r="U548" s="74">
        <v>53</v>
      </c>
      <c r="V548" s="66">
        <v>530303</v>
      </c>
      <c r="W548" s="63" t="str">
        <f>VLOOKUP(Tabla6[[#This Row],[ÍTEM PRESUPUESTARIO]],Tabla2[#All],2,0)</f>
        <v>VIÁTICOS Y SUBSISTENCIAS EN EL INTERIOR</v>
      </c>
      <c r="X548" s="57">
        <v>0</v>
      </c>
      <c r="Y548" s="57">
        <v>800</v>
      </c>
      <c r="Z548" s="58">
        <v>66</v>
      </c>
      <c r="AA548" s="58">
        <v>66</v>
      </c>
      <c r="AB548" s="58">
        <v>66</v>
      </c>
      <c r="AC548" s="58">
        <v>66</v>
      </c>
      <c r="AD548" s="58">
        <v>66</v>
      </c>
      <c r="AE548" s="58">
        <v>66</v>
      </c>
      <c r="AF548" s="58">
        <v>66</v>
      </c>
      <c r="AG548" s="58">
        <v>66</v>
      </c>
      <c r="AH548" s="58">
        <v>66</v>
      </c>
      <c r="AI548" s="58">
        <v>66</v>
      </c>
      <c r="AJ548" s="58">
        <v>66</v>
      </c>
      <c r="AK548" s="58">
        <v>74</v>
      </c>
      <c r="AL548" s="75">
        <f>+SUBTOTAL(9,Tabla6[[#This Row],[ENE]:[DIC]])</f>
        <v>800</v>
      </c>
      <c r="AM548" s="76" t="str">
        <f t="shared" si="11"/>
        <v>OK</v>
      </c>
      <c r="AN548" s="60">
        <v>800</v>
      </c>
      <c r="AO548" s="61">
        <f>+Tabla6[[#This Row],[PRESUPUESTO VIGENTE]]-Tabla6[[#This Row],[CERTIFICACIÓN PAPP]]</f>
        <v>0</v>
      </c>
      <c r="AP548" s="59">
        <v>0</v>
      </c>
    </row>
    <row r="549" spans="1:42" ht="93" customHeight="1" x14ac:dyDescent="0.25">
      <c r="A549" s="62" t="s">
        <v>78</v>
      </c>
      <c r="B549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549" s="64" t="s">
        <v>79</v>
      </c>
      <c r="D549" s="64" t="s">
        <v>80</v>
      </c>
      <c r="E549" s="64" t="s">
        <v>81</v>
      </c>
      <c r="F549" s="64" t="s">
        <v>99</v>
      </c>
      <c r="G549" s="64" t="s">
        <v>92</v>
      </c>
      <c r="H549" s="65" t="str">
        <f>VLOOKUP(Tabla6[[#This Row],[DIRECCIÓN]],DIRECCIÓN[#All],2,0)</f>
        <v>ADMINISTRACIÓN CENTRAL</v>
      </c>
      <c r="I549" s="66" t="s">
        <v>550</v>
      </c>
      <c r="J549" s="67">
        <v>1</v>
      </c>
      <c r="K549" s="68" t="str">
        <f>VLOOKUP(Tabla6[[#This Row],[DIRECCIÓN GENERAL / COORDINACIÓN / SUBDIRECCIÓN]],Tabla37[[#All],[Columna1]:[EOD]],2,0)</f>
        <v>266_0004</v>
      </c>
      <c r="L549" s="69">
        <f>VLOOKUP(Tabla6[[#This Row],[OBJETIVOS PND]],Listas!$A$1:$C$3,3,0)</f>
        <v>1</v>
      </c>
      <c r="M549" s="70">
        <f>VLOOKUP(Tabla6[[#This Row],[PG]],Listas2!$G$14:$K$16,5,0)</f>
        <v>0</v>
      </c>
      <c r="N549" s="71">
        <v>1</v>
      </c>
      <c r="O549" s="72">
        <v>1301</v>
      </c>
      <c r="P549" s="73" t="str">
        <f>VLOOKUP(Tabla6[[#This Row],[GEO]],Listas!$A$48:$B$77,2,0)</f>
        <v>PORTOVIEJO</v>
      </c>
      <c r="Q549" s="70">
        <f>VLOOKUP(Tabla6[[#This Row],[PG]],Listas2!$G$14:$K$16,3,0)</f>
        <v>1</v>
      </c>
      <c r="R549" s="73">
        <f>VLOOKUP(Tabla6[[#This Row],[PG]],Listas2!H59:'Listas2'!$G$14:$K$16,4,0)</f>
        <v>0</v>
      </c>
      <c r="S549" s="73">
        <f>VLOOKUP(Tabla6[[#This Row],[PG]],Listas2!$G$14:$K$16,2,0)</f>
        <v>0</v>
      </c>
      <c r="T549" s="66" t="s">
        <v>84</v>
      </c>
      <c r="U549" s="74">
        <v>53</v>
      </c>
      <c r="V549" s="66">
        <v>530303</v>
      </c>
      <c r="W549" s="63" t="str">
        <f>VLOOKUP(Tabla6[[#This Row],[ÍTEM PRESUPUESTARIO]],Tabla2[#All],2,0)</f>
        <v>VIÁTICOS Y SUBSISTENCIAS EN EL INTERIOR</v>
      </c>
      <c r="X549" s="57">
        <v>0</v>
      </c>
      <c r="Y549" s="57">
        <f>1000+1000+1000-732.45</f>
        <v>2267.5500000000002</v>
      </c>
      <c r="Z549" s="58">
        <v>0</v>
      </c>
      <c r="AA549" s="58">
        <v>0</v>
      </c>
      <c r="AB549" s="58">
        <v>0</v>
      </c>
      <c r="AC549" s="58">
        <v>112</v>
      </c>
      <c r="AD549" s="58">
        <v>112</v>
      </c>
      <c r="AE549" s="58">
        <v>112</v>
      </c>
      <c r="AF549" s="58">
        <v>1112</v>
      </c>
      <c r="AG549" s="58">
        <v>112</v>
      </c>
      <c r="AH549" s="58">
        <v>112</v>
      </c>
      <c r="AI549" s="58">
        <v>112</v>
      </c>
      <c r="AJ549" s="58">
        <v>112</v>
      </c>
      <c r="AK549" s="58">
        <v>371.55</v>
      </c>
      <c r="AL549" s="75">
        <f>+SUBTOTAL(9,Tabla6[[#This Row],[ENE]:[DIC]])</f>
        <v>2267.5500000000002</v>
      </c>
      <c r="AM549" s="76" t="str">
        <f t="shared" si="11"/>
        <v>OK</v>
      </c>
      <c r="AN549" s="60">
        <f>1000+1000+1000-732.45</f>
        <v>2267.5500000000002</v>
      </c>
      <c r="AO549" s="61">
        <f>+Tabla6[[#This Row],[PRESUPUESTO VIGENTE]]-Tabla6[[#This Row],[CERTIFICACIÓN PAPP]]</f>
        <v>0</v>
      </c>
      <c r="AP549" s="59">
        <v>0</v>
      </c>
    </row>
    <row r="550" spans="1:42" ht="93" customHeight="1" x14ac:dyDescent="0.25">
      <c r="A550" s="62" t="s">
        <v>78</v>
      </c>
      <c r="B550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550" s="64" t="s">
        <v>79</v>
      </c>
      <c r="D550" s="64" t="s">
        <v>80</v>
      </c>
      <c r="E550" s="64" t="s">
        <v>81</v>
      </c>
      <c r="F550" s="64" t="s">
        <v>99</v>
      </c>
      <c r="G550" s="64" t="s">
        <v>92</v>
      </c>
      <c r="H550" s="65" t="str">
        <f>VLOOKUP(Tabla6[[#This Row],[DIRECCIÓN]],DIRECCIÓN[#All],2,0)</f>
        <v>ADMINISTRACIÓN CENTRAL</v>
      </c>
      <c r="I550" s="66" t="s">
        <v>551</v>
      </c>
      <c r="J550" s="67">
        <v>1</v>
      </c>
      <c r="K550" s="68" t="str">
        <f>VLOOKUP(Tabla6[[#This Row],[DIRECCIÓN GENERAL / COORDINACIÓN / SUBDIRECCIÓN]],Tabla37[[#All],[Columna1]:[EOD]],2,0)</f>
        <v>266_0004</v>
      </c>
      <c r="L550" s="69">
        <f>VLOOKUP(Tabla6[[#This Row],[OBJETIVOS PND]],Listas!$A$1:$C$3,3,0)</f>
        <v>1</v>
      </c>
      <c r="M550" s="70">
        <f>VLOOKUP(Tabla6[[#This Row],[PG]],Listas2!$G$14:$K$16,5,0)</f>
        <v>0</v>
      </c>
      <c r="N550" s="71">
        <v>1</v>
      </c>
      <c r="O550" s="72">
        <v>1301</v>
      </c>
      <c r="P550" s="73" t="str">
        <f>VLOOKUP(Tabla6[[#This Row],[GEO]],Listas!$A$48:$B$77,2,0)</f>
        <v>PORTOVIEJO</v>
      </c>
      <c r="Q550" s="70">
        <f>VLOOKUP(Tabla6[[#This Row],[PG]],Listas2!$G$14:$K$16,3,0)</f>
        <v>1</v>
      </c>
      <c r="R550" s="73">
        <f>VLOOKUP(Tabla6[[#This Row],[PG]],Listas2!H60:'Listas2'!$G$14:$K$16,4,0)</f>
        <v>0</v>
      </c>
      <c r="S550" s="73">
        <f>VLOOKUP(Tabla6[[#This Row],[PG]],Listas2!$G$14:$K$16,2,0)</f>
        <v>0</v>
      </c>
      <c r="T550" s="66" t="s">
        <v>84</v>
      </c>
      <c r="U550" s="74">
        <v>53</v>
      </c>
      <c r="V550" s="66">
        <v>530402</v>
      </c>
      <c r="W550" s="63" t="str">
        <f>VLOOKUP(Tabla6[[#This Row],[ÍTEM PRESUPUESTARIO]],Tabla2[#All],2,0)</f>
        <v>EDIFICIOS, LOCALES, RESIDENCIAS Y CABLEADO ESTRUCTURADO (INSTALACIÓN, MANTENIMIENTO Y REPARACIÓN)</v>
      </c>
      <c r="X550" s="57">
        <v>0</v>
      </c>
      <c r="Y550" s="57">
        <f>6300-6300+25000-18906.19-6093.81</f>
        <v>0</v>
      </c>
      <c r="Z550" s="58">
        <v>0</v>
      </c>
      <c r="AA550" s="58">
        <v>0</v>
      </c>
      <c r="AB550" s="58">
        <v>0</v>
      </c>
      <c r="AC550" s="58">
        <v>0</v>
      </c>
      <c r="AD550" s="58">
        <v>0</v>
      </c>
      <c r="AE550" s="58">
        <v>0</v>
      </c>
      <c r="AF550" s="58">
        <v>0</v>
      </c>
      <c r="AG550" s="58">
        <v>0</v>
      </c>
      <c r="AH550" s="58">
        <v>0</v>
      </c>
      <c r="AI550" s="58">
        <v>0</v>
      </c>
      <c r="AJ550" s="58">
        <v>0</v>
      </c>
      <c r="AK550" s="58">
        <v>0</v>
      </c>
      <c r="AL550" s="75">
        <f>+SUBTOTAL(9,Tabla6[[#This Row],[ENE]:[DIC]])</f>
        <v>0</v>
      </c>
      <c r="AM550" s="76" t="str">
        <f t="shared" si="11"/>
        <v>OK</v>
      </c>
      <c r="AN550" s="60">
        <v>0</v>
      </c>
      <c r="AO550" s="61">
        <f>+Tabla6[[#This Row],[PRESUPUESTO VIGENTE]]-Tabla6[[#This Row],[CERTIFICACIÓN PAPP]]</f>
        <v>0</v>
      </c>
      <c r="AP550" s="59">
        <v>0</v>
      </c>
    </row>
    <row r="551" spans="1:42" ht="93" customHeight="1" x14ac:dyDescent="0.25">
      <c r="A551" s="62" t="s">
        <v>78</v>
      </c>
      <c r="B551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551" s="64" t="s">
        <v>79</v>
      </c>
      <c r="D551" s="64" t="s">
        <v>80</v>
      </c>
      <c r="E551" s="64" t="s">
        <v>81</v>
      </c>
      <c r="F551" s="64" t="s">
        <v>99</v>
      </c>
      <c r="G551" s="64" t="s">
        <v>92</v>
      </c>
      <c r="H551" s="65" t="str">
        <f>VLOOKUP(Tabla6[[#This Row],[DIRECCIÓN]],DIRECCIÓN[#All],2,0)</f>
        <v>ADMINISTRACIÓN CENTRAL</v>
      </c>
      <c r="I551" s="66" t="s">
        <v>552</v>
      </c>
      <c r="J551" s="67">
        <v>1</v>
      </c>
      <c r="K551" s="68" t="str">
        <f>VLOOKUP(Tabla6[[#This Row],[DIRECCIÓN GENERAL / COORDINACIÓN / SUBDIRECCIÓN]],Tabla37[[#All],[Columna1]:[EOD]],2,0)</f>
        <v>266_0004</v>
      </c>
      <c r="L551" s="69">
        <f>VLOOKUP(Tabla6[[#This Row],[OBJETIVOS PND]],Listas!$A$1:$C$3,3,0)</f>
        <v>1</v>
      </c>
      <c r="M551" s="70">
        <f>VLOOKUP(Tabla6[[#This Row],[PG]],Listas2!$G$14:$K$16,5,0)</f>
        <v>0</v>
      </c>
      <c r="N551" s="71">
        <v>1</v>
      </c>
      <c r="O551" s="72">
        <v>1301</v>
      </c>
      <c r="P551" s="73" t="str">
        <f>VLOOKUP(Tabla6[[#This Row],[GEO]],Listas!$A$48:$B$77,2,0)</f>
        <v>PORTOVIEJO</v>
      </c>
      <c r="Q551" s="70">
        <f>VLOOKUP(Tabla6[[#This Row],[PG]],Listas2!$G$14:$K$16,3,0)</f>
        <v>1</v>
      </c>
      <c r="R551" s="73">
        <f>VLOOKUP(Tabla6[[#This Row],[PG]],Listas2!H61:'Listas2'!$G$14:$K$16,4,0)</f>
        <v>0</v>
      </c>
      <c r="S551" s="73">
        <f>VLOOKUP(Tabla6[[#This Row],[PG]],Listas2!$G$14:$K$16,2,0)</f>
        <v>0</v>
      </c>
      <c r="T551" s="66" t="s">
        <v>84</v>
      </c>
      <c r="U551" s="74">
        <v>53</v>
      </c>
      <c r="V551" s="66">
        <v>530402</v>
      </c>
      <c r="W551" s="63" t="str">
        <f>VLOOKUP(Tabla6[[#This Row],[ÍTEM PRESUPUESTARIO]],Tabla2[#All],2,0)</f>
        <v>EDIFICIOS, LOCALES, RESIDENCIAS Y CABLEADO ESTRUCTURADO (INSTALACIÓN, MANTENIMIENTO Y REPARACIÓN)</v>
      </c>
      <c r="X551" s="57">
        <v>7500</v>
      </c>
      <c r="Y551" s="57">
        <f>7500-737.43+522.11-522.11-522.11</f>
        <v>6240.46</v>
      </c>
      <c r="Z551" s="58">
        <v>550</v>
      </c>
      <c r="AA551" s="58">
        <v>550</v>
      </c>
      <c r="AB551" s="58">
        <v>550</v>
      </c>
      <c r="AC551" s="58">
        <v>550</v>
      </c>
      <c r="AD551" s="58">
        <v>500</v>
      </c>
      <c r="AE551" s="58">
        <v>500</v>
      </c>
      <c r="AF551" s="58">
        <v>500</v>
      </c>
      <c r="AG551" s="58">
        <v>500</v>
      </c>
      <c r="AH551" s="58">
        <v>500</v>
      </c>
      <c r="AI551" s="58">
        <v>500</v>
      </c>
      <c r="AJ551" s="58">
        <v>520</v>
      </c>
      <c r="AK551" s="58">
        <v>520.46</v>
      </c>
      <c r="AL551" s="75">
        <f>+SUBTOTAL(9,Tabla6[[#This Row],[ENE]:[DIC]])</f>
        <v>6240.46</v>
      </c>
      <c r="AM551" s="76" t="str">
        <f t="shared" si="11"/>
        <v>OK</v>
      </c>
      <c r="AN551" s="60">
        <f>497.25+6265.32-522.11</f>
        <v>6240.46</v>
      </c>
      <c r="AO551" s="61">
        <f>+Tabla6[[#This Row],[PRESUPUESTO VIGENTE]]-Tabla6[[#This Row],[CERTIFICACIÓN PAPP]]</f>
        <v>0</v>
      </c>
      <c r="AP551" s="59">
        <v>0</v>
      </c>
    </row>
    <row r="552" spans="1:42" ht="93" customHeight="1" x14ac:dyDescent="0.25">
      <c r="A552" s="62" t="s">
        <v>78</v>
      </c>
      <c r="B552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552" s="64" t="s">
        <v>79</v>
      </c>
      <c r="D552" s="64" t="s">
        <v>80</v>
      </c>
      <c r="E552" s="64" t="s">
        <v>81</v>
      </c>
      <c r="F552" s="64" t="s">
        <v>99</v>
      </c>
      <c r="G552" s="64" t="s">
        <v>92</v>
      </c>
      <c r="H552" s="65" t="str">
        <f>VLOOKUP(Tabla6[[#This Row],[DIRECCIÓN]],DIRECCIÓN[#All],2,0)</f>
        <v>ADMINISTRACIÓN CENTRAL</v>
      </c>
      <c r="I552" s="66" t="s">
        <v>553</v>
      </c>
      <c r="J552" s="67">
        <v>1</v>
      </c>
      <c r="K552" s="68" t="str">
        <f>VLOOKUP(Tabla6[[#This Row],[DIRECCIÓN GENERAL / COORDINACIÓN / SUBDIRECCIÓN]],Tabla37[[#All],[Columna1]:[EOD]],2,0)</f>
        <v>266_0004</v>
      </c>
      <c r="L552" s="69">
        <f>VLOOKUP(Tabla6[[#This Row],[OBJETIVOS PND]],Listas!$A$1:$C$3,3,0)</f>
        <v>1</v>
      </c>
      <c r="M552" s="70">
        <f>VLOOKUP(Tabla6[[#This Row],[PG]],Listas2!$G$14:$K$16,5,0)</f>
        <v>0</v>
      </c>
      <c r="N552" s="71">
        <v>1</v>
      </c>
      <c r="O552" s="72">
        <v>1301</v>
      </c>
      <c r="P552" s="73" t="str">
        <f>VLOOKUP(Tabla6[[#This Row],[GEO]],Listas!$A$48:$B$77,2,0)</f>
        <v>PORTOVIEJO</v>
      </c>
      <c r="Q552" s="70">
        <f>VLOOKUP(Tabla6[[#This Row],[PG]],Listas2!$G$14:$K$16,3,0)</f>
        <v>1</v>
      </c>
      <c r="R552" s="73">
        <f>VLOOKUP(Tabla6[[#This Row],[PG]],Listas2!H62:'Listas2'!$G$14:$K$16,4,0)</f>
        <v>0</v>
      </c>
      <c r="S552" s="73">
        <f>VLOOKUP(Tabla6[[#This Row],[PG]],Listas2!$G$14:$K$16,2,0)</f>
        <v>0</v>
      </c>
      <c r="T552" s="66" t="s">
        <v>84</v>
      </c>
      <c r="U552" s="74">
        <v>53</v>
      </c>
      <c r="V552" s="66">
        <v>530402</v>
      </c>
      <c r="W552" s="63" t="str">
        <f>VLOOKUP(Tabla6[[#This Row],[ÍTEM PRESUPUESTARIO]],Tabla2[#All],2,0)</f>
        <v>EDIFICIOS, LOCALES, RESIDENCIAS Y CABLEADO ESTRUCTURADO (INSTALACIÓN, MANTENIMIENTO Y REPARACIÓN)</v>
      </c>
      <c r="X552" s="57">
        <v>31149</v>
      </c>
      <c r="Y552" s="57">
        <f>31149-2886.81+1</f>
        <v>28263.19</v>
      </c>
      <c r="Z552" s="58">
        <v>0</v>
      </c>
      <c r="AA552" s="58">
        <v>0</v>
      </c>
      <c r="AB552" s="58">
        <v>0</v>
      </c>
      <c r="AC552" s="58">
        <v>20000</v>
      </c>
      <c r="AD552" s="58">
        <v>0</v>
      </c>
      <c r="AE552" s="58">
        <v>0</v>
      </c>
      <c r="AF552" s="58">
        <v>0</v>
      </c>
      <c r="AG552" s="58">
        <v>0</v>
      </c>
      <c r="AH552" s="58">
        <v>8262.19</v>
      </c>
      <c r="AI552" s="58">
        <v>0</v>
      </c>
      <c r="AJ552" s="58">
        <v>0</v>
      </c>
      <c r="AK552" s="58">
        <v>1</v>
      </c>
      <c r="AL552" s="75">
        <f>+SUBTOTAL(9,Tabla6[[#This Row],[ENE]:[DIC]])</f>
        <v>28263.190000000002</v>
      </c>
      <c r="AM552" s="76" t="str">
        <f t="shared" si="11"/>
        <v>OK</v>
      </c>
      <c r="AN552" s="60">
        <f>28262.19+1</f>
        <v>28263.19</v>
      </c>
      <c r="AO552" s="61">
        <f>+Tabla6[[#This Row],[PRESUPUESTO VIGENTE]]-Tabla6[[#This Row],[CERTIFICACIÓN PAPP]]</f>
        <v>0</v>
      </c>
      <c r="AP552" s="59">
        <v>0</v>
      </c>
    </row>
    <row r="553" spans="1:42" ht="93" customHeight="1" x14ac:dyDescent="0.25">
      <c r="A553" s="62" t="s">
        <v>78</v>
      </c>
      <c r="B553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553" s="64" t="s">
        <v>79</v>
      </c>
      <c r="D553" s="64" t="s">
        <v>80</v>
      </c>
      <c r="E553" s="64" t="s">
        <v>81</v>
      </c>
      <c r="F553" s="64" t="s">
        <v>99</v>
      </c>
      <c r="G553" s="64" t="s">
        <v>92</v>
      </c>
      <c r="H553" s="65" t="str">
        <f>VLOOKUP(Tabla6[[#This Row],[DIRECCIÓN]],DIRECCIÓN[#All],2,0)</f>
        <v>ADMINISTRACIÓN CENTRAL</v>
      </c>
      <c r="I553" s="66" t="s">
        <v>554</v>
      </c>
      <c r="J553" s="67">
        <v>1</v>
      </c>
      <c r="K553" s="68" t="str">
        <f>VLOOKUP(Tabla6[[#This Row],[DIRECCIÓN GENERAL / COORDINACIÓN / SUBDIRECCIÓN]],Tabla37[[#All],[Columna1]:[EOD]],2,0)</f>
        <v>266_0004</v>
      </c>
      <c r="L553" s="69">
        <f>VLOOKUP(Tabla6[[#This Row],[OBJETIVOS PND]],Listas!$A$1:$C$3,3,0)</f>
        <v>1</v>
      </c>
      <c r="M553" s="70">
        <f>VLOOKUP(Tabla6[[#This Row],[PG]],Listas2!$G$14:$K$16,5,0)</f>
        <v>0</v>
      </c>
      <c r="N553" s="71">
        <v>1</v>
      </c>
      <c r="O553" s="72">
        <v>1301</v>
      </c>
      <c r="P553" s="73" t="str">
        <f>VLOOKUP(Tabla6[[#This Row],[GEO]],Listas!$A$48:$B$77,2,0)</f>
        <v>PORTOVIEJO</v>
      </c>
      <c r="Q553" s="70">
        <f>VLOOKUP(Tabla6[[#This Row],[PG]],Listas2!$G$14:$K$16,3,0)</f>
        <v>1</v>
      </c>
      <c r="R553" s="73">
        <f>VLOOKUP(Tabla6[[#This Row],[PG]],Listas2!H63:'Listas2'!$G$14:$K$16,4,0)</f>
        <v>0</v>
      </c>
      <c r="S553" s="73">
        <f>VLOOKUP(Tabla6[[#This Row],[PG]],Listas2!$G$14:$K$16,2,0)</f>
        <v>0</v>
      </c>
      <c r="T553" s="66" t="s">
        <v>84</v>
      </c>
      <c r="U553" s="74">
        <v>53</v>
      </c>
      <c r="V553" s="66">
        <v>530402</v>
      </c>
      <c r="W553" s="63" t="str">
        <f>VLOOKUP(Tabla6[[#This Row],[ÍTEM PRESUPUESTARIO]],Tabla2[#All],2,0)</f>
        <v>EDIFICIOS, LOCALES, RESIDENCIAS Y CABLEADO ESTRUCTURADO (INSTALACIÓN, MANTENIMIENTO Y REPARACIÓN)</v>
      </c>
      <c r="X553" s="57">
        <v>32000</v>
      </c>
      <c r="Y553" s="57">
        <f>25483.99+3624.24-636.2+1</f>
        <v>28473.030000000002</v>
      </c>
      <c r="Z553" s="58">
        <v>0</v>
      </c>
      <c r="AA553" s="58">
        <v>0</v>
      </c>
      <c r="AB553" s="58">
        <v>0</v>
      </c>
      <c r="AC553" s="58">
        <v>12742</v>
      </c>
      <c r="AD553" s="58">
        <v>0</v>
      </c>
      <c r="AE553" s="58">
        <v>0</v>
      </c>
      <c r="AF553" s="58">
        <v>0</v>
      </c>
      <c r="AG553" s="58">
        <v>0</v>
      </c>
      <c r="AH553" s="58">
        <v>15730.03</v>
      </c>
      <c r="AI553" s="58">
        <v>0</v>
      </c>
      <c r="AJ553" s="58">
        <v>0</v>
      </c>
      <c r="AK553" s="58">
        <v>1</v>
      </c>
      <c r="AL553" s="75">
        <f>+SUBTOTAL(9,Tabla6[[#This Row],[ENE]:[DIC]])</f>
        <v>28473.03</v>
      </c>
      <c r="AM553" s="76" t="str">
        <f t="shared" si="11"/>
        <v>OK</v>
      </c>
      <c r="AN553" s="60">
        <f>28472.03+1</f>
        <v>28473.03</v>
      </c>
      <c r="AO553" s="61">
        <f>+Tabla6[[#This Row],[PRESUPUESTO VIGENTE]]-Tabla6[[#This Row],[CERTIFICACIÓN PAPP]]</f>
        <v>0</v>
      </c>
      <c r="AP553" s="59">
        <v>0</v>
      </c>
    </row>
    <row r="554" spans="1:42" ht="93" customHeight="1" x14ac:dyDescent="0.25">
      <c r="A554" s="62" t="s">
        <v>78</v>
      </c>
      <c r="B554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554" s="64" t="s">
        <v>79</v>
      </c>
      <c r="D554" s="64" t="s">
        <v>80</v>
      </c>
      <c r="E554" s="64" t="s">
        <v>81</v>
      </c>
      <c r="F554" s="64" t="s">
        <v>99</v>
      </c>
      <c r="G554" s="64" t="s">
        <v>92</v>
      </c>
      <c r="H554" s="65" t="str">
        <f>VLOOKUP(Tabla6[[#This Row],[DIRECCIÓN]],DIRECCIÓN[#All],2,0)</f>
        <v>ADMINISTRACIÓN CENTRAL</v>
      </c>
      <c r="I554" s="66" t="s">
        <v>555</v>
      </c>
      <c r="J554" s="67">
        <v>1</v>
      </c>
      <c r="K554" s="68" t="str">
        <f>VLOOKUP(Tabla6[[#This Row],[DIRECCIÓN GENERAL / COORDINACIÓN / SUBDIRECCIÓN]],Tabla37[[#All],[Columna1]:[EOD]],2,0)</f>
        <v>266_0004</v>
      </c>
      <c r="L554" s="69">
        <f>VLOOKUP(Tabla6[[#This Row],[OBJETIVOS PND]],Listas!$A$1:$C$3,3,0)</f>
        <v>1</v>
      </c>
      <c r="M554" s="70">
        <f>VLOOKUP(Tabla6[[#This Row],[PG]],Listas2!$G$14:$K$16,5,0)</f>
        <v>0</v>
      </c>
      <c r="N554" s="71">
        <v>1</v>
      </c>
      <c r="O554" s="72">
        <v>1301</v>
      </c>
      <c r="P554" s="73" t="str">
        <f>VLOOKUP(Tabla6[[#This Row],[GEO]],Listas!$A$48:$B$77,2,0)</f>
        <v>PORTOVIEJO</v>
      </c>
      <c r="Q554" s="70">
        <f>VLOOKUP(Tabla6[[#This Row],[PG]],Listas2!$G$14:$K$16,3,0)</f>
        <v>1</v>
      </c>
      <c r="R554" s="73">
        <f>VLOOKUP(Tabla6[[#This Row],[PG]],Listas2!H64:'Listas2'!$G$14:$K$16,4,0)</f>
        <v>0</v>
      </c>
      <c r="S554" s="73">
        <f>VLOOKUP(Tabla6[[#This Row],[PG]],Listas2!$G$14:$K$16,2,0)</f>
        <v>0</v>
      </c>
      <c r="T554" s="66" t="s">
        <v>84</v>
      </c>
      <c r="U554" s="74">
        <v>53</v>
      </c>
      <c r="V554" s="66">
        <v>530402</v>
      </c>
      <c r="W554" s="63" t="str">
        <f>VLOOKUP(Tabla6[[#This Row],[ÍTEM PRESUPUESTARIO]],Tabla2[#All],2,0)</f>
        <v>EDIFICIOS, LOCALES, RESIDENCIAS Y CABLEADO ESTRUCTURADO (INSTALACIÓN, MANTENIMIENTO Y REPARACIÓN)</v>
      </c>
      <c r="X554" s="57">
        <v>0</v>
      </c>
      <c r="Y554" s="57">
        <f>6300-3050</f>
        <v>3250</v>
      </c>
      <c r="Z554" s="58">
        <v>0</v>
      </c>
      <c r="AA554" s="58">
        <v>0</v>
      </c>
      <c r="AB554" s="58">
        <v>0</v>
      </c>
      <c r="AC554" s="58">
        <v>0</v>
      </c>
      <c r="AD554" s="58">
        <v>0</v>
      </c>
      <c r="AE554" s="58">
        <v>0</v>
      </c>
      <c r="AF554" s="58">
        <v>0</v>
      </c>
      <c r="AG554" s="58">
        <v>0</v>
      </c>
      <c r="AH554" s="58">
        <v>0</v>
      </c>
      <c r="AI554" s="58">
        <v>3250</v>
      </c>
      <c r="AJ554" s="58">
        <v>0</v>
      </c>
      <c r="AK554" s="58">
        <v>0</v>
      </c>
      <c r="AL554" s="75">
        <f>+SUBTOTAL(9,Tabla6[[#This Row],[ENE]:[DIC]])</f>
        <v>3250</v>
      </c>
      <c r="AM554" s="76" t="str">
        <f t="shared" si="11"/>
        <v>OK</v>
      </c>
      <c r="AN554" s="60">
        <v>3250</v>
      </c>
      <c r="AO554" s="61">
        <f>+Tabla6[[#This Row],[PRESUPUESTO VIGENTE]]-Tabla6[[#This Row],[CERTIFICACIÓN PAPP]]</f>
        <v>0</v>
      </c>
      <c r="AP554" s="59">
        <v>0</v>
      </c>
    </row>
    <row r="555" spans="1:42" ht="93" customHeight="1" x14ac:dyDescent="0.25">
      <c r="A555" s="62" t="s">
        <v>78</v>
      </c>
      <c r="B555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555" s="64" t="s">
        <v>79</v>
      </c>
      <c r="D555" s="64" t="s">
        <v>80</v>
      </c>
      <c r="E555" s="64" t="s">
        <v>81</v>
      </c>
      <c r="F555" s="64" t="s">
        <v>99</v>
      </c>
      <c r="G555" s="64" t="s">
        <v>92</v>
      </c>
      <c r="H555" s="65" t="str">
        <f>VLOOKUP(Tabla6[[#This Row],[DIRECCIÓN]],DIRECCIÓN[#All],2,0)</f>
        <v>ADMINISTRACIÓN CENTRAL</v>
      </c>
      <c r="I555" s="66" t="s">
        <v>556</v>
      </c>
      <c r="J555" s="67">
        <v>1</v>
      </c>
      <c r="K555" s="68" t="str">
        <f>VLOOKUP(Tabla6[[#This Row],[DIRECCIÓN GENERAL / COORDINACIÓN / SUBDIRECCIÓN]],Tabla37[[#All],[Columna1]:[EOD]],2,0)</f>
        <v>266_0004</v>
      </c>
      <c r="L555" s="69">
        <f>VLOOKUP(Tabla6[[#This Row],[OBJETIVOS PND]],Listas!$A$1:$C$3,3,0)</f>
        <v>1</v>
      </c>
      <c r="M555" s="70">
        <f>VLOOKUP(Tabla6[[#This Row],[PG]],Listas2!$G$14:$K$16,5,0)</f>
        <v>0</v>
      </c>
      <c r="N555" s="71">
        <v>1</v>
      </c>
      <c r="O555" s="72">
        <v>1301</v>
      </c>
      <c r="P555" s="73" t="str">
        <f>VLOOKUP(Tabla6[[#This Row],[GEO]],Listas!$A$48:$B$77,2,0)</f>
        <v>PORTOVIEJO</v>
      </c>
      <c r="Q555" s="70">
        <f>VLOOKUP(Tabla6[[#This Row],[PG]],Listas2!$G$14:$K$16,3,0)</f>
        <v>1</v>
      </c>
      <c r="R555" s="73">
        <f>VLOOKUP(Tabla6[[#This Row],[PG]],Listas2!H65:'Listas2'!$G$14:$K$16,4,0)</f>
        <v>0</v>
      </c>
      <c r="S555" s="73">
        <f>VLOOKUP(Tabla6[[#This Row],[PG]],Listas2!$G$14:$K$16,2,0)</f>
        <v>0</v>
      </c>
      <c r="T555" s="66" t="s">
        <v>84</v>
      </c>
      <c r="U555" s="74">
        <v>53</v>
      </c>
      <c r="V555" s="66">
        <v>530402</v>
      </c>
      <c r="W555" s="63" t="str">
        <f>VLOOKUP(Tabla6[[#This Row],[ÍTEM PRESUPUESTARIO]],Tabla2[#All],2,0)</f>
        <v>EDIFICIOS, LOCALES, RESIDENCIAS Y CABLEADO ESTRUCTURADO (INSTALACIÓN, MANTENIMIENTO Y REPARACIÓN)</v>
      </c>
      <c r="X555" s="57">
        <v>0</v>
      </c>
      <c r="Y555" s="57">
        <f>6300-101</f>
        <v>6199</v>
      </c>
      <c r="Z555" s="58">
        <v>0</v>
      </c>
      <c r="AA555" s="58">
        <v>0</v>
      </c>
      <c r="AB555" s="58">
        <v>0</v>
      </c>
      <c r="AC555" s="58">
        <v>0</v>
      </c>
      <c r="AD555" s="58">
        <v>0</v>
      </c>
      <c r="AE555" s="58">
        <v>0</v>
      </c>
      <c r="AF555" s="58">
        <v>0</v>
      </c>
      <c r="AG555" s="58">
        <v>0</v>
      </c>
      <c r="AH555" s="58">
        <v>0</v>
      </c>
      <c r="AI555" s="58">
        <v>6199</v>
      </c>
      <c r="AJ555" s="58">
        <v>0</v>
      </c>
      <c r="AK555" s="58">
        <v>0</v>
      </c>
      <c r="AL555" s="75">
        <f>+SUBTOTAL(9,Tabla6[[#This Row],[ENE]:[DIC]])</f>
        <v>6199</v>
      </c>
      <c r="AM555" s="76" t="str">
        <f t="shared" si="11"/>
        <v>OK</v>
      </c>
      <c r="AN555" s="60">
        <v>6199</v>
      </c>
      <c r="AO555" s="61">
        <f>+Tabla6[[#This Row],[PRESUPUESTO VIGENTE]]-Tabla6[[#This Row],[CERTIFICACIÓN PAPP]]</f>
        <v>0</v>
      </c>
      <c r="AP555" s="59">
        <v>0</v>
      </c>
    </row>
    <row r="556" spans="1:42" ht="93" customHeight="1" x14ac:dyDescent="0.25">
      <c r="A556" s="62" t="s">
        <v>78</v>
      </c>
      <c r="B556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556" s="64" t="s">
        <v>79</v>
      </c>
      <c r="D556" s="64" t="s">
        <v>80</v>
      </c>
      <c r="E556" s="64" t="s">
        <v>81</v>
      </c>
      <c r="F556" s="64" t="s">
        <v>99</v>
      </c>
      <c r="G556" s="64" t="s">
        <v>92</v>
      </c>
      <c r="H556" s="65" t="str">
        <f>VLOOKUP(Tabla6[[#This Row],[DIRECCIÓN]],DIRECCIÓN[#All],2,0)</f>
        <v>ADMINISTRACIÓN CENTRAL</v>
      </c>
      <c r="I556" s="66" t="s">
        <v>557</v>
      </c>
      <c r="J556" s="67">
        <v>1</v>
      </c>
      <c r="K556" s="68" t="str">
        <f>VLOOKUP(Tabla6[[#This Row],[DIRECCIÓN GENERAL / COORDINACIÓN / SUBDIRECCIÓN]],Tabla37[[#All],[Columna1]:[EOD]],2,0)</f>
        <v>266_0004</v>
      </c>
      <c r="L556" s="69">
        <f>VLOOKUP(Tabla6[[#This Row],[OBJETIVOS PND]],Listas!$A$1:$C$3,3,0)</f>
        <v>1</v>
      </c>
      <c r="M556" s="70">
        <f>VLOOKUP(Tabla6[[#This Row],[PG]],Listas2!$G$14:$K$16,5,0)</f>
        <v>0</v>
      </c>
      <c r="N556" s="71">
        <v>1</v>
      </c>
      <c r="O556" s="72">
        <v>1301</v>
      </c>
      <c r="P556" s="73" t="str">
        <f>VLOOKUP(Tabla6[[#This Row],[GEO]],Listas!$A$48:$B$77,2,0)</f>
        <v>PORTOVIEJO</v>
      </c>
      <c r="Q556" s="70">
        <f>VLOOKUP(Tabla6[[#This Row],[PG]],Listas2!$G$14:$K$16,3,0)</f>
        <v>1</v>
      </c>
      <c r="R556" s="73">
        <f>VLOOKUP(Tabla6[[#This Row],[PG]],Listas2!H66:'Listas2'!$G$14:$K$16,4,0)</f>
        <v>0</v>
      </c>
      <c r="S556" s="73">
        <f>VLOOKUP(Tabla6[[#This Row],[PG]],Listas2!$G$14:$K$16,2,0)</f>
        <v>0</v>
      </c>
      <c r="T556" s="66" t="s">
        <v>84</v>
      </c>
      <c r="U556" s="74">
        <v>53</v>
      </c>
      <c r="V556" s="66">
        <v>530402</v>
      </c>
      <c r="W556" s="63" t="str">
        <f>VLOOKUP(Tabla6[[#This Row],[ÍTEM PRESUPUESTARIO]],Tabla2[#All],2,0)</f>
        <v>EDIFICIOS, LOCALES, RESIDENCIAS Y CABLEADO ESTRUCTURADO (INSTALACIÓN, MANTENIMIENTO Y REPARACIÓN)</v>
      </c>
      <c r="X556" s="57">
        <v>0</v>
      </c>
      <c r="Y556" s="57">
        <f>6300-1343.28</f>
        <v>4956.72</v>
      </c>
      <c r="Z556" s="58">
        <v>0</v>
      </c>
      <c r="AA556" s="58">
        <v>0</v>
      </c>
      <c r="AB556" s="58">
        <v>0</v>
      </c>
      <c r="AC556" s="58">
        <v>0</v>
      </c>
      <c r="AD556" s="58">
        <v>0</v>
      </c>
      <c r="AE556" s="58">
        <v>0</v>
      </c>
      <c r="AF556" s="58">
        <v>0</v>
      </c>
      <c r="AG556" s="58">
        <v>0</v>
      </c>
      <c r="AH556" s="58">
        <v>0</v>
      </c>
      <c r="AI556" s="58">
        <v>0</v>
      </c>
      <c r="AJ556" s="58">
        <v>4956.72</v>
      </c>
      <c r="AK556" s="58">
        <v>0</v>
      </c>
      <c r="AL556" s="75">
        <f>+SUBTOTAL(9,Tabla6[[#This Row],[ENE]:[DIC]])</f>
        <v>4956.72</v>
      </c>
      <c r="AM556" s="76" t="str">
        <f t="shared" si="11"/>
        <v>OK</v>
      </c>
      <c r="AN556" s="60">
        <f>6299.94-1343.22</f>
        <v>4956.7199999999993</v>
      </c>
      <c r="AO556" s="61">
        <f>+Tabla6[[#This Row],[PRESUPUESTO VIGENTE]]-Tabla6[[#This Row],[CERTIFICACIÓN PAPP]]</f>
        <v>0</v>
      </c>
      <c r="AP556" s="59">
        <v>0</v>
      </c>
    </row>
    <row r="557" spans="1:42" ht="93" customHeight="1" x14ac:dyDescent="0.25">
      <c r="A557" s="62" t="s">
        <v>78</v>
      </c>
      <c r="B557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557" s="64" t="s">
        <v>79</v>
      </c>
      <c r="D557" s="64" t="s">
        <v>80</v>
      </c>
      <c r="E557" s="64" t="s">
        <v>81</v>
      </c>
      <c r="F557" s="64" t="s">
        <v>99</v>
      </c>
      <c r="G557" s="64" t="s">
        <v>92</v>
      </c>
      <c r="H557" s="65" t="str">
        <f>VLOOKUP(Tabla6[[#This Row],[DIRECCIÓN]],DIRECCIÓN[#All],2,0)</f>
        <v>ADMINISTRACIÓN CENTRAL</v>
      </c>
      <c r="I557" s="66" t="s">
        <v>558</v>
      </c>
      <c r="J557" s="67">
        <v>1</v>
      </c>
      <c r="K557" s="68" t="str">
        <f>VLOOKUP(Tabla6[[#This Row],[DIRECCIÓN GENERAL / COORDINACIÓN / SUBDIRECCIÓN]],Tabla37[[#All],[Columna1]:[EOD]],2,0)</f>
        <v>266_0004</v>
      </c>
      <c r="L557" s="69">
        <f>VLOOKUP(Tabla6[[#This Row],[OBJETIVOS PND]],Listas!$A$1:$C$3,3,0)</f>
        <v>1</v>
      </c>
      <c r="M557" s="70">
        <f>VLOOKUP(Tabla6[[#This Row],[PG]],Listas2!$G$14:$K$16,5,0)</f>
        <v>0</v>
      </c>
      <c r="N557" s="71">
        <v>1</v>
      </c>
      <c r="O557" s="72">
        <v>1301</v>
      </c>
      <c r="P557" s="73" t="str">
        <f>VLOOKUP(Tabla6[[#This Row],[GEO]],Listas!$A$48:$B$77,2,0)</f>
        <v>PORTOVIEJO</v>
      </c>
      <c r="Q557" s="70">
        <f>VLOOKUP(Tabla6[[#This Row],[PG]],Listas2!$G$14:$K$16,3,0)</f>
        <v>1</v>
      </c>
      <c r="R557" s="73">
        <f>VLOOKUP(Tabla6[[#This Row],[PG]],Listas2!H67:'Listas2'!$G$14:$K$16,4,0)</f>
        <v>0</v>
      </c>
      <c r="S557" s="73">
        <f>VLOOKUP(Tabla6[[#This Row],[PG]],Listas2!$G$14:$K$16,2,0)</f>
        <v>0</v>
      </c>
      <c r="T557" s="66" t="s">
        <v>84</v>
      </c>
      <c r="U557" s="74">
        <v>53</v>
      </c>
      <c r="V557" s="66">
        <v>530402</v>
      </c>
      <c r="W557" s="63" t="str">
        <f>VLOOKUP(Tabla6[[#This Row],[ÍTEM PRESUPUESTARIO]],Tabla2[#All],2,0)</f>
        <v>EDIFICIOS, LOCALES, RESIDENCIAS Y CABLEADO ESTRUCTURADO (INSTALACIÓN, MANTENIMIENTO Y REPARACIÓN)</v>
      </c>
      <c r="X557" s="57">
        <v>0</v>
      </c>
      <c r="Y557" s="57">
        <f>4000+1610.89-212.39-3</f>
        <v>5395.5</v>
      </c>
      <c r="Z557" s="58">
        <v>0</v>
      </c>
      <c r="AA557" s="58">
        <v>0</v>
      </c>
      <c r="AB557" s="58">
        <v>0</v>
      </c>
      <c r="AC557" s="58">
        <v>0</v>
      </c>
      <c r="AD557" s="58">
        <v>0</v>
      </c>
      <c r="AE557" s="58">
        <v>0</v>
      </c>
      <c r="AF557" s="58">
        <v>0</v>
      </c>
      <c r="AG557" s="58">
        <v>0</v>
      </c>
      <c r="AH557" s="58">
        <v>0</v>
      </c>
      <c r="AI557" s="58">
        <v>5395.5</v>
      </c>
      <c r="AJ557" s="58">
        <v>0</v>
      </c>
      <c r="AK557" s="58">
        <v>0</v>
      </c>
      <c r="AL557" s="75">
        <f>+SUBTOTAL(9,Tabla6[[#This Row],[ENE]:[DIC]])</f>
        <v>5395.5</v>
      </c>
      <c r="AM557" s="76" t="str">
        <f t="shared" si="11"/>
        <v>OK</v>
      </c>
      <c r="AN557" s="60">
        <f>5398.5-3</f>
        <v>5395.5</v>
      </c>
      <c r="AO557" s="61">
        <f>+Tabla6[[#This Row],[PRESUPUESTO VIGENTE]]-Tabla6[[#This Row],[CERTIFICACIÓN PAPP]]</f>
        <v>0</v>
      </c>
      <c r="AP557" s="59">
        <v>0</v>
      </c>
    </row>
    <row r="558" spans="1:42" ht="93" customHeight="1" x14ac:dyDescent="0.25">
      <c r="A558" s="62" t="s">
        <v>78</v>
      </c>
      <c r="B558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558" s="64" t="s">
        <v>79</v>
      </c>
      <c r="D558" s="64" t="s">
        <v>80</v>
      </c>
      <c r="E558" s="64" t="s">
        <v>81</v>
      </c>
      <c r="F558" s="64" t="s">
        <v>99</v>
      </c>
      <c r="G558" s="64" t="s">
        <v>92</v>
      </c>
      <c r="H558" s="65" t="str">
        <f>VLOOKUP(Tabla6[[#This Row],[DIRECCIÓN]],DIRECCIÓN[#All],2,0)</f>
        <v>ADMINISTRACIÓN CENTRAL</v>
      </c>
      <c r="I558" s="66" t="s">
        <v>559</v>
      </c>
      <c r="J558" s="67">
        <v>1</v>
      </c>
      <c r="K558" s="68" t="str">
        <f>VLOOKUP(Tabla6[[#This Row],[DIRECCIÓN GENERAL / COORDINACIÓN / SUBDIRECCIÓN]],Tabla37[[#All],[Columna1]:[EOD]],2,0)</f>
        <v>266_0004</v>
      </c>
      <c r="L558" s="69">
        <f>VLOOKUP(Tabla6[[#This Row],[OBJETIVOS PND]],Listas!$A$1:$C$3,3,0)</f>
        <v>1</v>
      </c>
      <c r="M558" s="70">
        <f>VLOOKUP(Tabla6[[#This Row],[PG]],Listas2!$G$14:$K$16,5,0)</f>
        <v>0</v>
      </c>
      <c r="N558" s="71">
        <v>1</v>
      </c>
      <c r="O558" s="72">
        <v>1301</v>
      </c>
      <c r="P558" s="73" t="str">
        <f>VLOOKUP(Tabla6[[#This Row],[GEO]],Listas!$A$48:$B$77,2,0)</f>
        <v>PORTOVIEJO</v>
      </c>
      <c r="Q558" s="70">
        <f>VLOOKUP(Tabla6[[#This Row],[PG]],Listas2!$G$14:$K$16,3,0)</f>
        <v>1</v>
      </c>
      <c r="R558" s="73">
        <f>VLOOKUP(Tabla6[[#This Row],[PG]],Listas2!H68:'Listas2'!$G$14:$K$16,4,0)</f>
        <v>0</v>
      </c>
      <c r="S558" s="73">
        <f>VLOOKUP(Tabla6[[#This Row],[PG]],Listas2!$G$14:$K$16,2,0)</f>
        <v>0</v>
      </c>
      <c r="T558" s="66" t="s">
        <v>84</v>
      </c>
      <c r="U558" s="74">
        <v>53</v>
      </c>
      <c r="V558" s="66">
        <v>530403</v>
      </c>
      <c r="W558" s="63" t="str">
        <f>VLOOKUP(Tabla6[[#This Row],[ÍTEM PRESUPUESTARIO]],Tabla2[#All],2,0)</f>
        <v>MOBILIARIOS (INSTALACIÓN, MANTENIMIENTO Y REPARACIÓN)</v>
      </c>
      <c r="X558" s="57">
        <v>0</v>
      </c>
      <c r="Y558" s="57">
        <f>6300-3150+2830</f>
        <v>5980</v>
      </c>
      <c r="Z558" s="58">
        <v>0</v>
      </c>
      <c r="AA558" s="58">
        <v>0</v>
      </c>
      <c r="AB558" s="58">
        <v>0</v>
      </c>
      <c r="AC558" s="58">
        <v>0</v>
      </c>
      <c r="AD558" s="58">
        <v>0</v>
      </c>
      <c r="AE558" s="58">
        <v>0</v>
      </c>
      <c r="AF558" s="58">
        <v>0</v>
      </c>
      <c r="AG558" s="58">
        <v>0</v>
      </c>
      <c r="AH558" s="58">
        <v>0</v>
      </c>
      <c r="AI558" s="58">
        <v>0</v>
      </c>
      <c r="AJ558" s="58">
        <v>5980</v>
      </c>
      <c r="AK558" s="58">
        <v>0</v>
      </c>
      <c r="AL558" s="75">
        <f>+SUBTOTAL(9,Tabla6[[#This Row],[ENE]:[DIC]])</f>
        <v>5980</v>
      </c>
      <c r="AM558" s="76" t="str">
        <f t="shared" si="11"/>
        <v>OK</v>
      </c>
      <c r="AN558" s="60">
        <v>5980</v>
      </c>
      <c r="AO558" s="61">
        <f>+Tabla6[[#This Row],[PRESUPUESTO VIGENTE]]-Tabla6[[#This Row],[CERTIFICACIÓN PAPP]]</f>
        <v>0</v>
      </c>
      <c r="AP558" s="59">
        <v>0</v>
      </c>
    </row>
    <row r="559" spans="1:42" ht="93" customHeight="1" x14ac:dyDescent="0.25">
      <c r="A559" s="62" t="s">
        <v>78</v>
      </c>
      <c r="B559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559" s="64" t="s">
        <v>79</v>
      </c>
      <c r="D559" s="64" t="s">
        <v>80</v>
      </c>
      <c r="E559" s="64" t="s">
        <v>81</v>
      </c>
      <c r="F559" s="64" t="s">
        <v>99</v>
      </c>
      <c r="G559" s="64" t="s">
        <v>92</v>
      </c>
      <c r="H559" s="65" t="str">
        <f>VLOOKUP(Tabla6[[#This Row],[DIRECCIÓN]],DIRECCIÓN[#All],2,0)</f>
        <v>ADMINISTRACIÓN CENTRAL</v>
      </c>
      <c r="I559" s="66" t="s">
        <v>560</v>
      </c>
      <c r="J559" s="67">
        <v>1</v>
      </c>
      <c r="K559" s="68" t="str">
        <f>VLOOKUP(Tabla6[[#This Row],[DIRECCIÓN GENERAL / COORDINACIÓN / SUBDIRECCIÓN]],Tabla37[[#All],[Columna1]:[EOD]],2,0)</f>
        <v>266_0004</v>
      </c>
      <c r="L559" s="69">
        <f>VLOOKUP(Tabla6[[#This Row],[OBJETIVOS PND]],Listas!$A$1:$C$3,3,0)</f>
        <v>1</v>
      </c>
      <c r="M559" s="70">
        <f>VLOOKUP(Tabla6[[#This Row],[PG]],Listas2!$G$14:$K$16,5,0)</f>
        <v>0</v>
      </c>
      <c r="N559" s="71">
        <v>1</v>
      </c>
      <c r="O559" s="72">
        <v>1301</v>
      </c>
      <c r="P559" s="73" t="str">
        <f>VLOOKUP(Tabla6[[#This Row],[GEO]],Listas!$A$48:$B$77,2,0)</f>
        <v>PORTOVIEJO</v>
      </c>
      <c r="Q559" s="70">
        <f>VLOOKUP(Tabla6[[#This Row],[PG]],Listas2!$G$14:$K$16,3,0)</f>
        <v>1</v>
      </c>
      <c r="R559" s="73">
        <f>VLOOKUP(Tabla6[[#This Row],[PG]],Listas2!H69:'Listas2'!$G$14:$K$16,4,0)</f>
        <v>0</v>
      </c>
      <c r="S559" s="73">
        <f>VLOOKUP(Tabla6[[#This Row],[PG]],Listas2!$G$14:$K$16,2,0)</f>
        <v>0</v>
      </c>
      <c r="T559" s="66" t="s">
        <v>84</v>
      </c>
      <c r="U559" s="74">
        <v>53</v>
      </c>
      <c r="V559" s="66">
        <v>530404</v>
      </c>
      <c r="W559" s="63" t="str">
        <f>VLOOKUP(Tabla6[[#This Row],[ÍTEM PRESUPUESTARIO]],Tabla2[#All],2,0)</f>
        <v>MAQUINARIAS Y EQUIPOS (INSTALACIÓN, MANTENIMIENTO Y REPARACIÓN)</v>
      </c>
      <c r="X559" s="57">
        <v>0</v>
      </c>
      <c r="Y559" s="57">
        <f>710-70</f>
        <v>640</v>
      </c>
      <c r="Z559" s="58">
        <v>0</v>
      </c>
      <c r="AA559" s="58">
        <v>0</v>
      </c>
      <c r="AB559" s="58">
        <v>0</v>
      </c>
      <c r="AC559" s="58">
        <v>0</v>
      </c>
      <c r="AD559" s="58">
        <v>0</v>
      </c>
      <c r="AE559" s="58">
        <v>0</v>
      </c>
      <c r="AF559" s="58">
        <v>0</v>
      </c>
      <c r="AG559" s="58">
        <v>0</v>
      </c>
      <c r="AH559" s="58">
        <v>0</v>
      </c>
      <c r="AI559" s="58">
        <v>0</v>
      </c>
      <c r="AJ559" s="58">
        <v>640</v>
      </c>
      <c r="AK559" s="58">
        <v>0</v>
      </c>
      <c r="AL559" s="75">
        <f>+SUBTOTAL(9,Tabla6[[#This Row],[ENE]:[DIC]])</f>
        <v>640</v>
      </c>
      <c r="AM559" s="76" t="str">
        <f t="shared" si="11"/>
        <v>OK</v>
      </c>
      <c r="AN559" s="60">
        <v>640</v>
      </c>
      <c r="AO559" s="61">
        <f>+Tabla6[[#This Row],[PRESUPUESTO VIGENTE]]-Tabla6[[#This Row],[CERTIFICACIÓN PAPP]]</f>
        <v>0</v>
      </c>
      <c r="AP559" s="59">
        <v>0</v>
      </c>
    </row>
    <row r="560" spans="1:42" ht="93" customHeight="1" x14ac:dyDescent="0.25">
      <c r="A560" s="62" t="s">
        <v>78</v>
      </c>
      <c r="B560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560" s="64" t="s">
        <v>79</v>
      </c>
      <c r="D560" s="64" t="s">
        <v>80</v>
      </c>
      <c r="E560" s="64" t="s">
        <v>81</v>
      </c>
      <c r="F560" s="64" t="s">
        <v>99</v>
      </c>
      <c r="G560" s="64" t="s">
        <v>92</v>
      </c>
      <c r="H560" s="65" t="str">
        <f>VLOOKUP(Tabla6[[#This Row],[DIRECCIÓN]],DIRECCIÓN[#All],2,0)</f>
        <v>ADMINISTRACIÓN CENTRAL</v>
      </c>
      <c r="I560" s="66" t="s">
        <v>561</v>
      </c>
      <c r="J560" s="67">
        <v>1</v>
      </c>
      <c r="K560" s="68" t="str">
        <f>VLOOKUP(Tabla6[[#This Row],[DIRECCIÓN GENERAL / COORDINACIÓN / SUBDIRECCIÓN]],Tabla37[[#All],[Columna1]:[EOD]],2,0)</f>
        <v>266_0004</v>
      </c>
      <c r="L560" s="69">
        <f>VLOOKUP(Tabla6[[#This Row],[OBJETIVOS PND]],Listas!$A$1:$C$3,3,0)</f>
        <v>1</v>
      </c>
      <c r="M560" s="70">
        <f>VLOOKUP(Tabla6[[#This Row],[PG]],Listas2!$G$14:$K$16,5,0)</f>
        <v>0</v>
      </c>
      <c r="N560" s="71">
        <v>1</v>
      </c>
      <c r="O560" s="72">
        <v>1301</v>
      </c>
      <c r="P560" s="73" t="str">
        <f>VLOOKUP(Tabla6[[#This Row],[GEO]],Listas!$A$48:$B$77,2,0)</f>
        <v>PORTOVIEJO</v>
      </c>
      <c r="Q560" s="70">
        <f>VLOOKUP(Tabla6[[#This Row],[PG]],Listas2!$G$14:$K$16,3,0)</f>
        <v>1</v>
      </c>
      <c r="R560" s="73">
        <f>VLOOKUP(Tabla6[[#This Row],[PG]],Listas2!H70:'Listas2'!$G$14:$K$16,4,0)</f>
        <v>0</v>
      </c>
      <c r="S560" s="73">
        <f>VLOOKUP(Tabla6[[#This Row],[PG]],Listas2!$G$14:$K$16,2,0)</f>
        <v>0</v>
      </c>
      <c r="T560" s="66" t="s">
        <v>84</v>
      </c>
      <c r="U560" s="74">
        <v>53</v>
      </c>
      <c r="V560" s="66">
        <v>530405</v>
      </c>
      <c r="W560" s="63" t="str">
        <f>VLOOKUP(Tabla6[[#This Row],[ÍTEM PRESUPUESTARIO]],Tabla2[#All],2,0)</f>
        <v>VEHÍCULOS (SERVICIO PARA MANTENIMIENTO Y REPARACIÓN)</v>
      </c>
      <c r="X560" s="57">
        <v>3000</v>
      </c>
      <c r="Y560" s="57">
        <f>3000-500-670.46</f>
        <v>1829.54</v>
      </c>
      <c r="Z560" s="58">
        <v>0</v>
      </c>
      <c r="AA560" s="58">
        <v>500</v>
      </c>
      <c r="AB560" s="58">
        <v>0</v>
      </c>
      <c r="AC560" s="58">
        <v>500</v>
      </c>
      <c r="AD560" s="58">
        <v>0</v>
      </c>
      <c r="AE560" s="58">
        <v>500</v>
      </c>
      <c r="AF560" s="58">
        <v>0</v>
      </c>
      <c r="AG560" s="58">
        <v>329.54</v>
      </c>
      <c r="AH560" s="58">
        <v>0</v>
      </c>
      <c r="AI560" s="58">
        <v>0</v>
      </c>
      <c r="AJ560" s="58">
        <v>0</v>
      </c>
      <c r="AK560" s="58">
        <v>0</v>
      </c>
      <c r="AL560" s="75">
        <f>+SUBTOTAL(9,Tabla6[[#This Row],[ENE]:[DIC]])</f>
        <v>1829.54</v>
      </c>
      <c r="AM560" s="76" t="str">
        <f t="shared" si="11"/>
        <v>OK</v>
      </c>
      <c r="AN560" s="60">
        <f>2500-670.46</f>
        <v>1829.54</v>
      </c>
      <c r="AO560" s="61">
        <f>+Tabla6[[#This Row],[PRESUPUESTO VIGENTE]]-Tabla6[[#This Row],[CERTIFICACIÓN PAPP]]</f>
        <v>0</v>
      </c>
      <c r="AP560" s="59">
        <v>0</v>
      </c>
    </row>
    <row r="561" spans="1:42" ht="93" customHeight="1" x14ac:dyDescent="0.25">
      <c r="A561" s="62" t="s">
        <v>78</v>
      </c>
      <c r="B561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561" s="64" t="s">
        <v>79</v>
      </c>
      <c r="D561" s="64" t="s">
        <v>80</v>
      </c>
      <c r="E561" s="64" t="s">
        <v>81</v>
      </c>
      <c r="F561" s="64" t="s">
        <v>99</v>
      </c>
      <c r="G561" s="64" t="s">
        <v>92</v>
      </c>
      <c r="H561" s="65" t="str">
        <f>VLOOKUP(Tabla6[[#This Row],[DIRECCIÓN]],DIRECCIÓN[#All],2,0)</f>
        <v>ADMINISTRACIÓN CENTRAL</v>
      </c>
      <c r="I561" s="66" t="s">
        <v>562</v>
      </c>
      <c r="J561" s="67">
        <v>1</v>
      </c>
      <c r="K561" s="68" t="str">
        <f>VLOOKUP(Tabla6[[#This Row],[DIRECCIÓN GENERAL / COORDINACIÓN / SUBDIRECCIÓN]],Tabla37[[#All],[Columna1]:[EOD]],2,0)</f>
        <v>266_0004</v>
      </c>
      <c r="L561" s="69">
        <f>VLOOKUP(Tabla6[[#This Row],[OBJETIVOS PND]],Listas!$A$1:$C$3,3,0)</f>
        <v>1</v>
      </c>
      <c r="M561" s="70">
        <f>VLOOKUP(Tabla6[[#This Row],[PG]],Listas2!$G$14:$K$16,5,0)</f>
        <v>0</v>
      </c>
      <c r="N561" s="71">
        <v>1</v>
      </c>
      <c r="O561" s="72">
        <v>1301</v>
      </c>
      <c r="P561" s="73" t="str">
        <f>VLOOKUP(Tabla6[[#This Row],[GEO]],Listas!$A$48:$B$77,2,0)</f>
        <v>PORTOVIEJO</v>
      </c>
      <c r="Q561" s="70">
        <f>VLOOKUP(Tabla6[[#This Row],[PG]],Listas2!$G$14:$K$16,3,0)</f>
        <v>1</v>
      </c>
      <c r="R561" s="73">
        <f>VLOOKUP(Tabla6[[#This Row],[PG]],Listas2!H71:'Listas2'!$G$14:$K$16,4,0)</f>
        <v>0</v>
      </c>
      <c r="S561" s="73">
        <f>VLOOKUP(Tabla6[[#This Row],[PG]],Listas2!$G$14:$K$16,2,0)</f>
        <v>0</v>
      </c>
      <c r="T561" s="66" t="s">
        <v>84</v>
      </c>
      <c r="U561" s="74">
        <v>53</v>
      </c>
      <c r="V561" s="66">
        <v>530802</v>
      </c>
      <c r="W561" s="63" t="str">
        <f>VLOOKUP(Tabla6[[#This Row],[ÍTEM PRESUPUESTARIO]],Tabla2[#All],2,0)</f>
        <v>VESTUARIO, LENCERÍA, PRENDAS DE PROTECCIÓN Y ACCESORIOS PARA UNIFORMES DEL PERSONAL DE PROTECCIÓN, VIGILANCIA Y SEGURIDAD</v>
      </c>
      <c r="X561" s="57">
        <v>5000</v>
      </c>
      <c r="Y561" s="57">
        <f>5000-5000</f>
        <v>0</v>
      </c>
      <c r="Z561" s="58">
        <v>0</v>
      </c>
      <c r="AA561" s="58">
        <v>0</v>
      </c>
      <c r="AB561" s="58">
        <v>0</v>
      </c>
      <c r="AC561" s="58">
        <v>0</v>
      </c>
      <c r="AD561" s="58">
        <v>0</v>
      </c>
      <c r="AE561" s="58">
        <v>0</v>
      </c>
      <c r="AF561" s="58">
        <v>0</v>
      </c>
      <c r="AG561" s="58">
        <v>0</v>
      </c>
      <c r="AH561" s="58">
        <v>0</v>
      </c>
      <c r="AI561" s="58">
        <v>0</v>
      </c>
      <c r="AJ561" s="58">
        <v>0</v>
      </c>
      <c r="AK561" s="58">
        <v>0</v>
      </c>
      <c r="AL561" s="75">
        <f>+SUBTOTAL(9,Tabla6[[#This Row],[ENE]:[DIC]])</f>
        <v>0</v>
      </c>
      <c r="AM561" s="76" t="str">
        <f t="shared" si="11"/>
        <v>OK</v>
      </c>
      <c r="AN561" s="60">
        <v>0</v>
      </c>
      <c r="AO561" s="61">
        <f>+Tabla6[[#This Row],[PRESUPUESTO VIGENTE]]-Tabla6[[#This Row],[CERTIFICACIÓN PAPP]]</f>
        <v>0</v>
      </c>
      <c r="AP561" s="59">
        <v>0</v>
      </c>
    </row>
    <row r="562" spans="1:42" ht="93" customHeight="1" x14ac:dyDescent="0.25">
      <c r="A562" s="62" t="s">
        <v>78</v>
      </c>
      <c r="B562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562" s="64" t="s">
        <v>79</v>
      </c>
      <c r="D562" s="64" t="s">
        <v>80</v>
      </c>
      <c r="E562" s="64" t="s">
        <v>81</v>
      </c>
      <c r="F562" s="64" t="s">
        <v>99</v>
      </c>
      <c r="G562" s="64" t="s">
        <v>92</v>
      </c>
      <c r="H562" s="65" t="str">
        <f>VLOOKUP(Tabla6[[#This Row],[DIRECCIÓN]],DIRECCIÓN[#All],2,0)</f>
        <v>ADMINISTRACIÓN CENTRAL</v>
      </c>
      <c r="I562" s="66" t="s">
        <v>563</v>
      </c>
      <c r="J562" s="67">
        <v>1</v>
      </c>
      <c r="K562" s="68" t="str">
        <f>VLOOKUP(Tabla6[[#This Row],[DIRECCIÓN GENERAL / COORDINACIÓN / SUBDIRECCIÓN]],Tabla37[[#All],[Columna1]:[EOD]],2,0)</f>
        <v>266_0004</v>
      </c>
      <c r="L562" s="69">
        <f>VLOOKUP(Tabla6[[#This Row],[OBJETIVOS PND]],Listas!$A$1:$C$3,3,0)</f>
        <v>1</v>
      </c>
      <c r="M562" s="70">
        <f>VLOOKUP(Tabla6[[#This Row],[PG]],Listas2!$G$14:$K$16,5,0)</f>
        <v>0</v>
      </c>
      <c r="N562" s="71">
        <v>1</v>
      </c>
      <c r="O562" s="72">
        <v>1301</v>
      </c>
      <c r="P562" s="73" t="str">
        <f>VLOOKUP(Tabla6[[#This Row],[GEO]],Listas!$A$48:$B$77,2,0)</f>
        <v>PORTOVIEJO</v>
      </c>
      <c r="Q562" s="70">
        <f>VLOOKUP(Tabla6[[#This Row],[PG]],Listas2!$G$14:$K$16,3,0)</f>
        <v>1</v>
      </c>
      <c r="R562" s="73">
        <f>VLOOKUP(Tabla6[[#This Row],[PG]],Listas2!H72:'Listas2'!$G$14:$K$16,4,0)</f>
        <v>0</v>
      </c>
      <c r="S562" s="73">
        <f>VLOOKUP(Tabla6[[#This Row],[PG]],Listas2!$G$14:$K$16,2,0)</f>
        <v>0</v>
      </c>
      <c r="T562" s="66" t="s">
        <v>84</v>
      </c>
      <c r="U562" s="74">
        <v>53</v>
      </c>
      <c r="V562" s="66">
        <v>530802</v>
      </c>
      <c r="W562" s="63" t="str">
        <f>VLOOKUP(Tabla6[[#This Row],[ÍTEM PRESUPUESTARIO]],Tabla2[#All],2,0)</f>
        <v>VESTUARIO, LENCERÍA, PRENDAS DE PROTECCIÓN Y ACCESORIOS PARA UNIFORMES DEL PERSONAL DE PROTECCIÓN, VIGILANCIA Y SEGURIDAD</v>
      </c>
      <c r="X562" s="57">
        <v>0</v>
      </c>
      <c r="Y562" s="57">
        <f>2000-151.74-102.68</f>
        <v>1745.58</v>
      </c>
      <c r="Z562" s="58">
        <v>0</v>
      </c>
      <c r="AA562" s="58">
        <v>0</v>
      </c>
      <c r="AB562" s="58">
        <v>0</v>
      </c>
      <c r="AC562" s="58">
        <v>0</v>
      </c>
      <c r="AD562" s="58">
        <v>0</v>
      </c>
      <c r="AE562" s="58">
        <v>0</v>
      </c>
      <c r="AF562" s="58">
        <v>0</v>
      </c>
      <c r="AG562" s="58">
        <v>1745.58</v>
      </c>
      <c r="AH562" s="58">
        <v>0</v>
      </c>
      <c r="AI562" s="58">
        <v>0</v>
      </c>
      <c r="AJ562" s="58">
        <v>0</v>
      </c>
      <c r="AK562" s="58">
        <v>0</v>
      </c>
      <c r="AL562" s="75">
        <f>+SUBTOTAL(9,Tabla6[[#This Row],[ENE]:[DIC]])</f>
        <v>1745.58</v>
      </c>
      <c r="AM562" s="76" t="str">
        <f t="shared" si="11"/>
        <v>OK</v>
      </c>
      <c r="AN562" s="60">
        <f>1848.26-102.68</f>
        <v>1745.58</v>
      </c>
      <c r="AO562" s="61">
        <f>+Tabla6[[#This Row],[PRESUPUESTO VIGENTE]]-Tabla6[[#This Row],[CERTIFICACIÓN PAPP]]</f>
        <v>0</v>
      </c>
      <c r="AP562" s="59">
        <v>0</v>
      </c>
    </row>
    <row r="563" spans="1:42" ht="93" customHeight="1" x14ac:dyDescent="0.25">
      <c r="A563" s="62" t="s">
        <v>78</v>
      </c>
      <c r="B563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563" s="64" t="s">
        <v>79</v>
      </c>
      <c r="D563" s="64" t="s">
        <v>80</v>
      </c>
      <c r="E563" s="64" t="s">
        <v>81</v>
      </c>
      <c r="F563" s="64" t="s">
        <v>99</v>
      </c>
      <c r="G563" s="64" t="s">
        <v>92</v>
      </c>
      <c r="H563" s="65" t="str">
        <f>VLOOKUP(Tabla6[[#This Row],[DIRECCIÓN]],DIRECCIÓN[#All],2,0)</f>
        <v>ADMINISTRACIÓN CENTRAL</v>
      </c>
      <c r="I563" s="66" t="s">
        <v>564</v>
      </c>
      <c r="J563" s="67">
        <v>1</v>
      </c>
      <c r="K563" s="68" t="str">
        <f>VLOOKUP(Tabla6[[#This Row],[DIRECCIÓN GENERAL / COORDINACIÓN / SUBDIRECCIÓN]],Tabla37[[#All],[Columna1]:[EOD]],2,0)</f>
        <v>266_0004</v>
      </c>
      <c r="L563" s="69">
        <f>VLOOKUP(Tabla6[[#This Row],[OBJETIVOS PND]],Listas!$A$1:$C$3,3,0)</f>
        <v>1</v>
      </c>
      <c r="M563" s="70">
        <f>VLOOKUP(Tabla6[[#This Row],[PG]],Listas2!$G$14:$K$16,5,0)</f>
        <v>0</v>
      </c>
      <c r="N563" s="71">
        <v>1</v>
      </c>
      <c r="O563" s="72">
        <v>1301</v>
      </c>
      <c r="P563" s="73" t="str">
        <f>VLOOKUP(Tabla6[[#This Row],[GEO]],Listas!$A$48:$B$77,2,0)</f>
        <v>PORTOVIEJO</v>
      </c>
      <c r="Q563" s="70">
        <f>VLOOKUP(Tabla6[[#This Row],[PG]],Listas2!$G$14:$K$16,3,0)</f>
        <v>1</v>
      </c>
      <c r="R563" s="73">
        <f>VLOOKUP(Tabla6[[#This Row],[PG]],Listas2!H73:'Listas2'!$G$14:$K$16,4,0)</f>
        <v>0</v>
      </c>
      <c r="S563" s="73">
        <f>VLOOKUP(Tabla6[[#This Row],[PG]],Listas2!$G$14:$K$16,2,0)</f>
        <v>0</v>
      </c>
      <c r="T563" s="66" t="s">
        <v>84</v>
      </c>
      <c r="U563" s="74">
        <v>53</v>
      </c>
      <c r="V563" s="66">
        <v>530802</v>
      </c>
      <c r="W563" s="63" t="str">
        <f>VLOOKUP(Tabla6[[#This Row],[ÍTEM PRESUPUESTARIO]],Tabla2[#All],2,0)</f>
        <v>VESTUARIO, LENCERÍA, PRENDAS DE PROTECCIÓN Y ACCESORIOS PARA UNIFORMES DEL PERSONAL DE PROTECCIÓN, VIGILANCIA Y SEGURIDAD</v>
      </c>
      <c r="X563" s="57">
        <v>0</v>
      </c>
      <c r="Y563" s="57">
        <f>3000-3000+1774.54-938.61+778.68+174.5-1789.11</f>
        <v>0</v>
      </c>
      <c r="Z563" s="58">
        <v>0</v>
      </c>
      <c r="AA563" s="58">
        <v>0</v>
      </c>
      <c r="AB563" s="58">
        <v>0</v>
      </c>
      <c r="AC563" s="58">
        <v>0</v>
      </c>
      <c r="AD563" s="58">
        <v>0</v>
      </c>
      <c r="AE563" s="58">
        <v>0</v>
      </c>
      <c r="AF563" s="58">
        <v>0</v>
      </c>
      <c r="AG563" s="58">
        <v>0</v>
      </c>
      <c r="AH563" s="58">
        <v>0</v>
      </c>
      <c r="AI563" s="58">
        <v>0</v>
      </c>
      <c r="AJ563" s="58">
        <v>0</v>
      </c>
      <c r="AK563" s="58">
        <v>0</v>
      </c>
      <c r="AL563" s="75">
        <f>+SUBTOTAL(9,Tabla6[[#This Row],[ENE]:[DIC]])</f>
        <v>0</v>
      </c>
      <c r="AM563" s="76" t="str">
        <f t="shared" si="11"/>
        <v>OK</v>
      </c>
      <c r="AN563" s="60">
        <v>0</v>
      </c>
      <c r="AO563" s="61">
        <f>+Tabla6[[#This Row],[PRESUPUESTO VIGENTE]]-Tabla6[[#This Row],[CERTIFICACIÓN PAPP]]</f>
        <v>0</v>
      </c>
      <c r="AP563" s="59">
        <v>0</v>
      </c>
    </row>
    <row r="564" spans="1:42" ht="93" customHeight="1" x14ac:dyDescent="0.25">
      <c r="A564" s="62" t="s">
        <v>78</v>
      </c>
      <c r="B564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564" s="64" t="s">
        <v>79</v>
      </c>
      <c r="D564" s="64" t="s">
        <v>80</v>
      </c>
      <c r="E564" s="64" t="s">
        <v>81</v>
      </c>
      <c r="F564" s="64" t="s">
        <v>99</v>
      </c>
      <c r="G564" s="64" t="s">
        <v>92</v>
      </c>
      <c r="H564" s="65" t="str">
        <f>VLOOKUP(Tabla6[[#This Row],[DIRECCIÓN]],DIRECCIÓN[#All],2,0)</f>
        <v>ADMINISTRACIÓN CENTRAL</v>
      </c>
      <c r="I564" s="66" t="s">
        <v>561</v>
      </c>
      <c r="J564" s="67">
        <v>1</v>
      </c>
      <c r="K564" s="68" t="str">
        <f>VLOOKUP(Tabla6[[#This Row],[DIRECCIÓN GENERAL / COORDINACIÓN / SUBDIRECCIÓN]],Tabla37[[#All],[Columna1]:[EOD]],2,0)</f>
        <v>266_0004</v>
      </c>
      <c r="L564" s="69">
        <f>VLOOKUP(Tabla6[[#This Row],[OBJETIVOS PND]],Listas!$A$1:$C$3,3,0)</f>
        <v>1</v>
      </c>
      <c r="M564" s="70">
        <f>VLOOKUP(Tabla6[[#This Row],[PG]],Listas2!$G$14:$K$16,5,0)</f>
        <v>0</v>
      </c>
      <c r="N564" s="71">
        <v>1</v>
      </c>
      <c r="O564" s="72">
        <v>1301</v>
      </c>
      <c r="P564" s="73" t="str">
        <f>VLOOKUP(Tabla6[[#This Row],[GEO]],Listas!$A$48:$B$77,2,0)</f>
        <v>PORTOVIEJO</v>
      </c>
      <c r="Q564" s="70">
        <f>VLOOKUP(Tabla6[[#This Row],[PG]],Listas2!$G$14:$K$16,3,0)</f>
        <v>1</v>
      </c>
      <c r="R564" s="73">
        <f>VLOOKUP(Tabla6[[#This Row],[PG]],Listas2!H74:'Listas2'!$G$14:$K$16,4,0)</f>
        <v>0</v>
      </c>
      <c r="S564" s="73">
        <f>VLOOKUP(Tabla6[[#This Row],[PG]],Listas2!$G$14:$K$16,2,0)</f>
        <v>0</v>
      </c>
      <c r="T564" s="66" t="s">
        <v>84</v>
      </c>
      <c r="U564" s="74">
        <v>53</v>
      </c>
      <c r="V564" s="66">
        <v>530803</v>
      </c>
      <c r="W564" s="63" t="str">
        <f>VLOOKUP(Tabla6[[#This Row],[ÍTEM PRESUPUESTARIO]],Tabla2[#All],2,0)</f>
        <v>LUBRICANTES</v>
      </c>
      <c r="X564" s="57">
        <v>2000</v>
      </c>
      <c r="Y564" s="57">
        <f>2000-500-1087.56</f>
        <v>412.44000000000005</v>
      </c>
      <c r="Z564" s="58">
        <v>0</v>
      </c>
      <c r="AA564" s="58">
        <v>300</v>
      </c>
      <c r="AB564" s="58">
        <v>0</v>
      </c>
      <c r="AC564" s="58">
        <v>112.44</v>
      </c>
      <c r="AD564" s="58">
        <v>0</v>
      </c>
      <c r="AE564" s="58">
        <v>0</v>
      </c>
      <c r="AF564" s="58">
        <v>0</v>
      </c>
      <c r="AG564" s="58">
        <v>0</v>
      </c>
      <c r="AH564" s="58">
        <v>0</v>
      </c>
      <c r="AI564" s="58">
        <v>0</v>
      </c>
      <c r="AJ564" s="58">
        <v>0</v>
      </c>
      <c r="AK564" s="58">
        <v>0</v>
      </c>
      <c r="AL564" s="75">
        <f>+SUBTOTAL(9,Tabla6[[#This Row],[ENE]:[DIC]])</f>
        <v>412.44</v>
      </c>
      <c r="AM564" s="76" t="str">
        <f t="shared" si="11"/>
        <v>OK</v>
      </c>
      <c r="AN564" s="60">
        <f>1500-1087.56</f>
        <v>412.44000000000005</v>
      </c>
      <c r="AO564" s="61">
        <f>+Tabla6[[#This Row],[PRESUPUESTO VIGENTE]]-Tabla6[[#This Row],[CERTIFICACIÓN PAPP]]</f>
        <v>0</v>
      </c>
      <c r="AP564" s="59">
        <v>0</v>
      </c>
    </row>
    <row r="565" spans="1:42" ht="93" customHeight="1" x14ac:dyDescent="0.25">
      <c r="A565" s="62" t="s">
        <v>78</v>
      </c>
      <c r="B565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565" s="64" t="s">
        <v>79</v>
      </c>
      <c r="D565" s="64" t="s">
        <v>80</v>
      </c>
      <c r="E565" s="64" t="s">
        <v>81</v>
      </c>
      <c r="F565" s="64" t="s">
        <v>99</v>
      </c>
      <c r="G565" s="64" t="s">
        <v>92</v>
      </c>
      <c r="H565" s="65" t="str">
        <f>VLOOKUP(Tabla6[[#This Row],[DIRECCIÓN]],DIRECCIÓN[#All],2,0)</f>
        <v>ADMINISTRACIÓN CENTRAL</v>
      </c>
      <c r="I565" s="66" t="s">
        <v>548</v>
      </c>
      <c r="J565" s="67">
        <v>1</v>
      </c>
      <c r="K565" s="68" t="str">
        <f>VLOOKUP(Tabla6[[#This Row],[DIRECCIÓN GENERAL / COORDINACIÓN / SUBDIRECCIÓN]],Tabla37[[#All],[Columna1]:[EOD]],2,0)</f>
        <v>266_0004</v>
      </c>
      <c r="L565" s="69">
        <f>VLOOKUP(Tabla6[[#This Row],[OBJETIVOS PND]],Listas!$A$1:$C$3,3,0)</f>
        <v>1</v>
      </c>
      <c r="M565" s="70">
        <f>VLOOKUP(Tabla6[[#This Row],[PG]],Listas2!$G$14:$K$16,5,0)</f>
        <v>0</v>
      </c>
      <c r="N565" s="71">
        <v>1</v>
      </c>
      <c r="O565" s="72">
        <v>1301</v>
      </c>
      <c r="P565" s="73" t="str">
        <f>VLOOKUP(Tabla6[[#This Row],[GEO]],Listas!$A$48:$B$77,2,0)</f>
        <v>PORTOVIEJO</v>
      </c>
      <c r="Q565" s="70">
        <f>VLOOKUP(Tabla6[[#This Row],[PG]],Listas2!$G$14:$K$16,3,0)</f>
        <v>1</v>
      </c>
      <c r="R565" s="73">
        <f>VLOOKUP(Tabla6[[#This Row],[PG]],Listas2!H75:'Listas2'!$G$14:$K$16,4,0)</f>
        <v>0</v>
      </c>
      <c r="S565" s="73">
        <f>VLOOKUP(Tabla6[[#This Row],[PG]],Listas2!$G$14:$K$16,2,0)</f>
        <v>0</v>
      </c>
      <c r="T565" s="66" t="s">
        <v>84</v>
      </c>
      <c r="U565" s="74">
        <v>53</v>
      </c>
      <c r="V565" s="66">
        <v>530803</v>
      </c>
      <c r="W565" s="63" t="str">
        <f>VLOOKUP(Tabla6[[#This Row],[ÍTEM PRESUPUESTARIO]],Tabla2[#All],2,0)</f>
        <v>LUBRICANTES</v>
      </c>
      <c r="X565" s="57">
        <v>4000</v>
      </c>
      <c r="Y565" s="57">
        <v>0</v>
      </c>
      <c r="Z565" s="58">
        <v>0</v>
      </c>
      <c r="AA565" s="58">
        <v>0</v>
      </c>
      <c r="AB565" s="58">
        <v>0</v>
      </c>
      <c r="AC565" s="58">
        <v>0</v>
      </c>
      <c r="AD565" s="58">
        <v>0</v>
      </c>
      <c r="AE565" s="58">
        <v>0</v>
      </c>
      <c r="AF565" s="58">
        <v>0</v>
      </c>
      <c r="AG565" s="58">
        <v>0</v>
      </c>
      <c r="AH565" s="58">
        <v>0</v>
      </c>
      <c r="AI565" s="58">
        <v>0</v>
      </c>
      <c r="AJ565" s="58">
        <v>0</v>
      </c>
      <c r="AK565" s="58">
        <v>0</v>
      </c>
      <c r="AL565" s="75">
        <f>+SUBTOTAL(9,Tabla6[[#This Row],[ENE]:[DIC]])</f>
        <v>0</v>
      </c>
      <c r="AM565" s="76" t="str">
        <f t="shared" si="11"/>
        <v>OK</v>
      </c>
      <c r="AN565" s="60">
        <v>0</v>
      </c>
      <c r="AO565" s="61">
        <f>+Tabla6[[#This Row],[PRESUPUESTO VIGENTE]]-Tabla6[[#This Row],[CERTIFICACIÓN PAPP]]</f>
        <v>0</v>
      </c>
      <c r="AP565" s="59">
        <v>0</v>
      </c>
    </row>
    <row r="566" spans="1:42" ht="93" customHeight="1" x14ac:dyDescent="0.25">
      <c r="A566" s="62" t="s">
        <v>78</v>
      </c>
      <c r="B566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566" s="64" t="s">
        <v>79</v>
      </c>
      <c r="D566" s="64" t="s">
        <v>80</v>
      </c>
      <c r="E566" s="64" t="s">
        <v>81</v>
      </c>
      <c r="F566" s="64" t="s">
        <v>99</v>
      </c>
      <c r="G566" s="64" t="s">
        <v>92</v>
      </c>
      <c r="H566" s="65" t="str">
        <f>VLOOKUP(Tabla6[[#This Row],[DIRECCIÓN]],DIRECCIÓN[#All],2,0)</f>
        <v>ADMINISTRACIÓN CENTRAL</v>
      </c>
      <c r="I566" s="66" t="s">
        <v>565</v>
      </c>
      <c r="J566" s="67">
        <v>1</v>
      </c>
      <c r="K566" s="68" t="str">
        <f>VLOOKUP(Tabla6[[#This Row],[DIRECCIÓN GENERAL / COORDINACIÓN / SUBDIRECCIÓN]],Tabla37[[#All],[Columna1]:[EOD]],2,0)</f>
        <v>266_0004</v>
      </c>
      <c r="L566" s="69">
        <f>VLOOKUP(Tabla6[[#This Row],[OBJETIVOS PND]],Listas!$A$1:$C$3,3,0)</f>
        <v>1</v>
      </c>
      <c r="M566" s="70">
        <f>VLOOKUP(Tabla6[[#This Row],[PG]],Listas2!$G$14:$K$16,5,0)</f>
        <v>0</v>
      </c>
      <c r="N566" s="71">
        <v>1</v>
      </c>
      <c r="O566" s="72">
        <v>1301</v>
      </c>
      <c r="P566" s="73" t="str">
        <f>VLOOKUP(Tabla6[[#This Row],[GEO]],Listas!$A$48:$B$77,2,0)</f>
        <v>PORTOVIEJO</v>
      </c>
      <c r="Q566" s="70">
        <f>VLOOKUP(Tabla6[[#This Row],[PG]],Listas2!$G$14:$K$16,3,0)</f>
        <v>1</v>
      </c>
      <c r="R566" s="73">
        <f>VLOOKUP(Tabla6[[#This Row],[PG]],Listas2!H76:'Listas2'!$G$14:$K$16,4,0)</f>
        <v>0</v>
      </c>
      <c r="S566" s="73">
        <f>VLOOKUP(Tabla6[[#This Row],[PG]],Listas2!$G$14:$K$16,2,0)</f>
        <v>0</v>
      </c>
      <c r="T566" s="66" t="s">
        <v>84</v>
      </c>
      <c r="U566" s="74">
        <v>53</v>
      </c>
      <c r="V566" s="66">
        <v>530803</v>
      </c>
      <c r="W566" s="63" t="str">
        <f>VLOOKUP(Tabla6[[#This Row],[ÍTEM PRESUPUESTARIO]],Tabla2[#All],2,0)</f>
        <v>LUBRICANTES</v>
      </c>
      <c r="X566" s="57">
        <v>0</v>
      </c>
      <c r="Y566" s="57">
        <f>350-175+142.72</f>
        <v>317.72000000000003</v>
      </c>
      <c r="Z566" s="58">
        <v>0</v>
      </c>
      <c r="AA566" s="58">
        <v>0</v>
      </c>
      <c r="AB566" s="58">
        <v>0</v>
      </c>
      <c r="AC566" s="58">
        <v>0</v>
      </c>
      <c r="AD566" s="58">
        <v>0</v>
      </c>
      <c r="AE566" s="58">
        <v>0</v>
      </c>
      <c r="AF566" s="58">
        <v>0</v>
      </c>
      <c r="AG566" s="58">
        <v>0</v>
      </c>
      <c r="AH566" s="58">
        <v>0</v>
      </c>
      <c r="AI566" s="58">
        <v>0</v>
      </c>
      <c r="AJ566" s="58">
        <v>317.72000000000003</v>
      </c>
      <c r="AK566" s="58">
        <v>0</v>
      </c>
      <c r="AL566" s="75">
        <f>+SUBTOTAL(9,Tabla6[[#This Row],[ENE]:[DIC]])</f>
        <v>317.72000000000003</v>
      </c>
      <c r="AM566" s="76" t="str">
        <f t="shared" si="11"/>
        <v>OK</v>
      </c>
      <c r="AN566" s="60">
        <v>317.72000000000003</v>
      </c>
      <c r="AO566" s="61">
        <f>+Tabla6[[#This Row],[PRESUPUESTO VIGENTE]]-Tabla6[[#This Row],[CERTIFICACIÓN PAPP]]</f>
        <v>0</v>
      </c>
      <c r="AP566" s="59">
        <v>0</v>
      </c>
    </row>
    <row r="567" spans="1:42" ht="93" customHeight="1" x14ac:dyDescent="0.25">
      <c r="A567" s="62" t="s">
        <v>78</v>
      </c>
      <c r="B567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567" s="64" t="s">
        <v>79</v>
      </c>
      <c r="D567" s="64" t="s">
        <v>80</v>
      </c>
      <c r="E567" s="64" t="s">
        <v>81</v>
      </c>
      <c r="F567" s="64" t="s">
        <v>99</v>
      </c>
      <c r="G567" s="64" t="s">
        <v>92</v>
      </c>
      <c r="H567" s="65" t="str">
        <f>VLOOKUP(Tabla6[[#This Row],[DIRECCIÓN]],DIRECCIÓN[#All],2,0)</f>
        <v>ADMINISTRACIÓN CENTRAL</v>
      </c>
      <c r="I567" s="66" t="s">
        <v>566</v>
      </c>
      <c r="J567" s="67">
        <v>1</v>
      </c>
      <c r="K567" s="68" t="str">
        <f>VLOOKUP(Tabla6[[#This Row],[DIRECCIÓN GENERAL / COORDINACIÓN / SUBDIRECCIÓN]],Tabla37[[#All],[Columna1]:[EOD]],2,0)</f>
        <v>266_0004</v>
      </c>
      <c r="L567" s="69">
        <f>VLOOKUP(Tabla6[[#This Row],[OBJETIVOS PND]],Listas!$A$1:$C$3,3,0)</f>
        <v>1</v>
      </c>
      <c r="M567" s="70">
        <f>VLOOKUP(Tabla6[[#This Row],[PG]],Listas2!$G$14:$K$16,5,0)</f>
        <v>0</v>
      </c>
      <c r="N567" s="71">
        <v>1</v>
      </c>
      <c r="O567" s="72">
        <v>1301</v>
      </c>
      <c r="P567" s="73" t="str">
        <f>VLOOKUP(Tabla6[[#This Row],[GEO]],Listas!$A$48:$B$77,2,0)</f>
        <v>PORTOVIEJO</v>
      </c>
      <c r="Q567" s="70">
        <f>VLOOKUP(Tabla6[[#This Row],[PG]],Listas2!$G$14:$K$16,3,0)</f>
        <v>1</v>
      </c>
      <c r="R567" s="73">
        <f>VLOOKUP(Tabla6[[#This Row],[PG]],Listas2!H77:'Listas2'!$G$14:$K$16,4,0)</f>
        <v>0</v>
      </c>
      <c r="S567" s="73">
        <f>VLOOKUP(Tabla6[[#This Row],[PG]],Listas2!$G$14:$K$16,2,0)</f>
        <v>0</v>
      </c>
      <c r="T567" s="66" t="s">
        <v>84</v>
      </c>
      <c r="U567" s="74">
        <v>53</v>
      </c>
      <c r="V567" s="66">
        <v>530804</v>
      </c>
      <c r="W567" s="63" t="str">
        <f>VLOOKUP(Tabla6[[#This Row],[ÍTEM PRESUPUESTARIO]],Tabla2[#All],2,0)</f>
        <v>MATERIALES DE OFICINA</v>
      </c>
      <c r="X567" s="57">
        <v>0</v>
      </c>
      <c r="Y567" s="57">
        <f>800-80.4</f>
        <v>719.6</v>
      </c>
      <c r="Z567" s="58">
        <v>0</v>
      </c>
      <c r="AA567" s="58">
        <v>0</v>
      </c>
      <c r="AB567" s="58">
        <v>0</v>
      </c>
      <c r="AC567" s="58">
        <v>0</v>
      </c>
      <c r="AD567" s="58">
        <v>719.6</v>
      </c>
      <c r="AE567" s="58">
        <v>0</v>
      </c>
      <c r="AF567" s="58">
        <v>0</v>
      </c>
      <c r="AG567" s="58">
        <v>0</v>
      </c>
      <c r="AH567" s="58">
        <v>0</v>
      </c>
      <c r="AI567" s="58">
        <v>0</v>
      </c>
      <c r="AJ567" s="58">
        <v>0</v>
      </c>
      <c r="AK567" s="58">
        <v>0</v>
      </c>
      <c r="AL567" s="75">
        <f>+SUBTOTAL(9,Tabla6[[#This Row],[ENE]:[DIC]])</f>
        <v>719.6</v>
      </c>
      <c r="AM567" s="76" t="str">
        <f t="shared" si="11"/>
        <v>OK</v>
      </c>
      <c r="AN567" s="60">
        <v>719.6</v>
      </c>
      <c r="AO567" s="61">
        <f>+Tabla6[[#This Row],[PRESUPUESTO VIGENTE]]-Tabla6[[#This Row],[CERTIFICACIÓN PAPP]]</f>
        <v>0</v>
      </c>
      <c r="AP567" s="59">
        <v>0</v>
      </c>
    </row>
    <row r="568" spans="1:42" ht="93" customHeight="1" x14ac:dyDescent="0.25">
      <c r="A568" s="62" t="s">
        <v>78</v>
      </c>
      <c r="B568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568" s="64" t="s">
        <v>79</v>
      </c>
      <c r="D568" s="64" t="s">
        <v>80</v>
      </c>
      <c r="E568" s="64" t="s">
        <v>81</v>
      </c>
      <c r="F568" s="64" t="s">
        <v>99</v>
      </c>
      <c r="G568" s="64" t="s">
        <v>92</v>
      </c>
      <c r="H568" s="65" t="str">
        <f>VLOOKUP(Tabla6[[#This Row],[DIRECCIÓN]],DIRECCIÓN[#All],2,0)</f>
        <v>ADMINISTRACIÓN CENTRAL</v>
      </c>
      <c r="I568" s="66" t="s">
        <v>567</v>
      </c>
      <c r="J568" s="67">
        <v>1</v>
      </c>
      <c r="K568" s="68" t="str">
        <f>VLOOKUP(Tabla6[[#This Row],[DIRECCIÓN GENERAL / COORDINACIÓN / SUBDIRECCIÓN]],Tabla37[[#All],[Columna1]:[EOD]],2,0)</f>
        <v>266_0004</v>
      </c>
      <c r="L568" s="69">
        <f>VLOOKUP(Tabla6[[#This Row],[OBJETIVOS PND]],Listas!$A$1:$C$3,3,0)</f>
        <v>1</v>
      </c>
      <c r="M568" s="70">
        <f>VLOOKUP(Tabla6[[#This Row],[PG]],Listas2!$G$14:$K$16,5,0)</f>
        <v>0</v>
      </c>
      <c r="N568" s="71">
        <v>1</v>
      </c>
      <c r="O568" s="72">
        <v>1301</v>
      </c>
      <c r="P568" s="73" t="str">
        <f>VLOOKUP(Tabla6[[#This Row],[GEO]],Listas!$A$48:$B$77,2,0)</f>
        <v>PORTOVIEJO</v>
      </c>
      <c r="Q568" s="70">
        <f>VLOOKUP(Tabla6[[#This Row],[PG]],Listas2!$G$14:$K$16,3,0)</f>
        <v>1</v>
      </c>
      <c r="R568" s="73">
        <f>VLOOKUP(Tabla6[[#This Row],[PG]],Listas2!H78:'Listas2'!$G$14:$K$16,4,0)</f>
        <v>0</v>
      </c>
      <c r="S568" s="73">
        <f>VLOOKUP(Tabla6[[#This Row],[PG]],Listas2!$G$14:$K$16,2,0)</f>
        <v>0</v>
      </c>
      <c r="T568" s="66" t="s">
        <v>84</v>
      </c>
      <c r="U568" s="74">
        <v>53</v>
      </c>
      <c r="V568" s="66">
        <v>530804</v>
      </c>
      <c r="W568" s="63" t="str">
        <f>VLOOKUP(Tabla6[[#This Row],[ÍTEM PRESUPUESTARIO]],Tabla2[#All],2,0)</f>
        <v>MATERIALES DE OFICINA</v>
      </c>
      <c r="X568" s="57">
        <v>0</v>
      </c>
      <c r="Y568" s="57">
        <f>300+285+161.7-161.7-161.7</f>
        <v>423.3</v>
      </c>
      <c r="Z568" s="58">
        <v>0</v>
      </c>
      <c r="AA568" s="58">
        <v>0</v>
      </c>
      <c r="AB568" s="58">
        <v>0</v>
      </c>
      <c r="AC568" s="58">
        <v>0</v>
      </c>
      <c r="AD568" s="58">
        <v>0</v>
      </c>
      <c r="AE568" s="58">
        <v>300</v>
      </c>
      <c r="AF568" s="58">
        <v>0</v>
      </c>
      <c r="AG568" s="58">
        <v>123.3</v>
      </c>
      <c r="AH568" s="58">
        <v>0</v>
      </c>
      <c r="AI568" s="58">
        <v>0</v>
      </c>
      <c r="AJ568" s="58">
        <v>0</v>
      </c>
      <c r="AK568" s="58">
        <v>0</v>
      </c>
      <c r="AL568" s="75">
        <f>+SUBTOTAL(9,Tabla6[[#This Row],[ENE]:[DIC]])</f>
        <v>423.3</v>
      </c>
      <c r="AM568" s="76" t="str">
        <f t="shared" ref="AM568:AM631" si="12">IF(AL568=Y568,"OK",Y568-AL568)</f>
        <v>OK</v>
      </c>
      <c r="AN568" s="60">
        <f>585-161.7</f>
        <v>423.3</v>
      </c>
      <c r="AO568" s="61">
        <f>+Tabla6[[#This Row],[PRESUPUESTO VIGENTE]]-Tabla6[[#This Row],[CERTIFICACIÓN PAPP]]</f>
        <v>0</v>
      </c>
      <c r="AP568" s="59">
        <v>0</v>
      </c>
    </row>
    <row r="569" spans="1:42" ht="93" customHeight="1" x14ac:dyDescent="0.25">
      <c r="A569" s="62" t="s">
        <v>78</v>
      </c>
      <c r="B569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569" s="64" t="s">
        <v>79</v>
      </c>
      <c r="D569" s="64" t="s">
        <v>80</v>
      </c>
      <c r="E569" s="64" t="s">
        <v>81</v>
      </c>
      <c r="F569" s="64" t="s">
        <v>99</v>
      </c>
      <c r="G569" s="64" t="s">
        <v>92</v>
      </c>
      <c r="H569" s="65" t="str">
        <f>VLOOKUP(Tabla6[[#This Row],[DIRECCIÓN]],DIRECCIÓN[#All],2,0)</f>
        <v>ADMINISTRACIÓN CENTRAL</v>
      </c>
      <c r="I569" s="66" t="s">
        <v>568</v>
      </c>
      <c r="J569" s="67">
        <v>1</v>
      </c>
      <c r="K569" s="68" t="str">
        <f>VLOOKUP(Tabla6[[#This Row],[DIRECCIÓN GENERAL / COORDINACIÓN / SUBDIRECCIÓN]],Tabla37[[#All],[Columna1]:[EOD]],2,0)</f>
        <v>266_0004</v>
      </c>
      <c r="L569" s="69">
        <f>VLOOKUP(Tabla6[[#This Row],[OBJETIVOS PND]],Listas!$A$1:$C$3,3,0)</f>
        <v>1</v>
      </c>
      <c r="M569" s="70">
        <f>VLOOKUP(Tabla6[[#This Row],[PG]],Listas2!$G$14:$K$16,5,0)</f>
        <v>0</v>
      </c>
      <c r="N569" s="71">
        <v>1</v>
      </c>
      <c r="O569" s="72">
        <v>1301</v>
      </c>
      <c r="P569" s="73" t="str">
        <f>VLOOKUP(Tabla6[[#This Row],[GEO]],Listas!$A$48:$B$77,2,0)</f>
        <v>PORTOVIEJO</v>
      </c>
      <c r="Q569" s="70">
        <f>VLOOKUP(Tabla6[[#This Row],[PG]],Listas2!$G$14:$K$16,3,0)</f>
        <v>1</v>
      </c>
      <c r="R569" s="73">
        <f>VLOOKUP(Tabla6[[#This Row],[PG]],Listas2!H79:'Listas2'!$G$14:$K$16,4,0)</f>
        <v>0</v>
      </c>
      <c r="S569" s="73">
        <f>VLOOKUP(Tabla6[[#This Row],[PG]],Listas2!$G$14:$K$16,2,0)</f>
        <v>0</v>
      </c>
      <c r="T569" s="66" t="s">
        <v>84</v>
      </c>
      <c r="U569" s="74">
        <v>53</v>
      </c>
      <c r="V569" s="66">
        <v>530804</v>
      </c>
      <c r="W569" s="63" t="str">
        <f>VLOOKUP(Tabla6[[#This Row],[ÍTEM PRESUPUESTARIO]],Tabla2[#All],2,0)</f>
        <v>MATERIALES DE OFICINA</v>
      </c>
      <c r="X569" s="57">
        <v>0</v>
      </c>
      <c r="Y569" s="57">
        <f>500-500</f>
        <v>0</v>
      </c>
      <c r="Z569" s="58">
        <v>0</v>
      </c>
      <c r="AA569" s="58">
        <v>0</v>
      </c>
      <c r="AB569" s="58">
        <v>0</v>
      </c>
      <c r="AC569" s="58">
        <v>0</v>
      </c>
      <c r="AD569" s="58">
        <v>0</v>
      </c>
      <c r="AE569" s="58">
        <v>0</v>
      </c>
      <c r="AF569" s="58">
        <v>0</v>
      </c>
      <c r="AG569" s="58">
        <v>0</v>
      </c>
      <c r="AH569" s="58">
        <v>0</v>
      </c>
      <c r="AI569" s="58">
        <v>0</v>
      </c>
      <c r="AJ569" s="58">
        <v>0</v>
      </c>
      <c r="AK569" s="58">
        <v>0</v>
      </c>
      <c r="AL569" s="75">
        <f>+SUBTOTAL(9,Tabla6[[#This Row],[ENE]:[DIC]])</f>
        <v>0</v>
      </c>
      <c r="AM569" s="76" t="str">
        <f t="shared" si="12"/>
        <v>OK</v>
      </c>
      <c r="AN569" s="60">
        <v>0</v>
      </c>
      <c r="AO569" s="61">
        <f>+Tabla6[[#This Row],[PRESUPUESTO VIGENTE]]-Tabla6[[#This Row],[CERTIFICACIÓN PAPP]]</f>
        <v>0</v>
      </c>
      <c r="AP569" s="59">
        <v>0</v>
      </c>
    </row>
    <row r="570" spans="1:42" ht="93" customHeight="1" x14ac:dyDescent="0.25">
      <c r="A570" s="62" t="s">
        <v>78</v>
      </c>
      <c r="B570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570" s="64" t="s">
        <v>79</v>
      </c>
      <c r="D570" s="64" t="s">
        <v>80</v>
      </c>
      <c r="E570" s="64" t="s">
        <v>81</v>
      </c>
      <c r="F570" s="64" t="s">
        <v>99</v>
      </c>
      <c r="G570" s="64" t="s">
        <v>92</v>
      </c>
      <c r="H570" s="65" t="str">
        <f>VLOOKUP(Tabla6[[#This Row],[DIRECCIÓN]],DIRECCIÓN[#All],2,0)</f>
        <v>ADMINISTRACIÓN CENTRAL</v>
      </c>
      <c r="I570" s="66" t="s">
        <v>569</v>
      </c>
      <c r="J570" s="67">
        <v>1</v>
      </c>
      <c r="K570" s="68" t="str">
        <f>VLOOKUP(Tabla6[[#This Row],[DIRECCIÓN GENERAL / COORDINACIÓN / SUBDIRECCIÓN]],Tabla37[[#All],[Columna1]:[EOD]],2,0)</f>
        <v>266_0004</v>
      </c>
      <c r="L570" s="69">
        <f>VLOOKUP(Tabla6[[#This Row],[OBJETIVOS PND]],Listas!$A$1:$C$3,3,0)</f>
        <v>1</v>
      </c>
      <c r="M570" s="70">
        <f>VLOOKUP(Tabla6[[#This Row],[PG]],Listas2!$G$14:$K$16,5,0)</f>
        <v>0</v>
      </c>
      <c r="N570" s="71">
        <v>1</v>
      </c>
      <c r="O570" s="72">
        <v>1301</v>
      </c>
      <c r="P570" s="73" t="str">
        <f>VLOOKUP(Tabla6[[#This Row],[GEO]],Listas!$A$48:$B$77,2,0)</f>
        <v>PORTOVIEJO</v>
      </c>
      <c r="Q570" s="70">
        <f>VLOOKUP(Tabla6[[#This Row],[PG]],Listas2!$G$14:$K$16,3,0)</f>
        <v>1</v>
      </c>
      <c r="R570" s="73">
        <f>VLOOKUP(Tabla6[[#This Row],[PG]],Listas2!H80:'Listas2'!$G$14:$K$16,4,0)</f>
        <v>0</v>
      </c>
      <c r="S570" s="73">
        <f>VLOOKUP(Tabla6[[#This Row],[PG]],Listas2!$G$14:$K$16,2,0)</f>
        <v>0</v>
      </c>
      <c r="T570" s="66" t="s">
        <v>84</v>
      </c>
      <c r="U570" s="74">
        <v>53</v>
      </c>
      <c r="V570" s="66">
        <v>530804</v>
      </c>
      <c r="W570" s="63" t="str">
        <f>VLOOKUP(Tabla6[[#This Row],[ÍTEM PRESUPUESTARIO]],Tabla2[#All],2,0)</f>
        <v>MATERIALES DE OFICINA</v>
      </c>
      <c r="X570" s="57">
        <v>0</v>
      </c>
      <c r="Y570" s="57">
        <f>1500-229.2-70</f>
        <v>1200.8</v>
      </c>
      <c r="Z570" s="58">
        <v>0</v>
      </c>
      <c r="AA570" s="58">
        <v>0</v>
      </c>
      <c r="AB570" s="58">
        <v>0</v>
      </c>
      <c r="AC570" s="58">
        <v>1200.8</v>
      </c>
      <c r="AD570" s="58">
        <v>0</v>
      </c>
      <c r="AE570" s="58">
        <v>0</v>
      </c>
      <c r="AF570" s="58">
        <v>0</v>
      </c>
      <c r="AG570" s="58">
        <v>0</v>
      </c>
      <c r="AH570" s="58">
        <v>0</v>
      </c>
      <c r="AI570" s="58">
        <v>0</v>
      </c>
      <c r="AJ570" s="58">
        <v>0</v>
      </c>
      <c r="AK570" s="58">
        <v>0</v>
      </c>
      <c r="AL570" s="75">
        <f>+SUBTOTAL(9,Tabla6[[#This Row],[ENE]:[DIC]])</f>
        <v>1200.8</v>
      </c>
      <c r="AM570" s="76" t="str">
        <f t="shared" si="12"/>
        <v>OK</v>
      </c>
      <c r="AN570" s="60">
        <f>1270.8-70</f>
        <v>1200.8</v>
      </c>
      <c r="AO570" s="61">
        <f>+Tabla6[[#This Row],[PRESUPUESTO VIGENTE]]-Tabla6[[#This Row],[CERTIFICACIÓN PAPP]]</f>
        <v>0</v>
      </c>
      <c r="AP570" s="59">
        <v>0</v>
      </c>
    </row>
    <row r="571" spans="1:42" ht="93" customHeight="1" x14ac:dyDescent="0.25">
      <c r="A571" s="62" t="s">
        <v>78</v>
      </c>
      <c r="B571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571" s="64" t="s">
        <v>79</v>
      </c>
      <c r="D571" s="64" t="s">
        <v>80</v>
      </c>
      <c r="E571" s="64" t="s">
        <v>81</v>
      </c>
      <c r="F571" s="64" t="s">
        <v>99</v>
      </c>
      <c r="G571" s="64" t="s">
        <v>92</v>
      </c>
      <c r="H571" s="65" t="str">
        <f>VLOOKUP(Tabla6[[#This Row],[DIRECCIÓN]],DIRECCIÓN[#All],2,0)</f>
        <v>ADMINISTRACIÓN CENTRAL</v>
      </c>
      <c r="I571" s="66" t="s">
        <v>570</v>
      </c>
      <c r="J571" s="67">
        <v>1</v>
      </c>
      <c r="K571" s="68" t="str">
        <f>VLOOKUP(Tabla6[[#This Row],[DIRECCIÓN GENERAL / COORDINACIÓN / SUBDIRECCIÓN]],Tabla37[[#All],[Columna1]:[EOD]],2,0)</f>
        <v>266_0004</v>
      </c>
      <c r="L571" s="69">
        <f>VLOOKUP(Tabla6[[#This Row],[OBJETIVOS PND]],Listas!$A$1:$C$3,3,0)</f>
        <v>1</v>
      </c>
      <c r="M571" s="70">
        <f>VLOOKUP(Tabla6[[#This Row],[PG]],Listas2!$G$14:$K$16,5,0)</f>
        <v>0</v>
      </c>
      <c r="N571" s="71">
        <v>1</v>
      </c>
      <c r="O571" s="72">
        <v>1301</v>
      </c>
      <c r="P571" s="73" t="str">
        <f>VLOOKUP(Tabla6[[#This Row],[GEO]],Listas!$A$48:$B$77,2,0)</f>
        <v>PORTOVIEJO</v>
      </c>
      <c r="Q571" s="70">
        <f>VLOOKUP(Tabla6[[#This Row],[PG]],Listas2!$G$14:$K$16,3,0)</f>
        <v>1</v>
      </c>
      <c r="R571" s="73">
        <f>VLOOKUP(Tabla6[[#This Row],[PG]],Listas2!H81:'Listas2'!$G$14:$K$16,4,0)</f>
        <v>0</v>
      </c>
      <c r="S571" s="73">
        <f>VLOOKUP(Tabla6[[#This Row],[PG]],Listas2!$G$14:$K$16,2,0)</f>
        <v>0</v>
      </c>
      <c r="T571" s="66" t="s">
        <v>84</v>
      </c>
      <c r="U571" s="74">
        <v>53</v>
      </c>
      <c r="V571" s="66">
        <v>530805</v>
      </c>
      <c r="W571" s="63" t="str">
        <f>VLOOKUP(Tabla6[[#This Row],[ÍTEM PRESUPUESTARIO]],Tabla2[#All],2,0)</f>
        <v>MATERIALES DE ASEO</v>
      </c>
      <c r="X571" s="57">
        <v>0</v>
      </c>
      <c r="Y571" s="57">
        <f>150-0.56</f>
        <v>149.44</v>
      </c>
      <c r="Z571" s="58">
        <v>0</v>
      </c>
      <c r="AA571" s="58">
        <v>0</v>
      </c>
      <c r="AB571" s="58">
        <v>0</v>
      </c>
      <c r="AC571" s="58">
        <v>149.44</v>
      </c>
      <c r="AD571" s="58">
        <v>0</v>
      </c>
      <c r="AE571" s="58">
        <v>0</v>
      </c>
      <c r="AF571" s="58">
        <v>0</v>
      </c>
      <c r="AG571" s="58">
        <v>0</v>
      </c>
      <c r="AH571" s="58">
        <v>0</v>
      </c>
      <c r="AI571" s="58">
        <v>0</v>
      </c>
      <c r="AJ571" s="58">
        <v>0</v>
      </c>
      <c r="AK571" s="58">
        <v>0</v>
      </c>
      <c r="AL571" s="75">
        <f>+SUBTOTAL(9,Tabla6[[#This Row],[ENE]:[DIC]])</f>
        <v>149.44</v>
      </c>
      <c r="AM571" s="76" t="str">
        <f t="shared" si="12"/>
        <v>OK</v>
      </c>
      <c r="AN571" s="60">
        <v>149.44</v>
      </c>
      <c r="AO571" s="61">
        <f>+Tabla6[[#This Row],[PRESUPUESTO VIGENTE]]-Tabla6[[#This Row],[CERTIFICACIÓN PAPP]]</f>
        <v>0</v>
      </c>
      <c r="AP571" s="59">
        <v>0</v>
      </c>
    </row>
    <row r="572" spans="1:42" ht="93" customHeight="1" x14ac:dyDescent="0.25">
      <c r="A572" s="62" t="s">
        <v>78</v>
      </c>
      <c r="B572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572" s="64" t="s">
        <v>79</v>
      </c>
      <c r="D572" s="64" t="s">
        <v>80</v>
      </c>
      <c r="E572" s="64" t="s">
        <v>81</v>
      </c>
      <c r="F572" s="64" t="s">
        <v>99</v>
      </c>
      <c r="G572" s="64" t="s">
        <v>92</v>
      </c>
      <c r="H572" s="65" t="str">
        <f>VLOOKUP(Tabla6[[#This Row],[DIRECCIÓN]],DIRECCIÓN[#All],2,0)</f>
        <v>ADMINISTRACIÓN CENTRAL</v>
      </c>
      <c r="I572" s="66" t="s">
        <v>571</v>
      </c>
      <c r="J572" s="67">
        <v>1</v>
      </c>
      <c r="K572" s="68" t="str">
        <f>VLOOKUP(Tabla6[[#This Row],[DIRECCIÓN GENERAL / COORDINACIÓN / SUBDIRECCIÓN]],Tabla37[[#All],[Columna1]:[EOD]],2,0)</f>
        <v>266_0004</v>
      </c>
      <c r="L572" s="69">
        <f>VLOOKUP(Tabla6[[#This Row],[OBJETIVOS PND]],Listas!$A$1:$C$3,3,0)</f>
        <v>1</v>
      </c>
      <c r="M572" s="70">
        <f>VLOOKUP(Tabla6[[#This Row],[PG]],Listas2!$G$14:$K$16,5,0)</f>
        <v>0</v>
      </c>
      <c r="N572" s="71">
        <v>1</v>
      </c>
      <c r="O572" s="72">
        <v>1301</v>
      </c>
      <c r="P572" s="73" t="str">
        <f>VLOOKUP(Tabla6[[#This Row],[GEO]],Listas!$A$48:$B$77,2,0)</f>
        <v>PORTOVIEJO</v>
      </c>
      <c r="Q572" s="70">
        <f>VLOOKUP(Tabla6[[#This Row],[PG]],Listas2!$G$14:$K$16,3,0)</f>
        <v>1</v>
      </c>
      <c r="R572" s="73">
        <f>VLOOKUP(Tabla6[[#This Row],[PG]],Listas2!H82:'Listas2'!$G$14:$K$16,4,0)</f>
        <v>0</v>
      </c>
      <c r="S572" s="73">
        <f>VLOOKUP(Tabla6[[#This Row],[PG]],Listas2!$G$14:$K$16,2,0)</f>
        <v>0</v>
      </c>
      <c r="T572" s="66" t="s">
        <v>84</v>
      </c>
      <c r="U572" s="74">
        <v>53</v>
      </c>
      <c r="V572" s="66">
        <v>530805</v>
      </c>
      <c r="W572" s="63" t="str">
        <f>VLOOKUP(Tabla6[[#This Row],[ÍTEM PRESUPUESTARIO]],Tabla2[#All],2,0)</f>
        <v>MATERIALES DE ASEO</v>
      </c>
      <c r="X572" s="57">
        <v>0</v>
      </c>
      <c r="Y572" s="57">
        <f>530.92</f>
        <v>530.91999999999996</v>
      </c>
      <c r="Z572" s="58">
        <v>0</v>
      </c>
      <c r="AA572" s="58">
        <v>0</v>
      </c>
      <c r="AB572" s="58">
        <v>0</v>
      </c>
      <c r="AC572" s="58">
        <v>0</v>
      </c>
      <c r="AD572" s="58">
        <v>0</v>
      </c>
      <c r="AE572" s="58">
        <v>0</v>
      </c>
      <c r="AF572" s="58">
        <v>0</v>
      </c>
      <c r="AG572" s="58">
        <v>0</v>
      </c>
      <c r="AH572" s="58">
        <v>0</v>
      </c>
      <c r="AI572" s="58">
        <v>0</v>
      </c>
      <c r="AJ572" s="58">
        <v>530.91999999999996</v>
      </c>
      <c r="AK572" s="58">
        <v>0</v>
      </c>
      <c r="AL572" s="75">
        <f>+SUBTOTAL(9,Tabla6[[#This Row],[ENE]:[DIC]])</f>
        <v>530.91999999999996</v>
      </c>
      <c r="AM572" s="76" t="str">
        <f t="shared" si="12"/>
        <v>OK</v>
      </c>
      <c r="AN572" s="60">
        <v>530.91999999999996</v>
      </c>
      <c r="AO572" s="61">
        <f>+Tabla6[[#This Row],[PRESUPUESTO VIGENTE]]-Tabla6[[#This Row],[CERTIFICACIÓN PAPP]]</f>
        <v>0</v>
      </c>
      <c r="AP572" s="59">
        <v>0</v>
      </c>
    </row>
    <row r="573" spans="1:42" ht="93" customHeight="1" x14ac:dyDescent="0.25">
      <c r="A573" s="62" t="s">
        <v>78</v>
      </c>
      <c r="B573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573" s="64" t="s">
        <v>79</v>
      </c>
      <c r="D573" s="64" t="s">
        <v>80</v>
      </c>
      <c r="E573" s="64" t="s">
        <v>81</v>
      </c>
      <c r="F573" s="64" t="s">
        <v>99</v>
      </c>
      <c r="G573" s="64" t="s">
        <v>92</v>
      </c>
      <c r="H573" s="65" t="str">
        <f>VLOOKUP(Tabla6[[#This Row],[DIRECCIÓN]],DIRECCIÓN[#All],2,0)</f>
        <v>ADMINISTRACIÓN CENTRAL</v>
      </c>
      <c r="I573" s="66" t="s">
        <v>565</v>
      </c>
      <c r="J573" s="67">
        <v>1</v>
      </c>
      <c r="K573" s="68" t="str">
        <f>VLOOKUP(Tabla6[[#This Row],[DIRECCIÓN GENERAL / COORDINACIÓN / SUBDIRECCIÓN]],Tabla37[[#All],[Columna1]:[EOD]],2,0)</f>
        <v>266_0004</v>
      </c>
      <c r="L573" s="69">
        <f>VLOOKUP(Tabla6[[#This Row],[OBJETIVOS PND]],Listas!$A$1:$C$3,3,0)</f>
        <v>1</v>
      </c>
      <c r="M573" s="70">
        <f>VLOOKUP(Tabla6[[#This Row],[PG]],Listas2!$G$14:$K$16,5,0)</f>
        <v>0</v>
      </c>
      <c r="N573" s="71">
        <v>1</v>
      </c>
      <c r="O573" s="72">
        <v>1301</v>
      </c>
      <c r="P573" s="73" t="str">
        <f>VLOOKUP(Tabla6[[#This Row],[GEO]],Listas!$A$48:$B$77,2,0)</f>
        <v>PORTOVIEJO</v>
      </c>
      <c r="Q573" s="70">
        <f>VLOOKUP(Tabla6[[#This Row],[PG]],Listas2!$G$14:$K$16,3,0)</f>
        <v>1</v>
      </c>
      <c r="R573" s="73">
        <f>VLOOKUP(Tabla6[[#This Row],[PG]],Listas2!H83:'Listas2'!$G$14:$K$16,4,0)</f>
        <v>0</v>
      </c>
      <c r="S573" s="73">
        <f>VLOOKUP(Tabla6[[#This Row],[PG]],Listas2!$G$14:$K$16,2,0)</f>
        <v>0</v>
      </c>
      <c r="T573" s="66" t="s">
        <v>84</v>
      </c>
      <c r="U573" s="74">
        <v>53</v>
      </c>
      <c r="V573" s="66">
        <v>530805</v>
      </c>
      <c r="W573" s="63" t="str">
        <f>VLOOKUP(Tabla6[[#This Row],[ÍTEM PRESUPUESTARIO]],Tabla2[#All],2,0)</f>
        <v>MATERIALES DE ASEO</v>
      </c>
      <c r="X573" s="57">
        <v>0</v>
      </c>
      <c r="Y573" s="57">
        <f>30-15+11-5.06</f>
        <v>20.94</v>
      </c>
      <c r="Z573" s="58">
        <v>0</v>
      </c>
      <c r="AA573" s="58">
        <v>0</v>
      </c>
      <c r="AB573" s="58">
        <v>0</v>
      </c>
      <c r="AC573" s="58">
        <v>0</v>
      </c>
      <c r="AD573" s="58">
        <v>0</v>
      </c>
      <c r="AE573" s="58">
        <v>0</v>
      </c>
      <c r="AF573" s="58">
        <v>0</v>
      </c>
      <c r="AG573" s="58">
        <v>0</v>
      </c>
      <c r="AH573" s="58">
        <v>0</v>
      </c>
      <c r="AI573" s="58">
        <v>0</v>
      </c>
      <c r="AJ573" s="58">
        <v>20.94</v>
      </c>
      <c r="AK573" s="58">
        <v>0</v>
      </c>
      <c r="AL573" s="75">
        <f>+SUBTOTAL(9,Tabla6[[#This Row],[ENE]:[DIC]])</f>
        <v>20.94</v>
      </c>
      <c r="AM573" s="76" t="str">
        <f t="shared" si="12"/>
        <v>OK</v>
      </c>
      <c r="AN573" s="60">
        <f>26-5.06</f>
        <v>20.94</v>
      </c>
      <c r="AO573" s="61">
        <f>+Tabla6[[#This Row],[PRESUPUESTO VIGENTE]]-Tabla6[[#This Row],[CERTIFICACIÓN PAPP]]</f>
        <v>0</v>
      </c>
      <c r="AP573" s="59">
        <v>0</v>
      </c>
    </row>
    <row r="574" spans="1:42" ht="93" customHeight="1" x14ac:dyDescent="0.25">
      <c r="A574" s="62" t="s">
        <v>78</v>
      </c>
      <c r="B574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574" s="64" t="s">
        <v>79</v>
      </c>
      <c r="D574" s="64" t="s">
        <v>80</v>
      </c>
      <c r="E574" s="64" t="s">
        <v>81</v>
      </c>
      <c r="F574" s="64" t="s">
        <v>99</v>
      </c>
      <c r="G574" s="64" t="s">
        <v>92</v>
      </c>
      <c r="H574" s="65" t="str">
        <f>VLOOKUP(Tabla6[[#This Row],[DIRECCIÓN]],DIRECCIÓN[#All],2,0)</f>
        <v>ADMINISTRACIÓN CENTRAL</v>
      </c>
      <c r="I574" s="66" t="s">
        <v>565</v>
      </c>
      <c r="J574" s="67">
        <v>1</v>
      </c>
      <c r="K574" s="68" t="str">
        <f>VLOOKUP(Tabla6[[#This Row],[DIRECCIÓN GENERAL / COORDINACIÓN / SUBDIRECCIÓN]],Tabla37[[#All],[Columna1]:[EOD]],2,0)</f>
        <v>266_0004</v>
      </c>
      <c r="L574" s="69">
        <f>VLOOKUP(Tabla6[[#This Row],[OBJETIVOS PND]],Listas!$A$1:$C$3,3,0)</f>
        <v>1</v>
      </c>
      <c r="M574" s="70">
        <f>VLOOKUP(Tabla6[[#This Row],[PG]],Listas2!$G$14:$K$16,5,0)</f>
        <v>0</v>
      </c>
      <c r="N574" s="71">
        <v>1</v>
      </c>
      <c r="O574" s="72">
        <v>1301</v>
      </c>
      <c r="P574" s="73" t="str">
        <f>VLOOKUP(Tabla6[[#This Row],[GEO]],Listas!$A$48:$B$77,2,0)</f>
        <v>PORTOVIEJO</v>
      </c>
      <c r="Q574" s="70">
        <f>VLOOKUP(Tabla6[[#This Row],[PG]],Listas2!$G$14:$K$16,3,0)</f>
        <v>1</v>
      </c>
      <c r="R574" s="73">
        <f>VLOOKUP(Tabla6[[#This Row],[PG]],Listas2!H84:'Listas2'!$G$14:$K$16,4,0)</f>
        <v>0</v>
      </c>
      <c r="S574" s="73">
        <f>VLOOKUP(Tabla6[[#This Row],[PG]],Listas2!$G$14:$K$16,2,0)</f>
        <v>0</v>
      </c>
      <c r="T574" s="66" t="s">
        <v>84</v>
      </c>
      <c r="U574" s="74">
        <v>53</v>
      </c>
      <c r="V574" s="66">
        <v>530811</v>
      </c>
      <c r="W574" s="63" t="str">
        <f>VLOOKUP(Tabla6[[#This Row],[ÍTEM PRESUPUESTARIO]],Tabla2[#All],2,0)</f>
        <v>INSUMOS, MATERIALES Y SUMINISTROS PARA CONSTRUCCIÓN, ELECTRICIDAD, PLOMERÍA, CARPINTERÍA, SEÑALIZACIÓN VIAL, NAVEGACIÓN, CONTRA INCENDIOS Y PLACAS</v>
      </c>
      <c r="X574" s="57">
        <v>0</v>
      </c>
      <c r="Y574" s="57">
        <f>5920-2960+3026.28-4-26.97</f>
        <v>5955.31</v>
      </c>
      <c r="Z574" s="58">
        <v>0</v>
      </c>
      <c r="AA574" s="58">
        <v>0</v>
      </c>
      <c r="AB574" s="58">
        <v>0</v>
      </c>
      <c r="AC574" s="58">
        <v>0</v>
      </c>
      <c r="AD574" s="58">
        <v>0</v>
      </c>
      <c r="AE574" s="58">
        <v>0</v>
      </c>
      <c r="AF574" s="58">
        <v>0</v>
      </c>
      <c r="AG574" s="58">
        <v>0</v>
      </c>
      <c r="AH574" s="58">
        <v>0</v>
      </c>
      <c r="AI574" s="58">
        <v>0</v>
      </c>
      <c r="AJ574" s="58">
        <v>5955.31</v>
      </c>
      <c r="AK574" s="58">
        <v>0</v>
      </c>
      <c r="AL574" s="75">
        <f>+SUBTOTAL(9,Tabla6[[#This Row],[ENE]:[DIC]])</f>
        <v>5955.31</v>
      </c>
      <c r="AM574" s="76" t="str">
        <f t="shared" si="12"/>
        <v>OK</v>
      </c>
      <c r="AN574" s="60">
        <v>5955.31</v>
      </c>
      <c r="AO574" s="61">
        <f>+Tabla6[[#This Row],[PRESUPUESTO VIGENTE]]-Tabla6[[#This Row],[CERTIFICACIÓN PAPP]]</f>
        <v>0</v>
      </c>
      <c r="AP574" s="59">
        <v>0</v>
      </c>
    </row>
    <row r="575" spans="1:42" ht="93" customHeight="1" x14ac:dyDescent="0.25">
      <c r="A575" s="62" t="s">
        <v>78</v>
      </c>
      <c r="B575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575" s="64" t="s">
        <v>79</v>
      </c>
      <c r="D575" s="64" t="s">
        <v>80</v>
      </c>
      <c r="E575" s="64" t="s">
        <v>81</v>
      </c>
      <c r="F575" s="64" t="s">
        <v>99</v>
      </c>
      <c r="G575" s="64" t="s">
        <v>92</v>
      </c>
      <c r="H575" s="65" t="str">
        <f>VLOOKUP(Tabla6[[#This Row],[DIRECCIÓN]],DIRECCIÓN[#All],2,0)</f>
        <v>ADMINISTRACIÓN CENTRAL</v>
      </c>
      <c r="I575" s="66" t="s">
        <v>560</v>
      </c>
      <c r="J575" s="67">
        <v>1</v>
      </c>
      <c r="K575" s="68" t="str">
        <f>VLOOKUP(Tabla6[[#This Row],[DIRECCIÓN GENERAL / COORDINACIÓN / SUBDIRECCIÓN]],Tabla37[[#All],[Columna1]:[EOD]],2,0)</f>
        <v>266_0004</v>
      </c>
      <c r="L575" s="69">
        <f>VLOOKUP(Tabla6[[#This Row],[OBJETIVOS PND]],Listas!$A$1:$C$3,3,0)</f>
        <v>1</v>
      </c>
      <c r="M575" s="70">
        <f>VLOOKUP(Tabla6[[#This Row],[PG]],Listas2!$G$14:$K$16,5,0)</f>
        <v>0</v>
      </c>
      <c r="N575" s="71">
        <v>1</v>
      </c>
      <c r="O575" s="72">
        <v>1301</v>
      </c>
      <c r="P575" s="73" t="str">
        <f>VLOOKUP(Tabla6[[#This Row],[GEO]],Listas!$A$48:$B$77,2,0)</f>
        <v>PORTOVIEJO</v>
      </c>
      <c r="Q575" s="70">
        <f>VLOOKUP(Tabla6[[#This Row],[PG]],Listas2!$G$14:$K$16,3,0)</f>
        <v>1</v>
      </c>
      <c r="R575" s="73">
        <f>VLOOKUP(Tabla6[[#This Row],[PG]],Listas2!H85:'Listas2'!$G$14:$K$16,4,0)</f>
        <v>0</v>
      </c>
      <c r="S575" s="73">
        <f>VLOOKUP(Tabla6[[#This Row],[PG]],Listas2!$G$14:$K$16,2,0)</f>
        <v>0</v>
      </c>
      <c r="T575" s="66" t="s">
        <v>84</v>
      </c>
      <c r="U575" s="74">
        <v>53</v>
      </c>
      <c r="V575" s="66">
        <v>530813</v>
      </c>
      <c r="W575" s="63" t="str">
        <f>VLOOKUP(Tabla6[[#This Row],[ÍTEM PRESUPUESTARIO]],Tabla2[#All],2,0)</f>
        <v>REPUESTOS Y ACCESORIOS</v>
      </c>
      <c r="X575" s="57">
        <v>0</v>
      </c>
      <c r="Y575" s="57">
        <f>3000-1500+1500-884.5</f>
        <v>2115.5</v>
      </c>
      <c r="Z575" s="58">
        <v>0</v>
      </c>
      <c r="AA575" s="58">
        <v>0</v>
      </c>
      <c r="AB575" s="58">
        <v>0</v>
      </c>
      <c r="AC575" s="58">
        <v>0</v>
      </c>
      <c r="AD575" s="58">
        <v>0</v>
      </c>
      <c r="AE575" s="58">
        <v>0</v>
      </c>
      <c r="AF575" s="58">
        <v>0</v>
      </c>
      <c r="AG575" s="58">
        <v>0</v>
      </c>
      <c r="AH575" s="58">
        <v>0</v>
      </c>
      <c r="AI575" s="58">
        <v>0</v>
      </c>
      <c r="AJ575" s="58">
        <v>2115.5</v>
      </c>
      <c r="AK575" s="58">
        <v>0</v>
      </c>
      <c r="AL575" s="75">
        <f>+SUBTOTAL(9,Tabla6[[#This Row],[ENE]:[DIC]])</f>
        <v>2115.5</v>
      </c>
      <c r="AM575" s="76" t="str">
        <f t="shared" si="12"/>
        <v>OK</v>
      </c>
      <c r="AN575" s="60">
        <f>2036.5+79</f>
        <v>2115.5</v>
      </c>
      <c r="AO575" s="61">
        <f>+Tabla6[[#This Row],[PRESUPUESTO VIGENTE]]-Tabla6[[#This Row],[CERTIFICACIÓN PAPP]]</f>
        <v>0</v>
      </c>
      <c r="AP575" s="59">
        <v>0</v>
      </c>
    </row>
    <row r="576" spans="1:42" ht="93" customHeight="1" x14ac:dyDescent="0.25">
      <c r="A576" s="62" t="s">
        <v>78</v>
      </c>
      <c r="B576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576" s="64" t="s">
        <v>79</v>
      </c>
      <c r="D576" s="64" t="s">
        <v>80</v>
      </c>
      <c r="E576" s="64" t="s">
        <v>81</v>
      </c>
      <c r="F576" s="64" t="s">
        <v>99</v>
      </c>
      <c r="G576" s="64" t="s">
        <v>92</v>
      </c>
      <c r="H576" s="65" t="str">
        <f>VLOOKUP(Tabla6[[#This Row],[DIRECCIÓN]],DIRECCIÓN[#All],2,0)</f>
        <v>ADMINISTRACIÓN CENTRAL</v>
      </c>
      <c r="I576" s="66" t="s">
        <v>561</v>
      </c>
      <c r="J576" s="67">
        <v>1</v>
      </c>
      <c r="K576" s="68" t="str">
        <f>VLOOKUP(Tabla6[[#This Row],[DIRECCIÓN GENERAL / COORDINACIÓN / SUBDIRECCIÓN]],Tabla37[[#All],[Columna1]:[EOD]],2,0)</f>
        <v>266_0004</v>
      </c>
      <c r="L576" s="69">
        <f>VLOOKUP(Tabla6[[#This Row],[OBJETIVOS PND]],Listas!$A$1:$C$3,3,0)</f>
        <v>1</v>
      </c>
      <c r="M576" s="70">
        <f>VLOOKUP(Tabla6[[#This Row],[PG]],Listas2!$G$14:$K$16,5,0)</f>
        <v>0</v>
      </c>
      <c r="N576" s="71">
        <v>1</v>
      </c>
      <c r="O576" s="72">
        <v>1301</v>
      </c>
      <c r="P576" s="73" t="str">
        <f>VLOOKUP(Tabla6[[#This Row],[GEO]],Listas!$A$48:$B$77,2,0)</f>
        <v>PORTOVIEJO</v>
      </c>
      <c r="Q576" s="70">
        <f>VLOOKUP(Tabla6[[#This Row],[PG]],Listas2!$G$14:$K$16,3,0)</f>
        <v>1</v>
      </c>
      <c r="R576" s="73">
        <f>VLOOKUP(Tabla6[[#This Row],[PG]],Listas2!H86:'Listas2'!$G$14:$K$16,4,0)</f>
        <v>0</v>
      </c>
      <c r="S576" s="73">
        <f>VLOOKUP(Tabla6[[#This Row],[PG]],Listas2!$G$14:$K$16,2,0)</f>
        <v>0</v>
      </c>
      <c r="T576" s="66" t="s">
        <v>84</v>
      </c>
      <c r="U576" s="74">
        <v>53</v>
      </c>
      <c r="V576" s="66">
        <v>530813</v>
      </c>
      <c r="W576" s="63" t="str">
        <f>VLOOKUP(Tabla6[[#This Row],[ÍTEM PRESUPUESTARIO]],Tabla2[#All],2,0)</f>
        <v>REPUESTOS Y ACCESORIOS</v>
      </c>
      <c r="X576" s="57">
        <v>3000</v>
      </c>
      <c r="Y576" s="57">
        <f>3000-700-79.2</f>
        <v>2220.8000000000002</v>
      </c>
      <c r="Z576" s="58">
        <v>0</v>
      </c>
      <c r="AA576" s="58">
        <v>400</v>
      </c>
      <c r="AB576" s="58">
        <v>0</v>
      </c>
      <c r="AC576" s="58">
        <v>450</v>
      </c>
      <c r="AD576" s="58">
        <v>0</v>
      </c>
      <c r="AE576" s="58">
        <v>450</v>
      </c>
      <c r="AF576" s="58">
        <v>0</v>
      </c>
      <c r="AG576" s="58">
        <v>500</v>
      </c>
      <c r="AH576" s="58">
        <v>0</v>
      </c>
      <c r="AI576" s="58">
        <v>420.8</v>
      </c>
      <c r="AJ576" s="58">
        <v>0</v>
      </c>
      <c r="AK576" s="58">
        <v>0</v>
      </c>
      <c r="AL576" s="75">
        <f>+SUBTOTAL(9,Tabla6[[#This Row],[ENE]:[DIC]])</f>
        <v>2220.8000000000002</v>
      </c>
      <c r="AM576" s="76" t="str">
        <f t="shared" si="12"/>
        <v>OK</v>
      </c>
      <c r="AN576" s="60">
        <f>2300-79.2</f>
        <v>2220.8000000000002</v>
      </c>
      <c r="AO576" s="61">
        <f>+Tabla6[[#This Row],[PRESUPUESTO VIGENTE]]-Tabla6[[#This Row],[CERTIFICACIÓN PAPP]]</f>
        <v>0</v>
      </c>
      <c r="AP576" s="59">
        <v>0</v>
      </c>
    </row>
    <row r="577" spans="1:42" ht="93" customHeight="1" x14ac:dyDescent="0.25">
      <c r="A577" s="62" t="s">
        <v>78</v>
      </c>
      <c r="B577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577" s="64" t="s">
        <v>79</v>
      </c>
      <c r="D577" s="64" t="s">
        <v>80</v>
      </c>
      <c r="E577" s="64" t="s">
        <v>81</v>
      </c>
      <c r="F577" s="64" t="s">
        <v>99</v>
      </c>
      <c r="G577" s="64" t="s">
        <v>94</v>
      </c>
      <c r="H577" s="65" t="str">
        <f>VLOOKUP(Tabla6[[#This Row],[DIRECCIÓN]],DIRECCIÓN[#All],2,0)</f>
        <v>COMUNICACIÓN SOCIAL</v>
      </c>
      <c r="I577" s="66" t="s">
        <v>572</v>
      </c>
      <c r="J577" s="67">
        <v>1</v>
      </c>
      <c r="K577" s="68" t="str">
        <f>VLOOKUP(Tabla6[[#This Row],[DIRECCIÓN GENERAL / COORDINACIÓN / SUBDIRECCIÓN]],Tabla37[[#All],[Columna1]:[EOD]],2,0)</f>
        <v>266_0004</v>
      </c>
      <c r="L577" s="69">
        <f>VLOOKUP(Tabla6[[#This Row],[OBJETIVOS PND]],Listas!$A$1:$C$3,3,0)</f>
        <v>1</v>
      </c>
      <c r="M577" s="70">
        <f>VLOOKUP(Tabla6[[#This Row],[PG]],Listas2!$G$14:$K$16,5,0)</f>
        <v>0</v>
      </c>
      <c r="N577" s="71">
        <v>1</v>
      </c>
      <c r="O577" s="72">
        <v>1301</v>
      </c>
      <c r="P577" s="73" t="str">
        <f>VLOOKUP(Tabla6[[#This Row],[GEO]],Listas!$A$48:$B$77,2,0)</f>
        <v>PORTOVIEJO</v>
      </c>
      <c r="Q577" s="70">
        <f>VLOOKUP(Tabla6[[#This Row],[PG]],Listas2!$G$14:$K$16,3,0)</f>
        <v>1</v>
      </c>
      <c r="R577" s="73">
        <f>VLOOKUP(Tabla6[[#This Row],[PG]],Listas2!H87:'Listas2'!$G$14:$K$16,4,0)</f>
        <v>0</v>
      </c>
      <c r="S577" s="73">
        <f>VLOOKUP(Tabla6[[#This Row],[PG]],Listas2!$G$14:$K$16,2,0)</f>
        <v>0</v>
      </c>
      <c r="T577" s="66" t="s">
        <v>84</v>
      </c>
      <c r="U577" s="74">
        <v>53</v>
      </c>
      <c r="V577" s="66">
        <v>531404</v>
      </c>
      <c r="W577" s="63" t="str">
        <f>VLOOKUP(Tabla6[[#This Row],[ÍTEM PRESUPUESTARIO]],Tabla2[#All],2,0)</f>
        <v>MAQUINARIAS Y EQUIPOS</v>
      </c>
      <c r="X577" s="57">
        <v>0</v>
      </c>
      <c r="Y577" s="57">
        <f>1700-460</f>
        <v>1240</v>
      </c>
      <c r="Z577" s="58">
        <v>0</v>
      </c>
      <c r="AA577" s="58">
        <v>0</v>
      </c>
      <c r="AB577" s="58">
        <v>0</v>
      </c>
      <c r="AC577" s="58">
        <v>0</v>
      </c>
      <c r="AD577" s="58">
        <v>0</v>
      </c>
      <c r="AE577" s="58">
        <v>1240</v>
      </c>
      <c r="AF577" s="58">
        <v>0</v>
      </c>
      <c r="AG577" s="58">
        <v>0</v>
      </c>
      <c r="AH577" s="58">
        <v>0</v>
      </c>
      <c r="AI577" s="58">
        <v>0</v>
      </c>
      <c r="AJ577" s="58">
        <v>0</v>
      </c>
      <c r="AK577" s="58">
        <v>0</v>
      </c>
      <c r="AL577" s="75">
        <f>+SUBTOTAL(9,Tabla6[[#This Row],[ENE]:[DIC]])</f>
        <v>1240</v>
      </c>
      <c r="AM577" s="76" t="str">
        <f t="shared" si="12"/>
        <v>OK</v>
      </c>
      <c r="AN577" s="60">
        <v>1240</v>
      </c>
      <c r="AO577" s="61">
        <f>+Tabla6[[#This Row],[PRESUPUESTO VIGENTE]]-Tabla6[[#This Row],[CERTIFICACIÓN PAPP]]</f>
        <v>0</v>
      </c>
      <c r="AP577" s="59">
        <v>0</v>
      </c>
    </row>
    <row r="578" spans="1:42" ht="93" customHeight="1" x14ac:dyDescent="0.25">
      <c r="A578" s="62" t="s">
        <v>78</v>
      </c>
      <c r="B578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578" s="64" t="s">
        <v>79</v>
      </c>
      <c r="D578" s="64" t="s">
        <v>80</v>
      </c>
      <c r="E578" s="64" t="s">
        <v>81</v>
      </c>
      <c r="F578" s="64" t="s">
        <v>99</v>
      </c>
      <c r="G578" s="64" t="s">
        <v>92</v>
      </c>
      <c r="H578" s="65" t="str">
        <f>VLOOKUP(Tabla6[[#This Row],[DIRECCIÓN]],DIRECCIÓN[#All],2,0)</f>
        <v>ADMINISTRACIÓN CENTRAL</v>
      </c>
      <c r="I578" s="66" t="s">
        <v>573</v>
      </c>
      <c r="J578" s="67">
        <v>1</v>
      </c>
      <c r="K578" s="68" t="str">
        <f>VLOOKUP(Tabla6[[#This Row],[DIRECCIÓN GENERAL / COORDINACIÓN / SUBDIRECCIÓN]],Tabla37[[#All],[Columna1]:[EOD]],2,0)</f>
        <v>266_0004</v>
      </c>
      <c r="L578" s="69">
        <f>VLOOKUP(Tabla6[[#This Row],[OBJETIVOS PND]],Listas!$A$1:$C$3,3,0)</f>
        <v>1</v>
      </c>
      <c r="M578" s="70">
        <f>VLOOKUP(Tabla6[[#This Row],[PG]],Listas2!$G$14:$K$16,5,0)</f>
        <v>0</v>
      </c>
      <c r="N578" s="71">
        <v>1</v>
      </c>
      <c r="O578" s="72">
        <v>1301</v>
      </c>
      <c r="P578" s="73" t="str">
        <f>VLOOKUP(Tabla6[[#This Row],[GEO]],Listas!$A$48:$B$77,2,0)</f>
        <v>PORTOVIEJO</v>
      </c>
      <c r="Q578" s="70">
        <f>VLOOKUP(Tabla6[[#This Row],[PG]],Listas2!$G$14:$K$16,3,0)</f>
        <v>1</v>
      </c>
      <c r="R578" s="73">
        <f>VLOOKUP(Tabla6[[#This Row],[PG]],Listas2!H88:'Listas2'!$G$14:$K$16,4,0)</f>
        <v>0</v>
      </c>
      <c r="S578" s="73">
        <f>VLOOKUP(Tabla6[[#This Row],[PG]],Listas2!$G$14:$K$16,2,0)</f>
        <v>0</v>
      </c>
      <c r="T578" s="66" t="s">
        <v>84</v>
      </c>
      <c r="U578" s="74">
        <v>57</v>
      </c>
      <c r="V578" s="66">
        <v>570102</v>
      </c>
      <c r="W578" s="63" t="str">
        <f>VLOOKUP(Tabla6[[#This Row],[ÍTEM PRESUPUESTARIO]],Tabla2[#All],2,0)</f>
        <v>TASAS GENERALES, IMPUESTOS, CONTRIBUCIONES, PERMISOS, LICENCIAS Y PATENTES</v>
      </c>
      <c r="X578" s="57">
        <v>600</v>
      </c>
      <c r="Y578" s="57">
        <f>600+700-8.13</f>
        <v>1291.8699999999999</v>
      </c>
      <c r="Z578" s="58">
        <v>0</v>
      </c>
      <c r="AA578" s="58">
        <v>0</v>
      </c>
      <c r="AB578" s="58">
        <v>1291.8699999999999</v>
      </c>
      <c r="AC578" s="58">
        <v>0</v>
      </c>
      <c r="AD578" s="58">
        <v>0</v>
      </c>
      <c r="AE578" s="58">
        <v>0</v>
      </c>
      <c r="AF578" s="58">
        <v>0</v>
      </c>
      <c r="AG578" s="58">
        <v>0</v>
      </c>
      <c r="AH578" s="58">
        <v>0</v>
      </c>
      <c r="AI578" s="58">
        <v>0</v>
      </c>
      <c r="AJ578" s="58">
        <v>0</v>
      </c>
      <c r="AK578" s="58">
        <v>0</v>
      </c>
      <c r="AL578" s="75">
        <f>+SUBTOTAL(9,Tabla6[[#This Row],[ENE]:[DIC]])</f>
        <v>1291.8699999999999</v>
      </c>
      <c r="AM578" s="76" t="str">
        <f t="shared" si="12"/>
        <v>OK</v>
      </c>
      <c r="AN578" s="60">
        <v>1291.8699999999999</v>
      </c>
      <c r="AO578" s="61">
        <f>+Tabla6[[#This Row],[PRESUPUESTO VIGENTE]]-Tabla6[[#This Row],[CERTIFICACIÓN PAPP]]</f>
        <v>0</v>
      </c>
      <c r="AP578" s="59">
        <v>0</v>
      </c>
    </row>
    <row r="579" spans="1:42" ht="93" customHeight="1" x14ac:dyDescent="0.25">
      <c r="A579" s="62" t="s">
        <v>78</v>
      </c>
      <c r="B579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579" s="64" t="s">
        <v>79</v>
      </c>
      <c r="D579" s="64" t="s">
        <v>80</v>
      </c>
      <c r="E579" s="64" t="s">
        <v>81</v>
      </c>
      <c r="F579" s="64" t="s">
        <v>99</v>
      </c>
      <c r="G579" s="64" t="s">
        <v>92</v>
      </c>
      <c r="H579" s="65" t="str">
        <f>VLOOKUP(Tabla6[[#This Row],[DIRECCIÓN]],DIRECCIÓN[#All],2,0)</f>
        <v>ADMINISTRACIÓN CENTRAL</v>
      </c>
      <c r="I579" s="66" t="s">
        <v>574</v>
      </c>
      <c r="J579" s="67">
        <v>1</v>
      </c>
      <c r="K579" s="68" t="str">
        <f>VLOOKUP(Tabla6[[#This Row],[DIRECCIÓN GENERAL / COORDINACIÓN / SUBDIRECCIÓN]],Tabla37[[#All],[Columna1]:[EOD]],2,0)</f>
        <v>266_0004</v>
      </c>
      <c r="L579" s="69">
        <f>VLOOKUP(Tabla6[[#This Row],[OBJETIVOS PND]],Listas!$A$1:$C$3,3,0)</f>
        <v>1</v>
      </c>
      <c r="M579" s="70">
        <f>VLOOKUP(Tabla6[[#This Row],[PG]],Listas2!$G$14:$K$16,5,0)</f>
        <v>0</v>
      </c>
      <c r="N579" s="71">
        <v>1</v>
      </c>
      <c r="O579" s="72">
        <v>1301</v>
      </c>
      <c r="P579" s="73" t="str">
        <f>VLOOKUP(Tabla6[[#This Row],[GEO]],Listas!$A$48:$B$77,2,0)</f>
        <v>PORTOVIEJO</v>
      </c>
      <c r="Q579" s="70">
        <f>VLOOKUP(Tabla6[[#This Row],[PG]],Listas2!$G$14:$K$16,3,0)</f>
        <v>1</v>
      </c>
      <c r="R579" s="73">
        <f>VLOOKUP(Tabla6[[#This Row],[PG]],Listas2!H89:'Listas2'!$G$14:$K$16,4,0)</f>
        <v>0</v>
      </c>
      <c r="S579" s="73">
        <f>VLOOKUP(Tabla6[[#This Row],[PG]],Listas2!$G$14:$K$16,2,0)</f>
        <v>0</v>
      </c>
      <c r="T579" s="66" t="s">
        <v>84</v>
      </c>
      <c r="U579" s="74">
        <v>57</v>
      </c>
      <c r="V579" s="66">
        <v>570102</v>
      </c>
      <c r="W579" s="63" t="str">
        <f>VLOOKUP(Tabla6[[#This Row],[ÍTEM PRESUPUESTARIO]],Tabla2[#All],2,0)</f>
        <v>TASAS GENERALES, IMPUESTOS, CONTRIBUCIONES, PERMISOS, LICENCIAS Y PATENTES</v>
      </c>
      <c r="X579" s="57">
        <v>9350</v>
      </c>
      <c r="Y579" s="57">
        <f>9350-739.42-4971.05-3336.63</f>
        <v>302.89999999999964</v>
      </c>
      <c r="Z579" s="58">
        <v>0</v>
      </c>
      <c r="AA579" s="58">
        <v>302.89999999999998</v>
      </c>
      <c r="AB579" s="58">
        <v>0</v>
      </c>
      <c r="AC579" s="58">
        <v>0</v>
      </c>
      <c r="AD579" s="58">
        <v>0</v>
      </c>
      <c r="AE579" s="58">
        <v>0</v>
      </c>
      <c r="AF579" s="58">
        <v>0</v>
      </c>
      <c r="AG579" s="58">
        <v>0</v>
      </c>
      <c r="AH579" s="58">
        <v>0</v>
      </c>
      <c r="AI579" s="58">
        <v>0</v>
      </c>
      <c r="AJ579" s="58">
        <v>0</v>
      </c>
      <c r="AK579" s="58">
        <v>0</v>
      </c>
      <c r="AL579" s="75">
        <f>+SUBTOTAL(9,Tabla6[[#This Row],[ENE]:[DIC]])</f>
        <v>302.89999999999998</v>
      </c>
      <c r="AM579" s="76" t="str">
        <f t="shared" si="12"/>
        <v>OK</v>
      </c>
      <c r="AN579" s="60">
        <v>302.89999999999998</v>
      </c>
      <c r="AO579" s="61">
        <f>+Tabla6[[#This Row],[PRESUPUESTO VIGENTE]]-Tabla6[[#This Row],[CERTIFICACIÓN PAPP]]</f>
        <v>0</v>
      </c>
      <c r="AP579" s="59">
        <v>0</v>
      </c>
    </row>
    <row r="580" spans="1:42" ht="93" customHeight="1" x14ac:dyDescent="0.25">
      <c r="A580" s="62" t="s">
        <v>78</v>
      </c>
      <c r="B580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580" s="64" t="s">
        <v>79</v>
      </c>
      <c r="D580" s="64" t="s">
        <v>80</v>
      </c>
      <c r="E580" s="64" t="s">
        <v>81</v>
      </c>
      <c r="F580" s="64" t="s">
        <v>99</v>
      </c>
      <c r="G580" s="64" t="s">
        <v>92</v>
      </c>
      <c r="H580" s="65" t="str">
        <f>VLOOKUP(Tabla6[[#This Row],[DIRECCIÓN]],DIRECCIÓN[#All],2,0)</f>
        <v>ADMINISTRACIÓN CENTRAL</v>
      </c>
      <c r="I580" s="66" t="s">
        <v>575</v>
      </c>
      <c r="J580" s="67">
        <v>1</v>
      </c>
      <c r="K580" s="68" t="str">
        <f>VLOOKUP(Tabla6[[#This Row],[DIRECCIÓN GENERAL / COORDINACIÓN / SUBDIRECCIÓN]],Tabla37[[#All],[Columna1]:[EOD]],2,0)</f>
        <v>266_0004</v>
      </c>
      <c r="L580" s="69">
        <f>VLOOKUP(Tabla6[[#This Row],[OBJETIVOS PND]],Listas!$A$1:$C$3,3,0)</f>
        <v>1</v>
      </c>
      <c r="M580" s="70">
        <f>VLOOKUP(Tabla6[[#This Row],[PG]],Listas2!$G$14:$K$16,5,0)</f>
        <v>0</v>
      </c>
      <c r="N580" s="71">
        <v>1</v>
      </c>
      <c r="O580" s="72">
        <v>1301</v>
      </c>
      <c r="P580" s="73" t="str">
        <f>VLOOKUP(Tabla6[[#This Row],[GEO]],Listas!$A$48:$B$77,2,0)</f>
        <v>PORTOVIEJO</v>
      </c>
      <c r="Q580" s="70">
        <f>VLOOKUP(Tabla6[[#This Row],[PG]],Listas2!$G$14:$K$16,3,0)</f>
        <v>1</v>
      </c>
      <c r="R580" s="73">
        <f>VLOOKUP(Tabla6[[#This Row],[PG]],Listas2!H90:'Listas2'!$G$14:$K$16,4,0)</f>
        <v>0</v>
      </c>
      <c r="S580" s="73">
        <f>VLOOKUP(Tabla6[[#This Row],[PG]],Listas2!$G$14:$K$16,2,0)</f>
        <v>0</v>
      </c>
      <c r="T580" s="66" t="s">
        <v>84</v>
      </c>
      <c r="U580" s="74">
        <v>57</v>
      </c>
      <c r="V580" s="66">
        <v>570102</v>
      </c>
      <c r="W580" s="63" t="str">
        <f>VLOOKUP(Tabla6[[#This Row],[ÍTEM PRESUPUESTARIO]],Tabla2[#All],2,0)</f>
        <v>TASAS GENERALES, IMPUESTOS, CONTRIBUCIONES, PERMISOS, LICENCIAS Y PATENTES</v>
      </c>
      <c r="X580" s="57">
        <v>150</v>
      </c>
      <c r="Y580" s="57">
        <f>150-26.67</f>
        <v>123.33</v>
      </c>
      <c r="Z580" s="58">
        <v>0</v>
      </c>
      <c r="AA580" s="58">
        <v>0</v>
      </c>
      <c r="AB580" s="58">
        <v>0</v>
      </c>
      <c r="AC580" s="58">
        <v>0</v>
      </c>
      <c r="AD580" s="58">
        <v>123.33</v>
      </c>
      <c r="AE580" s="58">
        <v>0</v>
      </c>
      <c r="AF580" s="58">
        <v>0</v>
      </c>
      <c r="AG580" s="58">
        <v>0</v>
      </c>
      <c r="AH580" s="58">
        <v>0</v>
      </c>
      <c r="AI580" s="58">
        <v>0</v>
      </c>
      <c r="AJ580" s="58">
        <v>0</v>
      </c>
      <c r="AK580" s="58">
        <v>0</v>
      </c>
      <c r="AL580" s="75">
        <f>+SUBTOTAL(9,Tabla6[[#This Row],[ENE]:[DIC]])</f>
        <v>123.33</v>
      </c>
      <c r="AM580" s="76" t="str">
        <f t="shared" si="12"/>
        <v>OK</v>
      </c>
      <c r="AN580" s="60">
        <f>88.33+35</f>
        <v>123.33</v>
      </c>
      <c r="AO580" s="61">
        <f>+Tabla6[[#This Row],[PRESUPUESTO VIGENTE]]-Tabla6[[#This Row],[CERTIFICACIÓN PAPP]]</f>
        <v>0</v>
      </c>
      <c r="AP580" s="59">
        <v>0</v>
      </c>
    </row>
    <row r="581" spans="1:42" ht="93" customHeight="1" x14ac:dyDescent="0.25">
      <c r="A581" s="62" t="s">
        <v>78</v>
      </c>
      <c r="B581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581" s="64" t="s">
        <v>79</v>
      </c>
      <c r="D581" s="64" t="s">
        <v>80</v>
      </c>
      <c r="E581" s="64" t="s">
        <v>81</v>
      </c>
      <c r="F581" s="64" t="s">
        <v>99</v>
      </c>
      <c r="G581" s="64" t="s">
        <v>92</v>
      </c>
      <c r="H581" s="65" t="str">
        <f>VLOOKUP(Tabla6[[#This Row],[DIRECCIÓN]],DIRECCIÓN[#All],2,0)</f>
        <v>ADMINISTRACIÓN CENTRAL</v>
      </c>
      <c r="I581" s="66" t="s">
        <v>576</v>
      </c>
      <c r="J581" s="67">
        <v>1</v>
      </c>
      <c r="K581" s="68" t="str">
        <f>VLOOKUP(Tabla6[[#This Row],[DIRECCIÓN GENERAL / COORDINACIÓN / SUBDIRECCIÓN]],Tabla37[[#All],[Columna1]:[EOD]],2,0)</f>
        <v>266_0004</v>
      </c>
      <c r="L581" s="69">
        <f>VLOOKUP(Tabla6[[#This Row],[OBJETIVOS PND]],Listas!$A$1:$C$3,3,0)</f>
        <v>1</v>
      </c>
      <c r="M581" s="70">
        <f>VLOOKUP(Tabla6[[#This Row],[PG]],Listas2!$G$14:$K$16,5,0)</f>
        <v>0</v>
      </c>
      <c r="N581" s="71">
        <v>1</v>
      </c>
      <c r="O581" s="72">
        <v>1301</v>
      </c>
      <c r="P581" s="73" t="str">
        <f>VLOOKUP(Tabla6[[#This Row],[GEO]],Listas!$A$48:$B$77,2,0)</f>
        <v>PORTOVIEJO</v>
      </c>
      <c r="Q581" s="70">
        <f>VLOOKUP(Tabla6[[#This Row],[PG]],Listas2!$G$14:$K$16,3,0)</f>
        <v>1</v>
      </c>
      <c r="R581" s="73">
        <f>VLOOKUP(Tabla6[[#This Row],[PG]],Listas2!H91:'Listas2'!$G$14:$K$16,4,0)</f>
        <v>0</v>
      </c>
      <c r="S581" s="73">
        <f>VLOOKUP(Tabla6[[#This Row],[PG]],Listas2!$G$14:$K$16,2,0)</f>
        <v>0</v>
      </c>
      <c r="T581" s="66" t="s">
        <v>84</v>
      </c>
      <c r="U581" s="74">
        <v>57</v>
      </c>
      <c r="V581" s="66">
        <v>570102</v>
      </c>
      <c r="W581" s="63" t="str">
        <f>VLOOKUP(Tabla6[[#This Row],[ÍTEM PRESUPUESTARIO]],Tabla2[#All],2,0)</f>
        <v>TASAS GENERALES, IMPUESTOS, CONTRIBUCIONES, PERMISOS, LICENCIAS Y PATENTES</v>
      </c>
      <c r="X581" s="57">
        <v>305</v>
      </c>
      <c r="Y581" s="57">
        <f>305-17.58-132</f>
        <v>155.42000000000002</v>
      </c>
      <c r="Z581" s="58">
        <v>0</v>
      </c>
      <c r="AA581" s="58">
        <v>0</v>
      </c>
      <c r="AB581" s="58">
        <v>0</v>
      </c>
      <c r="AC581" s="58">
        <v>0</v>
      </c>
      <c r="AD581" s="58">
        <v>155.41999999999999</v>
      </c>
      <c r="AE581" s="58">
        <v>0</v>
      </c>
      <c r="AF581" s="58">
        <v>0</v>
      </c>
      <c r="AG581" s="58">
        <v>0</v>
      </c>
      <c r="AH581" s="58">
        <v>0</v>
      </c>
      <c r="AI581" s="58">
        <v>0</v>
      </c>
      <c r="AJ581" s="58">
        <v>0</v>
      </c>
      <c r="AK581" s="58">
        <v>0</v>
      </c>
      <c r="AL581" s="75">
        <f>+SUBTOTAL(9,Tabla6[[#This Row],[ENE]:[DIC]])</f>
        <v>155.41999999999999</v>
      </c>
      <c r="AM581" s="76" t="str">
        <f t="shared" si="12"/>
        <v>OK</v>
      </c>
      <c r="AN581" s="60">
        <f>287.42-132</f>
        <v>155.42000000000002</v>
      </c>
      <c r="AO581" s="61">
        <f>+Tabla6[[#This Row],[PRESUPUESTO VIGENTE]]-Tabla6[[#This Row],[CERTIFICACIÓN PAPP]]</f>
        <v>0</v>
      </c>
      <c r="AP581" s="59">
        <v>0</v>
      </c>
    </row>
    <row r="582" spans="1:42" ht="93" customHeight="1" x14ac:dyDescent="0.25">
      <c r="A582" s="62" t="s">
        <v>78</v>
      </c>
      <c r="B582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582" s="64" t="s">
        <v>79</v>
      </c>
      <c r="D582" s="64" t="s">
        <v>80</v>
      </c>
      <c r="E582" s="64" t="s">
        <v>81</v>
      </c>
      <c r="F582" s="64" t="s">
        <v>99</v>
      </c>
      <c r="G582" s="64" t="s">
        <v>92</v>
      </c>
      <c r="H582" s="65" t="str">
        <f>VLOOKUP(Tabla6[[#This Row],[DIRECCIÓN]],DIRECCIÓN[#All],2,0)</f>
        <v>ADMINISTRACIÓN CENTRAL</v>
      </c>
      <c r="I582" s="66" t="s">
        <v>577</v>
      </c>
      <c r="J582" s="67">
        <v>1</v>
      </c>
      <c r="K582" s="68" t="str">
        <f>VLOOKUP(Tabla6[[#This Row],[DIRECCIÓN GENERAL / COORDINACIÓN / SUBDIRECCIÓN]],Tabla37[[#All],[Columna1]:[EOD]],2,0)</f>
        <v>266_0004</v>
      </c>
      <c r="L582" s="69">
        <f>VLOOKUP(Tabla6[[#This Row],[OBJETIVOS PND]],Listas!$A$1:$C$3,3,0)</f>
        <v>1</v>
      </c>
      <c r="M582" s="70">
        <f>VLOOKUP(Tabla6[[#This Row],[PG]],Listas2!$G$14:$K$16,5,0)</f>
        <v>0</v>
      </c>
      <c r="N582" s="71">
        <v>1</v>
      </c>
      <c r="O582" s="72">
        <v>1301</v>
      </c>
      <c r="P582" s="73" t="str">
        <f>VLOOKUP(Tabla6[[#This Row],[GEO]],Listas!$A$48:$B$77,2,0)</f>
        <v>PORTOVIEJO</v>
      </c>
      <c r="Q582" s="70">
        <f>VLOOKUP(Tabla6[[#This Row],[PG]],Listas2!$G$14:$K$16,3,0)</f>
        <v>1</v>
      </c>
      <c r="R582" s="73">
        <f>VLOOKUP(Tabla6[[#This Row],[PG]],Listas2!H92:'Listas2'!$G$14:$K$16,4,0)</f>
        <v>0</v>
      </c>
      <c r="S582" s="73">
        <f>VLOOKUP(Tabla6[[#This Row],[PG]],Listas2!$G$14:$K$16,2,0)</f>
        <v>0</v>
      </c>
      <c r="T582" s="66" t="s">
        <v>84</v>
      </c>
      <c r="U582" s="74">
        <v>57</v>
      </c>
      <c r="V582" s="66">
        <v>570102</v>
      </c>
      <c r="W582" s="63" t="str">
        <f>VLOOKUP(Tabla6[[#This Row],[ÍTEM PRESUPUESTARIO]],Tabla2[#All],2,0)</f>
        <v>TASAS GENERALES, IMPUESTOS, CONTRIBUCIONES, PERMISOS, LICENCIAS Y PATENTES</v>
      </c>
      <c r="X582" s="57">
        <v>100</v>
      </c>
      <c r="Y582" s="57">
        <f>100-66.64</f>
        <v>33.36</v>
      </c>
      <c r="Z582" s="58">
        <v>0</v>
      </c>
      <c r="AA582" s="58">
        <v>0</v>
      </c>
      <c r="AB582" s="58">
        <v>0</v>
      </c>
      <c r="AC582" s="58">
        <v>0</v>
      </c>
      <c r="AD582" s="58">
        <v>33.36</v>
      </c>
      <c r="AE582" s="58">
        <v>0</v>
      </c>
      <c r="AF582" s="58">
        <v>0</v>
      </c>
      <c r="AG582" s="58">
        <v>0</v>
      </c>
      <c r="AH582" s="58">
        <v>0</v>
      </c>
      <c r="AI582" s="58">
        <v>0</v>
      </c>
      <c r="AJ582" s="58">
        <v>0</v>
      </c>
      <c r="AK582" s="58">
        <v>0</v>
      </c>
      <c r="AL582" s="75">
        <f>+SUBTOTAL(9,Tabla6[[#This Row],[ENE]:[DIC]])</f>
        <v>33.36</v>
      </c>
      <c r="AM582" s="76" t="str">
        <f t="shared" si="12"/>
        <v>OK</v>
      </c>
      <c r="AN582" s="60">
        <v>33.36</v>
      </c>
      <c r="AO582" s="61">
        <f>+Tabla6[[#This Row],[PRESUPUESTO VIGENTE]]-Tabla6[[#This Row],[CERTIFICACIÓN PAPP]]</f>
        <v>0</v>
      </c>
      <c r="AP582" s="59">
        <v>0</v>
      </c>
    </row>
    <row r="583" spans="1:42" ht="93" customHeight="1" x14ac:dyDescent="0.25">
      <c r="A583" s="62" t="s">
        <v>78</v>
      </c>
      <c r="B583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583" s="64" t="s">
        <v>79</v>
      </c>
      <c r="D583" s="64" t="s">
        <v>80</v>
      </c>
      <c r="E583" s="64" t="s">
        <v>81</v>
      </c>
      <c r="F583" s="64" t="s">
        <v>99</v>
      </c>
      <c r="G583" s="64" t="s">
        <v>92</v>
      </c>
      <c r="H583" s="65" t="str">
        <f>VLOOKUP(Tabla6[[#This Row],[DIRECCIÓN]],DIRECCIÓN[#All],2,0)</f>
        <v>ADMINISTRACIÓN CENTRAL</v>
      </c>
      <c r="I583" s="66" t="s">
        <v>578</v>
      </c>
      <c r="J583" s="67">
        <v>1</v>
      </c>
      <c r="K583" s="68" t="str">
        <f>VLOOKUP(Tabla6[[#This Row],[DIRECCIÓN GENERAL / COORDINACIÓN / SUBDIRECCIÓN]],Tabla37[[#All],[Columna1]:[EOD]],2,0)</f>
        <v>266_0004</v>
      </c>
      <c r="L583" s="69">
        <f>VLOOKUP(Tabla6[[#This Row],[OBJETIVOS PND]],Listas!$A$1:$C$3,3,0)</f>
        <v>1</v>
      </c>
      <c r="M583" s="70">
        <f>VLOOKUP(Tabla6[[#This Row],[PG]],Listas2!$G$14:$K$16,5,0)</f>
        <v>0</v>
      </c>
      <c r="N583" s="71">
        <v>1</v>
      </c>
      <c r="O583" s="72">
        <v>1301</v>
      </c>
      <c r="P583" s="73" t="str">
        <f>VLOOKUP(Tabla6[[#This Row],[GEO]],Listas!$A$48:$B$77,2,0)</f>
        <v>PORTOVIEJO</v>
      </c>
      <c r="Q583" s="70">
        <f>VLOOKUP(Tabla6[[#This Row],[PG]],Listas2!$G$14:$K$16,3,0)</f>
        <v>1</v>
      </c>
      <c r="R583" s="73">
        <f>VLOOKUP(Tabla6[[#This Row],[PG]],Listas2!H93:'Listas2'!$G$14:$K$16,4,0)</f>
        <v>0</v>
      </c>
      <c r="S583" s="73">
        <f>VLOOKUP(Tabla6[[#This Row],[PG]],Listas2!$G$14:$K$16,2,0)</f>
        <v>0</v>
      </c>
      <c r="T583" s="66" t="s">
        <v>84</v>
      </c>
      <c r="U583" s="74">
        <v>57</v>
      </c>
      <c r="V583" s="66">
        <v>570102</v>
      </c>
      <c r="W583" s="63" t="str">
        <f>VLOOKUP(Tabla6[[#This Row],[ÍTEM PRESUPUESTARIO]],Tabla2[#All],2,0)</f>
        <v>TASAS GENERALES, IMPUESTOS, CONTRIBUCIONES, PERMISOS, LICENCIAS Y PATENTES</v>
      </c>
      <c r="X583" s="57">
        <v>100</v>
      </c>
      <c r="Y583" s="57">
        <v>100</v>
      </c>
      <c r="Z583" s="58">
        <v>0</v>
      </c>
      <c r="AA583" s="58">
        <v>100</v>
      </c>
      <c r="AB583" s="58">
        <v>0</v>
      </c>
      <c r="AC583" s="58">
        <v>0</v>
      </c>
      <c r="AD583" s="58">
        <v>0</v>
      </c>
      <c r="AE583" s="58">
        <v>0</v>
      </c>
      <c r="AF583" s="58">
        <v>0</v>
      </c>
      <c r="AG583" s="58">
        <v>0</v>
      </c>
      <c r="AH583" s="58">
        <v>0</v>
      </c>
      <c r="AI583" s="58">
        <v>0</v>
      </c>
      <c r="AJ583" s="58">
        <v>0</v>
      </c>
      <c r="AK583" s="58">
        <v>0</v>
      </c>
      <c r="AL583" s="75">
        <f>+SUBTOTAL(9,Tabla6[[#This Row],[ENE]:[DIC]])</f>
        <v>100</v>
      </c>
      <c r="AM583" s="76" t="str">
        <f t="shared" si="12"/>
        <v>OK</v>
      </c>
      <c r="AN583" s="60">
        <v>100</v>
      </c>
      <c r="AO583" s="61">
        <f>+Tabla6[[#This Row],[PRESUPUESTO VIGENTE]]-Tabla6[[#This Row],[CERTIFICACIÓN PAPP]]</f>
        <v>0</v>
      </c>
      <c r="AP583" s="59">
        <v>0</v>
      </c>
    </row>
    <row r="584" spans="1:42" ht="93" customHeight="1" x14ac:dyDescent="0.25">
      <c r="A584" s="62" t="s">
        <v>78</v>
      </c>
      <c r="B584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584" s="64" t="s">
        <v>79</v>
      </c>
      <c r="D584" s="64" t="s">
        <v>80</v>
      </c>
      <c r="E584" s="64" t="s">
        <v>81</v>
      </c>
      <c r="F584" s="64" t="s">
        <v>99</v>
      </c>
      <c r="G584" s="64" t="s">
        <v>92</v>
      </c>
      <c r="H584" s="65" t="str">
        <f>VLOOKUP(Tabla6[[#This Row],[DIRECCIÓN]],DIRECCIÓN[#All],2,0)</f>
        <v>ADMINISTRACIÓN CENTRAL</v>
      </c>
      <c r="I584" s="66" t="s">
        <v>579</v>
      </c>
      <c r="J584" s="67">
        <v>1</v>
      </c>
      <c r="K584" s="68" t="str">
        <f>VLOOKUP(Tabla6[[#This Row],[DIRECCIÓN GENERAL / COORDINACIÓN / SUBDIRECCIÓN]],Tabla37[[#All],[Columna1]:[EOD]],2,0)</f>
        <v>266_0004</v>
      </c>
      <c r="L584" s="69">
        <f>VLOOKUP(Tabla6[[#This Row],[OBJETIVOS PND]],Listas!$A$1:$C$3,3,0)</f>
        <v>1</v>
      </c>
      <c r="M584" s="70">
        <f>VLOOKUP(Tabla6[[#This Row],[PG]],Listas2!$G$14:$K$16,5,0)</f>
        <v>0</v>
      </c>
      <c r="N584" s="71">
        <v>1</v>
      </c>
      <c r="O584" s="72">
        <v>1301</v>
      </c>
      <c r="P584" s="73" t="str">
        <f>VLOOKUP(Tabla6[[#This Row],[GEO]],Listas!$A$48:$B$77,2,0)</f>
        <v>PORTOVIEJO</v>
      </c>
      <c r="Q584" s="70">
        <f>VLOOKUP(Tabla6[[#This Row],[PG]],Listas2!$G$14:$K$16,3,0)</f>
        <v>1</v>
      </c>
      <c r="R584" s="73">
        <f>VLOOKUP(Tabla6[[#This Row],[PG]],Listas2!H94:'Listas2'!$G$14:$K$16,4,0)</f>
        <v>0</v>
      </c>
      <c r="S584" s="73">
        <f>VLOOKUP(Tabla6[[#This Row],[PG]],Listas2!$G$14:$K$16,2,0)</f>
        <v>0</v>
      </c>
      <c r="T584" s="66" t="s">
        <v>84</v>
      </c>
      <c r="U584" s="74">
        <v>57</v>
      </c>
      <c r="V584" s="66">
        <v>570102</v>
      </c>
      <c r="W584" s="63" t="str">
        <f>VLOOKUP(Tabla6[[#This Row],[ÍTEM PRESUPUESTARIO]],Tabla2[#All],2,0)</f>
        <v>TASAS GENERALES, IMPUESTOS, CONTRIBUCIONES, PERMISOS, LICENCIAS Y PATENTES</v>
      </c>
      <c r="X584" s="57">
        <v>0</v>
      </c>
      <c r="Y584" s="57">
        <v>102</v>
      </c>
      <c r="Z584" s="58">
        <v>0</v>
      </c>
      <c r="AA584" s="58">
        <v>0</v>
      </c>
      <c r="AB584" s="58">
        <v>0</v>
      </c>
      <c r="AC584" s="58">
        <v>0</v>
      </c>
      <c r="AD584" s="58">
        <v>0</v>
      </c>
      <c r="AE584" s="58">
        <v>0</v>
      </c>
      <c r="AF584" s="58">
        <v>0</v>
      </c>
      <c r="AG584" s="58">
        <v>0</v>
      </c>
      <c r="AH584" s="58">
        <v>102</v>
      </c>
      <c r="AI584" s="58">
        <v>0</v>
      </c>
      <c r="AJ584" s="58">
        <v>0</v>
      </c>
      <c r="AK584" s="58">
        <v>0</v>
      </c>
      <c r="AL584" s="75">
        <f>+SUBTOTAL(9,Tabla6[[#This Row],[ENE]:[DIC]])</f>
        <v>102</v>
      </c>
      <c r="AM584" s="76" t="str">
        <f t="shared" si="12"/>
        <v>OK</v>
      </c>
      <c r="AN584" s="60">
        <v>102</v>
      </c>
      <c r="AO584" s="61">
        <f>+Tabla6[[#This Row],[PRESUPUESTO VIGENTE]]-Tabla6[[#This Row],[CERTIFICACIÓN PAPP]]</f>
        <v>0</v>
      </c>
      <c r="AP584" s="59">
        <v>0</v>
      </c>
    </row>
    <row r="585" spans="1:42" ht="93" customHeight="1" x14ac:dyDescent="0.25">
      <c r="A585" s="62" t="s">
        <v>78</v>
      </c>
      <c r="B585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585" s="64" t="s">
        <v>79</v>
      </c>
      <c r="D585" s="64" t="s">
        <v>80</v>
      </c>
      <c r="E585" s="64" t="s">
        <v>81</v>
      </c>
      <c r="F585" s="64" t="s">
        <v>99</v>
      </c>
      <c r="G585" s="64" t="s">
        <v>92</v>
      </c>
      <c r="H585" s="65" t="str">
        <f>VLOOKUP(Tabla6[[#This Row],[DIRECCIÓN]],DIRECCIÓN[#All],2,0)</f>
        <v>ADMINISTRACIÓN CENTRAL</v>
      </c>
      <c r="I585" s="66" t="s">
        <v>580</v>
      </c>
      <c r="J585" s="67">
        <v>1</v>
      </c>
      <c r="K585" s="68" t="str">
        <f>VLOOKUP(Tabla6[[#This Row],[DIRECCIÓN GENERAL / COORDINACIÓN / SUBDIRECCIÓN]],Tabla37[[#All],[Columna1]:[EOD]],2,0)</f>
        <v>266_0004</v>
      </c>
      <c r="L585" s="69">
        <f>VLOOKUP(Tabla6[[#This Row],[OBJETIVOS PND]],Listas!$A$1:$C$3,3,0)</f>
        <v>1</v>
      </c>
      <c r="M585" s="70">
        <f>VLOOKUP(Tabla6[[#This Row],[PG]],Listas2!$G$14:$K$16,5,0)</f>
        <v>0</v>
      </c>
      <c r="N585" s="71">
        <v>1</v>
      </c>
      <c r="O585" s="72">
        <v>1301</v>
      </c>
      <c r="P585" s="73" t="str">
        <f>VLOOKUP(Tabla6[[#This Row],[GEO]],Listas!$A$48:$B$77,2,0)</f>
        <v>PORTOVIEJO</v>
      </c>
      <c r="Q585" s="70">
        <f>VLOOKUP(Tabla6[[#This Row],[PG]],Listas2!$G$14:$K$16,3,0)</f>
        <v>1</v>
      </c>
      <c r="R585" s="73">
        <f>VLOOKUP(Tabla6[[#This Row],[PG]],Listas2!H95:'Listas2'!$G$14:$K$16,4,0)</f>
        <v>0</v>
      </c>
      <c r="S585" s="73">
        <f>VLOOKUP(Tabla6[[#This Row],[PG]],Listas2!$G$14:$K$16,2,0)</f>
        <v>0</v>
      </c>
      <c r="T585" s="66" t="s">
        <v>84</v>
      </c>
      <c r="U585" s="74">
        <v>57</v>
      </c>
      <c r="V585" s="66">
        <v>570102</v>
      </c>
      <c r="W585" s="63" t="str">
        <f>VLOOKUP(Tabla6[[#This Row],[ÍTEM PRESUPUESTARIO]],Tabla2[#All],2,0)</f>
        <v>TASAS GENERALES, IMPUESTOS, CONTRIBUCIONES, PERMISOS, LICENCIAS Y PATENTES</v>
      </c>
      <c r="X585" s="57">
        <v>500</v>
      </c>
      <c r="Y585" s="57">
        <v>0</v>
      </c>
      <c r="Z585" s="58">
        <v>0</v>
      </c>
      <c r="AA585" s="58">
        <v>0</v>
      </c>
      <c r="AB585" s="58">
        <v>0</v>
      </c>
      <c r="AC585" s="58">
        <v>0</v>
      </c>
      <c r="AD585" s="58">
        <v>0</v>
      </c>
      <c r="AE585" s="58">
        <v>0</v>
      </c>
      <c r="AF585" s="58">
        <v>0</v>
      </c>
      <c r="AG585" s="58">
        <v>0</v>
      </c>
      <c r="AH585" s="58">
        <v>0</v>
      </c>
      <c r="AI585" s="58">
        <v>0</v>
      </c>
      <c r="AJ585" s="58">
        <v>0</v>
      </c>
      <c r="AK585" s="58">
        <v>0</v>
      </c>
      <c r="AL585" s="75">
        <f>+SUBTOTAL(9,Tabla6[[#This Row],[ENE]:[DIC]])</f>
        <v>0</v>
      </c>
      <c r="AM585" s="76" t="str">
        <f t="shared" si="12"/>
        <v>OK</v>
      </c>
      <c r="AN585" s="60">
        <v>0</v>
      </c>
      <c r="AO585" s="61">
        <f>+Tabla6[[#This Row],[PRESUPUESTO VIGENTE]]-Tabla6[[#This Row],[CERTIFICACIÓN PAPP]]</f>
        <v>0</v>
      </c>
      <c r="AP585" s="59">
        <v>0</v>
      </c>
    </row>
    <row r="586" spans="1:42" ht="93" customHeight="1" x14ac:dyDescent="0.25">
      <c r="A586" s="62" t="s">
        <v>78</v>
      </c>
      <c r="B586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586" s="64" t="s">
        <v>79</v>
      </c>
      <c r="D586" s="64" t="s">
        <v>80</v>
      </c>
      <c r="E586" s="64" t="s">
        <v>81</v>
      </c>
      <c r="F586" s="64" t="s">
        <v>99</v>
      </c>
      <c r="G586" s="64" t="s">
        <v>92</v>
      </c>
      <c r="H586" s="65" t="str">
        <f>VLOOKUP(Tabla6[[#This Row],[DIRECCIÓN]],DIRECCIÓN[#All],2,0)</f>
        <v>ADMINISTRACIÓN CENTRAL</v>
      </c>
      <c r="I586" s="66" t="s">
        <v>550</v>
      </c>
      <c r="J586" s="67">
        <v>1</v>
      </c>
      <c r="K586" s="68" t="str">
        <f>VLOOKUP(Tabla6[[#This Row],[DIRECCIÓN GENERAL / COORDINACIÓN / SUBDIRECCIÓN]],Tabla37[[#All],[Columna1]:[EOD]],2,0)</f>
        <v>266_0004</v>
      </c>
      <c r="L586" s="69">
        <f>VLOOKUP(Tabla6[[#This Row],[OBJETIVOS PND]],Listas!$A$1:$C$3,3,0)</f>
        <v>1</v>
      </c>
      <c r="M586" s="70">
        <f>VLOOKUP(Tabla6[[#This Row],[PG]],Listas2!$G$14:$K$16,5,0)</f>
        <v>0</v>
      </c>
      <c r="N586" s="71">
        <v>1</v>
      </c>
      <c r="O586" s="72">
        <v>1301</v>
      </c>
      <c r="P586" s="73" t="str">
        <f>VLOOKUP(Tabla6[[#This Row],[GEO]],Listas!$A$48:$B$77,2,0)</f>
        <v>PORTOVIEJO</v>
      </c>
      <c r="Q586" s="70">
        <f>VLOOKUP(Tabla6[[#This Row],[PG]],Listas2!$G$14:$K$16,3,0)</f>
        <v>1</v>
      </c>
      <c r="R586" s="73">
        <f>VLOOKUP(Tabla6[[#This Row],[PG]],Listas2!H96:'Listas2'!$G$14:$K$16,4,0)</f>
        <v>0</v>
      </c>
      <c r="S586" s="73">
        <f>VLOOKUP(Tabla6[[#This Row],[PG]],Listas2!$G$14:$K$16,2,0)</f>
        <v>0</v>
      </c>
      <c r="T586" s="66" t="s">
        <v>84</v>
      </c>
      <c r="U586" s="74">
        <v>57</v>
      </c>
      <c r="V586" s="66">
        <v>570102</v>
      </c>
      <c r="W586" s="63" t="str">
        <f>VLOOKUP(Tabla6[[#This Row],[ÍTEM PRESUPUESTARIO]],Tabla2[#All],2,0)</f>
        <v>TASAS GENERALES, IMPUESTOS, CONTRIBUCIONES, PERMISOS, LICENCIAS Y PATENTES</v>
      </c>
      <c r="X586" s="57">
        <v>0</v>
      </c>
      <c r="Y586" s="57">
        <v>50</v>
      </c>
      <c r="Z586" s="58">
        <v>0</v>
      </c>
      <c r="AA586" s="58">
        <v>0</v>
      </c>
      <c r="AB586" s="58">
        <v>0</v>
      </c>
      <c r="AC586" s="58">
        <v>5</v>
      </c>
      <c r="AD586" s="58">
        <v>5</v>
      </c>
      <c r="AE586" s="58">
        <v>5</v>
      </c>
      <c r="AF586" s="58">
        <v>5</v>
      </c>
      <c r="AG586" s="58">
        <v>6</v>
      </c>
      <c r="AH586" s="58">
        <v>6</v>
      </c>
      <c r="AI586" s="58">
        <v>6</v>
      </c>
      <c r="AJ586" s="58">
        <v>6</v>
      </c>
      <c r="AK586" s="58">
        <v>6</v>
      </c>
      <c r="AL586" s="75">
        <f>+SUBTOTAL(9,Tabla6[[#This Row],[ENE]:[DIC]])</f>
        <v>50</v>
      </c>
      <c r="AM586" s="76" t="str">
        <f t="shared" si="12"/>
        <v>OK</v>
      </c>
      <c r="AN586" s="60">
        <v>50</v>
      </c>
      <c r="AO586" s="61">
        <f>+Tabla6[[#This Row],[PRESUPUESTO VIGENTE]]-Tabla6[[#This Row],[CERTIFICACIÓN PAPP]]</f>
        <v>0</v>
      </c>
      <c r="AP586" s="59">
        <v>0</v>
      </c>
    </row>
    <row r="587" spans="1:42" ht="93" customHeight="1" x14ac:dyDescent="0.25">
      <c r="A587" s="62" t="s">
        <v>78</v>
      </c>
      <c r="B587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587" s="64" t="s">
        <v>79</v>
      </c>
      <c r="D587" s="64" t="s">
        <v>80</v>
      </c>
      <c r="E587" s="64" t="s">
        <v>81</v>
      </c>
      <c r="F587" s="64" t="s">
        <v>99</v>
      </c>
      <c r="G587" s="64" t="s">
        <v>92</v>
      </c>
      <c r="H587" s="65" t="str">
        <f>VLOOKUP(Tabla6[[#This Row],[DIRECCIÓN]],DIRECCIÓN[#All],2,0)</f>
        <v>ADMINISTRACIÓN CENTRAL</v>
      </c>
      <c r="I587" s="66" t="s">
        <v>581</v>
      </c>
      <c r="J587" s="67">
        <v>1</v>
      </c>
      <c r="K587" s="68" t="str">
        <f>VLOOKUP(Tabla6[[#This Row],[DIRECCIÓN GENERAL / COORDINACIÓN / SUBDIRECCIÓN]],Tabla37[[#All],[Columna1]:[EOD]],2,0)</f>
        <v>266_0004</v>
      </c>
      <c r="L587" s="69">
        <f>VLOOKUP(Tabla6[[#This Row],[OBJETIVOS PND]],Listas!$A$1:$C$3,3,0)</f>
        <v>1</v>
      </c>
      <c r="M587" s="70">
        <f>VLOOKUP(Tabla6[[#This Row],[PG]],Listas2!$G$14:$K$16,5,0)</f>
        <v>0</v>
      </c>
      <c r="N587" s="71">
        <v>1</v>
      </c>
      <c r="O587" s="72">
        <v>1301</v>
      </c>
      <c r="P587" s="73" t="str">
        <f>VLOOKUP(Tabla6[[#This Row],[GEO]],Listas!$A$48:$B$77,2,0)</f>
        <v>PORTOVIEJO</v>
      </c>
      <c r="Q587" s="70">
        <f>VLOOKUP(Tabla6[[#This Row],[PG]],Listas2!$G$14:$K$16,3,0)</f>
        <v>1</v>
      </c>
      <c r="R587" s="73">
        <f>VLOOKUP(Tabla6[[#This Row],[PG]],Listas2!H97:'Listas2'!$G$14:$K$16,4,0)</f>
        <v>0</v>
      </c>
      <c r="S587" s="73">
        <f>VLOOKUP(Tabla6[[#This Row],[PG]],Listas2!$G$14:$K$16,2,0)</f>
        <v>0</v>
      </c>
      <c r="T587" s="66" t="s">
        <v>84</v>
      </c>
      <c r="U587" s="74">
        <v>57</v>
      </c>
      <c r="V587" s="66">
        <v>570102</v>
      </c>
      <c r="W587" s="63" t="str">
        <f>VLOOKUP(Tabla6[[#This Row],[ÍTEM PRESUPUESTARIO]],Tabla2[#All],2,0)</f>
        <v>TASAS GENERALES, IMPUESTOS, CONTRIBUCIONES, PERMISOS, LICENCIAS Y PATENTES</v>
      </c>
      <c r="X587" s="57">
        <v>100</v>
      </c>
      <c r="Y587" s="57">
        <v>0</v>
      </c>
      <c r="Z587" s="58">
        <v>0</v>
      </c>
      <c r="AA587" s="58">
        <v>0</v>
      </c>
      <c r="AB587" s="58">
        <v>0</v>
      </c>
      <c r="AC587" s="58">
        <v>0</v>
      </c>
      <c r="AD587" s="58">
        <v>0</v>
      </c>
      <c r="AE587" s="58">
        <v>0</v>
      </c>
      <c r="AF587" s="58">
        <v>0</v>
      </c>
      <c r="AG587" s="58">
        <v>0</v>
      </c>
      <c r="AH587" s="58">
        <v>0</v>
      </c>
      <c r="AI587" s="58">
        <v>0</v>
      </c>
      <c r="AJ587" s="58">
        <v>0</v>
      </c>
      <c r="AK587" s="58">
        <v>0</v>
      </c>
      <c r="AL587" s="75">
        <f>+SUBTOTAL(9,Tabla6[[#This Row],[ENE]:[DIC]])</f>
        <v>0</v>
      </c>
      <c r="AM587" s="76" t="str">
        <f t="shared" si="12"/>
        <v>OK</v>
      </c>
      <c r="AN587" s="60">
        <v>0</v>
      </c>
      <c r="AO587" s="61">
        <f>+Tabla6[[#This Row],[PRESUPUESTO VIGENTE]]-Tabla6[[#This Row],[CERTIFICACIÓN PAPP]]</f>
        <v>0</v>
      </c>
      <c r="AP587" s="59">
        <v>0</v>
      </c>
    </row>
    <row r="588" spans="1:42" ht="93" customHeight="1" x14ac:dyDescent="0.25">
      <c r="A588" s="62" t="s">
        <v>78</v>
      </c>
      <c r="B588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588" s="64" t="s">
        <v>79</v>
      </c>
      <c r="D588" s="64" t="s">
        <v>80</v>
      </c>
      <c r="E588" s="64" t="s">
        <v>81</v>
      </c>
      <c r="F588" s="64" t="s">
        <v>99</v>
      </c>
      <c r="G588" s="64" t="s">
        <v>92</v>
      </c>
      <c r="H588" s="65" t="str">
        <f>VLOOKUP(Tabla6[[#This Row],[DIRECCIÓN]],DIRECCIÓN[#All],2,0)</f>
        <v>ADMINISTRACIÓN CENTRAL</v>
      </c>
      <c r="I588" s="66" t="s">
        <v>580</v>
      </c>
      <c r="J588" s="67">
        <v>1</v>
      </c>
      <c r="K588" s="68" t="str">
        <f>VLOOKUP(Tabla6[[#This Row],[DIRECCIÓN GENERAL / COORDINACIÓN / SUBDIRECCIÓN]],Tabla37[[#All],[Columna1]:[EOD]],2,0)</f>
        <v>266_0004</v>
      </c>
      <c r="L588" s="69">
        <f>VLOOKUP(Tabla6[[#This Row],[OBJETIVOS PND]],Listas!$A$1:$C$3,3,0)</f>
        <v>1</v>
      </c>
      <c r="M588" s="70">
        <f>VLOOKUP(Tabla6[[#This Row],[PG]],Listas2!$G$14:$K$16,5,0)</f>
        <v>0</v>
      </c>
      <c r="N588" s="71">
        <v>1</v>
      </c>
      <c r="O588" s="72">
        <v>1301</v>
      </c>
      <c r="P588" s="73" t="str">
        <f>VLOOKUP(Tabla6[[#This Row],[GEO]],Listas!$A$48:$B$77,2,0)</f>
        <v>PORTOVIEJO</v>
      </c>
      <c r="Q588" s="70">
        <f>VLOOKUP(Tabla6[[#This Row],[PG]],Listas2!$G$14:$K$16,3,0)</f>
        <v>1</v>
      </c>
      <c r="R588" s="73">
        <f>VLOOKUP(Tabla6[[#This Row],[PG]],Listas2!H98:'Listas2'!$G$14:$K$16,4,0)</f>
        <v>0</v>
      </c>
      <c r="S588" s="73">
        <f>VLOOKUP(Tabla6[[#This Row],[PG]],Listas2!$G$14:$K$16,2,0)</f>
        <v>0</v>
      </c>
      <c r="T588" s="66" t="s">
        <v>84</v>
      </c>
      <c r="U588" s="74">
        <v>57</v>
      </c>
      <c r="V588" s="66">
        <v>570102</v>
      </c>
      <c r="W588" s="63" t="str">
        <f>VLOOKUP(Tabla6[[#This Row],[ÍTEM PRESUPUESTARIO]],Tabla2[#All],2,0)</f>
        <v>TASAS GENERALES, IMPUESTOS, CONTRIBUCIONES, PERMISOS, LICENCIAS Y PATENTES</v>
      </c>
      <c r="X588" s="57">
        <v>600</v>
      </c>
      <c r="Y588" s="57">
        <v>0</v>
      </c>
      <c r="Z588" s="58">
        <v>0</v>
      </c>
      <c r="AA588" s="58">
        <v>0</v>
      </c>
      <c r="AB588" s="58">
        <v>0</v>
      </c>
      <c r="AC588" s="58">
        <v>0</v>
      </c>
      <c r="AD588" s="58">
        <v>0</v>
      </c>
      <c r="AE588" s="58">
        <v>0</v>
      </c>
      <c r="AF588" s="58">
        <v>0</v>
      </c>
      <c r="AG588" s="58">
        <v>0</v>
      </c>
      <c r="AH588" s="58">
        <v>0</v>
      </c>
      <c r="AI588" s="58">
        <v>0</v>
      </c>
      <c r="AJ588" s="58">
        <v>0</v>
      </c>
      <c r="AK588" s="58">
        <v>0</v>
      </c>
      <c r="AL588" s="75">
        <f>+SUBTOTAL(9,Tabla6[[#This Row],[ENE]:[DIC]])</f>
        <v>0</v>
      </c>
      <c r="AM588" s="76" t="str">
        <f t="shared" si="12"/>
        <v>OK</v>
      </c>
      <c r="AN588" s="60">
        <v>0</v>
      </c>
      <c r="AO588" s="61">
        <f>+Tabla6[[#This Row],[PRESUPUESTO VIGENTE]]-Tabla6[[#This Row],[CERTIFICACIÓN PAPP]]</f>
        <v>0</v>
      </c>
      <c r="AP588" s="59">
        <v>0</v>
      </c>
    </row>
    <row r="589" spans="1:42" ht="93" customHeight="1" x14ac:dyDescent="0.25">
      <c r="A589" s="62" t="s">
        <v>78</v>
      </c>
      <c r="B589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589" s="64" t="s">
        <v>79</v>
      </c>
      <c r="D589" s="64" t="s">
        <v>80</v>
      </c>
      <c r="E589" s="64" t="s">
        <v>81</v>
      </c>
      <c r="F589" s="64" t="s">
        <v>99</v>
      </c>
      <c r="G589" s="64" t="s">
        <v>92</v>
      </c>
      <c r="H589" s="65" t="str">
        <f>VLOOKUP(Tabla6[[#This Row],[DIRECCIÓN]],DIRECCIÓN[#All],2,0)</f>
        <v>ADMINISTRACIÓN CENTRAL</v>
      </c>
      <c r="I589" s="66" t="s">
        <v>581</v>
      </c>
      <c r="J589" s="67">
        <v>1</v>
      </c>
      <c r="K589" s="68" t="str">
        <f>VLOOKUP(Tabla6[[#This Row],[DIRECCIÓN GENERAL / COORDINACIÓN / SUBDIRECCIÓN]],Tabla37[[#All],[Columna1]:[EOD]],2,0)</f>
        <v>266_0004</v>
      </c>
      <c r="L589" s="69">
        <f>VLOOKUP(Tabla6[[#This Row],[OBJETIVOS PND]],Listas!$A$1:$C$3,3,0)</f>
        <v>1</v>
      </c>
      <c r="M589" s="70">
        <f>VLOOKUP(Tabla6[[#This Row],[PG]],Listas2!$G$14:$K$16,5,0)</f>
        <v>0</v>
      </c>
      <c r="N589" s="71">
        <v>1</v>
      </c>
      <c r="O589" s="72">
        <v>1301</v>
      </c>
      <c r="P589" s="73" t="str">
        <f>VLOOKUP(Tabla6[[#This Row],[GEO]],Listas!$A$48:$B$77,2,0)</f>
        <v>PORTOVIEJO</v>
      </c>
      <c r="Q589" s="70">
        <f>VLOOKUP(Tabla6[[#This Row],[PG]],Listas2!$G$14:$K$16,3,0)</f>
        <v>1</v>
      </c>
      <c r="R589" s="73">
        <f>VLOOKUP(Tabla6[[#This Row],[PG]],Listas2!H99:'Listas2'!$G$14:$K$16,4,0)</f>
        <v>0</v>
      </c>
      <c r="S589" s="73">
        <f>VLOOKUP(Tabla6[[#This Row],[PG]],Listas2!$G$14:$K$16,2,0)</f>
        <v>0</v>
      </c>
      <c r="T589" s="66" t="s">
        <v>84</v>
      </c>
      <c r="U589" s="74">
        <v>57</v>
      </c>
      <c r="V589" s="66">
        <v>570104</v>
      </c>
      <c r="W589" s="63" t="str">
        <f>VLOOKUP(Tabla6[[#This Row],[ÍTEM PRESUPUESTARIO]],Tabla2[#All],2,0)</f>
        <v>CONTRIBUCIONES ESPECIALES Y DE MEJORA</v>
      </c>
      <c r="X589" s="57">
        <v>0</v>
      </c>
      <c r="Y589" s="57">
        <f>42.35</f>
        <v>42.35</v>
      </c>
      <c r="Z589" s="58">
        <v>0</v>
      </c>
      <c r="AA589" s="58">
        <v>42.35</v>
      </c>
      <c r="AB589" s="58">
        <v>0</v>
      </c>
      <c r="AC589" s="58">
        <v>0</v>
      </c>
      <c r="AD589" s="58">
        <v>0</v>
      </c>
      <c r="AE589" s="58">
        <v>0</v>
      </c>
      <c r="AF589" s="58">
        <v>0</v>
      </c>
      <c r="AG589" s="58">
        <v>0</v>
      </c>
      <c r="AH589" s="58">
        <v>0</v>
      </c>
      <c r="AI589" s="58">
        <v>0</v>
      </c>
      <c r="AJ589" s="58">
        <v>0</v>
      </c>
      <c r="AK589" s="58">
        <v>0</v>
      </c>
      <c r="AL589" s="75">
        <f>+SUBTOTAL(9,Tabla6[[#This Row],[ENE]:[DIC]])</f>
        <v>42.35</v>
      </c>
      <c r="AM589" s="76" t="str">
        <f t="shared" si="12"/>
        <v>OK</v>
      </c>
      <c r="AN589" s="60">
        <v>42.35</v>
      </c>
      <c r="AO589" s="61">
        <f>+Tabla6[[#This Row],[PRESUPUESTO VIGENTE]]-Tabla6[[#This Row],[CERTIFICACIÓN PAPP]]</f>
        <v>0</v>
      </c>
      <c r="AP589" s="59">
        <v>0</v>
      </c>
    </row>
    <row r="590" spans="1:42" ht="93" customHeight="1" x14ac:dyDescent="0.25">
      <c r="A590" s="62" t="s">
        <v>78</v>
      </c>
      <c r="B590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590" s="64" t="s">
        <v>79</v>
      </c>
      <c r="D590" s="64" t="s">
        <v>80</v>
      </c>
      <c r="E590" s="64" t="s">
        <v>81</v>
      </c>
      <c r="F590" s="64" t="s">
        <v>99</v>
      </c>
      <c r="G590" s="64" t="s">
        <v>92</v>
      </c>
      <c r="H590" s="65" t="str">
        <f>VLOOKUP(Tabla6[[#This Row],[DIRECCIÓN]],DIRECCIÓN[#All],2,0)</f>
        <v>ADMINISTRACIÓN CENTRAL</v>
      </c>
      <c r="I590" s="66" t="s">
        <v>573</v>
      </c>
      <c r="J590" s="67">
        <v>1</v>
      </c>
      <c r="K590" s="68" t="str">
        <f>VLOOKUP(Tabla6[[#This Row],[DIRECCIÓN GENERAL / COORDINACIÓN / SUBDIRECCIÓN]],Tabla37[[#All],[Columna1]:[EOD]],2,0)</f>
        <v>266_0004</v>
      </c>
      <c r="L590" s="69">
        <f>VLOOKUP(Tabla6[[#This Row],[OBJETIVOS PND]],Listas!$A$1:$C$3,3,0)</f>
        <v>1</v>
      </c>
      <c r="M590" s="70">
        <f>VLOOKUP(Tabla6[[#This Row],[PG]],Listas2!$G$14:$K$16,5,0)</f>
        <v>0</v>
      </c>
      <c r="N590" s="71">
        <v>1</v>
      </c>
      <c r="O590" s="72">
        <v>1301</v>
      </c>
      <c r="P590" s="73" t="str">
        <f>VLOOKUP(Tabla6[[#This Row],[GEO]],Listas!$A$48:$B$77,2,0)</f>
        <v>PORTOVIEJO</v>
      </c>
      <c r="Q590" s="70">
        <f>VLOOKUP(Tabla6[[#This Row],[PG]],Listas2!$G$14:$K$16,3,0)</f>
        <v>1</v>
      </c>
      <c r="R590" s="73">
        <f>VLOOKUP(Tabla6[[#This Row],[PG]],Listas2!H100:'Listas2'!$G$14:$K$16,4,0)</f>
        <v>0</v>
      </c>
      <c r="S590" s="73">
        <f>VLOOKUP(Tabla6[[#This Row],[PG]],Listas2!$G$14:$K$16,2,0)</f>
        <v>0</v>
      </c>
      <c r="T590" s="66" t="s">
        <v>84</v>
      </c>
      <c r="U590" s="74">
        <v>57</v>
      </c>
      <c r="V590" s="66">
        <v>570104</v>
      </c>
      <c r="W590" s="63" t="str">
        <f>VLOOKUP(Tabla6[[#This Row],[ÍTEM PRESUPUESTARIO]],Tabla2[#All],2,0)</f>
        <v>CONTRIBUCIONES ESPECIALES Y DE MEJORA</v>
      </c>
      <c r="X590" s="57">
        <v>1000</v>
      </c>
      <c r="Y590" s="57">
        <f>1000+447.07+750-727.42</f>
        <v>1469.6499999999996</v>
      </c>
      <c r="Z590" s="58">
        <v>0</v>
      </c>
      <c r="AA590" s="58">
        <v>0</v>
      </c>
      <c r="AB590" s="58">
        <v>1469.65</v>
      </c>
      <c r="AC590" s="58">
        <v>0</v>
      </c>
      <c r="AD590" s="58">
        <v>0</v>
      </c>
      <c r="AE590" s="58">
        <v>0</v>
      </c>
      <c r="AF590" s="58">
        <v>0</v>
      </c>
      <c r="AG590" s="58">
        <v>0</v>
      </c>
      <c r="AH590" s="58">
        <v>0</v>
      </c>
      <c r="AI590" s="58">
        <v>0</v>
      </c>
      <c r="AJ590" s="58">
        <v>0</v>
      </c>
      <c r="AK590" s="58">
        <v>0</v>
      </c>
      <c r="AL590" s="75">
        <f>+SUBTOTAL(9,Tabla6[[#This Row],[ENE]:[DIC]])</f>
        <v>1469.65</v>
      </c>
      <c r="AM590" s="76" t="str">
        <f t="shared" si="12"/>
        <v>OK</v>
      </c>
      <c r="AN590" s="60">
        <f>447.07+1022.58</f>
        <v>1469.65</v>
      </c>
      <c r="AO590" s="61">
        <f>+Tabla6[[#This Row],[PRESUPUESTO VIGENTE]]-Tabla6[[#This Row],[CERTIFICACIÓN PAPP]]</f>
        <v>0</v>
      </c>
      <c r="AP590" s="59">
        <v>0</v>
      </c>
    </row>
    <row r="591" spans="1:42" ht="93" customHeight="1" x14ac:dyDescent="0.25">
      <c r="A591" s="62" t="s">
        <v>78</v>
      </c>
      <c r="B591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591" s="64" t="s">
        <v>79</v>
      </c>
      <c r="D591" s="64" t="s">
        <v>80</v>
      </c>
      <c r="E591" s="64" t="s">
        <v>81</v>
      </c>
      <c r="F591" s="64" t="s">
        <v>99</v>
      </c>
      <c r="G591" s="64" t="s">
        <v>92</v>
      </c>
      <c r="H591" s="65" t="str">
        <f>VLOOKUP(Tabla6[[#This Row],[DIRECCIÓN]],DIRECCIÓN[#All],2,0)</f>
        <v>ADMINISTRACIÓN CENTRAL</v>
      </c>
      <c r="I591" s="66" t="s">
        <v>582</v>
      </c>
      <c r="J591" s="67">
        <v>1</v>
      </c>
      <c r="K591" s="68" t="str">
        <f>VLOOKUP(Tabla6[[#This Row],[DIRECCIÓN GENERAL / COORDINACIÓN / SUBDIRECCIÓN]],Tabla37[[#All],[Columna1]:[EOD]],2,0)</f>
        <v>266_0004</v>
      </c>
      <c r="L591" s="69">
        <f>VLOOKUP(Tabla6[[#This Row],[OBJETIVOS PND]],Listas!$A$1:$C$3,3,0)</f>
        <v>1</v>
      </c>
      <c r="M591" s="70">
        <f>VLOOKUP(Tabla6[[#This Row],[PG]],Listas2!$G$14:$K$16,5,0)</f>
        <v>0</v>
      </c>
      <c r="N591" s="71">
        <v>1</v>
      </c>
      <c r="O591" s="72">
        <v>1301</v>
      </c>
      <c r="P591" s="73" t="str">
        <f>VLOOKUP(Tabla6[[#This Row],[GEO]],Listas!$A$48:$B$77,2,0)</f>
        <v>PORTOVIEJO</v>
      </c>
      <c r="Q591" s="70">
        <f>VLOOKUP(Tabla6[[#This Row],[PG]],Listas2!$G$14:$K$16,3,0)</f>
        <v>1</v>
      </c>
      <c r="R591" s="73">
        <f>VLOOKUP(Tabla6[[#This Row],[PG]],Listas2!H101:'Listas2'!$G$14:$K$16,4,0)</f>
        <v>0</v>
      </c>
      <c r="S591" s="73">
        <f>VLOOKUP(Tabla6[[#This Row],[PG]],Listas2!$G$14:$K$16,2,0)</f>
        <v>0</v>
      </c>
      <c r="T591" s="66" t="s">
        <v>84</v>
      </c>
      <c r="U591" s="74">
        <v>57</v>
      </c>
      <c r="V591" s="66">
        <v>570206</v>
      </c>
      <c r="W591" s="63" t="str">
        <f>VLOOKUP(Tabla6[[#This Row],[ÍTEM PRESUPUESTARIO]],Tabla2[#All],2,0)</f>
        <v>COSTAS JUDICIALES, TRÁMITES NOTARIALES,  LEGALIZACIÓN DE DOCUMENTOS Y ARREGLOS EXTRAJUDICIALES</v>
      </c>
      <c r="X591" s="57">
        <v>0</v>
      </c>
      <c r="Y591" s="57">
        <f>2041.49+3724.08-5765.57</f>
        <v>0</v>
      </c>
      <c r="Z591" s="58">
        <v>0</v>
      </c>
      <c r="AA591" s="58">
        <v>0</v>
      </c>
      <c r="AB591" s="58">
        <v>0</v>
      </c>
      <c r="AC591" s="58">
        <v>0</v>
      </c>
      <c r="AD591" s="58">
        <v>0</v>
      </c>
      <c r="AE591" s="58">
        <v>0</v>
      </c>
      <c r="AF591" s="58">
        <v>0</v>
      </c>
      <c r="AG591" s="58">
        <v>0</v>
      </c>
      <c r="AH591" s="58">
        <v>0</v>
      </c>
      <c r="AI591" s="58">
        <v>0</v>
      </c>
      <c r="AJ591" s="58">
        <v>0</v>
      </c>
      <c r="AK591" s="58">
        <v>0</v>
      </c>
      <c r="AL591" s="75">
        <f>+SUBTOTAL(9,Tabla6[[#This Row],[ENE]:[DIC]])</f>
        <v>0</v>
      </c>
      <c r="AM591" s="76" t="str">
        <f t="shared" si="12"/>
        <v>OK</v>
      </c>
      <c r="AN591" s="60">
        <v>0</v>
      </c>
      <c r="AO591" s="61">
        <f>+Tabla6[[#This Row],[PRESUPUESTO VIGENTE]]-Tabla6[[#This Row],[CERTIFICACIÓN PAPP]]</f>
        <v>0</v>
      </c>
      <c r="AP591" s="59">
        <v>0</v>
      </c>
    </row>
    <row r="592" spans="1:42" ht="93" customHeight="1" x14ac:dyDescent="0.25">
      <c r="A592" s="62" t="s">
        <v>88</v>
      </c>
      <c r="B592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592" s="64" t="s">
        <v>100</v>
      </c>
      <c r="D592" s="64" t="s">
        <v>80</v>
      </c>
      <c r="E592" s="64" t="s">
        <v>81</v>
      </c>
      <c r="F592" s="64" t="s">
        <v>99</v>
      </c>
      <c r="G592" s="64" t="s">
        <v>10</v>
      </c>
      <c r="H592" s="65" t="str">
        <f>VLOOKUP(Tabla6[[#This Row],[DIRECCIÓN]],DIRECCIÓN[#All],2,0)</f>
        <v>TECNOLOGÍA</v>
      </c>
      <c r="I592" s="66" t="s">
        <v>583</v>
      </c>
      <c r="J592" s="67">
        <v>1</v>
      </c>
      <c r="K592" s="68" t="str">
        <f>VLOOKUP(Tabla6[[#This Row],[DIRECCIÓN GENERAL / COORDINACIÓN / SUBDIRECCIÓN]],Tabla37[[#All],[Columna1]:[EOD]],2,0)</f>
        <v>266_0004</v>
      </c>
      <c r="L592" s="69">
        <f>VLOOKUP(Tabla6[[#This Row],[OBJETIVOS PND]],Listas!$A$1:$C$3,3,0)</f>
        <v>55</v>
      </c>
      <c r="M592" s="70">
        <f>VLOOKUP(Tabla6[[#This Row],[PG]],Listas2!$G$14:$K$16,5,0)</f>
        <v>0</v>
      </c>
      <c r="N592" s="71">
        <v>3</v>
      </c>
      <c r="O592" s="72">
        <v>1301</v>
      </c>
      <c r="P592" s="73" t="str">
        <f>VLOOKUP(Tabla6[[#This Row],[GEO]],Listas!$A$48:$B$77,2,0)</f>
        <v>PORTOVIEJO</v>
      </c>
      <c r="Q592" s="70">
        <f>VLOOKUP(Tabla6[[#This Row],[PG]],Listas2!$G$14:$K$16,3,0)</f>
        <v>1</v>
      </c>
      <c r="R592" s="73">
        <f>VLOOKUP(Tabla6[[#This Row],[PG]],Listas2!H102:'Listas2'!$G$14:$K$16,4,0)</f>
        <v>0</v>
      </c>
      <c r="S592" s="73">
        <f>VLOOKUP(Tabla6[[#This Row],[PG]],Listas2!$G$14:$K$16,2,0)</f>
        <v>0</v>
      </c>
      <c r="T592" s="66" t="s">
        <v>84</v>
      </c>
      <c r="U592" s="74">
        <v>53</v>
      </c>
      <c r="V592" s="66">
        <v>530105</v>
      </c>
      <c r="W592" s="63" t="str">
        <f>VLOOKUP(Tabla6[[#This Row],[ÍTEM PRESUPUESTARIO]],Tabla2[#All],2,0)</f>
        <v>TELECOMUNICACIONES</v>
      </c>
      <c r="X592" s="57">
        <v>230000</v>
      </c>
      <c r="Y592" s="57">
        <f>230000-13600-13600-28151.89-18926.08-2650-985-12600-33615.46</f>
        <v>105871.56999999998</v>
      </c>
      <c r="Z592" s="58">
        <v>18750</v>
      </c>
      <c r="AA592" s="58">
        <v>30750</v>
      </c>
      <c r="AB592" s="58">
        <v>18500</v>
      </c>
      <c r="AC592" s="58">
        <v>18000</v>
      </c>
      <c r="AD592" s="58">
        <v>18000</v>
      </c>
      <c r="AE592" s="58">
        <v>1871.57</v>
      </c>
      <c r="AF592" s="58">
        <v>0</v>
      </c>
      <c r="AG592" s="58">
        <v>0</v>
      </c>
      <c r="AH592" s="58">
        <v>0</v>
      </c>
      <c r="AI592" s="58">
        <v>0</v>
      </c>
      <c r="AJ592" s="58">
        <v>0</v>
      </c>
      <c r="AK592" s="58">
        <v>0</v>
      </c>
      <c r="AL592" s="75">
        <f>+SUBTOTAL(9,Tabla6[[#This Row],[ENE]:[DIC]])</f>
        <v>105871.57</v>
      </c>
      <c r="AM592" s="76" t="str">
        <f t="shared" si="12"/>
        <v>OK</v>
      </c>
      <c r="AN592" s="60">
        <f>165561.29+14839.88-57536.71+1-16993.89</f>
        <v>105871.57000000002</v>
      </c>
      <c r="AO592" s="61">
        <f>+Tabla6[[#This Row],[PRESUPUESTO VIGENTE]]-Tabla6[[#This Row],[CERTIFICACIÓN PAPP]]</f>
        <v>0</v>
      </c>
      <c r="AP592" s="59">
        <v>0</v>
      </c>
    </row>
    <row r="593" spans="1:42" ht="93" customHeight="1" x14ac:dyDescent="0.25">
      <c r="A593" s="62" t="s">
        <v>88</v>
      </c>
      <c r="B593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593" s="64" t="s">
        <v>100</v>
      </c>
      <c r="D593" s="64" t="s">
        <v>80</v>
      </c>
      <c r="E593" s="64" t="s">
        <v>81</v>
      </c>
      <c r="F593" s="64" t="s">
        <v>99</v>
      </c>
      <c r="G593" s="64" t="s">
        <v>10</v>
      </c>
      <c r="H593" s="65" t="str">
        <f>VLOOKUP(Tabla6[[#This Row],[DIRECCIÓN]],DIRECCIÓN[#All],2,0)</f>
        <v>TECNOLOGÍA</v>
      </c>
      <c r="I593" s="66" t="s">
        <v>584</v>
      </c>
      <c r="J593" s="67">
        <v>1</v>
      </c>
      <c r="K593" s="68" t="str">
        <f>VLOOKUP(Tabla6[[#This Row],[DIRECCIÓN GENERAL / COORDINACIÓN / SUBDIRECCIÓN]],Tabla37[[#All],[Columna1]:[EOD]],2,0)</f>
        <v>266_0004</v>
      </c>
      <c r="L593" s="69">
        <f>VLOOKUP(Tabla6[[#This Row],[OBJETIVOS PND]],Listas!$A$1:$C$3,3,0)</f>
        <v>55</v>
      </c>
      <c r="M593" s="70">
        <f>VLOOKUP(Tabla6[[#This Row],[PG]],Listas2!$G$14:$K$16,5,0)</f>
        <v>0</v>
      </c>
      <c r="N593" s="71">
        <v>3</v>
      </c>
      <c r="O593" s="72">
        <v>1301</v>
      </c>
      <c r="P593" s="73" t="str">
        <f>VLOOKUP(Tabla6[[#This Row],[GEO]],Listas!$A$48:$B$77,2,0)</f>
        <v>PORTOVIEJO</v>
      </c>
      <c r="Q593" s="70">
        <f>VLOOKUP(Tabla6[[#This Row],[PG]],Listas2!$G$14:$K$16,3,0)</f>
        <v>1</v>
      </c>
      <c r="R593" s="73">
        <f>VLOOKUP(Tabla6[[#This Row],[PG]],Listas2!H103:'Listas2'!$G$14:$K$16,4,0)</f>
        <v>0</v>
      </c>
      <c r="S593" s="73">
        <f>VLOOKUP(Tabla6[[#This Row],[PG]],Listas2!$G$14:$K$16,2,0)</f>
        <v>0</v>
      </c>
      <c r="T593" s="66" t="s">
        <v>84</v>
      </c>
      <c r="U593" s="74">
        <v>53</v>
      </c>
      <c r="V593" s="66">
        <v>530704</v>
      </c>
      <c r="W593" s="63" t="str">
        <f>VLOOKUP(Tabla6[[#This Row],[ÍTEM PRESUPUESTARIO]],Tabla2[#All],2,0)</f>
        <v xml:space="preserve">MANTENIMIENTO Y REPARACIÓN DE EQUIPOS Y SISTEMAS INFORMÁTICOS </v>
      </c>
      <c r="X593" s="57">
        <v>120615</v>
      </c>
      <c r="Y593" s="57">
        <f>120615-4607.39-51758.9</f>
        <v>64248.71</v>
      </c>
      <c r="Z593" s="58">
        <v>0</v>
      </c>
      <c r="AA593" s="58">
        <v>0</v>
      </c>
      <c r="AB593" s="58">
        <v>0</v>
      </c>
      <c r="AC593" s="58">
        <v>14069</v>
      </c>
      <c r="AD593" s="58">
        <v>14069</v>
      </c>
      <c r="AE593" s="58">
        <v>14069</v>
      </c>
      <c r="AF593" s="58">
        <v>22041.71</v>
      </c>
      <c r="AG593" s="58">
        <v>0</v>
      </c>
      <c r="AH593" s="58">
        <v>0</v>
      </c>
      <c r="AI593" s="58">
        <v>0</v>
      </c>
      <c r="AJ593" s="58">
        <v>0</v>
      </c>
      <c r="AK593" s="58">
        <v>0</v>
      </c>
      <c r="AL593" s="75">
        <f>+SUBTOTAL(9,Tabla6[[#This Row],[ENE]:[DIC]])</f>
        <v>64248.71</v>
      </c>
      <c r="AM593" s="76" t="str">
        <f t="shared" si="12"/>
        <v>OK</v>
      </c>
      <c r="AN593" s="60">
        <f>5987.52+114609.25-9131.28-47216.78</f>
        <v>64248.710000000006</v>
      </c>
      <c r="AO593" s="61">
        <f>+Tabla6[[#This Row],[PRESUPUESTO VIGENTE]]-Tabla6[[#This Row],[CERTIFICACIÓN PAPP]]</f>
        <v>0</v>
      </c>
      <c r="AP593" s="59">
        <v>0</v>
      </c>
    </row>
    <row r="594" spans="1:42" ht="93" customHeight="1" x14ac:dyDescent="0.25">
      <c r="A594" s="62" t="s">
        <v>88</v>
      </c>
      <c r="B594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594" s="64" t="s">
        <v>100</v>
      </c>
      <c r="D594" s="64" t="s">
        <v>80</v>
      </c>
      <c r="E594" s="64" t="s">
        <v>81</v>
      </c>
      <c r="F594" s="64" t="s">
        <v>99</v>
      </c>
      <c r="G594" s="64" t="s">
        <v>10</v>
      </c>
      <c r="H594" s="65" t="str">
        <f>VLOOKUP(Tabla6[[#This Row],[DIRECCIÓN]],DIRECCIÓN[#All],2,0)</f>
        <v>TECNOLOGÍA</v>
      </c>
      <c r="I594" s="66" t="s">
        <v>585</v>
      </c>
      <c r="J594" s="67">
        <v>1</v>
      </c>
      <c r="K594" s="68" t="str">
        <f>VLOOKUP(Tabla6[[#This Row],[DIRECCIÓN GENERAL / COORDINACIÓN / SUBDIRECCIÓN]],Tabla37[[#All],[Columna1]:[EOD]],2,0)</f>
        <v>266_0004</v>
      </c>
      <c r="L594" s="69">
        <f>VLOOKUP(Tabla6[[#This Row],[OBJETIVOS PND]],Listas!$A$1:$C$3,3,0)</f>
        <v>55</v>
      </c>
      <c r="M594" s="70">
        <f>VLOOKUP(Tabla6[[#This Row],[PG]],Listas2!$G$14:$K$16,5,0)</f>
        <v>0</v>
      </c>
      <c r="N594" s="71">
        <v>3</v>
      </c>
      <c r="O594" s="72">
        <v>1301</v>
      </c>
      <c r="P594" s="73" t="str">
        <f>VLOOKUP(Tabla6[[#This Row],[GEO]],Listas!$A$48:$B$77,2,0)</f>
        <v>PORTOVIEJO</v>
      </c>
      <c r="Q594" s="70">
        <f>VLOOKUP(Tabla6[[#This Row],[PG]],Listas2!$G$14:$K$16,3,0)</f>
        <v>1</v>
      </c>
      <c r="R594" s="73">
        <f>VLOOKUP(Tabla6[[#This Row],[PG]],Listas2!H104:'Listas2'!$G$14:$K$16,4,0)</f>
        <v>0</v>
      </c>
      <c r="S594" s="73">
        <f>VLOOKUP(Tabla6[[#This Row],[PG]],Listas2!$G$14:$K$16,2,0)</f>
        <v>0</v>
      </c>
      <c r="T594" s="66" t="s">
        <v>84</v>
      </c>
      <c r="U594" s="74">
        <v>53</v>
      </c>
      <c r="V594" s="66">
        <v>530704</v>
      </c>
      <c r="W594" s="63" t="str">
        <f>VLOOKUP(Tabla6[[#This Row],[ÍTEM PRESUPUESTARIO]],Tabla2[#All],2,0)</f>
        <v xml:space="preserve">MANTENIMIENTO Y REPARACIÓN DE EQUIPOS Y SISTEMAS INFORMÁTICOS </v>
      </c>
      <c r="X594" s="57">
        <v>0</v>
      </c>
      <c r="Y594" s="57">
        <f>3500-3500</f>
        <v>0</v>
      </c>
      <c r="Z594" s="58">
        <v>0</v>
      </c>
      <c r="AA594" s="58">
        <v>0</v>
      </c>
      <c r="AB594" s="58">
        <v>0</v>
      </c>
      <c r="AC594" s="58">
        <v>0</v>
      </c>
      <c r="AD594" s="58">
        <v>0</v>
      </c>
      <c r="AE594" s="58">
        <v>0</v>
      </c>
      <c r="AF594" s="58">
        <v>0</v>
      </c>
      <c r="AG594" s="58">
        <v>0</v>
      </c>
      <c r="AH594" s="58">
        <v>0</v>
      </c>
      <c r="AI594" s="58">
        <v>0</v>
      </c>
      <c r="AJ594" s="58">
        <v>0</v>
      </c>
      <c r="AK594" s="58">
        <v>0</v>
      </c>
      <c r="AL594" s="75">
        <f>+SUBTOTAL(9,Tabla6[[#This Row],[ENE]:[DIC]])</f>
        <v>0</v>
      </c>
      <c r="AM594" s="76" t="str">
        <f t="shared" si="12"/>
        <v>OK</v>
      </c>
      <c r="AN594" s="60">
        <v>0</v>
      </c>
      <c r="AO594" s="61">
        <f>+Tabla6[[#This Row],[PRESUPUESTO VIGENTE]]-Tabla6[[#This Row],[CERTIFICACIÓN PAPP]]</f>
        <v>0</v>
      </c>
      <c r="AP594" s="59">
        <v>0</v>
      </c>
    </row>
    <row r="595" spans="1:42" ht="93" customHeight="1" x14ac:dyDescent="0.25">
      <c r="A595" s="62" t="s">
        <v>88</v>
      </c>
      <c r="B595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595" s="64" t="s">
        <v>100</v>
      </c>
      <c r="D595" s="64" t="s">
        <v>80</v>
      </c>
      <c r="E595" s="64" t="s">
        <v>81</v>
      </c>
      <c r="F595" s="64" t="s">
        <v>99</v>
      </c>
      <c r="G595" s="64" t="s">
        <v>10</v>
      </c>
      <c r="H595" s="65" t="str">
        <f>VLOOKUP(Tabla6[[#This Row],[DIRECCIÓN]],DIRECCIÓN[#All],2,0)</f>
        <v>TECNOLOGÍA</v>
      </c>
      <c r="I595" s="66" t="s">
        <v>586</v>
      </c>
      <c r="J595" s="67">
        <v>1</v>
      </c>
      <c r="K595" s="68" t="str">
        <f>VLOOKUP(Tabla6[[#This Row],[DIRECCIÓN GENERAL / COORDINACIÓN / SUBDIRECCIÓN]],Tabla37[[#All],[Columna1]:[EOD]],2,0)</f>
        <v>266_0004</v>
      </c>
      <c r="L595" s="69">
        <f>VLOOKUP(Tabla6[[#This Row],[OBJETIVOS PND]],Listas!$A$1:$C$3,3,0)</f>
        <v>55</v>
      </c>
      <c r="M595" s="70">
        <f>VLOOKUP(Tabla6[[#This Row],[PG]],Listas2!$G$14:$K$16,5,0)</f>
        <v>0</v>
      </c>
      <c r="N595" s="71">
        <v>3</v>
      </c>
      <c r="O595" s="72">
        <v>1301</v>
      </c>
      <c r="P595" s="73" t="str">
        <f>VLOOKUP(Tabla6[[#This Row],[GEO]],Listas!$A$48:$B$77,2,0)</f>
        <v>PORTOVIEJO</v>
      </c>
      <c r="Q595" s="70">
        <f>VLOOKUP(Tabla6[[#This Row],[PG]],Listas2!$G$14:$K$16,3,0)</f>
        <v>1</v>
      </c>
      <c r="R595" s="73">
        <f>VLOOKUP(Tabla6[[#This Row],[PG]],Listas2!H105:'Listas2'!$G$14:$K$16,4,0)</f>
        <v>0</v>
      </c>
      <c r="S595" s="73">
        <f>VLOOKUP(Tabla6[[#This Row],[PG]],Listas2!$G$14:$K$16,2,0)</f>
        <v>0</v>
      </c>
      <c r="T595" s="66" t="s">
        <v>84</v>
      </c>
      <c r="U595" s="74">
        <v>53</v>
      </c>
      <c r="V595" s="66">
        <v>530704</v>
      </c>
      <c r="W595" s="63" t="str">
        <f>VLOOKUP(Tabla6[[#This Row],[ÍTEM PRESUPUESTARIO]],Tabla2[#All],2,0)</f>
        <v xml:space="preserve">MANTENIMIENTO Y REPARACIÓN DE EQUIPOS Y SISTEMAS INFORMÁTICOS </v>
      </c>
      <c r="X595" s="57">
        <v>0</v>
      </c>
      <c r="Y595" s="57">
        <v>3500</v>
      </c>
      <c r="Z595" s="58">
        <v>0</v>
      </c>
      <c r="AA595" s="58">
        <v>0</v>
      </c>
      <c r="AB595" s="58">
        <v>0</v>
      </c>
      <c r="AC595" s="58">
        <v>0</v>
      </c>
      <c r="AD595" s="58">
        <v>0</v>
      </c>
      <c r="AE595" s="58">
        <v>0</v>
      </c>
      <c r="AF595" s="58">
        <v>0</v>
      </c>
      <c r="AG595" s="58">
        <v>3500</v>
      </c>
      <c r="AH595" s="58">
        <v>0</v>
      </c>
      <c r="AI595" s="58">
        <v>0</v>
      </c>
      <c r="AJ595" s="58">
        <v>0</v>
      </c>
      <c r="AK595" s="58">
        <v>0</v>
      </c>
      <c r="AL595" s="75">
        <f>+SUBTOTAL(9,Tabla6[[#This Row],[ENE]:[DIC]])</f>
        <v>3500</v>
      </c>
      <c r="AM595" s="76" t="str">
        <f t="shared" si="12"/>
        <v>OK</v>
      </c>
      <c r="AN595" s="60">
        <f>1640+1860</f>
        <v>3500</v>
      </c>
      <c r="AO595" s="61">
        <f>+Tabla6[[#This Row],[PRESUPUESTO VIGENTE]]-Tabla6[[#This Row],[CERTIFICACIÓN PAPP]]</f>
        <v>0</v>
      </c>
      <c r="AP595" s="59">
        <v>0</v>
      </c>
    </row>
    <row r="596" spans="1:42" ht="93" customHeight="1" x14ac:dyDescent="0.25">
      <c r="A596" s="62" t="s">
        <v>88</v>
      </c>
      <c r="B596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596" s="64" t="s">
        <v>100</v>
      </c>
      <c r="D596" s="64" t="s">
        <v>80</v>
      </c>
      <c r="E596" s="64" t="s">
        <v>81</v>
      </c>
      <c r="F596" s="64" t="s">
        <v>99</v>
      </c>
      <c r="G596" s="64" t="s">
        <v>10</v>
      </c>
      <c r="H596" s="65" t="str">
        <f>VLOOKUP(Tabla6[[#This Row],[DIRECCIÓN]],DIRECCIÓN[#All],2,0)</f>
        <v>TECNOLOGÍA</v>
      </c>
      <c r="I596" s="66" t="s">
        <v>587</v>
      </c>
      <c r="J596" s="67">
        <v>1</v>
      </c>
      <c r="K596" s="68" t="str">
        <f>VLOOKUP(Tabla6[[#This Row],[DIRECCIÓN GENERAL / COORDINACIÓN / SUBDIRECCIÓN]],Tabla37[[#All],[Columna1]:[EOD]],2,0)</f>
        <v>266_0004</v>
      </c>
      <c r="L596" s="69">
        <f>VLOOKUP(Tabla6[[#This Row],[OBJETIVOS PND]],Listas!$A$1:$C$3,3,0)</f>
        <v>55</v>
      </c>
      <c r="M596" s="70">
        <f>VLOOKUP(Tabla6[[#This Row],[PG]],Listas2!$G$14:$K$16,5,0)</f>
        <v>0</v>
      </c>
      <c r="N596" s="71">
        <v>3</v>
      </c>
      <c r="O596" s="72">
        <v>1301</v>
      </c>
      <c r="P596" s="73" t="str">
        <f>VLOOKUP(Tabla6[[#This Row],[GEO]],Listas!$A$48:$B$77,2,0)</f>
        <v>PORTOVIEJO</v>
      </c>
      <c r="Q596" s="70">
        <f>VLOOKUP(Tabla6[[#This Row],[PG]],Listas2!$G$14:$K$16,3,0)</f>
        <v>1</v>
      </c>
      <c r="R596" s="73">
        <f>VLOOKUP(Tabla6[[#This Row],[PG]],Listas2!H106:'Listas2'!$G$14:$K$16,4,0)</f>
        <v>0</v>
      </c>
      <c r="S596" s="73">
        <f>VLOOKUP(Tabla6[[#This Row],[PG]],Listas2!$G$14:$K$16,2,0)</f>
        <v>0</v>
      </c>
      <c r="T596" s="66" t="s">
        <v>84</v>
      </c>
      <c r="U596" s="74">
        <v>53</v>
      </c>
      <c r="V596" s="66">
        <v>530704</v>
      </c>
      <c r="W596" s="63" t="str">
        <f>VLOOKUP(Tabla6[[#This Row],[ÍTEM PRESUPUESTARIO]],Tabla2[#All],2,0)</f>
        <v xml:space="preserve">MANTENIMIENTO Y REPARACIÓN DE EQUIPOS Y SISTEMAS INFORMÁTICOS </v>
      </c>
      <c r="X596" s="57">
        <v>0</v>
      </c>
      <c r="Y596" s="57">
        <f>3500-3000-500</f>
        <v>0</v>
      </c>
      <c r="Z596" s="58">
        <v>0</v>
      </c>
      <c r="AA596" s="58">
        <v>0</v>
      </c>
      <c r="AB596" s="58">
        <v>0</v>
      </c>
      <c r="AC596" s="58">
        <v>0</v>
      </c>
      <c r="AD596" s="58">
        <v>0</v>
      </c>
      <c r="AE596" s="58">
        <v>0</v>
      </c>
      <c r="AF596" s="58">
        <v>0</v>
      </c>
      <c r="AG596" s="58">
        <v>0</v>
      </c>
      <c r="AH596" s="58">
        <v>0</v>
      </c>
      <c r="AI596" s="58">
        <v>0</v>
      </c>
      <c r="AJ596" s="58">
        <v>0</v>
      </c>
      <c r="AK596" s="58">
        <v>0</v>
      </c>
      <c r="AL596" s="75">
        <f>+SUBTOTAL(9,Tabla6[[#This Row],[ENE]:[DIC]])</f>
        <v>0</v>
      </c>
      <c r="AM596" s="76" t="str">
        <f t="shared" si="12"/>
        <v>OK</v>
      </c>
      <c r="AN596" s="60">
        <v>0</v>
      </c>
      <c r="AO596" s="61">
        <f>+Tabla6[[#This Row],[PRESUPUESTO VIGENTE]]-Tabla6[[#This Row],[CERTIFICACIÓN PAPP]]</f>
        <v>0</v>
      </c>
      <c r="AP596" s="59">
        <v>0</v>
      </c>
    </row>
    <row r="597" spans="1:42" ht="93" customHeight="1" x14ac:dyDescent="0.25">
      <c r="A597" s="62" t="s">
        <v>88</v>
      </c>
      <c r="B597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597" s="64" t="s">
        <v>100</v>
      </c>
      <c r="D597" s="64" t="s">
        <v>80</v>
      </c>
      <c r="E597" s="64" t="s">
        <v>81</v>
      </c>
      <c r="F597" s="64" t="s">
        <v>99</v>
      </c>
      <c r="G597" s="64" t="s">
        <v>10</v>
      </c>
      <c r="H597" s="65" t="str">
        <f>VLOOKUP(Tabla6[[#This Row],[DIRECCIÓN]],DIRECCIÓN[#All],2,0)</f>
        <v>TECNOLOGÍA</v>
      </c>
      <c r="I597" s="66" t="s">
        <v>588</v>
      </c>
      <c r="J597" s="67">
        <v>1</v>
      </c>
      <c r="K597" s="68" t="str">
        <f>VLOOKUP(Tabla6[[#This Row],[DIRECCIÓN GENERAL / COORDINACIÓN / SUBDIRECCIÓN]],Tabla37[[#All],[Columna1]:[EOD]],2,0)</f>
        <v>266_0004</v>
      </c>
      <c r="L597" s="69">
        <f>VLOOKUP(Tabla6[[#This Row],[OBJETIVOS PND]],Listas!$A$1:$C$3,3,0)</f>
        <v>55</v>
      </c>
      <c r="M597" s="70">
        <f>VLOOKUP(Tabla6[[#This Row],[PG]],Listas2!$G$14:$K$16,5,0)</f>
        <v>0</v>
      </c>
      <c r="N597" s="71">
        <v>3</v>
      </c>
      <c r="O597" s="72">
        <v>1301</v>
      </c>
      <c r="P597" s="73" t="str">
        <f>VLOOKUP(Tabla6[[#This Row],[GEO]],Listas!$A$48:$B$77,2,0)</f>
        <v>PORTOVIEJO</v>
      </c>
      <c r="Q597" s="70">
        <f>VLOOKUP(Tabla6[[#This Row],[PG]],Listas2!$G$14:$K$16,3,0)</f>
        <v>1</v>
      </c>
      <c r="R597" s="73">
        <f>VLOOKUP(Tabla6[[#This Row],[PG]],Listas2!H107:'Listas2'!$G$14:$K$16,4,0)</f>
        <v>0</v>
      </c>
      <c r="S597" s="73">
        <f>VLOOKUP(Tabla6[[#This Row],[PG]],Listas2!$G$14:$K$16,2,0)</f>
        <v>0</v>
      </c>
      <c r="T597" s="66" t="s">
        <v>84</v>
      </c>
      <c r="U597" s="74">
        <v>53</v>
      </c>
      <c r="V597" s="66">
        <v>530704</v>
      </c>
      <c r="W597" s="63" t="str">
        <f>VLOOKUP(Tabla6[[#This Row],[ÍTEM PRESUPUESTARIO]],Tabla2[#All],2,0)</f>
        <v xml:space="preserve">MANTENIMIENTO Y REPARACIÓN DE EQUIPOS Y SISTEMAS INFORMÁTICOS </v>
      </c>
      <c r="X597" s="57">
        <v>0</v>
      </c>
      <c r="Y597" s="57">
        <f>46552.46+600-47152.46</f>
        <v>0</v>
      </c>
      <c r="Z597" s="58">
        <v>0</v>
      </c>
      <c r="AA597" s="58">
        <v>0</v>
      </c>
      <c r="AB597" s="58">
        <v>0</v>
      </c>
      <c r="AC597" s="58">
        <v>0</v>
      </c>
      <c r="AD597" s="58">
        <v>0</v>
      </c>
      <c r="AE597" s="58">
        <v>0</v>
      </c>
      <c r="AF597" s="58">
        <v>0</v>
      </c>
      <c r="AG597" s="58">
        <v>0</v>
      </c>
      <c r="AH597" s="58">
        <v>0</v>
      </c>
      <c r="AI597" s="58">
        <v>0</v>
      </c>
      <c r="AJ597" s="58">
        <v>0</v>
      </c>
      <c r="AK597" s="58">
        <v>0</v>
      </c>
      <c r="AL597" s="75">
        <f>+SUBTOTAL(9,Tabla6[[#This Row],[ENE]:[DIC]])</f>
        <v>0</v>
      </c>
      <c r="AM597" s="76" t="str">
        <f t="shared" si="12"/>
        <v>OK</v>
      </c>
      <c r="AN597" s="60">
        <v>0</v>
      </c>
      <c r="AO597" s="61">
        <f>+Tabla6[[#This Row],[PRESUPUESTO VIGENTE]]-Tabla6[[#This Row],[CERTIFICACIÓN PAPP]]</f>
        <v>0</v>
      </c>
      <c r="AP597" s="59">
        <v>0</v>
      </c>
    </row>
    <row r="598" spans="1:42" ht="93" customHeight="1" x14ac:dyDescent="0.25">
      <c r="A598" s="62" t="s">
        <v>88</v>
      </c>
      <c r="B598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598" s="64" t="s">
        <v>100</v>
      </c>
      <c r="D598" s="64" t="s">
        <v>80</v>
      </c>
      <c r="E598" s="64" t="s">
        <v>81</v>
      </c>
      <c r="F598" s="64" t="s">
        <v>99</v>
      </c>
      <c r="G598" s="64" t="s">
        <v>10</v>
      </c>
      <c r="H598" s="65" t="str">
        <f>VLOOKUP(Tabla6[[#This Row],[DIRECCIÓN]],DIRECCIÓN[#All],2,0)</f>
        <v>TECNOLOGÍA</v>
      </c>
      <c r="I598" s="66" t="s">
        <v>589</v>
      </c>
      <c r="J598" s="67">
        <v>1</v>
      </c>
      <c r="K598" s="68" t="str">
        <f>VLOOKUP(Tabla6[[#This Row],[DIRECCIÓN GENERAL / COORDINACIÓN / SUBDIRECCIÓN]],Tabla37[[#All],[Columna1]:[EOD]],2,0)</f>
        <v>266_0004</v>
      </c>
      <c r="L598" s="69">
        <f>VLOOKUP(Tabla6[[#This Row],[OBJETIVOS PND]],Listas!$A$1:$C$3,3,0)</f>
        <v>55</v>
      </c>
      <c r="M598" s="70">
        <f>VLOOKUP(Tabla6[[#This Row],[PG]],Listas2!$G$14:$K$16,5,0)</f>
        <v>0</v>
      </c>
      <c r="N598" s="71">
        <v>3</v>
      </c>
      <c r="O598" s="72">
        <v>1301</v>
      </c>
      <c r="P598" s="73" t="str">
        <f>VLOOKUP(Tabla6[[#This Row],[GEO]],Listas!$A$48:$B$77,2,0)</f>
        <v>PORTOVIEJO</v>
      </c>
      <c r="Q598" s="70">
        <f>VLOOKUP(Tabla6[[#This Row],[PG]],Listas2!$G$14:$K$16,3,0)</f>
        <v>1</v>
      </c>
      <c r="R598" s="73">
        <f>VLOOKUP(Tabla6[[#This Row],[PG]],Listas2!H108:'Listas2'!$G$14:$K$16,4,0)</f>
        <v>0</v>
      </c>
      <c r="S598" s="73">
        <f>VLOOKUP(Tabla6[[#This Row],[PG]],Listas2!$G$14:$K$16,2,0)</f>
        <v>0</v>
      </c>
      <c r="T598" s="66" t="s">
        <v>84</v>
      </c>
      <c r="U598" s="74">
        <v>53</v>
      </c>
      <c r="V598" s="66">
        <v>530704</v>
      </c>
      <c r="W598" s="63" t="str">
        <f>VLOOKUP(Tabla6[[#This Row],[ÍTEM PRESUPUESTARIO]],Tabla2[#All],2,0)</f>
        <v xml:space="preserve">MANTENIMIENTO Y REPARACIÓN DE EQUIPOS Y SISTEMAS INFORMÁTICOS </v>
      </c>
      <c r="X598" s="57">
        <v>0</v>
      </c>
      <c r="Y598" s="57">
        <v>47152.46</v>
      </c>
      <c r="Z598" s="58">
        <v>0</v>
      </c>
      <c r="AA598" s="58">
        <v>0</v>
      </c>
      <c r="AB598" s="58">
        <v>0</v>
      </c>
      <c r="AC598" s="58">
        <v>0</v>
      </c>
      <c r="AD598" s="58">
        <v>0</v>
      </c>
      <c r="AE598" s="58">
        <v>0</v>
      </c>
      <c r="AF598" s="58">
        <v>0</v>
      </c>
      <c r="AG598" s="58">
        <v>0</v>
      </c>
      <c r="AH598" s="58">
        <v>0</v>
      </c>
      <c r="AI598" s="58">
        <v>0</v>
      </c>
      <c r="AJ598" s="58">
        <v>47152.46</v>
      </c>
      <c r="AK598" s="58">
        <v>0</v>
      </c>
      <c r="AL598" s="75">
        <f>+SUBTOTAL(9,Tabla6[[#This Row],[ENE]:[DIC]])</f>
        <v>47152.46</v>
      </c>
      <c r="AM598" s="76" t="str">
        <f t="shared" si="12"/>
        <v>OK</v>
      </c>
      <c r="AN598" s="60">
        <f>47151.51+0.95</f>
        <v>47152.46</v>
      </c>
      <c r="AO598" s="61">
        <f>+Tabla6[[#This Row],[PRESUPUESTO VIGENTE]]-Tabla6[[#This Row],[CERTIFICACIÓN PAPP]]</f>
        <v>0</v>
      </c>
      <c r="AP598" s="59" t="s">
        <v>87</v>
      </c>
    </row>
    <row r="599" spans="1:42" ht="93" customHeight="1" x14ac:dyDescent="0.25">
      <c r="A599" s="62" t="s">
        <v>88</v>
      </c>
      <c r="B599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599" s="64" t="s">
        <v>100</v>
      </c>
      <c r="D599" s="64" t="s">
        <v>80</v>
      </c>
      <c r="E599" s="64" t="s">
        <v>81</v>
      </c>
      <c r="F599" s="64" t="s">
        <v>99</v>
      </c>
      <c r="G599" s="64" t="s">
        <v>10</v>
      </c>
      <c r="H599" s="65" t="str">
        <f>VLOOKUP(Tabla6[[#This Row],[DIRECCIÓN]],DIRECCIÓN[#All],2,0)</f>
        <v>TECNOLOGÍA</v>
      </c>
      <c r="I599" s="66" t="s">
        <v>590</v>
      </c>
      <c r="J599" s="67">
        <v>1</v>
      </c>
      <c r="K599" s="68" t="str">
        <f>VLOOKUP(Tabla6[[#This Row],[DIRECCIÓN GENERAL / COORDINACIÓN / SUBDIRECCIÓN]],Tabla37[[#All],[Columna1]:[EOD]],2,0)</f>
        <v>266_0004</v>
      </c>
      <c r="L599" s="69">
        <f>VLOOKUP(Tabla6[[#This Row],[OBJETIVOS PND]],Listas!$A$1:$C$3,3,0)</f>
        <v>55</v>
      </c>
      <c r="M599" s="70">
        <f>VLOOKUP(Tabla6[[#This Row],[PG]],Listas2!$G$14:$K$16,5,0)</f>
        <v>0</v>
      </c>
      <c r="N599" s="71">
        <v>3</v>
      </c>
      <c r="O599" s="72">
        <v>1301</v>
      </c>
      <c r="P599" s="73" t="str">
        <f>VLOOKUP(Tabla6[[#This Row],[GEO]],Listas!$A$48:$B$77,2,0)</f>
        <v>PORTOVIEJO</v>
      </c>
      <c r="Q599" s="70">
        <f>VLOOKUP(Tabla6[[#This Row],[PG]],Listas2!$G$14:$K$16,3,0)</f>
        <v>1</v>
      </c>
      <c r="R599" s="73">
        <f>VLOOKUP(Tabla6[[#This Row],[PG]],Listas2!H109:'Listas2'!$G$14:$K$16,4,0)</f>
        <v>0</v>
      </c>
      <c r="S599" s="73">
        <f>VLOOKUP(Tabla6[[#This Row],[PG]],Listas2!$G$14:$K$16,2,0)</f>
        <v>0</v>
      </c>
      <c r="T599" s="66" t="s">
        <v>84</v>
      </c>
      <c r="U599" s="74">
        <v>53</v>
      </c>
      <c r="V599" s="66">
        <v>530704</v>
      </c>
      <c r="W599" s="63" t="str">
        <f>VLOOKUP(Tabla6[[#This Row],[ÍTEM PRESUPUESTARIO]],Tabla2[#All],2,0)</f>
        <v xml:space="preserve">MANTENIMIENTO Y REPARACIÓN DE EQUIPOS Y SISTEMAS INFORMÁTICOS </v>
      </c>
      <c r="X599" s="57">
        <v>500</v>
      </c>
      <c r="Y599" s="57">
        <v>500</v>
      </c>
      <c r="Z599" s="58">
        <v>0</v>
      </c>
      <c r="AA599" s="58">
        <v>0</v>
      </c>
      <c r="AB599" s="58">
        <v>0</v>
      </c>
      <c r="AC599" s="58">
        <v>500</v>
      </c>
      <c r="AD599" s="58">
        <v>0</v>
      </c>
      <c r="AE599" s="58">
        <v>0</v>
      </c>
      <c r="AF599" s="58">
        <v>0</v>
      </c>
      <c r="AG599" s="58">
        <v>0</v>
      </c>
      <c r="AH599" s="58">
        <v>0</v>
      </c>
      <c r="AI599" s="58">
        <v>0</v>
      </c>
      <c r="AJ599" s="58">
        <v>0</v>
      </c>
      <c r="AK599" s="58">
        <v>0</v>
      </c>
      <c r="AL599" s="75">
        <f>+SUBTOTAL(9,Tabla6[[#This Row],[ENE]:[DIC]])</f>
        <v>500</v>
      </c>
      <c r="AM599" s="76" t="str">
        <f t="shared" si="12"/>
        <v>OK</v>
      </c>
      <c r="AN599" s="60">
        <f>430+70</f>
        <v>500</v>
      </c>
      <c r="AO599" s="61">
        <f>+Tabla6[[#This Row],[PRESUPUESTO VIGENTE]]-Tabla6[[#This Row],[CERTIFICACIÓN PAPP]]</f>
        <v>0</v>
      </c>
      <c r="AP599" s="59" t="s">
        <v>87</v>
      </c>
    </row>
    <row r="600" spans="1:42" ht="93" customHeight="1" x14ac:dyDescent="0.25">
      <c r="A600" s="62" t="s">
        <v>88</v>
      </c>
      <c r="B600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600" s="64" t="s">
        <v>100</v>
      </c>
      <c r="D600" s="64" t="s">
        <v>80</v>
      </c>
      <c r="E600" s="64" t="s">
        <v>81</v>
      </c>
      <c r="F600" s="64" t="s">
        <v>99</v>
      </c>
      <c r="G600" s="64" t="s">
        <v>10</v>
      </c>
      <c r="H600" s="65" t="str">
        <f>VLOOKUP(Tabla6[[#This Row],[DIRECCIÓN]],DIRECCIÓN[#All],2,0)</f>
        <v>TECNOLOGÍA</v>
      </c>
      <c r="I600" s="66" t="s">
        <v>591</v>
      </c>
      <c r="J600" s="67">
        <v>1</v>
      </c>
      <c r="K600" s="68" t="str">
        <f>VLOOKUP(Tabla6[[#This Row],[DIRECCIÓN GENERAL / COORDINACIÓN / SUBDIRECCIÓN]],Tabla37[[#All],[Columna1]:[EOD]],2,0)</f>
        <v>266_0004</v>
      </c>
      <c r="L600" s="69">
        <f>VLOOKUP(Tabla6[[#This Row],[OBJETIVOS PND]],Listas!$A$1:$C$3,3,0)</f>
        <v>55</v>
      </c>
      <c r="M600" s="70">
        <f>VLOOKUP(Tabla6[[#This Row],[PG]],Listas2!$G$14:$K$16,5,0)</f>
        <v>0</v>
      </c>
      <c r="N600" s="71">
        <v>3</v>
      </c>
      <c r="O600" s="72">
        <v>1301</v>
      </c>
      <c r="P600" s="73" t="str">
        <f>VLOOKUP(Tabla6[[#This Row],[GEO]],Listas!$A$48:$B$77,2,0)</f>
        <v>PORTOVIEJO</v>
      </c>
      <c r="Q600" s="70">
        <f>VLOOKUP(Tabla6[[#This Row],[PG]],Listas2!$G$14:$K$16,3,0)</f>
        <v>1</v>
      </c>
      <c r="R600" s="73">
        <f>VLOOKUP(Tabla6[[#This Row],[PG]],Listas2!H110:'Listas2'!$G$14:$K$16,4,0)</f>
        <v>0</v>
      </c>
      <c r="S600" s="73">
        <f>VLOOKUP(Tabla6[[#This Row],[PG]],Listas2!$G$14:$K$16,2,0)</f>
        <v>0</v>
      </c>
      <c r="T600" s="66" t="s">
        <v>84</v>
      </c>
      <c r="U600" s="74">
        <v>53</v>
      </c>
      <c r="V600" s="66">
        <v>530803</v>
      </c>
      <c r="W600" s="63" t="str">
        <f>VLOOKUP(Tabla6[[#This Row],[ÍTEM PRESUPUESTARIO]],Tabla2[#All],2,0)</f>
        <v>LUBRICANTES</v>
      </c>
      <c r="X600" s="57">
        <v>100</v>
      </c>
      <c r="Y600" s="57">
        <f>100-12.5-12.5</f>
        <v>75</v>
      </c>
      <c r="Z600" s="58">
        <v>0</v>
      </c>
      <c r="AA600" s="58">
        <v>0</v>
      </c>
      <c r="AB600" s="58">
        <v>0</v>
      </c>
      <c r="AC600" s="58">
        <v>0</v>
      </c>
      <c r="AD600" s="58">
        <v>75</v>
      </c>
      <c r="AE600" s="58">
        <v>0</v>
      </c>
      <c r="AF600" s="58">
        <v>0</v>
      </c>
      <c r="AG600" s="58">
        <v>0</v>
      </c>
      <c r="AH600" s="58">
        <v>0</v>
      </c>
      <c r="AI600" s="58">
        <v>0</v>
      </c>
      <c r="AJ600" s="58">
        <v>0</v>
      </c>
      <c r="AK600" s="58">
        <v>0</v>
      </c>
      <c r="AL600" s="75">
        <f>+SUBTOTAL(9,Tabla6[[#This Row],[ENE]:[DIC]])</f>
        <v>75</v>
      </c>
      <c r="AM600" s="76" t="str">
        <f t="shared" si="12"/>
        <v>OK</v>
      </c>
      <c r="AN600" s="60">
        <v>75</v>
      </c>
      <c r="AO600" s="61">
        <f>+Tabla6[[#This Row],[PRESUPUESTO VIGENTE]]-Tabla6[[#This Row],[CERTIFICACIÓN PAPP]]</f>
        <v>0</v>
      </c>
      <c r="AP600" s="59">
        <v>0</v>
      </c>
    </row>
    <row r="601" spans="1:42" ht="93" customHeight="1" x14ac:dyDescent="0.25">
      <c r="A601" s="62" t="s">
        <v>88</v>
      </c>
      <c r="B601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601" s="64" t="s">
        <v>100</v>
      </c>
      <c r="D601" s="64" t="s">
        <v>80</v>
      </c>
      <c r="E601" s="64" t="s">
        <v>81</v>
      </c>
      <c r="F601" s="64" t="s">
        <v>99</v>
      </c>
      <c r="G601" s="64" t="s">
        <v>10</v>
      </c>
      <c r="H601" s="65" t="str">
        <f>VLOOKUP(Tabla6[[#This Row],[DIRECCIÓN]],DIRECCIÓN[#All],2,0)</f>
        <v>TECNOLOGÍA</v>
      </c>
      <c r="I601" s="66" t="s">
        <v>591</v>
      </c>
      <c r="J601" s="67">
        <v>1</v>
      </c>
      <c r="K601" s="68" t="str">
        <f>VLOOKUP(Tabla6[[#This Row],[DIRECCIÓN GENERAL / COORDINACIÓN / SUBDIRECCIÓN]],Tabla37[[#All],[Columna1]:[EOD]],2,0)</f>
        <v>266_0004</v>
      </c>
      <c r="L601" s="69">
        <f>VLOOKUP(Tabla6[[#This Row],[OBJETIVOS PND]],Listas!$A$1:$C$3,3,0)</f>
        <v>55</v>
      </c>
      <c r="M601" s="70">
        <f>VLOOKUP(Tabla6[[#This Row],[PG]],Listas2!$G$14:$K$16,5,0)</f>
        <v>0</v>
      </c>
      <c r="N601" s="71">
        <v>3</v>
      </c>
      <c r="O601" s="72">
        <v>1301</v>
      </c>
      <c r="P601" s="73" t="str">
        <f>VLOOKUP(Tabla6[[#This Row],[GEO]],Listas!$A$48:$B$77,2,0)</f>
        <v>PORTOVIEJO</v>
      </c>
      <c r="Q601" s="70">
        <f>VLOOKUP(Tabla6[[#This Row],[PG]],Listas2!$G$14:$K$16,3,0)</f>
        <v>1</v>
      </c>
      <c r="R601" s="73">
        <f>VLOOKUP(Tabla6[[#This Row],[PG]],Listas2!H111:'Listas2'!$G$14:$K$16,4,0)</f>
        <v>0</v>
      </c>
      <c r="S601" s="73">
        <f>VLOOKUP(Tabla6[[#This Row],[PG]],Listas2!$G$14:$K$16,2,0)</f>
        <v>0</v>
      </c>
      <c r="T601" s="66" t="s">
        <v>84</v>
      </c>
      <c r="U601" s="74">
        <v>53</v>
      </c>
      <c r="V601" s="66">
        <v>530805</v>
      </c>
      <c r="W601" s="63" t="str">
        <f>VLOOKUP(Tabla6[[#This Row],[ÍTEM PRESUPUESTARIO]],Tabla2[#All],2,0)</f>
        <v>MATERIALES DE ASEO</v>
      </c>
      <c r="X601" s="57">
        <v>100</v>
      </c>
      <c r="Y601" s="57">
        <f>100-27.5-27.5</f>
        <v>45</v>
      </c>
      <c r="Z601" s="58">
        <v>0</v>
      </c>
      <c r="AA601" s="58">
        <v>0</v>
      </c>
      <c r="AB601" s="58">
        <v>0</v>
      </c>
      <c r="AC601" s="58">
        <v>0</v>
      </c>
      <c r="AD601" s="58">
        <v>45</v>
      </c>
      <c r="AE601" s="58">
        <v>0</v>
      </c>
      <c r="AF601" s="58">
        <v>0</v>
      </c>
      <c r="AG601" s="58">
        <v>0</v>
      </c>
      <c r="AH601" s="58">
        <v>0</v>
      </c>
      <c r="AI601" s="58">
        <v>0</v>
      </c>
      <c r="AJ601" s="58">
        <v>0</v>
      </c>
      <c r="AK601" s="58">
        <v>0</v>
      </c>
      <c r="AL601" s="75">
        <f>+SUBTOTAL(9,Tabla6[[#This Row],[ENE]:[DIC]])</f>
        <v>45</v>
      </c>
      <c r="AM601" s="76" t="str">
        <f t="shared" si="12"/>
        <v>OK</v>
      </c>
      <c r="AN601" s="60">
        <v>45</v>
      </c>
      <c r="AO601" s="61">
        <f>+Tabla6[[#This Row],[PRESUPUESTO VIGENTE]]-Tabla6[[#This Row],[CERTIFICACIÓN PAPP]]</f>
        <v>0</v>
      </c>
      <c r="AP601" s="59">
        <v>0</v>
      </c>
    </row>
    <row r="602" spans="1:42" ht="93" customHeight="1" x14ac:dyDescent="0.25">
      <c r="A602" s="62" t="s">
        <v>88</v>
      </c>
      <c r="B602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602" s="64" t="s">
        <v>100</v>
      </c>
      <c r="D602" s="64" t="s">
        <v>80</v>
      </c>
      <c r="E602" s="64" t="s">
        <v>81</v>
      </c>
      <c r="F602" s="64" t="s">
        <v>99</v>
      </c>
      <c r="G602" s="64" t="s">
        <v>10</v>
      </c>
      <c r="H602" s="65" t="str">
        <f>VLOOKUP(Tabla6[[#This Row],[DIRECCIÓN]],DIRECCIÓN[#All],2,0)</f>
        <v>TECNOLOGÍA</v>
      </c>
      <c r="I602" s="66" t="s">
        <v>592</v>
      </c>
      <c r="J602" s="67">
        <v>1</v>
      </c>
      <c r="K602" s="68" t="str">
        <f>VLOOKUP(Tabla6[[#This Row],[DIRECCIÓN GENERAL / COORDINACIÓN / SUBDIRECCIÓN]],Tabla37[[#All],[Columna1]:[EOD]],2,0)</f>
        <v>266_0004</v>
      </c>
      <c r="L602" s="69">
        <f>VLOOKUP(Tabla6[[#This Row],[OBJETIVOS PND]],Listas!$A$1:$C$3,3,0)</f>
        <v>55</v>
      </c>
      <c r="M602" s="70">
        <f>VLOOKUP(Tabla6[[#This Row],[PG]],Listas2!$G$14:$K$16,5,0)</f>
        <v>0</v>
      </c>
      <c r="N602" s="71">
        <v>3</v>
      </c>
      <c r="O602" s="72">
        <v>1301</v>
      </c>
      <c r="P602" s="73" t="str">
        <f>VLOOKUP(Tabla6[[#This Row],[GEO]],Listas!$A$48:$B$77,2,0)</f>
        <v>PORTOVIEJO</v>
      </c>
      <c r="Q602" s="70">
        <f>VLOOKUP(Tabla6[[#This Row],[PG]],Listas2!$G$14:$K$16,3,0)</f>
        <v>1</v>
      </c>
      <c r="R602" s="73">
        <f>VLOOKUP(Tabla6[[#This Row],[PG]],Listas2!H112:'Listas2'!$G$14:$K$16,4,0)</f>
        <v>0</v>
      </c>
      <c r="S602" s="73">
        <f>VLOOKUP(Tabla6[[#This Row],[PG]],Listas2!$G$14:$K$16,2,0)</f>
        <v>0</v>
      </c>
      <c r="T602" s="66" t="s">
        <v>84</v>
      </c>
      <c r="U602" s="74">
        <v>53</v>
      </c>
      <c r="V602" s="66">
        <v>530807</v>
      </c>
      <c r="W602" s="63" t="str">
        <f>VLOOKUP(Tabla6[[#This Row],[ÍTEM PRESUPUESTARIO]],Tabla2[#All],2,0)</f>
        <v>MATERIALES DE IMPRESIÓN, FOTOGRAFÍA, REPRODUCCIÓN Y PUBLICACIONES</v>
      </c>
      <c r="X602" s="57">
        <v>0</v>
      </c>
      <c r="Y602" s="57">
        <f>310-155</f>
        <v>155</v>
      </c>
      <c r="Z602" s="58">
        <v>0</v>
      </c>
      <c r="AA602" s="58">
        <v>0</v>
      </c>
      <c r="AB602" s="58">
        <v>0</v>
      </c>
      <c r="AC602" s="58">
        <v>0</v>
      </c>
      <c r="AD602" s="58">
        <v>0</v>
      </c>
      <c r="AE602" s="58">
        <v>0</v>
      </c>
      <c r="AF602" s="58">
        <v>0</v>
      </c>
      <c r="AG602" s="58">
        <v>0</v>
      </c>
      <c r="AH602" s="58">
        <v>155</v>
      </c>
      <c r="AI602" s="58">
        <v>0</v>
      </c>
      <c r="AJ602" s="58">
        <v>0</v>
      </c>
      <c r="AK602" s="58">
        <v>0</v>
      </c>
      <c r="AL602" s="75">
        <f>+SUBTOTAL(9,Tabla6[[#This Row],[ENE]:[DIC]])</f>
        <v>155</v>
      </c>
      <c r="AM602" s="76" t="str">
        <f t="shared" si="12"/>
        <v>OK</v>
      </c>
      <c r="AN602" s="60">
        <v>155</v>
      </c>
      <c r="AO602" s="61">
        <f>+Tabla6[[#This Row],[PRESUPUESTO VIGENTE]]-Tabla6[[#This Row],[CERTIFICACIÓN PAPP]]</f>
        <v>0</v>
      </c>
      <c r="AP602" s="59">
        <v>0</v>
      </c>
    </row>
    <row r="603" spans="1:42" ht="93" customHeight="1" x14ac:dyDescent="0.25">
      <c r="A603" s="62" t="s">
        <v>88</v>
      </c>
      <c r="B603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603" s="64" t="s">
        <v>100</v>
      </c>
      <c r="D603" s="64" t="s">
        <v>80</v>
      </c>
      <c r="E603" s="64" t="s">
        <v>81</v>
      </c>
      <c r="F603" s="64" t="s">
        <v>99</v>
      </c>
      <c r="G603" s="64" t="s">
        <v>10</v>
      </c>
      <c r="H603" s="65" t="str">
        <f>VLOOKUP(Tabla6[[#This Row],[DIRECCIÓN]],DIRECCIÓN[#All],2,0)</f>
        <v>TECNOLOGÍA</v>
      </c>
      <c r="I603" s="66" t="s">
        <v>593</v>
      </c>
      <c r="J603" s="67">
        <v>1</v>
      </c>
      <c r="K603" s="68" t="str">
        <f>VLOOKUP(Tabla6[[#This Row],[DIRECCIÓN GENERAL / COORDINACIÓN / SUBDIRECCIÓN]],Tabla37[[#All],[Columna1]:[EOD]],2,0)</f>
        <v>266_0004</v>
      </c>
      <c r="L603" s="69">
        <f>VLOOKUP(Tabla6[[#This Row],[OBJETIVOS PND]],Listas!$A$1:$C$3,3,0)</f>
        <v>55</v>
      </c>
      <c r="M603" s="70">
        <f>VLOOKUP(Tabla6[[#This Row],[PG]],Listas2!$G$14:$K$16,5,0)</f>
        <v>0</v>
      </c>
      <c r="N603" s="71">
        <v>3</v>
      </c>
      <c r="O603" s="72">
        <v>1301</v>
      </c>
      <c r="P603" s="73" t="str">
        <f>VLOOKUP(Tabla6[[#This Row],[GEO]],Listas!$A$48:$B$77,2,0)</f>
        <v>PORTOVIEJO</v>
      </c>
      <c r="Q603" s="70">
        <f>VLOOKUP(Tabla6[[#This Row],[PG]],Listas2!$G$14:$K$16,3,0)</f>
        <v>1</v>
      </c>
      <c r="R603" s="73">
        <f>VLOOKUP(Tabla6[[#This Row],[PG]],Listas2!H113:'Listas2'!$G$14:$K$16,4,0)</f>
        <v>0</v>
      </c>
      <c r="S603" s="73">
        <f>VLOOKUP(Tabla6[[#This Row],[PG]],Listas2!$G$14:$K$16,2,0)</f>
        <v>0</v>
      </c>
      <c r="T603" s="66" t="s">
        <v>84</v>
      </c>
      <c r="U603" s="74">
        <v>53</v>
      </c>
      <c r="V603" s="66">
        <v>530807</v>
      </c>
      <c r="W603" s="63" t="str">
        <f>VLOOKUP(Tabla6[[#This Row],[ÍTEM PRESUPUESTARIO]],Tabla2[#All],2,0)</f>
        <v>MATERIALES DE IMPRESIÓN, FOTOGRAFÍA, REPRODUCCIÓN Y PUBLICACIONES</v>
      </c>
      <c r="X603" s="57">
        <v>0</v>
      </c>
      <c r="Y603" s="57">
        <f>3390+1557.3-254.18</f>
        <v>4693.12</v>
      </c>
      <c r="Z603" s="58">
        <v>0</v>
      </c>
      <c r="AA603" s="58">
        <v>0</v>
      </c>
      <c r="AB603" s="58">
        <v>0</v>
      </c>
      <c r="AC603" s="58">
        <v>0</v>
      </c>
      <c r="AD603" s="58">
        <v>0</v>
      </c>
      <c r="AE603" s="58">
        <v>0</v>
      </c>
      <c r="AF603" s="58">
        <v>0</v>
      </c>
      <c r="AG603" s="58">
        <v>0</v>
      </c>
      <c r="AH603" s="58">
        <v>4693.12</v>
      </c>
      <c r="AI603" s="58">
        <v>0</v>
      </c>
      <c r="AJ603" s="58">
        <v>0</v>
      </c>
      <c r="AK603" s="58">
        <v>0</v>
      </c>
      <c r="AL603" s="75">
        <f>+SUBTOTAL(9,Tabla6[[#This Row],[ENE]:[DIC]])</f>
        <v>4693.12</v>
      </c>
      <c r="AM603" s="76" t="str">
        <f t="shared" si="12"/>
        <v>OK</v>
      </c>
      <c r="AN603" s="60">
        <f>4947.3-254.18</f>
        <v>4693.12</v>
      </c>
      <c r="AO603" s="61">
        <f>+Tabla6[[#This Row],[PRESUPUESTO VIGENTE]]-Tabla6[[#This Row],[CERTIFICACIÓN PAPP]]</f>
        <v>0</v>
      </c>
      <c r="AP603" s="59">
        <v>0</v>
      </c>
    </row>
    <row r="604" spans="1:42" ht="93" customHeight="1" x14ac:dyDescent="0.25">
      <c r="A604" s="62" t="s">
        <v>88</v>
      </c>
      <c r="B604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604" s="64" t="s">
        <v>100</v>
      </c>
      <c r="D604" s="64" t="s">
        <v>80</v>
      </c>
      <c r="E604" s="64" t="s">
        <v>81</v>
      </c>
      <c r="F604" s="64" t="s">
        <v>99</v>
      </c>
      <c r="G604" s="64" t="s">
        <v>10</v>
      </c>
      <c r="H604" s="65" t="str">
        <f>VLOOKUP(Tabla6[[#This Row],[DIRECCIÓN]],DIRECCIÓN[#All],2,0)</f>
        <v>TECNOLOGÍA</v>
      </c>
      <c r="I604" s="66" t="s">
        <v>594</v>
      </c>
      <c r="J604" s="67">
        <v>1</v>
      </c>
      <c r="K604" s="68" t="str">
        <f>VLOOKUP(Tabla6[[#This Row],[DIRECCIÓN GENERAL / COORDINACIÓN / SUBDIRECCIÓN]],Tabla37[[#All],[Columna1]:[EOD]],2,0)</f>
        <v>266_0004</v>
      </c>
      <c r="L604" s="69">
        <f>VLOOKUP(Tabla6[[#This Row],[OBJETIVOS PND]],Listas!$A$1:$C$3,3,0)</f>
        <v>55</v>
      </c>
      <c r="M604" s="70">
        <f>VLOOKUP(Tabla6[[#This Row],[PG]],Listas2!$G$14:$K$16,5,0)</f>
        <v>0</v>
      </c>
      <c r="N604" s="71">
        <v>3</v>
      </c>
      <c r="O604" s="72">
        <v>1301</v>
      </c>
      <c r="P604" s="73" t="str">
        <f>VLOOKUP(Tabla6[[#This Row],[GEO]],Listas!$A$48:$B$77,2,0)</f>
        <v>PORTOVIEJO</v>
      </c>
      <c r="Q604" s="70">
        <f>VLOOKUP(Tabla6[[#This Row],[PG]],Listas2!$G$14:$K$16,3,0)</f>
        <v>1</v>
      </c>
      <c r="R604" s="73">
        <f>VLOOKUP(Tabla6[[#This Row],[PG]],Listas2!H114:'Listas2'!$G$14:$K$16,4,0)</f>
        <v>0</v>
      </c>
      <c r="S604" s="73">
        <f>VLOOKUP(Tabla6[[#This Row],[PG]],Listas2!$G$14:$K$16,2,0)</f>
        <v>0</v>
      </c>
      <c r="T604" s="66" t="s">
        <v>84</v>
      </c>
      <c r="U604" s="74">
        <v>53</v>
      </c>
      <c r="V604" s="66">
        <v>530807</v>
      </c>
      <c r="W604" s="63" t="str">
        <f>VLOOKUP(Tabla6[[#This Row],[ÍTEM PRESUPUESTARIO]],Tabla2[#All],2,0)</f>
        <v>MATERIALES DE IMPRESIÓN, FOTOGRAFÍA, REPRODUCCIÓN Y PUBLICACIONES</v>
      </c>
      <c r="X604" s="57">
        <v>3700</v>
      </c>
      <c r="Y604" s="57">
        <f>3700-3700</f>
        <v>0</v>
      </c>
      <c r="Z604" s="58">
        <v>0</v>
      </c>
      <c r="AA604" s="58">
        <v>0</v>
      </c>
      <c r="AB604" s="58">
        <v>0</v>
      </c>
      <c r="AC604" s="58">
        <v>0</v>
      </c>
      <c r="AD604" s="58">
        <v>0</v>
      </c>
      <c r="AE604" s="58">
        <v>0</v>
      </c>
      <c r="AF604" s="58">
        <v>0</v>
      </c>
      <c r="AG604" s="58">
        <v>0</v>
      </c>
      <c r="AH604" s="58">
        <v>0</v>
      </c>
      <c r="AI604" s="58">
        <v>0</v>
      </c>
      <c r="AJ604" s="58">
        <v>0</v>
      </c>
      <c r="AK604" s="58">
        <v>0</v>
      </c>
      <c r="AL604" s="75">
        <f>+SUBTOTAL(9,Tabla6[[#This Row],[ENE]:[DIC]])</f>
        <v>0</v>
      </c>
      <c r="AM604" s="76" t="str">
        <f t="shared" si="12"/>
        <v>OK</v>
      </c>
      <c r="AN604" s="60">
        <v>0</v>
      </c>
      <c r="AO604" s="61">
        <f>+Tabla6[[#This Row],[PRESUPUESTO VIGENTE]]-Tabla6[[#This Row],[CERTIFICACIÓN PAPP]]</f>
        <v>0</v>
      </c>
      <c r="AP604" s="59" t="s">
        <v>87</v>
      </c>
    </row>
    <row r="605" spans="1:42" ht="93" customHeight="1" x14ac:dyDescent="0.25">
      <c r="A605" s="62" t="s">
        <v>88</v>
      </c>
      <c r="B605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605" s="64" t="s">
        <v>100</v>
      </c>
      <c r="D605" s="64" t="s">
        <v>80</v>
      </c>
      <c r="E605" s="64" t="s">
        <v>81</v>
      </c>
      <c r="F605" s="64" t="s">
        <v>99</v>
      </c>
      <c r="G605" s="64" t="s">
        <v>10</v>
      </c>
      <c r="H605" s="65" t="str">
        <f>VLOOKUP(Tabla6[[#This Row],[DIRECCIÓN]],DIRECCIÓN[#All],2,0)</f>
        <v>TECNOLOGÍA</v>
      </c>
      <c r="I605" s="66" t="s">
        <v>591</v>
      </c>
      <c r="J605" s="67">
        <v>1</v>
      </c>
      <c r="K605" s="68" t="str">
        <f>VLOOKUP(Tabla6[[#This Row],[DIRECCIÓN GENERAL / COORDINACIÓN / SUBDIRECCIÓN]],Tabla37[[#All],[Columna1]:[EOD]],2,0)</f>
        <v>266_0004</v>
      </c>
      <c r="L605" s="69">
        <f>VLOOKUP(Tabla6[[#This Row],[OBJETIVOS PND]],Listas!$A$1:$C$3,3,0)</f>
        <v>55</v>
      </c>
      <c r="M605" s="70">
        <f>VLOOKUP(Tabla6[[#This Row],[PG]],Listas2!$G$14:$K$16,5,0)</f>
        <v>0</v>
      </c>
      <c r="N605" s="71">
        <v>3</v>
      </c>
      <c r="O605" s="72">
        <v>1301</v>
      </c>
      <c r="P605" s="73" t="str">
        <f>VLOOKUP(Tabla6[[#This Row],[GEO]],Listas!$A$48:$B$77,2,0)</f>
        <v>PORTOVIEJO</v>
      </c>
      <c r="Q605" s="70">
        <f>VLOOKUP(Tabla6[[#This Row],[PG]],Listas2!$G$14:$K$16,3,0)</f>
        <v>1</v>
      </c>
      <c r="R605" s="73">
        <f>VLOOKUP(Tabla6[[#This Row],[PG]],Listas2!H115:'Listas2'!$G$14:$K$16,4,0)</f>
        <v>0</v>
      </c>
      <c r="S605" s="73">
        <f>VLOOKUP(Tabla6[[#This Row],[PG]],Listas2!$G$14:$K$16,2,0)</f>
        <v>0</v>
      </c>
      <c r="T605" s="66" t="s">
        <v>84</v>
      </c>
      <c r="U605" s="74">
        <v>53</v>
      </c>
      <c r="V605" s="66">
        <v>530811</v>
      </c>
      <c r="W605" s="63" t="str">
        <f>VLOOKUP(Tabla6[[#This Row],[ÍTEM PRESUPUESTARIO]],Tabla2[#All],2,0)</f>
        <v>INSUMOS, MATERIALES Y SUMINISTROS PARA CONSTRUCCIÓN, ELECTRICIDAD, PLOMERÍA, CARPINTERÍA, SEÑALIZACIÓN VIAL, NAVEGACIÓN, CONTRA INCENDIOS Y PLACAS</v>
      </c>
      <c r="X605" s="57">
        <v>1000</v>
      </c>
      <c r="Y605" s="57">
        <f>1000-132-132</f>
        <v>736</v>
      </c>
      <c r="Z605" s="58">
        <v>0</v>
      </c>
      <c r="AA605" s="58">
        <v>0</v>
      </c>
      <c r="AB605" s="58">
        <v>0</v>
      </c>
      <c r="AC605" s="58">
        <v>0</v>
      </c>
      <c r="AD605" s="58">
        <v>736</v>
      </c>
      <c r="AE605" s="58">
        <v>0</v>
      </c>
      <c r="AF605" s="58">
        <v>0</v>
      </c>
      <c r="AG605" s="58">
        <v>0</v>
      </c>
      <c r="AH605" s="58">
        <v>0</v>
      </c>
      <c r="AI605" s="58">
        <v>0</v>
      </c>
      <c r="AJ605" s="58">
        <v>0</v>
      </c>
      <c r="AK605" s="58">
        <v>0</v>
      </c>
      <c r="AL605" s="75">
        <f>+SUBTOTAL(9,Tabla6[[#This Row],[ENE]:[DIC]])</f>
        <v>736</v>
      </c>
      <c r="AM605" s="76" t="str">
        <f t="shared" si="12"/>
        <v>OK</v>
      </c>
      <c r="AN605" s="60">
        <v>736</v>
      </c>
      <c r="AO605" s="61">
        <f>+Tabla6[[#This Row],[PRESUPUESTO VIGENTE]]-Tabla6[[#This Row],[CERTIFICACIÓN PAPP]]</f>
        <v>0</v>
      </c>
      <c r="AP605" s="59">
        <v>0</v>
      </c>
    </row>
    <row r="606" spans="1:42" ht="93" customHeight="1" x14ac:dyDescent="0.25">
      <c r="A606" s="62" t="s">
        <v>88</v>
      </c>
      <c r="B606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606" s="64" t="s">
        <v>100</v>
      </c>
      <c r="D606" s="64" t="s">
        <v>80</v>
      </c>
      <c r="E606" s="64" t="s">
        <v>81</v>
      </c>
      <c r="F606" s="64" t="s">
        <v>99</v>
      </c>
      <c r="G606" s="64" t="s">
        <v>10</v>
      </c>
      <c r="H606" s="65" t="str">
        <f>VLOOKUP(Tabla6[[#This Row],[DIRECCIÓN]],DIRECCIÓN[#All],2,0)</f>
        <v>TECNOLOGÍA</v>
      </c>
      <c r="I606" s="66" t="s">
        <v>589</v>
      </c>
      <c r="J606" s="67">
        <v>1</v>
      </c>
      <c r="K606" s="68" t="str">
        <f>VLOOKUP(Tabla6[[#This Row],[DIRECCIÓN GENERAL / COORDINACIÓN / SUBDIRECCIÓN]],Tabla37[[#All],[Columna1]:[EOD]],2,0)</f>
        <v>266_0004</v>
      </c>
      <c r="L606" s="69">
        <f>VLOOKUP(Tabla6[[#This Row],[OBJETIVOS PND]],Listas!$A$1:$C$3,3,0)</f>
        <v>55</v>
      </c>
      <c r="M606" s="70">
        <f>VLOOKUP(Tabla6[[#This Row],[PG]],Listas2!$G$14:$K$16,5,0)</f>
        <v>0</v>
      </c>
      <c r="N606" s="71">
        <v>3</v>
      </c>
      <c r="O606" s="72">
        <v>1301</v>
      </c>
      <c r="P606" s="73" t="str">
        <f>VLOOKUP(Tabla6[[#This Row],[GEO]],Listas!$A$48:$B$77,2,0)</f>
        <v>PORTOVIEJO</v>
      </c>
      <c r="Q606" s="70">
        <f>VLOOKUP(Tabla6[[#This Row],[PG]],Listas2!$G$14:$K$16,3,0)</f>
        <v>1</v>
      </c>
      <c r="R606" s="73">
        <f>VLOOKUP(Tabla6[[#This Row],[PG]],Listas2!H116:'Listas2'!$G$14:$K$16,4,0)</f>
        <v>0</v>
      </c>
      <c r="S606" s="73">
        <f>VLOOKUP(Tabla6[[#This Row],[PG]],Listas2!$G$14:$K$16,2,0)</f>
        <v>0</v>
      </c>
      <c r="T606" s="66" t="s">
        <v>84</v>
      </c>
      <c r="U606" s="74">
        <v>53</v>
      </c>
      <c r="V606" s="66">
        <v>530811</v>
      </c>
      <c r="W606" s="63" t="str">
        <f>VLOOKUP(Tabla6[[#This Row],[ÍTEM PRESUPUESTARIO]],Tabla2[#All],2,0)</f>
        <v>INSUMOS, MATERIALES Y SUMINISTROS PARA CONSTRUCCIÓN, ELECTRICIDAD, PLOMERÍA, CARPINTERÍA, SEÑALIZACIÓN VIAL, NAVEGACIÓN, CONTRA INCENDIOS Y PLACAS</v>
      </c>
      <c r="X606" s="57">
        <v>0</v>
      </c>
      <c r="Y606" s="57">
        <v>971.86</v>
      </c>
      <c r="Z606" s="58">
        <v>0</v>
      </c>
      <c r="AA606" s="58">
        <v>0</v>
      </c>
      <c r="AB606" s="58">
        <v>0</v>
      </c>
      <c r="AC606" s="58">
        <v>0</v>
      </c>
      <c r="AD606" s="58">
        <v>0</v>
      </c>
      <c r="AE606" s="58">
        <v>0</v>
      </c>
      <c r="AF606" s="58">
        <v>0</v>
      </c>
      <c r="AG606" s="58">
        <v>0</v>
      </c>
      <c r="AH606" s="58">
        <v>0</v>
      </c>
      <c r="AI606" s="58">
        <v>0</v>
      </c>
      <c r="AJ606" s="58">
        <v>971.86</v>
      </c>
      <c r="AK606" s="58">
        <v>0</v>
      </c>
      <c r="AL606" s="75">
        <f>+SUBTOTAL(9,Tabla6[[#This Row],[ENE]:[DIC]])</f>
        <v>971.86</v>
      </c>
      <c r="AM606" s="76" t="str">
        <f t="shared" si="12"/>
        <v>OK</v>
      </c>
      <c r="AN606" s="60">
        <v>971.86</v>
      </c>
      <c r="AO606" s="61">
        <f>+Tabla6[[#This Row],[PRESUPUESTO VIGENTE]]-Tabla6[[#This Row],[CERTIFICACIÓN PAPP]]</f>
        <v>0</v>
      </c>
      <c r="AP606" s="59">
        <v>0</v>
      </c>
    </row>
    <row r="607" spans="1:42" ht="93" customHeight="1" x14ac:dyDescent="0.25">
      <c r="A607" s="62" t="s">
        <v>88</v>
      </c>
      <c r="B607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607" s="64" t="s">
        <v>100</v>
      </c>
      <c r="D607" s="64" t="s">
        <v>80</v>
      </c>
      <c r="E607" s="64" t="s">
        <v>81</v>
      </c>
      <c r="F607" s="64" t="s">
        <v>99</v>
      </c>
      <c r="G607" s="64" t="s">
        <v>10</v>
      </c>
      <c r="H607" s="65" t="str">
        <f>VLOOKUP(Tabla6[[#This Row],[DIRECCIÓN]],DIRECCIÓN[#All],2,0)</f>
        <v>TECNOLOGÍA</v>
      </c>
      <c r="I607" s="66" t="s">
        <v>591</v>
      </c>
      <c r="J607" s="67">
        <v>1</v>
      </c>
      <c r="K607" s="68" t="str">
        <f>VLOOKUP(Tabla6[[#This Row],[DIRECCIÓN GENERAL / COORDINACIÓN / SUBDIRECCIÓN]],Tabla37[[#All],[Columna1]:[EOD]],2,0)</f>
        <v>266_0004</v>
      </c>
      <c r="L607" s="69">
        <f>VLOOKUP(Tabla6[[#This Row],[OBJETIVOS PND]],Listas!$A$1:$C$3,3,0)</f>
        <v>55</v>
      </c>
      <c r="M607" s="70">
        <f>VLOOKUP(Tabla6[[#This Row],[PG]],Listas2!$G$14:$K$16,5,0)</f>
        <v>0</v>
      </c>
      <c r="N607" s="71">
        <v>3</v>
      </c>
      <c r="O607" s="72">
        <v>1301</v>
      </c>
      <c r="P607" s="73" t="str">
        <f>VLOOKUP(Tabla6[[#This Row],[GEO]],Listas!$A$48:$B$77,2,0)</f>
        <v>PORTOVIEJO</v>
      </c>
      <c r="Q607" s="70">
        <f>VLOOKUP(Tabla6[[#This Row],[PG]],Listas2!$G$14:$K$16,3,0)</f>
        <v>1</v>
      </c>
      <c r="R607" s="73">
        <f>VLOOKUP(Tabla6[[#This Row],[PG]],Listas2!H117:'Listas2'!$G$14:$K$16,4,0)</f>
        <v>0</v>
      </c>
      <c r="S607" s="73">
        <f>VLOOKUP(Tabla6[[#This Row],[PG]],Listas2!$G$14:$K$16,2,0)</f>
        <v>0</v>
      </c>
      <c r="T607" s="66" t="s">
        <v>84</v>
      </c>
      <c r="U607" s="74">
        <v>53</v>
      </c>
      <c r="V607" s="66">
        <v>530813</v>
      </c>
      <c r="W607" s="63" t="str">
        <f>VLOOKUP(Tabla6[[#This Row],[ÍTEM PRESUPUESTARIO]],Tabla2[#All],2,0)</f>
        <v>REPUESTOS Y ACCESORIOS</v>
      </c>
      <c r="X607" s="57">
        <v>1500</v>
      </c>
      <c r="Y607" s="57">
        <f>1500-1105.91-394.09</f>
        <v>0</v>
      </c>
      <c r="Z607" s="58">
        <v>0</v>
      </c>
      <c r="AA607" s="58">
        <v>0</v>
      </c>
      <c r="AB607" s="58">
        <v>0</v>
      </c>
      <c r="AC607" s="58">
        <v>0</v>
      </c>
      <c r="AD607" s="58">
        <v>0</v>
      </c>
      <c r="AE607" s="58">
        <v>0</v>
      </c>
      <c r="AF607" s="58">
        <v>0</v>
      </c>
      <c r="AG607" s="58">
        <v>0</v>
      </c>
      <c r="AH607" s="58">
        <v>0</v>
      </c>
      <c r="AI607" s="58">
        <v>0</v>
      </c>
      <c r="AJ607" s="58">
        <v>0</v>
      </c>
      <c r="AK607" s="58">
        <v>0</v>
      </c>
      <c r="AL607" s="75">
        <f>+SUBTOTAL(9,Tabla6[[#This Row],[ENE]:[DIC]])</f>
        <v>0</v>
      </c>
      <c r="AM607" s="76" t="str">
        <f t="shared" si="12"/>
        <v>OK</v>
      </c>
      <c r="AN607" s="60">
        <v>0</v>
      </c>
      <c r="AO607" s="61">
        <f>+Tabla6[[#This Row],[PRESUPUESTO VIGENTE]]-Tabla6[[#This Row],[CERTIFICACIÓN PAPP]]</f>
        <v>0</v>
      </c>
      <c r="AP607" s="59">
        <v>0</v>
      </c>
    </row>
    <row r="608" spans="1:42" ht="93" customHeight="1" x14ac:dyDescent="0.25">
      <c r="A608" s="62" t="s">
        <v>88</v>
      </c>
      <c r="B608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608" s="64" t="s">
        <v>100</v>
      </c>
      <c r="D608" s="64" t="s">
        <v>80</v>
      </c>
      <c r="E608" s="64" t="s">
        <v>81</v>
      </c>
      <c r="F608" s="64" t="s">
        <v>99</v>
      </c>
      <c r="G608" s="64" t="s">
        <v>10</v>
      </c>
      <c r="H608" s="65" t="str">
        <f>VLOOKUP(Tabla6[[#This Row],[DIRECCIÓN]],DIRECCIÓN[#All],2,0)</f>
        <v>TECNOLOGÍA</v>
      </c>
      <c r="I608" s="66" t="s">
        <v>588</v>
      </c>
      <c r="J608" s="67">
        <v>1</v>
      </c>
      <c r="K608" s="68" t="str">
        <f>VLOOKUP(Tabla6[[#This Row],[DIRECCIÓN GENERAL / COORDINACIÓN / SUBDIRECCIÓN]],Tabla37[[#All],[Columna1]:[EOD]],2,0)</f>
        <v>266_0004</v>
      </c>
      <c r="L608" s="69">
        <f>VLOOKUP(Tabla6[[#This Row],[OBJETIVOS PND]],Listas!$A$1:$C$3,3,0)</f>
        <v>55</v>
      </c>
      <c r="M608" s="70">
        <f>VLOOKUP(Tabla6[[#This Row],[PG]],Listas2!$G$14:$K$16,5,0)</f>
        <v>0</v>
      </c>
      <c r="N608" s="71">
        <v>3</v>
      </c>
      <c r="O608" s="72">
        <v>1301</v>
      </c>
      <c r="P608" s="73" t="str">
        <f>VLOOKUP(Tabla6[[#This Row],[GEO]],Listas!$A$48:$B$77,2,0)</f>
        <v>PORTOVIEJO</v>
      </c>
      <c r="Q608" s="70">
        <f>VLOOKUP(Tabla6[[#This Row],[PG]],Listas2!$G$14:$K$16,3,0)</f>
        <v>1</v>
      </c>
      <c r="R608" s="73">
        <f>VLOOKUP(Tabla6[[#This Row],[PG]],Listas2!H118:'Listas2'!$G$14:$K$16,4,0)</f>
        <v>0</v>
      </c>
      <c r="S608" s="73">
        <f>VLOOKUP(Tabla6[[#This Row],[PG]],Listas2!$G$14:$K$16,2,0)</f>
        <v>0</v>
      </c>
      <c r="T608" s="66" t="s">
        <v>84</v>
      </c>
      <c r="U608" s="74">
        <v>53</v>
      </c>
      <c r="V608" s="66">
        <v>530813</v>
      </c>
      <c r="W608" s="63" t="str">
        <f>VLOOKUP(Tabla6[[#This Row],[ÍTEM PRESUPUESTARIO]],Tabla2[#All],2,0)</f>
        <v>REPUESTOS Y ACCESORIOS</v>
      </c>
      <c r="X608" s="57">
        <v>0</v>
      </c>
      <c r="Y608" s="57">
        <f>89666.32-89666.32</f>
        <v>0</v>
      </c>
      <c r="Z608" s="58">
        <v>0</v>
      </c>
      <c r="AA608" s="58">
        <v>0</v>
      </c>
      <c r="AB608" s="58">
        <v>0</v>
      </c>
      <c r="AC608" s="58">
        <v>0</v>
      </c>
      <c r="AD608" s="58">
        <v>0</v>
      </c>
      <c r="AE608" s="58">
        <v>0</v>
      </c>
      <c r="AF608" s="58">
        <v>0</v>
      </c>
      <c r="AG608" s="58">
        <v>0</v>
      </c>
      <c r="AH608" s="58">
        <v>0</v>
      </c>
      <c r="AI608" s="58">
        <v>0</v>
      </c>
      <c r="AJ608" s="58">
        <v>0</v>
      </c>
      <c r="AK608" s="58">
        <v>0</v>
      </c>
      <c r="AL608" s="75">
        <f>+SUBTOTAL(9,Tabla6[[#This Row],[ENE]:[DIC]])</f>
        <v>0</v>
      </c>
      <c r="AM608" s="76" t="str">
        <f t="shared" si="12"/>
        <v>OK</v>
      </c>
      <c r="AN608" s="60">
        <v>0</v>
      </c>
      <c r="AO608" s="61">
        <f>+Tabla6[[#This Row],[PRESUPUESTO VIGENTE]]-Tabla6[[#This Row],[CERTIFICACIÓN PAPP]]</f>
        <v>0</v>
      </c>
      <c r="AP608" s="59">
        <v>0</v>
      </c>
    </row>
    <row r="609" spans="1:42" ht="93" customHeight="1" x14ac:dyDescent="0.25">
      <c r="A609" s="62" t="s">
        <v>88</v>
      </c>
      <c r="B609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609" s="64" t="s">
        <v>100</v>
      </c>
      <c r="D609" s="64" t="s">
        <v>80</v>
      </c>
      <c r="E609" s="64" t="s">
        <v>81</v>
      </c>
      <c r="F609" s="64" t="s">
        <v>99</v>
      </c>
      <c r="G609" s="64" t="s">
        <v>10</v>
      </c>
      <c r="H609" s="65" t="str">
        <f>VLOOKUP(Tabla6[[#This Row],[DIRECCIÓN]],DIRECCIÓN[#All],2,0)</f>
        <v>TECNOLOGÍA</v>
      </c>
      <c r="I609" s="66" t="s">
        <v>589</v>
      </c>
      <c r="J609" s="67">
        <v>1</v>
      </c>
      <c r="K609" s="68" t="str">
        <f>VLOOKUP(Tabla6[[#This Row],[DIRECCIÓN GENERAL / COORDINACIÓN / SUBDIRECCIÓN]],Tabla37[[#All],[Columna1]:[EOD]],2,0)</f>
        <v>266_0004</v>
      </c>
      <c r="L609" s="69">
        <f>VLOOKUP(Tabla6[[#This Row],[OBJETIVOS PND]],Listas!$A$1:$C$3,3,0)</f>
        <v>55</v>
      </c>
      <c r="M609" s="70">
        <f>VLOOKUP(Tabla6[[#This Row],[PG]],Listas2!$G$14:$K$16,5,0)</f>
        <v>0</v>
      </c>
      <c r="N609" s="71">
        <v>3</v>
      </c>
      <c r="O609" s="72">
        <v>1301</v>
      </c>
      <c r="P609" s="73" t="str">
        <f>VLOOKUP(Tabla6[[#This Row],[GEO]],Listas!$A$48:$B$77,2,0)</f>
        <v>PORTOVIEJO</v>
      </c>
      <c r="Q609" s="70">
        <f>VLOOKUP(Tabla6[[#This Row],[PG]],Listas2!$G$14:$K$16,3,0)</f>
        <v>1</v>
      </c>
      <c r="R609" s="73">
        <f>VLOOKUP(Tabla6[[#This Row],[PG]],Listas2!H119:'Listas2'!$G$14:$K$16,4,0)</f>
        <v>0</v>
      </c>
      <c r="S609" s="73">
        <f>VLOOKUP(Tabla6[[#This Row],[PG]],Listas2!$G$14:$K$16,2,0)</f>
        <v>0</v>
      </c>
      <c r="T609" s="66" t="s">
        <v>84</v>
      </c>
      <c r="U609" s="74">
        <v>53</v>
      </c>
      <c r="V609" s="66">
        <v>530813</v>
      </c>
      <c r="W609" s="63" t="str">
        <f>VLOOKUP(Tabla6[[#This Row],[ÍTEM PRESUPUESTARIO]],Tabla2[#All],2,0)</f>
        <v>REPUESTOS Y ACCESORIOS</v>
      </c>
      <c r="X609" s="57">
        <v>0</v>
      </c>
      <c r="Y609" s="57">
        <f>89666.32-3028.5-589.83</f>
        <v>86047.99</v>
      </c>
      <c r="Z609" s="58">
        <v>0</v>
      </c>
      <c r="AA609" s="58">
        <v>0</v>
      </c>
      <c r="AB609" s="58">
        <v>0</v>
      </c>
      <c r="AC609" s="58">
        <v>0</v>
      </c>
      <c r="AD609" s="58">
        <v>0</v>
      </c>
      <c r="AE609" s="58">
        <v>0</v>
      </c>
      <c r="AF609" s="58">
        <v>0</v>
      </c>
      <c r="AG609" s="58">
        <v>0</v>
      </c>
      <c r="AH609" s="58">
        <v>0</v>
      </c>
      <c r="AI609" s="58">
        <v>0</v>
      </c>
      <c r="AJ609" s="58">
        <v>86047.99</v>
      </c>
      <c r="AK609" s="58">
        <v>0</v>
      </c>
      <c r="AL609" s="75">
        <f>+SUBTOTAL(9,Tabla6[[#This Row],[ENE]:[DIC]])</f>
        <v>86047.99</v>
      </c>
      <c r="AM609" s="76" t="str">
        <f t="shared" si="12"/>
        <v>OK</v>
      </c>
      <c r="AN609" s="60">
        <f>1282.8+84765.19</f>
        <v>86047.99</v>
      </c>
      <c r="AO609" s="61">
        <f>+Tabla6[[#This Row],[PRESUPUESTO VIGENTE]]-Tabla6[[#This Row],[CERTIFICACIÓN PAPP]]</f>
        <v>0</v>
      </c>
      <c r="AP609" s="59">
        <v>0</v>
      </c>
    </row>
    <row r="610" spans="1:42" ht="93" customHeight="1" x14ac:dyDescent="0.25">
      <c r="A610" s="62" t="s">
        <v>88</v>
      </c>
      <c r="B610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610" s="64" t="s">
        <v>100</v>
      </c>
      <c r="D610" s="64" t="s">
        <v>80</v>
      </c>
      <c r="E610" s="64" t="s">
        <v>81</v>
      </c>
      <c r="F610" s="64" t="s">
        <v>99</v>
      </c>
      <c r="G610" s="64" t="s">
        <v>10</v>
      </c>
      <c r="H610" s="65" t="str">
        <f>VLOOKUP(Tabla6[[#This Row],[DIRECCIÓN]],DIRECCIÓN[#All],2,0)</f>
        <v>TECNOLOGÍA</v>
      </c>
      <c r="I610" s="66" t="s">
        <v>590</v>
      </c>
      <c r="J610" s="67">
        <v>1</v>
      </c>
      <c r="K610" s="68" t="str">
        <f>VLOOKUP(Tabla6[[#This Row],[DIRECCIÓN GENERAL / COORDINACIÓN / SUBDIRECCIÓN]],Tabla37[[#All],[Columna1]:[EOD]],2,0)</f>
        <v>266_0004</v>
      </c>
      <c r="L610" s="69">
        <f>VLOOKUP(Tabla6[[#This Row],[OBJETIVOS PND]],Listas!$A$1:$C$3,3,0)</f>
        <v>55</v>
      </c>
      <c r="M610" s="70">
        <f>VLOOKUP(Tabla6[[#This Row],[PG]],Listas2!$G$14:$K$16,5,0)</f>
        <v>0</v>
      </c>
      <c r="N610" s="71">
        <v>3</v>
      </c>
      <c r="O610" s="72">
        <v>1301</v>
      </c>
      <c r="P610" s="73" t="str">
        <f>VLOOKUP(Tabla6[[#This Row],[GEO]],Listas!$A$48:$B$77,2,0)</f>
        <v>PORTOVIEJO</v>
      </c>
      <c r="Q610" s="70">
        <f>VLOOKUP(Tabla6[[#This Row],[PG]],Listas2!$G$14:$K$16,3,0)</f>
        <v>1</v>
      </c>
      <c r="R610" s="73">
        <f>VLOOKUP(Tabla6[[#This Row],[PG]],Listas2!H120:'Listas2'!$G$14:$K$16,4,0)</f>
        <v>0</v>
      </c>
      <c r="S610" s="73">
        <f>VLOOKUP(Tabla6[[#This Row],[PG]],Listas2!$G$14:$K$16,2,0)</f>
        <v>0</v>
      </c>
      <c r="T610" s="66" t="s">
        <v>84</v>
      </c>
      <c r="U610" s="74">
        <v>53</v>
      </c>
      <c r="V610" s="66">
        <v>530813</v>
      </c>
      <c r="W610" s="63" t="str">
        <f>VLOOKUP(Tabla6[[#This Row],[ÍTEM PRESUPUESTARIO]],Tabla2[#All],2,0)</f>
        <v>REPUESTOS Y ACCESORIOS</v>
      </c>
      <c r="X610" s="57">
        <v>3000</v>
      </c>
      <c r="Y610" s="57">
        <f>3000-122</f>
        <v>2878</v>
      </c>
      <c r="Z610" s="58">
        <v>0</v>
      </c>
      <c r="AA610" s="58">
        <v>0</v>
      </c>
      <c r="AB610" s="58">
        <v>0</v>
      </c>
      <c r="AC610" s="58">
        <v>2878</v>
      </c>
      <c r="AD610" s="58">
        <v>0</v>
      </c>
      <c r="AE610" s="58">
        <v>0</v>
      </c>
      <c r="AF610" s="58">
        <v>0</v>
      </c>
      <c r="AG610" s="58">
        <v>0</v>
      </c>
      <c r="AH610" s="58">
        <v>0</v>
      </c>
      <c r="AI610" s="58">
        <v>0</v>
      </c>
      <c r="AJ610" s="58">
        <v>0</v>
      </c>
      <c r="AK610" s="58">
        <v>0</v>
      </c>
      <c r="AL610" s="75">
        <f>+SUBTOTAL(9,Tabla6[[#This Row],[ENE]:[DIC]])</f>
        <v>2878</v>
      </c>
      <c r="AM610" s="76" t="str">
        <f t="shared" si="12"/>
        <v>OK</v>
      </c>
      <c r="AN610" s="60">
        <v>2878</v>
      </c>
      <c r="AO610" s="61">
        <f>+Tabla6[[#This Row],[PRESUPUESTO VIGENTE]]-Tabla6[[#This Row],[CERTIFICACIÓN PAPP]]</f>
        <v>0</v>
      </c>
      <c r="AP610" s="59" t="s">
        <v>87</v>
      </c>
    </row>
    <row r="611" spans="1:42" ht="93" customHeight="1" x14ac:dyDescent="0.25">
      <c r="A611" s="62" t="s">
        <v>88</v>
      </c>
      <c r="B611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611" s="64" t="s">
        <v>100</v>
      </c>
      <c r="D611" s="64" t="s">
        <v>80</v>
      </c>
      <c r="E611" s="64" t="s">
        <v>81</v>
      </c>
      <c r="F611" s="64" t="s">
        <v>99</v>
      </c>
      <c r="G611" s="64" t="s">
        <v>10</v>
      </c>
      <c r="H611" s="65" t="str">
        <f>VLOOKUP(Tabla6[[#This Row],[DIRECCIÓN]],DIRECCIÓN[#All],2,0)</f>
        <v>TECNOLOGÍA</v>
      </c>
      <c r="I611" s="66" t="s">
        <v>595</v>
      </c>
      <c r="J611" s="67">
        <v>1</v>
      </c>
      <c r="K611" s="68" t="str">
        <f>VLOOKUP(Tabla6[[#This Row],[DIRECCIÓN GENERAL / COORDINACIÓN / SUBDIRECCIÓN]],Tabla37[[#All],[Columna1]:[EOD]],2,0)</f>
        <v>266_0004</v>
      </c>
      <c r="L611" s="69">
        <f>VLOOKUP(Tabla6[[#This Row],[OBJETIVOS PND]],Listas!$A$1:$C$3,3,0)</f>
        <v>55</v>
      </c>
      <c r="M611" s="70">
        <f>VLOOKUP(Tabla6[[#This Row],[PG]],Listas2!$G$14:$K$16,5,0)</f>
        <v>0</v>
      </c>
      <c r="N611" s="71">
        <v>3</v>
      </c>
      <c r="O611" s="72">
        <v>1301</v>
      </c>
      <c r="P611" s="73" t="str">
        <f>VLOOKUP(Tabla6[[#This Row],[GEO]],Listas!$A$48:$B$77,2,0)</f>
        <v>PORTOVIEJO</v>
      </c>
      <c r="Q611" s="70">
        <f>VLOOKUP(Tabla6[[#This Row],[PG]],Listas2!$G$14:$K$16,3,0)</f>
        <v>1</v>
      </c>
      <c r="R611" s="73">
        <f>VLOOKUP(Tabla6[[#This Row],[PG]],Listas2!H121:'Listas2'!$G$14:$K$16,4,0)</f>
        <v>0</v>
      </c>
      <c r="S611" s="73">
        <f>VLOOKUP(Tabla6[[#This Row],[PG]],Listas2!$G$14:$K$16,2,0)</f>
        <v>0</v>
      </c>
      <c r="T611" s="66" t="s">
        <v>84</v>
      </c>
      <c r="U611" s="74">
        <v>53</v>
      </c>
      <c r="V611" s="66">
        <v>531404</v>
      </c>
      <c r="W611" s="63" t="str">
        <f>VLOOKUP(Tabla6[[#This Row],[ÍTEM PRESUPUESTARIO]],Tabla2[#All],2,0)</f>
        <v>MAQUINARIAS Y EQUIPOS</v>
      </c>
      <c r="X611" s="57">
        <v>0</v>
      </c>
      <c r="Y611" s="57">
        <f>3150-1575+985</f>
        <v>2560</v>
      </c>
      <c r="Z611" s="58">
        <v>0</v>
      </c>
      <c r="AA611" s="58">
        <v>0</v>
      </c>
      <c r="AB611" s="58">
        <v>0</v>
      </c>
      <c r="AC611" s="58">
        <v>0</v>
      </c>
      <c r="AD611" s="58">
        <v>0</v>
      </c>
      <c r="AE611" s="58">
        <v>0</v>
      </c>
      <c r="AF611" s="58">
        <v>0</v>
      </c>
      <c r="AG611" s="58">
        <v>0</v>
      </c>
      <c r="AH611" s="58">
        <v>0</v>
      </c>
      <c r="AI611" s="58">
        <v>0</v>
      </c>
      <c r="AJ611" s="58">
        <v>2560</v>
      </c>
      <c r="AK611" s="58">
        <v>0</v>
      </c>
      <c r="AL611" s="75">
        <f>+SUBTOTAL(9,Tabla6[[#This Row],[ENE]:[DIC]])</f>
        <v>2560</v>
      </c>
      <c r="AM611" s="76" t="str">
        <f t="shared" si="12"/>
        <v>OK</v>
      </c>
      <c r="AN611" s="60">
        <v>2560</v>
      </c>
      <c r="AO611" s="61">
        <f>+Tabla6[[#This Row],[PRESUPUESTO VIGENTE]]-Tabla6[[#This Row],[CERTIFICACIÓN PAPP]]</f>
        <v>0</v>
      </c>
      <c r="AP611" s="59" t="s">
        <v>87</v>
      </c>
    </row>
    <row r="612" spans="1:42" ht="93" customHeight="1" x14ac:dyDescent="0.25">
      <c r="A612" s="62" t="s">
        <v>88</v>
      </c>
      <c r="B612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612" s="64" t="s">
        <v>100</v>
      </c>
      <c r="D612" s="64" t="s">
        <v>80</v>
      </c>
      <c r="E612" s="64" t="s">
        <v>81</v>
      </c>
      <c r="F612" s="64" t="s">
        <v>99</v>
      </c>
      <c r="G612" s="64" t="s">
        <v>10</v>
      </c>
      <c r="H612" s="65" t="str">
        <f>VLOOKUP(Tabla6[[#This Row],[DIRECCIÓN]],DIRECCIÓN[#All],2,0)</f>
        <v>TECNOLOGÍA</v>
      </c>
      <c r="I612" s="66" t="s">
        <v>591</v>
      </c>
      <c r="J612" s="67">
        <v>1</v>
      </c>
      <c r="K612" s="68" t="str">
        <f>VLOOKUP(Tabla6[[#This Row],[DIRECCIÓN GENERAL / COORDINACIÓN / SUBDIRECCIÓN]],Tabla37[[#All],[Columna1]:[EOD]],2,0)</f>
        <v>266_0004</v>
      </c>
      <c r="L612" s="69">
        <f>VLOOKUP(Tabla6[[#This Row],[OBJETIVOS PND]],Listas!$A$1:$C$3,3,0)</f>
        <v>55</v>
      </c>
      <c r="M612" s="70">
        <f>VLOOKUP(Tabla6[[#This Row],[PG]],Listas2!$G$14:$K$16,5,0)</f>
        <v>0</v>
      </c>
      <c r="N612" s="71">
        <v>3</v>
      </c>
      <c r="O612" s="72">
        <v>1301</v>
      </c>
      <c r="P612" s="73" t="str">
        <f>VLOOKUP(Tabla6[[#This Row],[GEO]],Listas!$A$48:$B$77,2,0)</f>
        <v>PORTOVIEJO</v>
      </c>
      <c r="Q612" s="70">
        <f>VLOOKUP(Tabla6[[#This Row],[PG]],Listas2!$G$14:$K$16,3,0)</f>
        <v>1</v>
      </c>
      <c r="R612" s="73">
        <f>VLOOKUP(Tabla6[[#This Row],[PG]],Listas2!H122:'Listas2'!$G$14:$K$16,4,0)</f>
        <v>0</v>
      </c>
      <c r="S612" s="73">
        <f>VLOOKUP(Tabla6[[#This Row],[PG]],Listas2!$G$14:$K$16,2,0)</f>
        <v>0</v>
      </c>
      <c r="T612" s="66" t="s">
        <v>84</v>
      </c>
      <c r="U612" s="74">
        <v>53</v>
      </c>
      <c r="V612" s="66">
        <v>531406</v>
      </c>
      <c r="W612" s="63" t="str">
        <f>VLOOKUP(Tabla6[[#This Row],[ÍTEM PRESUPUESTARIO]],Tabla2[#All],2,0)</f>
        <v>HERRAMIENTAS Y EQUIPOS MENORES</v>
      </c>
      <c r="X612" s="57">
        <v>300</v>
      </c>
      <c r="Y612" s="57">
        <f>300-122.5-122.5</f>
        <v>55</v>
      </c>
      <c r="Z612" s="58">
        <v>0</v>
      </c>
      <c r="AA612" s="58">
        <v>0</v>
      </c>
      <c r="AB612" s="58">
        <v>0</v>
      </c>
      <c r="AC612" s="58">
        <v>0</v>
      </c>
      <c r="AD612" s="58">
        <v>55</v>
      </c>
      <c r="AE612" s="58">
        <v>0</v>
      </c>
      <c r="AF612" s="58">
        <v>0</v>
      </c>
      <c r="AG612" s="58">
        <v>0</v>
      </c>
      <c r="AH612" s="58">
        <v>0</v>
      </c>
      <c r="AI612" s="58">
        <v>0</v>
      </c>
      <c r="AJ612" s="58">
        <v>0</v>
      </c>
      <c r="AK612" s="58">
        <v>0</v>
      </c>
      <c r="AL612" s="75">
        <f>+SUBTOTAL(9,Tabla6[[#This Row],[ENE]:[DIC]])</f>
        <v>55</v>
      </c>
      <c r="AM612" s="76" t="str">
        <f t="shared" si="12"/>
        <v>OK</v>
      </c>
      <c r="AN612" s="60">
        <v>55</v>
      </c>
      <c r="AO612" s="61">
        <f>+Tabla6[[#This Row],[PRESUPUESTO VIGENTE]]-Tabla6[[#This Row],[CERTIFICACIÓN PAPP]]</f>
        <v>0</v>
      </c>
      <c r="AP612" s="59">
        <v>0</v>
      </c>
    </row>
    <row r="613" spans="1:42" ht="93" customHeight="1" x14ac:dyDescent="0.25">
      <c r="A613" s="62" t="s">
        <v>88</v>
      </c>
      <c r="B613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613" s="64" t="s">
        <v>100</v>
      </c>
      <c r="D613" s="64" t="s">
        <v>80</v>
      </c>
      <c r="E613" s="64" t="s">
        <v>81</v>
      </c>
      <c r="F613" s="64" t="s">
        <v>99</v>
      </c>
      <c r="G613" s="64" t="s">
        <v>10</v>
      </c>
      <c r="H613" s="65" t="str">
        <f>VLOOKUP(Tabla6[[#This Row],[DIRECCIÓN]],DIRECCIÓN[#All],2,0)</f>
        <v>TECNOLOGÍA</v>
      </c>
      <c r="I613" s="66" t="s">
        <v>589</v>
      </c>
      <c r="J613" s="67">
        <v>1</v>
      </c>
      <c r="K613" s="68" t="str">
        <f>VLOOKUP(Tabla6[[#This Row],[DIRECCIÓN GENERAL / COORDINACIÓN / SUBDIRECCIÓN]],Tabla37[[#All],[Columna1]:[EOD]],2,0)</f>
        <v>266_0004</v>
      </c>
      <c r="L613" s="69">
        <f>VLOOKUP(Tabla6[[#This Row],[OBJETIVOS PND]],Listas!$A$1:$C$3,3,0)</f>
        <v>55</v>
      </c>
      <c r="M613" s="70">
        <f>VLOOKUP(Tabla6[[#This Row],[PG]],Listas2!$G$14:$K$16,5,0)</f>
        <v>0</v>
      </c>
      <c r="N613" s="71">
        <v>3</v>
      </c>
      <c r="O613" s="72">
        <v>1301</v>
      </c>
      <c r="P613" s="73" t="str">
        <f>VLOOKUP(Tabla6[[#This Row],[GEO]],Listas!$A$48:$B$77,2,0)</f>
        <v>PORTOVIEJO</v>
      </c>
      <c r="Q613" s="70">
        <f>VLOOKUP(Tabla6[[#This Row],[PG]],Listas2!$G$14:$K$16,3,0)</f>
        <v>1</v>
      </c>
      <c r="R613" s="73">
        <f>VLOOKUP(Tabla6[[#This Row],[PG]],Listas2!H123:'Listas2'!$G$14:$K$16,4,0)</f>
        <v>0</v>
      </c>
      <c r="S613" s="73">
        <f>VLOOKUP(Tabla6[[#This Row],[PG]],Listas2!$G$14:$K$16,2,0)</f>
        <v>0</v>
      </c>
      <c r="T613" s="66" t="s">
        <v>84</v>
      </c>
      <c r="U613" s="74">
        <v>53</v>
      </c>
      <c r="V613" s="66">
        <v>531407</v>
      </c>
      <c r="W613" s="63" t="str">
        <f>VLOOKUP(Tabla6[[#This Row],[ÍTEM PRESUPUESTARIO]],Tabla2[#All],2,0)</f>
        <v>EQUIPOS, SISTEMAS Y PAQUETES INFORMÁTICOS</v>
      </c>
      <c r="X613" s="57">
        <v>0</v>
      </c>
      <c r="Y613" s="57">
        <f>2056.64-2056.64</f>
        <v>0</v>
      </c>
      <c r="Z613" s="58">
        <v>0</v>
      </c>
      <c r="AA613" s="58">
        <v>0</v>
      </c>
      <c r="AB613" s="58">
        <v>0</v>
      </c>
      <c r="AC613" s="58">
        <v>0</v>
      </c>
      <c r="AD613" s="58">
        <v>0</v>
      </c>
      <c r="AE613" s="58">
        <v>0</v>
      </c>
      <c r="AF613" s="58">
        <v>0</v>
      </c>
      <c r="AG613" s="58">
        <v>0</v>
      </c>
      <c r="AH613" s="58">
        <v>0</v>
      </c>
      <c r="AI613" s="58">
        <v>0</v>
      </c>
      <c r="AJ613" s="58">
        <v>0</v>
      </c>
      <c r="AK613" s="58">
        <v>0</v>
      </c>
      <c r="AL613" s="75">
        <f>+SUBTOTAL(9,Tabla6[[#This Row],[ENE]:[DIC]])</f>
        <v>0</v>
      </c>
      <c r="AM613" s="76" t="str">
        <f t="shared" si="12"/>
        <v>OK</v>
      </c>
      <c r="AN613" s="60">
        <f>2056.64-2056.64</f>
        <v>0</v>
      </c>
      <c r="AO613" s="61">
        <f>+Tabla6[[#This Row],[PRESUPUESTO VIGENTE]]-Tabla6[[#This Row],[CERTIFICACIÓN PAPP]]</f>
        <v>0</v>
      </c>
      <c r="AP613" s="59">
        <v>0</v>
      </c>
    </row>
    <row r="614" spans="1:42" ht="93" customHeight="1" x14ac:dyDescent="0.25">
      <c r="A614" s="62" t="s">
        <v>88</v>
      </c>
      <c r="B614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614" s="64" t="s">
        <v>100</v>
      </c>
      <c r="D614" s="64" t="s">
        <v>80</v>
      </c>
      <c r="E614" s="64" t="s">
        <v>81</v>
      </c>
      <c r="F614" s="64" t="s">
        <v>99</v>
      </c>
      <c r="G614" s="64" t="s">
        <v>10</v>
      </c>
      <c r="H614" s="65" t="str">
        <f>VLOOKUP(Tabla6[[#This Row],[DIRECCIÓN]],DIRECCIÓN[#All],2,0)</f>
        <v>TECNOLOGÍA</v>
      </c>
      <c r="I614" s="66" t="s">
        <v>591</v>
      </c>
      <c r="J614" s="67">
        <v>1</v>
      </c>
      <c r="K614" s="68" t="str">
        <f>VLOOKUP(Tabla6[[#This Row],[DIRECCIÓN GENERAL / COORDINACIÓN / SUBDIRECCIÓN]],Tabla37[[#All],[Columna1]:[EOD]],2,0)</f>
        <v>266_0004</v>
      </c>
      <c r="L614" s="69">
        <f>VLOOKUP(Tabla6[[#This Row],[OBJETIVOS PND]],Listas!$A$1:$C$3,3,0)</f>
        <v>55</v>
      </c>
      <c r="M614" s="70">
        <f>VLOOKUP(Tabla6[[#This Row],[PG]],Listas2!$G$14:$K$16,5,0)</f>
        <v>0</v>
      </c>
      <c r="N614" s="71">
        <v>3</v>
      </c>
      <c r="O614" s="72">
        <v>1301</v>
      </c>
      <c r="P614" s="73" t="str">
        <f>VLOOKUP(Tabla6[[#This Row],[GEO]],Listas!$A$48:$B$77,2,0)</f>
        <v>PORTOVIEJO</v>
      </c>
      <c r="Q614" s="70">
        <f>VLOOKUP(Tabla6[[#This Row],[PG]],Listas2!$G$14:$K$16,3,0)</f>
        <v>1</v>
      </c>
      <c r="R614" s="73">
        <f>VLOOKUP(Tabla6[[#This Row],[PG]],Listas2!H124:'Listas2'!$G$14:$K$16,4,0)</f>
        <v>0</v>
      </c>
      <c r="S614" s="73">
        <f>VLOOKUP(Tabla6[[#This Row],[PG]],Listas2!$G$14:$K$16,2,0)</f>
        <v>0</v>
      </c>
      <c r="T614" s="66" t="s">
        <v>84</v>
      </c>
      <c r="U614" s="74">
        <v>53</v>
      </c>
      <c r="V614" s="66">
        <v>531407</v>
      </c>
      <c r="W614" s="63" t="str">
        <f>VLOOKUP(Tabla6[[#This Row],[ÍTEM PRESUPUESTARIO]],Tabla2[#All],2,0)</f>
        <v>EQUIPOS, SISTEMAS Y PAQUETES INFORMÁTICOS</v>
      </c>
      <c r="X614" s="57">
        <v>2000</v>
      </c>
      <c r="Y614" s="57">
        <f>2000-422.5-422.5</f>
        <v>1155</v>
      </c>
      <c r="Z614" s="58">
        <v>0</v>
      </c>
      <c r="AA614" s="58">
        <v>0</v>
      </c>
      <c r="AB614" s="58">
        <v>0</v>
      </c>
      <c r="AC614" s="58">
        <v>0</v>
      </c>
      <c r="AD614" s="58">
        <v>1155</v>
      </c>
      <c r="AE614" s="58">
        <v>0</v>
      </c>
      <c r="AF614" s="58">
        <v>0</v>
      </c>
      <c r="AG614" s="58">
        <v>0</v>
      </c>
      <c r="AH614" s="58">
        <v>0</v>
      </c>
      <c r="AI614" s="58">
        <v>0</v>
      </c>
      <c r="AJ614" s="58">
        <v>0</v>
      </c>
      <c r="AK614" s="58">
        <v>0</v>
      </c>
      <c r="AL614" s="75">
        <f>+SUBTOTAL(9,Tabla6[[#This Row],[ENE]:[DIC]])</f>
        <v>1155</v>
      </c>
      <c r="AM614" s="76" t="str">
        <f t="shared" si="12"/>
        <v>OK</v>
      </c>
      <c r="AN614" s="60">
        <v>1155</v>
      </c>
      <c r="AO614" s="61">
        <f>+Tabla6[[#This Row],[PRESUPUESTO VIGENTE]]-Tabla6[[#This Row],[CERTIFICACIÓN PAPP]]</f>
        <v>0</v>
      </c>
      <c r="AP614" s="59">
        <v>0</v>
      </c>
    </row>
    <row r="615" spans="1:42" ht="93" customHeight="1" x14ac:dyDescent="0.25">
      <c r="A615" s="62" t="s">
        <v>88</v>
      </c>
      <c r="B615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615" s="64" t="s">
        <v>100</v>
      </c>
      <c r="D615" s="64" t="s">
        <v>80</v>
      </c>
      <c r="E615" s="64" t="s">
        <v>81</v>
      </c>
      <c r="F615" s="64" t="s">
        <v>99</v>
      </c>
      <c r="G615" s="64" t="s">
        <v>10</v>
      </c>
      <c r="H615" s="65" t="str">
        <f>VLOOKUP(Tabla6[[#This Row],[DIRECCIÓN]],DIRECCIÓN[#All],2,0)</f>
        <v>TECNOLOGÍA</v>
      </c>
      <c r="I615" s="66" t="s">
        <v>591</v>
      </c>
      <c r="J615" s="67">
        <v>1</v>
      </c>
      <c r="K615" s="68" t="str">
        <f>VLOOKUP(Tabla6[[#This Row],[DIRECCIÓN GENERAL / COORDINACIÓN / SUBDIRECCIÓN]],Tabla37[[#All],[Columna1]:[EOD]],2,0)</f>
        <v>266_0004</v>
      </c>
      <c r="L615" s="69">
        <f>VLOOKUP(Tabla6[[#This Row],[OBJETIVOS PND]],Listas!$A$1:$C$3,3,0)</f>
        <v>55</v>
      </c>
      <c r="M615" s="70">
        <f>VLOOKUP(Tabla6[[#This Row],[PG]],Listas2!$G$14:$K$16,5,0)</f>
        <v>0</v>
      </c>
      <c r="N615" s="71">
        <v>3</v>
      </c>
      <c r="O615" s="72">
        <v>1301</v>
      </c>
      <c r="P615" s="73" t="str">
        <f>VLOOKUP(Tabla6[[#This Row],[GEO]],Listas!$A$48:$B$77,2,0)</f>
        <v>PORTOVIEJO</v>
      </c>
      <c r="Q615" s="70">
        <f>VLOOKUP(Tabla6[[#This Row],[PG]],Listas2!$G$14:$K$16,3,0)</f>
        <v>1</v>
      </c>
      <c r="R615" s="73">
        <f>VLOOKUP(Tabla6[[#This Row],[PG]],Listas2!H125:'Listas2'!$G$14:$K$16,4,0)</f>
        <v>0</v>
      </c>
      <c r="S615" s="73">
        <f>VLOOKUP(Tabla6[[#This Row],[PG]],Listas2!$G$14:$K$16,2,0)</f>
        <v>0</v>
      </c>
      <c r="T615" s="66" t="s">
        <v>84</v>
      </c>
      <c r="U615" s="74">
        <v>53</v>
      </c>
      <c r="V615" s="66">
        <v>531411</v>
      </c>
      <c r="W615" s="63" t="str">
        <f>VLOOKUP(Tabla6[[#This Row],[ÍTEM PRESUPUESTARIO]],Tabla2[#All],2,0)</f>
        <v>PARTES Y REPUESTOS</v>
      </c>
      <c r="X615" s="57">
        <v>500</v>
      </c>
      <c r="Y615" s="57">
        <f>500-250-250</f>
        <v>0</v>
      </c>
      <c r="Z615" s="58">
        <v>0</v>
      </c>
      <c r="AA615" s="58">
        <v>0</v>
      </c>
      <c r="AB615" s="58">
        <v>0</v>
      </c>
      <c r="AC615" s="58">
        <v>0</v>
      </c>
      <c r="AD615" s="58">
        <v>0</v>
      </c>
      <c r="AE615" s="58">
        <v>0</v>
      </c>
      <c r="AF615" s="58">
        <v>0</v>
      </c>
      <c r="AG615" s="58">
        <v>0</v>
      </c>
      <c r="AH615" s="58">
        <v>0</v>
      </c>
      <c r="AI615" s="58">
        <v>0</v>
      </c>
      <c r="AJ615" s="58">
        <v>0</v>
      </c>
      <c r="AK615" s="58">
        <v>0</v>
      </c>
      <c r="AL615" s="75">
        <f>+SUBTOTAL(9,Tabla6[[#This Row],[ENE]:[DIC]])</f>
        <v>0</v>
      </c>
      <c r="AM615" s="76" t="str">
        <f t="shared" si="12"/>
        <v>OK</v>
      </c>
      <c r="AN615" s="60">
        <v>0</v>
      </c>
      <c r="AO615" s="61">
        <f>+Tabla6[[#This Row],[PRESUPUESTO VIGENTE]]-Tabla6[[#This Row],[CERTIFICACIÓN PAPP]]</f>
        <v>0</v>
      </c>
      <c r="AP615" s="59">
        <v>0</v>
      </c>
    </row>
    <row r="616" spans="1:42" ht="93" customHeight="1" x14ac:dyDescent="0.25">
      <c r="A616" s="62" t="s">
        <v>88</v>
      </c>
      <c r="B616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616" s="64" t="s">
        <v>100</v>
      </c>
      <c r="D616" s="64" t="s">
        <v>80</v>
      </c>
      <c r="E616" s="64" t="s">
        <v>81</v>
      </c>
      <c r="F616" s="64" t="s">
        <v>99</v>
      </c>
      <c r="G616" s="64" t="s">
        <v>10</v>
      </c>
      <c r="H616" s="65" t="str">
        <f>VLOOKUP(Tabla6[[#This Row],[DIRECCIÓN]],DIRECCIÓN[#All],2,0)</f>
        <v>TECNOLOGÍA</v>
      </c>
      <c r="I616" s="66" t="s">
        <v>596</v>
      </c>
      <c r="J616" s="67">
        <v>1</v>
      </c>
      <c r="K616" s="68" t="str">
        <f>VLOOKUP(Tabla6[[#This Row],[DIRECCIÓN GENERAL / COORDINACIÓN / SUBDIRECCIÓN]],Tabla37[[#All],[Columna1]:[EOD]],2,0)</f>
        <v>266_0004</v>
      </c>
      <c r="L616" s="69">
        <f>VLOOKUP(Tabla6[[#This Row],[OBJETIVOS PND]],Listas!$A$1:$C$3,3,0)</f>
        <v>55</v>
      </c>
      <c r="M616" s="70">
        <f>VLOOKUP(Tabla6[[#This Row],[PG]],Listas2!$G$14:$K$16,5,0)</f>
        <v>0</v>
      </c>
      <c r="N616" s="71">
        <v>3</v>
      </c>
      <c r="O616" s="72">
        <v>1301</v>
      </c>
      <c r="P616" s="73" t="str">
        <f>VLOOKUP(Tabla6[[#This Row],[GEO]],Listas!$A$48:$B$77,2,0)</f>
        <v>PORTOVIEJO</v>
      </c>
      <c r="Q616" s="70">
        <f>VLOOKUP(Tabla6[[#This Row],[PG]],Listas2!$G$14:$K$16,3,0)</f>
        <v>1</v>
      </c>
      <c r="R616" s="73">
        <f>VLOOKUP(Tabla6[[#This Row],[PG]],Listas2!H126:'Listas2'!$G$14:$K$16,4,0)</f>
        <v>0</v>
      </c>
      <c r="S616" s="73">
        <f>VLOOKUP(Tabla6[[#This Row],[PG]],Listas2!$G$14:$K$16,2,0)</f>
        <v>0</v>
      </c>
      <c r="T616" s="66" t="s">
        <v>95</v>
      </c>
      <c r="U616" s="74">
        <v>84</v>
      </c>
      <c r="V616" s="66">
        <v>840107</v>
      </c>
      <c r="W616" s="63" t="str">
        <f>VLOOKUP(Tabla6[[#This Row],[ÍTEM PRESUPUESTARIO]],Tabla2[#All],2,0)</f>
        <v>EQUIPOS SISTEMAS Y PAQUETES INFORMÁTICOS</v>
      </c>
      <c r="X616" s="57">
        <v>0</v>
      </c>
      <c r="Y616" s="57">
        <f>53391-10188</f>
        <v>43203</v>
      </c>
      <c r="Z616" s="58">
        <v>0</v>
      </c>
      <c r="AA616" s="58">
        <v>0</v>
      </c>
      <c r="AB616" s="58">
        <v>0</v>
      </c>
      <c r="AC616" s="58">
        <v>0</v>
      </c>
      <c r="AD616" s="58">
        <v>0</v>
      </c>
      <c r="AE616" s="58">
        <v>0</v>
      </c>
      <c r="AF616" s="58">
        <v>0</v>
      </c>
      <c r="AG616" s="58">
        <v>0</v>
      </c>
      <c r="AH616" s="58">
        <v>0</v>
      </c>
      <c r="AI616" s="58">
        <v>0</v>
      </c>
      <c r="AJ616" s="58">
        <v>43203</v>
      </c>
      <c r="AK616" s="58">
        <v>0</v>
      </c>
      <c r="AL616" s="75">
        <f>+SUBTOTAL(9,Tabla6[[#This Row],[ENE]:[DIC]])</f>
        <v>43203</v>
      </c>
      <c r="AM616" s="76" t="str">
        <f t="shared" si="12"/>
        <v>OK</v>
      </c>
      <c r="AN616" s="60">
        <f>52716-20927+20397-8983</f>
        <v>43203</v>
      </c>
      <c r="AO616" s="61">
        <f>+Tabla6[[#This Row],[PRESUPUESTO VIGENTE]]-Tabla6[[#This Row],[CERTIFICACIÓN PAPP]]</f>
        <v>0</v>
      </c>
      <c r="AP616" s="59">
        <v>0</v>
      </c>
    </row>
    <row r="617" spans="1:42" ht="93" customHeight="1" x14ac:dyDescent="0.25">
      <c r="A617" s="62" t="s">
        <v>78</v>
      </c>
      <c r="B617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617" s="64" t="s">
        <v>79</v>
      </c>
      <c r="D617" s="64" t="s">
        <v>80</v>
      </c>
      <c r="E617" s="64" t="s">
        <v>81</v>
      </c>
      <c r="F617" s="64" t="s">
        <v>99</v>
      </c>
      <c r="G617" s="64" t="s">
        <v>83</v>
      </c>
      <c r="H617" s="65" t="str">
        <f>VLOOKUP(Tabla6[[#This Row],[DIRECCIÓN]],DIRECCIÓN[#All],2,0)</f>
        <v>ADMINISTRACIÓN CENTRAL</v>
      </c>
      <c r="I617" s="66" t="s">
        <v>93</v>
      </c>
      <c r="J617" s="67">
        <v>1</v>
      </c>
      <c r="K617" s="68" t="str">
        <f>VLOOKUP(Tabla6[[#This Row],[DIRECCIÓN GENERAL / COORDINACIÓN / SUBDIRECCIÓN]],Tabla37[[#All],[Columna1]:[EOD]],2,0)</f>
        <v>266_0004</v>
      </c>
      <c r="L617" s="69">
        <f>VLOOKUP(Tabla6[[#This Row],[OBJETIVOS PND]],Listas!$A$1:$C$3,3,0)</f>
        <v>1</v>
      </c>
      <c r="M617" s="70">
        <f>VLOOKUP(Tabla6[[#This Row],[PG]],Listas2!$G$14:$K$16,5,0)</f>
        <v>0</v>
      </c>
      <c r="N617" s="71">
        <v>1</v>
      </c>
      <c r="O617" s="72">
        <v>2300</v>
      </c>
      <c r="P617" s="73" t="str">
        <f>VLOOKUP(Tabla6[[#This Row],[GEO]],Listas!$A$48:$B$77,2,0)</f>
        <v>SANTO DOMINGO</v>
      </c>
      <c r="Q617" s="70">
        <f>VLOOKUP(Tabla6[[#This Row],[PG]],Listas2!$G$14:$K$16,3,0)</f>
        <v>1</v>
      </c>
      <c r="R617" s="73">
        <f>VLOOKUP(Tabla6[[#This Row],[PG]],Listas2!H127:'Listas2'!$G$14:$K$16,4,0)</f>
        <v>0</v>
      </c>
      <c r="S617" s="73">
        <f>VLOOKUP(Tabla6[[#This Row],[PG]],Listas2!$G$14:$K$16,2,0)</f>
        <v>0</v>
      </c>
      <c r="T617" s="66" t="s">
        <v>84</v>
      </c>
      <c r="U617" s="74">
        <v>51</v>
      </c>
      <c r="V617" s="66">
        <v>510105</v>
      </c>
      <c r="W617" s="63" t="str">
        <f>VLOOKUP(Tabla6[[#This Row],[ÍTEM PRESUPUESTARIO]],Tabla2[#All],2,0)</f>
        <v>REMUNERACIONES UNIFICADAS</v>
      </c>
      <c r="X617" s="57">
        <v>115008</v>
      </c>
      <c r="Y617" s="57">
        <f>115008-8603.74</f>
        <v>106404.26</v>
      </c>
      <c r="Z617" s="58">
        <v>9584</v>
      </c>
      <c r="AA617" s="58">
        <v>9584</v>
      </c>
      <c r="AB617" s="58">
        <v>9584</v>
      </c>
      <c r="AC617" s="58">
        <v>9584</v>
      </c>
      <c r="AD617" s="58">
        <v>9584</v>
      </c>
      <c r="AE617" s="58">
        <v>9584</v>
      </c>
      <c r="AF617" s="58">
        <v>9584</v>
      </c>
      <c r="AG617" s="58">
        <v>9584</v>
      </c>
      <c r="AH617" s="58">
        <v>9584</v>
      </c>
      <c r="AI617" s="58">
        <v>9584</v>
      </c>
      <c r="AJ617" s="58">
        <v>9584</v>
      </c>
      <c r="AK617" s="58">
        <v>980.26</v>
      </c>
      <c r="AL617" s="75">
        <f>+SUBTOTAL(9,Tabla6[[#This Row],[ENE]:[DIC]])</f>
        <v>106404.26</v>
      </c>
      <c r="AM617" s="76" t="str">
        <f t="shared" si="12"/>
        <v>OK</v>
      </c>
      <c r="AN617" s="60">
        <v>106404.26</v>
      </c>
      <c r="AO617" s="61">
        <f>+Tabla6[[#This Row],[PRESUPUESTO VIGENTE]]-Tabla6[[#This Row],[CERTIFICACIÓN PAPP]]</f>
        <v>0</v>
      </c>
      <c r="AP617" s="59">
        <v>0</v>
      </c>
    </row>
    <row r="618" spans="1:42" ht="93" customHeight="1" x14ac:dyDescent="0.25">
      <c r="A618" s="62" t="s">
        <v>78</v>
      </c>
      <c r="B618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618" s="64" t="s">
        <v>79</v>
      </c>
      <c r="D618" s="64" t="s">
        <v>80</v>
      </c>
      <c r="E618" s="64" t="s">
        <v>81</v>
      </c>
      <c r="F618" s="64" t="s">
        <v>99</v>
      </c>
      <c r="G618" s="64" t="s">
        <v>83</v>
      </c>
      <c r="H618" s="65" t="str">
        <f>VLOOKUP(Tabla6[[#This Row],[DIRECCIÓN]],DIRECCIÓN[#All],2,0)</f>
        <v>ADMINISTRACIÓN CENTRAL</v>
      </c>
      <c r="I618" s="66" t="s">
        <v>93</v>
      </c>
      <c r="J618" s="67">
        <v>1</v>
      </c>
      <c r="K618" s="68" t="str">
        <f>VLOOKUP(Tabla6[[#This Row],[DIRECCIÓN GENERAL / COORDINACIÓN / SUBDIRECCIÓN]],Tabla37[[#All],[Columna1]:[EOD]],2,0)</f>
        <v>266_0004</v>
      </c>
      <c r="L618" s="69">
        <f>VLOOKUP(Tabla6[[#This Row],[OBJETIVOS PND]],Listas!$A$1:$C$3,3,0)</f>
        <v>1</v>
      </c>
      <c r="M618" s="70">
        <f>VLOOKUP(Tabla6[[#This Row],[PG]],Listas2!$G$14:$K$16,5,0)</f>
        <v>0</v>
      </c>
      <c r="N618" s="71">
        <v>1</v>
      </c>
      <c r="O618" s="72">
        <v>2300</v>
      </c>
      <c r="P618" s="73" t="str">
        <f>VLOOKUP(Tabla6[[#This Row],[GEO]],Listas!$A$48:$B$77,2,0)</f>
        <v>SANTO DOMINGO</v>
      </c>
      <c r="Q618" s="70">
        <f>VLOOKUP(Tabla6[[#This Row],[PG]],Listas2!$G$14:$K$16,3,0)</f>
        <v>1</v>
      </c>
      <c r="R618" s="73">
        <f>VLOOKUP(Tabla6[[#This Row],[PG]],Listas2!H128:'Listas2'!$G$14:$K$16,4,0)</f>
        <v>0</v>
      </c>
      <c r="S618" s="73">
        <f>VLOOKUP(Tabla6[[#This Row],[PG]],Listas2!$G$14:$K$16,2,0)</f>
        <v>0</v>
      </c>
      <c r="T618" s="66" t="s">
        <v>84</v>
      </c>
      <c r="U618" s="74">
        <v>51</v>
      </c>
      <c r="V618" s="66">
        <v>510106</v>
      </c>
      <c r="W618" s="63" t="str">
        <f>VLOOKUP(Tabla6[[#This Row],[ÍTEM PRESUPUESTARIO]],Tabla2[#All],2,0)</f>
        <v>SALARIOS UNIFICADOS</v>
      </c>
      <c r="X618" s="57">
        <v>35760</v>
      </c>
      <c r="Y618" s="57">
        <v>35760</v>
      </c>
      <c r="Z618" s="58">
        <v>2980</v>
      </c>
      <c r="AA618" s="58">
        <v>2980</v>
      </c>
      <c r="AB618" s="58">
        <v>2980</v>
      </c>
      <c r="AC618" s="58">
        <v>2980</v>
      </c>
      <c r="AD618" s="58">
        <v>2980</v>
      </c>
      <c r="AE618" s="58">
        <v>2980</v>
      </c>
      <c r="AF618" s="58">
        <v>2980</v>
      </c>
      <c r="AG618" s="58">
        <v>2980</v>
      </c>
      <c r="AH618" s="58">
        <v>2980</v>
      </c>
      <c r="AI618" s="58">
        <v>2980</v>
      </c>
      <c r="AJ618" s="58">
        <v>2980</v>
      </c>
      <c r="AK618" s="58">
        <v>2980</v>
      </c>
      <c r="AL618" s="75">
        <f>+SUBTOTAL(9,Tabla6[[#This Row],[ENE]:[DIC]])</f>
        <v>35760</v>
      </c>
      <c r="AM618" s="76" t="str">
        <f t="shared" si="12"/>
        <v>OK</v>
      </c>
      <c r="AN618" s="60">
        <v>35760</v>
      </c>
      <c r="AO618" s="61">
        <f>+Tabla6[[#This Row],[PRESUPUESTO VIGENTE]]-Tabla6[[#This Row],[CERTIFICACIÓN PAPP]]</f>
        <v>0</v>
      </c>
      <c r="AP618" s="59">
        <v>0</v>
      </c>
    </row>
    <row r="619" spans="1:42" ht="93" customHeight="1" x14ac:dyDescent="0.25">
      <c r="A619" s="62" t="s">
        <v>78</v>
      </c>
      <c r="B619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619" s="64" t="s">
        <v>79</v>
      </c>
      <c r="D619" s="64" t="s">
        <v>80</v>
      </c>
      <c r="E619" s="64" t="s">
        <v>81</v>
      </c>
      <c r="F619" s="64" t="s">
        <v>99</v>
      </c>
      <c r="G619" s="64" t="s">
        <v>83</v>
      </c>
      <c r="H619" s="65" t="str">
        <f>VLOOKUP(Tabla6[[#This Row],[DIRECCIÓN]],DIRECCIÓN[#All],2,0)</f>
        <v>ADMINISTRACIÓN CENTRAL</v>
      </c>
      <c r="I619" s="66" t="s">
        <v>93</v>
      </c>
      <c r="J619" s="67">
        <v>1</v>
      </c>
      <c r="K619" s="68" t="str">
        <f>VLOOKUP(Tabla6[[#This Row],[DIRECCIÓN GENERAL / COORDINACIÓN / SUBDIRECCIÓN]],Tabla37[[#All],[Columna1]:[EOD]],2,0)</f>
        <v>266_0004</v>
      </c>
      <c r="L619" s="69">
        <f>VLOOKUP(Tabla6[[#This Row],[OBJETIVOS PND]],Listas!$A$1:$C$3,3,0)</f>
        <v>1</v>
      </c>
      <c r="M619" s="70">
        <f>VLOOKUP(Tabla6[[#This Row],[PG]],Listas2!$G$14:$K$16,5,0)</f>
        <v>0</v>
      </c>
      <c r="N619" s="71">
        <v>1</v>
      </c>
      <c r="O619" s="72">
        <v>2300</v>
      </c>
      <c r="P619" s="73" t="str">
        <f>VLOOKUP(Tabla6[[#This Row],[GEO]],Listas!$A$48:$B$77,2,0)</f>
        <v>SANTO DOMINGO</v>
      </c>
      <c r="Q619" s="70">
        <f>VLOOKUP(Tabla6[[#This Row],[PG]],Listas2!$G$14:$K$16,3,0)</f>
        <v>1</v>
      </c>
      <c r="R619" s="73">
        <f>VLOOKUP(Tabla6[[#This Row],[PG]],Listas2!H129:'Listas2'!$G$14:$K$16,4,0)</f>
        <v>0</v>
      </c>
      <c r="S619" s="73">
        <f>VLOOKUP(Tabla6[[#This Row],[PG]],Listas2!$G$14:$K$16,2,0)</f>
        <v>0</v>
      </c>
      <c r="T619" s="66" t="s">
        <v>84</v>
      </c>
      <c r="U619" s="74">
        <v>51</v>
      </c>
      <c r="V619" s="66">
        <v>510203</v>
      </c>
      <c r="W619" s="63" t="str">
        <f>VLOOKUP(Tabla6[[#This Row],[ÍTEM PRESUPUESTARIO]],Tabla2[#All],2,0)</f>
        <v>DÉCIMO TERCER SUELDO</v>
      </c>
      <c r="X619" s="57">
        <v>12564</v>
      </c>
      <c r="Y619" s="57">
        <f>12564+500-1187.94</f>
        <v>11876.06</v>
      </c>
      <c r="Z619" s="58">
        <v>0</v>
      </c>
      <c r="AA619" s="58">
        <v>0</v>
      </c>
      <c r="AB619" s="58">
        <v>0</v>
      </c>
      <c r="AC619" s="58">
        <v>0</v>
      </c>
      <c r="AD619" s="58">
        <v>0</v>
      </c>
      <c r="AE619" s="58">
        <v>0</v>
      </c>
      <c r="AF619" s="58">
        <v>0</v>
      </c>
      <c r="AG619" s="58">
        <v>0</v>
      </c>
      <c r="AH619" s="58">
        <v>0</v>
      </c>
      <c r="AI619" s="58">
        <v>0</v>
      </c>
      <c r="AJ619" s="58">
        <v>0</v>
      </c>
      <c r="AK619" s="58">
        <v>11876.06</v>
      </c>
      <c r="AL619" s="75">
        <f>+SUBTOTAL(9,Tabla6[[#This Row],[ENE]:[DIC]])</f>
        <v>11876.06</v>
      </c>
      <c r="AM619" s="76" t="str">
        <f t="shared" si="12"/>
        <v>OK</v>
      </c>
      <c r="AN619" s="60">
        <v>11876.06</v>
      </c>
      <c r="AO619" s="61">
        <f>+Tabla6[[#This Row],[PRESUPUESTO VIGENTE]]-Tabla6[[#This Row],[CERTIFICACIÓN PAPP]]</f>
        <v>0</v>
      </c>
      <c r="AP619" s="59">
        <v>0</v>
      </c>
    </row>
    <row r="620" spans="1:42" ht="93" customHeight="1" x14ac:dyDescent="0.25">
      <c r="A620" s="62" t="s">
        <v>78</v>
      </c>
      <c r="B620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620" s="64" t="s">
        <v>79</v>
      </c>
      <c r="D620" s="64" t="s">
        <v>80</v>
      </c>
      <c r="E620" s="64" t="s">
        <v>81</v>
      </c>
      <c r="F620" s="64" t="s">
        <v>99</v>
      </c>
      <c r="G620" s="64" t="s">
        <v>83</v>
      </c>
      <c r="H620" s="65" t="str">
        <f>VLOOKUP(Tabla6[[#This Row],[DIRECCIÓN]],DIRECCIÓN[#All],2,0)</f>
        <v>ADMINISTRACIÓN CENTRAL</v>
      </c>
      <c r="I620" s="66" t="s">
        <v>93</v>
      </c>
      <c r="J620" s="67">
        <v>1</v>
      </c>
      <c r="K620" s="68" t="str">
        <f>VLOOKUP(Tabla6[[#This Row],[DIRECCIÓN GENERAL / COORDINACIÓN / SUBDIRECCIÓN]],Tabla37[[#All],[Columna1]:[EOD]],2,0)</f>
        <v>266_0004</v>
      </c>
      <c r="L620" s="69">
        <f>VLOOKUP(Tabla6[[#This Row],[OBJETIVOS PND]],Listas!$A$1:$C$3,3,0)</f>
        <v>1</v>
      </c>
      <c r="M620" s="70">
        <f>VLOOKUP(Tabla6[[#This Row],[PG]],Listas2!$G$14:$K$16,5,0)</f>
        <v>0</v>
      </c>
      <c r="N620" s="71">
        <v>1</v>
      </c>
      <c r="O620" s="72">
        <v>2300</v>
      </c>
      <c r="P620" s="73" t="str">
        <f>VLOOKUP(Tabla6[[#This Row],[GEO]],Listas!$A$48:$B$77,2,0)</f>
        <v>SANTO DOMINGO</v>
      </c>
      <c r="Q620" s="70">
        <f>VLOOKUP(Tabla6[[#This Row],[PG]],Listas2!$G$14:$K$16,3,0)</f>
        <v>1</v>
      </c>
      <c r="R620" s="73">
        <f>VLOOKUP(Tabla6[[#This Row],[PG]],Listas2!H130:'Listas2'!$G$14:$K$16,4,0)</f>
        <v>0</v>
      </c>
      <c r="S620" s="73">
        <f>VLOOKUP(Tabla6[[#This Row],[PG]],Listas2!$G$14:$K$16,2,0)</f>
        <v>0</v>
      </c>
      <c r="T620" s="66" t="s">
        <v>84</v>
      </c>
      <c r="U620" s="74">
        <v>51</v>
      </c>
      <c r="V620" s="66">
        <v>510204</v>
      </c>
      <c r="W620" s="63" t="str">
        <f>VLOOKUP(Tabla6[[#This Row],[ÍTEM PRESUPUESTARIO]],Tabla2[#All],2,0)</f>
        <v>DÉCIMO CUARTO SUELDO</v>
      </c>
      <c r="X620" s="57">
        <v>5525</v>
      </c>
      <c r="Y620" s="57">
        <f>5850-227.95</f>
        <v>5622.05</v>
      </c>
      <c r="Z620" s="58">
        <v>0</v>
      </c>
      <c r="AA620" s="58">
        <v>0</v>
      </c>
      <c r="AB620" s="58">
        <v>0</v>
      </c>
      <c r="AC620" s="58">
        <v>5622.05</v>
      </c>
      <c r="AD620" s="58">
        <v>0</v>
      </c>
      <c r="AE620" s="58">
        <v>0</v>
      </c>
      <c r="AF620" s="58">
        <v>0</v>
      </c>
      <c r="AG620" s="58">
        <v>0</v>
      </c>
      <c r="AH620" s="58">
        <v>0</v>
      </c>
      <c r="AI620" s="58">
        <v>0</v>
      </c>
      <c r="AJ620" s="58">
        <v>0</v>
      </c>
      <c r="AK620" s="58">
        <v>0</v>
      </c>
      <c r="AL620" s="75">
        <f>+SUBTOTAL(9,Tabla6[[#This Row],[ENE]:[DIC]])</f>
        <v>5622.05</v>
      </c>
      <c r="AM620" s="76" t="str">
        <f t="shared" si="12"/>
        <v>OK</v>
      </c>
      <c r="AN620" s="60">
        <v>5622.05</v>
      </c>
      <c r="AO620" s="61">
        <f>+Tabla6[[#This Row],[PRESUPUESTO VIGENTE]]-Tabla6[[#This Row],[CERTIFICACIÓN PAPP]]</f>
        <v>0</v>
      </c>
      <c r="AP620" s="59">
        <v>0</v>
      </c>
    </row>
    <row r="621" spans="1:42" ht="93" customHeight="1" x14ac:dyDescent="0.25">
      <c r="A621" s="62" t="s">
        <v>78</v>
      </c>
      <c r="B621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621" s="64" t="s">
        <v>79</v>
      </c>
      <c r="D621" s="64" t="s">
        <v>80</v>
      </c>
      <c r="E621" s="64" t="s">
        <v>81</v>
      </c>
      <c r="F621" s="64" t="s">
        <v>99</v>
      </c>
      <c r="G621" s="64" t="s">
        <v>83</v>
      </c>
      <c r="H621" s="65" t="str">
        <f>VLOOKUP(Tabla6[[#This Row],[DIRECCIÓN]],DIRECCIÓN[#All],2,0)</f>
        <v>ADMINISTRACIÓN CENTRAL</v>
      </c>
      <c r="I621" s="66" t="s">
        <v>93</v>
      </c>
      <c r="J621" s="67">
        <v>1</v>
      </c>
      <c r="K621" s="68" t="str">
        <f>VLOOKUP(Tabla6[[#This Row],[DIRECCIÓN GENERAL / COORDINACIÓN / SUBDIRECCIÓN]],Tabla37[[#All],[Columna1]:[EOD]],2,0)</f>
        <v>266_0004</v>
      </c>
      <c r="L621" s="69">
        <f>VLOOKUP(Tabla6[[#This Row],[OBJETIVOS PND]],Listas!$A$1:$C$3,3,0)</f>
        <v>1</v>
      </c>
      <c r="M621" s="70">
        <f>VLOOKUP(Tabla6[[#This Row],[PG]],Listas2!$G$14:$K$16,5,0)</f>
        <v>0</v>
      </c>
      <c r="N621" s="71">
        <v>1</v>
      </c>
      <c r="O621" s="72">
        <v>2300</v>
      </c>
      <c r="P621" s="73" t="str">
        <f>VLOOKUP(Tabla6[[#This Row],[GEO]],Listas!$A$48:$B$77,2,0)</f>
        <v>SANTO DOMINGO</v>
      </c>
      <c r="Q621" s="70">
        <f>VLOOKUP(Tabla6[[#This Row],[PG]],Listas2!$G$14:$K$16,3,0)</f>
        <v>1</v>
      </c>
      <c r="R621" s="73">
        <f>VLOOKUP(Tabla6[[#This Row],[PG]],Listas2!H131:'Listas2'!$G$14:$K$16,4,0)</f>
        <v>0</v>
      </c>
      <c r="S621" s="73">
        <f>VLOOKUP(Tabla6[[#This Row],[PG]],Listas2!$G$14:$K$16,2,0)</f>
        <v>0</v>
      </c>
      <c r="T621" s="66" t="s">
        <v>84</v>
      </c>
      <c r="U621" s="74">
        <v>51</v>
      </c>
      <c r="V621" s="66">
        <v>510509</v>
      </c>
      <c r="W621" s="63" t="str">
        <f>VLOOKUP(Tabla6[[#This Row],[ÍTEM PRESUPUESTARIO]],Tabla2[#All],2,0)</f>
        <v>HORAS EXTRAORDINARIAS Y SUPLEMENTARIAS</v>
      </c>
      <c r="X621" s="57">
        <v>840</v>
      </c>
      <c r="Y621" s="57">
        <f>1200-851.48</f>
        <v>348.52</v>
      </c>
      <c r="Z621" s="58">
        <v>100</v>
      </c>
      <c r="AA621" s="58">
        <v>100</v>
      </c>
      <c r="AB621" s="58">
        <v>100</v>
      </c>
      <c r="AC621" s="58">
        <v>48.52</v>
      </c>
      <c r="AD621" s="58">
        <v>0</v>
      </c>
      <c r="AE621" s="58">
        <v>0</v>
      </c>
      <c r="AF621" s="58">
        <v>0</v>
      </c>
      <c r="AG621" s="58">
        <v>0</v>
      </c>
      <c r="AH621" s="58">
        <v>0</v>
      </c>
      <c r="AI621" s="58">
        <v>0</v>
      </c>
      <c r="AJ621" s="58">
        <v>0</v>
      </c>
      <c r="AK621" s="58">
        <v>0</v>
      </c>
      <c r="AL621" s="75">
        <f>+SUBTOTAL(9,Tabla6[[#This Row],[ENE]:[DIC]])</f>
        <v>348.52</v>
      </c>
      <c r="AM621" s="76" t="str">
        <f t="shared" si="12"/>
        <v>OK</v>
      </c>
      <c r="AN621" s="60">
        <v>348.52</v>
      </c>
      <c r="AO621" s="61">
        <f>+Tabla6[[#This Row],[PRESUPUESTO VIGENTE]]-Tabla6[[#This Row],[CERTIFICACIÓN PAPP]]</f>
        <v>0</v>
      </c>
      <c r="AP621" s="59">
        <v>0</v>
      </c>
    </row>
    <row r="622" spans="1:42" ht="93" customHeight="1" x14ac:dyDescent="0.25">
      <c r="A622" s="62" t="s">
        <v>78</v>
      </c>
      <c r="B622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622" s="64" t="s">
        <v>79</v>
      </c>
      <c r="D622" s="64" t="s">
        <v>80</v>
      </c>
      <c r="E622" s="64" t="s">
        <v>81</v>
      </c>
      <c r="F622" s="64" t="s">
        <v>99</v>
      </c>
      <c r="G622" s="64" t="s">
        <v>83</v>
      </c>
      <c r="H622" s="65" t="str">
        <f>VLOOKUP(Tabla6[[#This Row],[DIRECCIÓN]],DIRECCIÓN[#All],2,0)</f>
        <v>ADMINISTRACIÓN CENTRAL</v>
      </c>
      <c r="I622" s="66" t="s">
        <v>93</v>
      </c>
      <c r="J622" s="67">
        <v>1</v>
      </c>
      <c r="K622" s="68" t="str">
        <f>VLOOKUP(Tabla6[[#This Row],[DIRECCIÓN GENERAL / COORDINACIÓN / SUBDIRECCIÓN]],Tabla37[[#All],[Columna1]:[EOD]],2,0)</f>
        <v>266_0004</v>
      </c>
      <c r="L622" s="69">
        <f>VLOOKUP(Tabla6[[#This Row],[OBJETIVOS PND]],Listas!$A$1:$C$3,3,0)</f>
        <v>1</v>
      </c>
      <c r="M622" s="70">
        <f>VLOOKUP(Tabla6[[#This Row],[PG]],Listas2!$G$14:$K$16,5,0)</f>
        <v>0</v>
      </c>
      <c r="N622" s="71">
        <v>1</v>
      </c>
      <c r="O622" s="72">
        <v>2300</v>
      </c>
      <c r="P622" s="73" t="str">
        <f>VLOOKUP(Tabla6[[#This Row],[GEO]],Listas!$A$48:$B$77,2,0)</f>
        <v>SANTO DOMINGO</v>
      </c>
      <c r="Q622" s="70">
        <f>VLOOKUP(Tabla6[[#This Row],[PG]],Listas2!$G$14:$K$16,3,0)</f>
        <v>1</v>
      </c>
      <c r="R622" s="73">
        <f>VLOOKUP(Tabla6[[#This Row],[PG]],Listas2!H132:'Listas2'!$G$14:$K$16,4,0)</f>
        <v>0</v>
      </c>
      <c r="S622" s="73">
        <f>VLOOKUP(Tabla6[[#This Row],[PG]],Listas2!$G$14:$K$16,2,0)</f>
        <v>0</v>
      </c>
      <c r="T622" s="66" t="s">
        <v>84</v>
      </c>
      <c r="U622" s="74">
        <v>51</v>
      </c>
      <c r="V622" s="66">
        <v>510601</v>
      </c>
      <c r="W622" s="63" t="str">
        <f>VLOOKUP(Tabla6[[#This Row],[ÍTEM PRESUPUESTARIO]],Tabla2[#All],2,0)</f>
        <v>APORTE PATRONAL</v>
      </c>
      <c r="X622" s="57">
        <v>15443</v>
      </c>
      <c r="Y622" s="57">
        <f>15593-937.38</f>
        <v>14655.62</v>
      </c>
      <c r="Z622" s="58">
        <v>1287</v>
      </c>
      <c r="AA622" s="58">
        <v>1287</v>
      </c>
      <c r="AB622" s="58">
        <v>1287</v>
      </c>
      <c r="AC622" s="58">
        <v>1287</v>
      </c>
      <c r="AD622" s="58">
        <v>1287</v>
      </c>
      <c r="AE622" s="58">
        <v>1287</v>
      </c>
      <c r="AF622" s="58">
        <v>1287</v>
      </c>
      <c r="AG622" s="58">
        <v>1287</v>
      </c>
      <c r="AH622" s="58">
        <v>1287</v>
      </c>
      <c r="AI622" s="58">
        <v>1287</v>
      </c>
      <c r="AJ622" s="58">
        <v>1287</v>
      </c>
      <c r="AK622" s="58">
        <v>498.62</v>
      </c>
      <c r="AL622" s="75">
        <f>+SUBTOTAL(9,Tabla6[[#This Row],[ENE]:[DIC]])</f>
        <v>14655.62</v>
      </c>
      <c r="AM622" s="76" t="str">
        <f t="shared" si="12"/>
        <v>OK</v>
      </c>
      <c r="AN622" s="60">
        <v>14655.62</v>
      </c>
      <c r="AO622" s="61">
        <f>+Tabla6[[#This Row],[PRESUPUESTO VIGENTE]]-Tabla6[[#This Row],[CERTIFICACIÓN PAPP]]</f>
        <v>0</v>
      </c>
      <c r="AP622" s="59">
        <v>0</v>
      </c>
    </row>
    <row r="623" spans="1:42" ht="93" customHeight="1" x14ac:dyDescent="0.25">
      <c r="A623" s="62" t="s">
        <v>78</v>
      </c>
      <c r="B623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623" s="64" t="s">
        <v>79</v>
      </c>
      <c r="D623" s="64" t="s">
        <v>80</v>
      </c>
      <c r="E623" s="64" t="s">
        <v>81</v>
      </c>
      <c r="F623" s="64" t="s">
        <v>99</v>
      </c>
      <c r="G623" s="64" t="s">
        <v>83</v>
      </c>
      <c r="H623" s="65" t="str">
        <f>VLOOKUP(Tabla6[[#This Row],[DIRECCIÓN]],DIRECCIÓN[#All],2,0)</f>
        <v>ADMINISTRACIÓN CENTRAL</v>
      </c>
      <c r="I623" s="66" t="s">
        <v>93</v>
      </c>
      <c r="J623" s="67">
        <v>1</v>
      </c>
      <c r="K623" s="68" t="str">
        <f>VLOOKUP(Tabla6[[#This Row],[DIRECCIÓN GENERAL / COORDINACIÓN / SUBDIRECCIÓN]],Tabla37[[#All],[Columna1]:[EOD]],2,0)</f>
        <v>266_0004</v>
      </c>
      <c r="L623" s="69">
        <f>VLOOKUP(Tabla6[[#This Row],[OBJETIVOS PND]],Listas!$A$1:$C$3,3,0)</f>
        <v>1</v>
      </c>
      <c r="M623" s="70">
        <f>VLOOKUP(Tabla6[[#This Row],[PG]],Listas2!$G$14:$K$16,5,0)</f>
        <v>0</v>
      </c>
      <c r="N623" s="71">
        <v>1</v>
      </c>
      <c r="O623" s="72">
        <v>2300</v>
      </c>
      <c r="P623" s="73" t="str">
        <f>VLOOKUP(Tabla6[[#This Row],[GEO]],Listas!$A$48:$B$77,2,0)</f>
        <v>SANTO DOMINGO</v>
      </c>
      <c r="Q623" s="70">
        <f>VLOOKUP(Tabla6[[#This Row],[PG]],Listas2!$G$14:$K$16,3,0)</f>
        <v>1</v>
      </c>
      <c r="R623" s="73">
        <f>VLOOKUP(Tabla6[[#This Row],[PG]],Listas2!H133:'Listas2'!$G$14:$K$16,4,0)</f>
        <v>0</v>
      </c>
      <c r="S623" s="73">
        <f>VLOOKUP(Tabla6[[#This Row],[PG]],Listas2!$G$14:$K$16,2,0)</f>
        <v>0</v>
      </c>
      <c r="T623" s="66" t="s">
        <v>84</v>
      </c>
      <c r="U623" s="74">
        <v>51</v>
      </c>
      <c r="V623" s="66">
        <v>510602</v>
      </c>
      <c r="W623" s="63" t="str">
        <f>VLOOKUP(Tabla6[[#This Row],[ÍTEM PRESUPUESTARIO]],Tabla2[#All],2,0)</f>
        <v>FONDO DE RESERVA</v>
      </c>
      <c r="X623" s="57">
        <v>12564</v>
      </c>
      <c r="Y623" s="57">
        <f>12564-400-1560.04</f>
        <v>10603.96</v>
      </c>
      <c r="Z623" s="58">
        <v>792</v>
      </c>
      <c r="AA623" s="58">
        <v>896</v>
      </c>
      <c r="AB623" s="58">
        <v>1047</v>
      </c>
      <c r="AC623" s="58">
        <v>1047</v>
      </c>
      <c r="AD623" s="58">
        <v>1047</v>
      </c>
      <c r="AE623" s="58">
        <v>1047</v>
      </c>
      <c r="AF623" s="58">
        <v>1047</v>
      </c>
      <c r="AG623" s="58">
        <v>1047</v>
      </c>
      <c r="AH623" s="58">
        <v>1047</v>
      </c>
      <c r="AI623" s="58">
        <v>1047</v>
      </c>
      <c r="AJ623" s="58">
        <v>539.96</v>
      </c>
      <c r="AK623" s="58">
        <v>0</v>
      </c>
      <c r="AL623" s="75">
        <f>+SUBTOTAL(9,Tabla6[[#This Row],[ENE]:[DIC]])</f>
        <v>10603.96</v>
      </c>
      <c r="AM623" s="76" t="str">
        <f t="shared" si="12"/>
        <v>OK</v>
      </c>
      <c r="AN623" s="60">
        <v>10603.96</v>
      </c>
      <c r="AO623" s="61">
        <f>+Tabla6[[#This Row],[PRESUPUESTO VIGENTE]]-Tabla6[[#This Row],[CERTIFICACIÓN PAPP]]</f>
        <v>0</v>
      </c>
      <c r="AP623" s="59">
        <v>0</v>
      </c>
    </row>
    <row r="624" spans="1:42" ht="93" customHeight="1" x14ac:dyDescent="0.25">
      <c r="A624" s="62" t="s">
        <v>78</v>
      </c>
      <c r="B624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624" s="64" t="s">
        <v>79</v>
      </c>
      <c r="D624" s="64" t="s">
        <v>80</v>
      </c>
      <c r="E624" s="64" t="s">
        <v>81</v>
      </c>
      <c r="F624" s="64" t="s">
        <v>99</v>
      </c>
      <c r="G624" s="64" t="s">
        <v>83</v>
      </c>
      <c r="H624" s="65" t="str">
        <f>VLOOKUP(Tabla6[[#This Row],[DIRECCIÓN]],DIRECCIÓN[#All],2,0)</f>
        <v>ADMINISTRACIÓN CENTRAL</v>
      </c>
      <c r="I624" s="66" t="s">
        <v>93</v>
      </c>
      <c r="J624" s="67">
        <v>1</v>
      </c>
      <c r="K624" s="68" t="str">
        <f>VLOOKUP(Tabla6[[#This Row],[DIRECCIÓN GENERAL / COORDINACIÓN / SUBDIRECCIÓN]],Tabla37[[#All],[Columna1]:[EOD]],2,0)</f>
        <v>266_0004</v>
      </c>
      <c r="L624" s="69">
        <f>VLOOKUP(Tabla6[[#This Row],[OBJETIVOS PND]],Listas!$A$1:$C$3,3,0)</f>
        <v>1</v>
      </c>
      <c r="M624" s="70">
        <f>VLOOKUP(Tabla6[[#This Row],[PG]],Listas2!$G$14:$K$16,5,0)</f>
        <v>0</v>
      </c>
      <c r="N624" s="71">
        <v>1</v>
      </c>
      <c r="O624" s="72">
        <v>2300</v>
      </c>
      <c r="P624" s="73" t="str">
        <f>VLOOKUP(Tabla6[[#This Row],[GEO]],Listas!$A$48:$B$77,2,0)</f>
        <v>SANTO DOMINGO</v>
      </c>
      <c r="Q624" s="70">
        <f>VLOOKUP(Tabla6[[#This Row],[PG]],Listas2!$G$14:$K$16,3,0)</f>
        <v>1</v>
      </c>
      <c r="R624" s="73">
        <f>VLOOKUP(Tabla6[[#This Row],[PG]],Listas2!H134:'Listas2'!$G$14:$K$16,4,0)</f>
        <v>0</v>
      </c>
      <c r="S624" s="73">
        <f>VLOOKUP(Tabla6[[#This Row],[PG]],Listas2!$G$14:$K$16,2,0)</f>
        <v>0</v>
      </c>
      <c r="T624" s="66" t="s">
        <v>84</v>
      </c>
      <c r="U624" s="74">
        <v>51</v>
      </c>
      <c r="V624" s="66">
        <v>510707</v>
      </c>
      <c r="W624" s="63" t="str">
        <f>VLOOKUP(Tabla6[[#This Row],[ÍTEM PRESUPUESTARIO]],Tabla2[#All],2,0)</f>
        <v>COMPENSACIÓN POR VACACIONES NO GOZADAS POR CESACIÓN DE FUNCIONES</v>
      </c>
      <c r="X624" s="57">
        <v>0</v>
      </c>
      <c r="Y624" s="57">
        <f>1000+2600-1278.04</f>
        <v>2321.96</v>
      </c>
      <c r="Z624" s="58">
        <v>83</v>
      </c>
      <c r="AA624" s="58">
        <v>83</v>
      </c>
      <c r="AB624" s="58">
        <v>83</v>
      </c>
      <c r="AC624" s="58">
        <v>83</v>
      </c>
      <c r="AD624" s="58">
        <v>83</v>
      </c>
      <c r="AE624" s="58">
        <v>83</v>
      </c>
      <c r="AF624" s="58">
        <v>500</v>
      </c>
      <c r="AG624" s="58">
        <v>500</v>
      </c>
      <c r="AH624" s="58">
        <v>500</v>
      </c>
      <c r="AI624" s="58">
        <v>323.95999999999998</v>
      </c>
      <c r="AJ624" s="58">
        <v>0</v>
      </c>
      <c r="AK624" s="58">
        <v>0</v>
      </c>
      <c r="AL624" s="75">
        <f>+SUBTOTAL(9,Tabla6[[#This Row],[ENE]:[DIC]])</f>
        <v>2321.96</v>
      </c>
      <c r="AM624" s="76" t="str">
        <f t="shared" si="12"/>
        <v>OK</v>
      </c>
      <c r="AN624" s="60">
        <v>2321.96</v>
      </c>
      <c r="AO624" s="61">
        <f>+Tabla6[[#This Row],[PRESUPUESTO VIGENTE]]-Tabla6[[#This Row],[CERTIFICACIÓN PAPP]]</f>
        <v>0</v>
      </c>
      <c r="AP624" s="59">
        <v>0</v>
      </c>
    </row>
    <row r="625" spans="1:42" ht="93" customHeight="1" x14ac:dyDescent="0.25">
      <c r="A625" s="62" t="s">
        <v>88</v>
      </c>
      <c r="B625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625" s="64" t="s">
        <v>89</v>
      </c>
      <c r="D625" s="64" t="s">
        <v>80</v>
      </c>
      <c r="E625" s="64" t="s">
        <v>81</v>
      </c>
      <c r="F625" s="64" t="s">
        <v>99</v>
      </c>
      <c r="G625" s="64" t="s">
        <v>98</v>
      </c>
      <c r="H625" s="65" t="str">
        <f>VLOOKUP(Tabla6[[#This Row],[DIRECCIÓN]],DIRECCIÓN[#All],2,0)</f>
        <v>OPERACIONES</v>
      </c>
      <c r="I625" s="66" t="s">
        <v>93</v>
      </c>
      <c r="J625" s="67">
        <v>1</v>
      </c>
      <c r="K625" s="68" t="str">
        <f>VLOOKUP(Tabla6[[#This Row],[DIRECCIÓN GENERAL / COORDINACIÓN / SUBDIRECCIÓN]],Tabla37[[#All],[Columna1]:[EOD]],2,0)</f>
        <v>266_0004</v>
      </c>
      <c r="L625" s="69">
        <f>VLOOKUP(Tabla6[[#This Row],[OBJETIVOS PND]],Listas!$A$1:$C$3,3,0)</f>
        <v>55</v>
      </c>
      <c r="M625" s="70">
        <f>VLOOKUP(Tabla6[[#This Row],[PG]],Listas2!$G$14:$K$16,5,0)</f>
        <v>0</v>
      </c>
      <c r="N625" s="71">
        <v>2</v>
      </c>
      <c r="O625" s="72">
        <v>2300</v>
      </c>
      <c r="P625" s="73" t="str">
        <f>VLOOKUP(Tabla6[[#This Row],[GEO]],Listas!$A$48:$B$77,2,0)</f>
        <v>SANTO DOMINGO</v>
      </c>
      <c r="Q625" s="70">
        <f>VLOOKUP(Tabla6[[#This Row],[PG]],Listas2!$G$14:$K$16,3,0)</f>
        <v>1</v>
      </c>
      <c r="R625" s="73">
        <f>VLOOKUP(Tabla6[[#This Row],[PG]],Listas2!H135:'Listas2'!$G$14:$K$16,4,0)</f>
        <v>0</v>
      </c>
      <c r="S625" s="73">
        <f>VLOOKUP(Tabla6[[#This Row],[PG]],Listas2!$G$14:$K$16,2,0)</f>
        <v>0</v>
      </c>
      <c r="T625" s="66" t="s">
        <v>84</v>
      </c>
      <c r="U625" s="74">
        <v>51</v>
      </c>
      <c r="V625" s="66">
        <v>510105</v>
      </c>
      <c r="W625" s="63" t="str">
        <f>VLOOKUP(Tabla6[[#This Row],[ÍTEM PRESUPUESTARIO]],Tabla2[#All],2,0)</f>
        <v>REMUNERACIONES UNIFICADAS</v>
      </c>
      <c r="X625" s="57">
        <v>521748</v>
      </c>
      <c r="Y625" s="57">
        <f>521748-2562.5</f>
        <v>519185.5</v>
      </c>
      <c r="Z625" s="58">
        <v>43479</v>
      </c>
      <c r="AA625" s="58">
        <v>43479</v>
      </c>
      <c r="AB625" s="58">
        <v>43479</v>
      </c>
      <c r="AC625" s="58">
        <v>43479</v>
      </c>
      <c r="AD625" s="58">
        <v>43479</v>
      </c>
      <c r="AE625" s="58">
        <v>43479</v>
      </c>
      <c r="AF625" s="58">
        <v>43479</v>
      </c>
      <c r="AG625" s="58">
        <v>43479</v>
      </c>
      <c r="AH625" s="58">
        <v>43479</v>
      </c>
      <c r="AI625" s="58">
        <v>43479</v>
      </c>
      <c r="AJ625" s="58">
        <v>43479</v>
      </c>
      <c r="AK625" s="58">
        <v>40916.5</v>
      </c>
      <c r="AL625" s="75">
        <f>+SUBTOTAL(9,Tabla6[[#This Row],[ENE]:[DIC]])</f>
        <v>519185.5</v>
      </c>
      <c r="AM625" s="76" t="str">
        <f t="shared" si="12"/>
        <v>OK</v>
      </c>
      <c r="AN625" s="60">
        <v>519185.5</v>
      </c>
      <c r="AO625" s="61">
        <f>+Tabla6[[#This Row],[PRESUPUESTO VIGENTE]]-Tabla6[[#This Row],[CERTIFICACIÓN PAPP]]</f>
        <v>0</v>
      </c>
      <c r="AP625" s="59">
        <v>0</v>
      </c>
    </row>
    <row r="626" spans="1:42" ht="93" customHeight="1" x14ac:dyDescent="0.25">
      <c r="A626" s="62" t="s">
        <v>88</v>
      </c>
      <c r="B626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626" s="64" t="s">
        <v>89</v>
      </c>
      <c r="D626" s="64" t="s">
        <v>80</v>
      </c>
      <c r="E626" s="64" t="s">
        <v>81</v>
      </c>
      <c r="F626" s="64" t="s">
        <v>99</v>
      </c>
      <c r="G626" s="64" t="s">
        <v>98</v>
      </c>
      <c r="H626" s="65" t="str">
        <f>VLOOKUP(Tabla6[[#This Row],[DIRECCIÓN]],DIRECCIÓN[#All],2,0)</f>
        <v>OPERACIONES</v>
      </c>
      <c r="I626" s="66" t="s">
        <v>93</v>
      </c>
      <c r="J626" s="67">
        <v>1</v>
      </c>
      <c r="K626" s="68" t="str">
        <f>VLOOKUP(Tabla6[[#This Row],[DIRECCIÓN GENERAL / COORDINACIÓN / SUBDIRECCIÓN]],Tabla37[[#All],[Columna1]:[EOD]],2,0)</f>
        <v>266_0004</v>
      </c>
      <c r="L626" s="69">
        <f>VLOOKUP(Tabla6[[#This Row],[OBJETIVOS PND]],Listas!$A$1:$C$3,3,0)</f>
        <v>55</v>
      </c>
      <c r="M626" s="70">
        <f>VLOOKUP(Tabla6[[#This Row],[PG]],Listas2!$G$14:$K$16,5,0)</f>
        <v>0</v>
      </c>
      <c r="N626" s="71">
        <v>2</v>
      </c>
      <c r="O626" s="72">
        <v>2300</v>
      </c>
      <c r="P626" s="73" t="str">
        <f>VLOOKUP(Tabla6[[#This Row],[GEO]],Listas!$A$48:$B$77,2,0)</f>
        <v>SANTO DOMINGO</v>
      </c>
      <c r="Q626" s="70">
        <f>VLOOKUP(Tabla6[[#This Row],[PG]],Listas2!$G$14:$K$16,3,0)</f>
        <v>1</v>
      </c>
      <c r="R626" s="73">
        <f>VLOOKUP(Tabla6[[#This Row],[PG]],Listas2!H136:'Listas2'!$G$14:$K$16,4,0)</f>
        <v>0</v>
      </c>
      <c r="S626" s="73">
        <f>VLOOKUP(Tabla6[[#This Row],[PG]],Listas2!$G$14:$K$16,2,0)</f>
        <v>0</v>
      </c>
      <c r="T626" s="66" t="s">
        <v>84</v>
      </c>
      <c r="U626" s="74">
        <v>51</v>
      </c>
      <c r="V626" s="66">
        <v>510203</v>
      </c>
      <c r="W626" s="63" t="str">
        <f>VLOOKUP(Tabla6[[#This Row],[ÍTEM PRESUPUESTARIO]],Tabla2[#All],2,0)</f>
        <v>DÉCIMO TERCER SUELDO</v>
      </c>
      <c r="X626" s="57">
        <v>45424</v>
      </c>
      <c r="Y626" s="57">
        <f>45424-500-712.18</f>
        <v>44211.82</v>
      </c>
      <c r="Z626" s="58">
        <v>550</v>
      </c>
      <c r="AA626" s="58">
        <v>550</v>
      </c>
      <c r="AB626" s="58">
        <v>550</v>
      </c>
      <c r="AC626" s="58">
        <v>550</v>
      </c>
      <c r="AD626" s="58">
        <v>550</v>
      </c>
      <c r="AE626" s="58">
        <v>550</v>
      </c>
      <c r="AF626" s="58">
        <v>550</v>
      </c>
      <c r="AG626" s="58">
        <v>550</v>
      </c>
      <c r="AH626" s="58">
        <v>550</v>
      </c>
      <c r="AI626" s="58">
        <v>550</v>
      </c>
      <c r="AJ626" s="58">
        <v>550</v>
      </c>
      <c r="AK626" s="58">
        <v>38161.82</v>
      </c>
      <c r="AL626" s="75">
        <f>+SUBTOTAL(9,Tabla6[[#This Row],[ENE]:[DIC]])</f>
        <v>44211.82</v>
      </c>
      <c r="AM626" s="76" t="str">
        <f t="shared" si="12"/>
        <v>OK</v>
      </c>
      <c r="AN626" s="60">
        <v>44211.82</v>
      </c>
      <c r="AO626" s="61">
        <f>+Tabla6[[#This Row],[PRESUPUESTO VIGENTE]]-Tabla6[[#This Row],[CERTIFICACIÓN PAPP]]</f>
        <v>0</v>
      </c>
      <c r="AP626" s="59">
        <v>0</v>
      </c>
    </row>
    <row r="627" spans="1:42" ht="93" customHeight="1" x14ac:dyDescent="0.25">
      <c r="A627" s="62" t="s">
        <v>88</v>
      </c>
      <c r="B627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627" s="64" t="s">
        <v>89</v>
      </c>
      <c r="D627" s="64" t="s">
        <v>80</v>
      </c>
      <c r="E627" s="64" t="s">
        <v>81</v>
      </c>
      <c r="F627" s="64" t="s">
        <v>99</v>
      </c>
      <c r="G627" s="64" t="s">
        <v>98</v>
      </c>
      <c r="H627" s="65" t="str">
        <f>VLOOKUP(Tabla6[[#This Row],[DIRECCIÓN]],DIRECCIÓN[#All],2,0)</f>
        <v>OPERACIONES</v>
      </c>
      <c r="I627" s="66" t="s">
        <v>93</v>
      </c>
      <c r="J627" s="67">
        <v>1</v>
      </c>
      <c r="K627" s="68" t="str">
        <f>VLOOKUP(Tabla6[[#This Row],[DIRECCIÓN GENERAL / COORDINACIÓN / SUBDIRECCIÓN]],Tabla37[[#All],[Columna1]:[EOD]],2,0)</f>
        <v>266_0004</v>
      </c>
      <c r="L627" s="69">
        <f>VLOOKUP(Tabla6[[#This Row],[OBJETIVOS PND]],Listas!$A$1:$C$3,3,0)</f>
        <v>55</v>
      </c>
      <c r="M627" s="70">
        <f>VLOOKUP(Tabla6[[#This Row],[PG]],Listas2!$G$14:$K$16,5,0)</f>
        <v>0</v>
      </c>
      <c r="N627" s="71">
        <v>2</v>
      </c>
      <c r="O627" s="72">
        <v>2300</v>
      </c>
      <c r="P627" s="73" t="str">
        <f>VLOOKUP(Tabla6[[#This Row],[GEO]],Listas!$A$48:$B$77,2,0)</f>
        <v>SANTO DOMINGO</v>
      </c>
      <c r="Q627" s="70">
        <f>VLOOKUP(Tabla6[[#This Row],[PG]],Listas2!$G$14:$K$16,3,0)</f>
        <v>1</v>
      </c>
      <c r="R627" s="73">
        <f>VLOOKUP(Tabla6[[#This Row],[PG]],Listas2!H137:'Listas2'!$G$14:$K$16,4,0)</f>
        <v>0</v>
      </c>
      <c r="S627" s="73">
        <f>VLOOKUP(Tabla6[[#This Row],[PG]],Listas2!$G$14:$K$16,2,0)</f>
        <v>0</v>
      </c>
      <c r="T627" s="66" t="s">
        <v>84</v>
      </c>
      <c r="U627" s="74">
        <v>51</v>
      </c>
      <c r="V627" s="66">
        <v>510204</v>
      </c>
      <c r="W627" s="63" t="str">
        <f>VLOOKUP(Tabla6[[#This Row],[ÍTEM PRESUPUESTARIO]],Tabla2[#All],2,0)</f>
        <v>DÉCIMO CUARTO SUELDO</v>
      </c>
      <c r="X627" s="57">
        <v>23375</v>
      </c>
      <c r="Y627" s="57">
        <f>24300-500-90.55</f>
        <v>23709.45</v>
      </c>
      <c r="Z627" s="58">
        <v>250</v>
      </c>
      <c r="AA627" s="58">
        <v>250</v>
      </c>
      <c r="AB627" s="58">
        <v>250</v>
      </c>
      <c r="AC627" s="58">
        <v>21550</v>
      </c>
      <c r="AD627" s="58">
        <v>250</v>
      </c>
      <c r="AE627" s="58">
        <v>250</v>
      </c>
      <c r="AF627" s="58">
        <v>250</v>
      </c>
      <c r="AG627" s="58">
        <v>250</v>
      </c>
      <c r="AH627" s="58">
        <v>200</v>
      </c>
      <c r="AI627" s="58">
        <v>100</v>
      </c>
      <c r="AJ627" s="58">
        <v>100</v>
      </c>
      <c r="AK627" s="58">
        <v>9.4499999999999993</v>
      </c>
      <c r="AL627" s="75">
        <f>+SUBTOTAL(9,Tabla6[[#This Row],[ENE]:[DIC]])</f>
        <v>23709.45</v>
      </c>
      <c r="AM627" s="76" t="str">
        <f t="shared" si="12"/>
        <v>OK</v>
      </c>
      <c r="AN627" s="60">
        <v>23709.45</v>
      </c>
      <c r="AO627" s="61">
        <f>+Tabla6[[#This Row],[PRESUPUESTO VIGENTE]]-Tabla6[[#This Row],[CERTIFICACIÓN PAPP]]</f>
        <v>0</v>
      </c>
      <c r="AP627" s="59">
        <v>0</v>
      </c>
    </row>
    <row r="628" spans="1:42" ht="93" customHeight="1" x14ac:dyDescent="0.25">
      <c r="A628" s="62" t="s">
        <v>88</v>
      </c>
      <c r="B628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628" s="64" t="s">
        <v>89</v>
      </c>
      <c r="D628" s="64" t="s">
        <v>80</v>
      </c>
      <c r="E628" s="64" t="s">
        <v>81</v>
      </c>
      <c r="F628" s="64" t="s">
        <v>99</v>
      </c>
      <c r="G628" s="64" t="s">
        <v>98</v>
      </c>
      <c r="H628" s="65" t="str">
        <f>VLOOKUP(Tabla6[[#This Row],[DIRECCIÓN]],DIRECCIÓN[#All],2,0)</f>
        <v>OPERACIONES</v>
      </c>
      <c r="I628" s="66" t="s">
        <v>93</v>
      </c>
      <c r="J628" s="67">
        <v>1</v>
      </c>
      <c r="K628" s="68" t="str">
        <f>VLOOKUP(Tabla6[[#This Row],[DIRECCIÓN GENERAL / COORDINACIÓN / SUBDIRECCIÓN]],Tabla37[[#All],[Columna1]:[EOD]],2,0)</f>
        <v>266_0004</v>
      </c>
      <c r="L628" s="69">
        <f>VLOOKUP(Tabla6[[#This Row],[OBJETIVOS PND]],Listas!$A$1:$C$3,3,0)</f>
        <v>55</v>
      </c>
      <c r="M628" s="70">
        <f>VLOOKUP(Tabla6[[#This Row],[PG]],Listas2!$G$14:$K$16,5,0)</f>
        <v>0</v>
      </c>
      <c r="N628" s="71">
        <v>2</v>
      </c>
      <c r="O628" s="72">
        <v>2300</v>
      </c>
      <c r="P628" s="73" t="str">
        <f>VLOOKUP(Tabla6[[#This Row],[GEO]],Listas!$A$48:$B$77,2,0)</f>
        <v>SANTO DOMINGO</v>
      </c>
      <c r="Q628" s="70">
        <f>VLOOKUP(Tabla6[[#This Row],[PG]],Listas2!$G$14:$K$16,3,0)</f>
        <v>1</v>
      </c>
      <c r="R628" s="73">
        <f>VLOOKUP(Tabla6[[#This Row],[PG]],Listas2!H138:'Listas2'!$G$14:$K$16,4,0)</f>
        <v>0</v>
      </c>
      <c r="S628" s="73">
        <f>VLOOKUP(Tabla6[[#This Row],[PG]],Listas2!$G$14:$K$16,2,0)</f>
        <v>0</v>
      </c>
      <c r="T628" s="66" t="s">
        <v>84</v>
      </c>
      <c r="U628" s="74">
        <v>51</v>
      </c>
      <c r="V628" s="66">
        <v>510510</v>
      </c>
      <c r="W628" s="63" t="str">
        <f>VLOOKUP(Tabla6[[#This Row],[ÍTEM PRESUPUESTARIO]],Tabla2[#All],2,0)</f>
        <v>SERVICIOS PERSONALES POR CONTRATO</v>
      </c>
      <c r="X628" s="57">
        <v>23340</v>
      </c>
      <c r="Y628" s="57">
        <f>23340-14544</f>
        <v>8796</v>
      </c>
      <c r="Z628" s="58">
        <v>1945</v>
      </c>
      <c r="AA628" s="58">
        <v>1945</v>
      </c>
      <c r="AB628" s="58">
        <v>1945</v>
      </c>
      <c r="AC628" s="58">
        <v>300</v>
      </c>
      <c r="AD628" s="58">
        <v>300</v>
      </c>
      <c r="AE628" s="58">
        <v>300</v>
      </c>
      <c r="AF628" s="58">
        <v>300</v>
      </c>
      <c r="AG628" s="58">
        <v>300</v>
      </c>
      <c r="AH628" s="58">
        <v>300</v>
      </c>
      <c r="AI628" s="58">
        <v>300</v>
      </c>
      <c r="AJ628" s="58">
        <v>300</v>
      </c>
      <c r="AK628" s="58">
        <v>561</v>
      </c>
      <c r="AL628" s="75">
        <f>+SUBTOTAL(9,Tabla6[[#This Row],[ENE]:[DIC]])</f>
        <v>8796</v>
      </c>
      <c r="AM628" s="76" t="str">
        <f t="shared" si="12"/>
        <v>OK</v>
      </c>
      <c r="AN628" s="60">
        <v>8796</v>
      </c>
      <c r="AO628" s="61">
        <f>+Tabla6[[#This Row],[PRESUPUESTO VIGENTE]]-Tabla6[[#This Row],[CERTIFICACIÓN PAPP]]</f>
        <v>0</v>
      </c>
      <c r="AP628" s="59">
        <v>0</v>
      </c>
    </row>
    <row r="629" spans="1:42" ht="93" customHeight="1" x14ac:dyDescent="0.25">
      <c r="A629" s="62" t="s">
        <v>88</v>
      </c>
      <c r="B629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629" s="64" t="s">
        <v>89</v>
      </c>
      <c r="D629" s="64" t="s">
        <v>80</v>
      </c>
      <c r="E629" s="64" t="s">
        <v>81</v>
      </c>
      <c r="F629" s="64" t="s">
        <v>99</v>
      </c>
      <c r="G629" s="64" t="s">
        <v>98</v>
      </c>
      <c r="H629" s="65" t="str">
        <f>VLOOKUP(Tabla6[[#This Row],[DIRECCIÓN]],DIRECCIÓN[#All],2,0)</f>
        <v>OPERACIONES</v>
      </c>
      <c r="I629" s="66" t="s">
        <v>93</v>
      </c>
      <c r="J629" s="67">
        <v>1</v>
      </c>
      <c r="K629" s="68" t="str">
        <f>VLOOKUP(Tabla6[[#This Row],[DIRECCIÓN GENERAL / COORDINACIÓN / SUBDIRECCIÓN]],Tabla37[[#All],[Columna1]:[EOD]],2,0)</f>
        <v>266_0004</v>
      </c>
      <c r="L629" s="69">
        <f>VLOOKUP(Tabla6[[#This Row],[OBJETIVOS PND]],Listas!$A$1:$C$3,3,0)</f>
        <v>55</v>
      </c>
      <c r="M629" s="70">
        <f>VLOOKUP(Tabla6[[#This Row],[PG]],Listas2!$G$14:$K$16,5,0)</f>
        <v>0</v>
      </c>
      <c r="N629" s="71">
        <v>2</v>
      </c>
      <c r="O629" s="72">
        <v>2300</v>
      </c>
      <c r="P629" s="73" t="str">
        <f>VLOOKUP(Tabla6[[#This Row],[GEO]],Listas!$A$48:$B$77,2,0)</f>
        <v>SANTO DOMINGO</v>
      </c>
      <c r="Q629" s="70">
        <f>VLOOKUP(Tabla6[[#This Row],[PG]],Listas2!$G$14:$K$16,3,0)</f>
        <v>1</v>
      </c>
      <c r="R629" s="73">
        <f>VLOOKUP(Tabla6[[#This Row],[PG]],Listas2!H139:'Listas2'!$G$14:$K$16,4,0)</f>
        <v>0</v>
      </c>
      <c r="S629" s="73">
        <f>VLOOKUP(Tabla6[[#This Row],[PG]],Listas2!$G$14:$K$16,2,0)</f>
        <v>0</v>
      </c>
      <c r="T629" s="66" t="s">
        <v>84</v>
      </c>
      <c r="U629" s="74">
        <v>51</v>
      </c>
      <c r="V629" s="66">
        <v>510512</v>
      </c>
      <c r="W629" s="63" t="str">
        <f>VLOOKUP(Tabla6[[#This Row],[ÍTEM PRESUPUESTARIO]],Tabla2[#All],2,0)</f>
        <v xml:space="preserve">SUBROGACIÓN </v>
      </c>
      <c r="X629" s="57">
        <v>154</v>
      </c>
      <c r="Y629" s="57">
        <f>699-652.87</f>
        <v>46.129999999999995</v>
      </c>
      <c r="Z629" s="58">
        <v>0</v>
      </c>
      <c r="AA629" s="58">
        <v>0</v>
      </c>
      <c r="AB629" s="58">
        <v>0</v>
      </c>
      <c r="AC629" s="58">
        <v>46.13</v>
      </c>
      <c r="AD629" s="58">
        <v>0</v>
      </c>
      <c r="AE629" s="58">
        <v>0</v>
      </c>
      <c r="AF629" s="58">
        <v>0</v>
      </c>
      <c r="AG629" s="58">
        <v>0</v>
      </c>
      <c r="AH629" s="58">
        <v>0</v>
      </c>
      <c r="AI629" s="58">
        <v>0</v>
      </c>
      <c r="AJ629" s="58">
        <v>0</v>
      </c>
      <c r="AK629" s="58">
        <v>0</v>
      </c>
      <c r="AL629" s="75">
        <f>+SUBTOTAL(9,Tabla6[[#This Row],[ENE]:[DIC]])</f>
        <v>46.13</v>
      </c>
      <c r="AM629" s="76" t="str">
        <f t="shared" si="12"/>
        <v>OK</v>
      </c>
      <c r="AN629" s="60">
        <v>46.13</v>
      </c>
      <c r="AO629" s="61">
        <f>+Tabla6[[#This Row],[PRESUPUESTO VIGENTE]]-Tabla6[[#This Row],[CERTIFICACIÓN PAPP]]</f>
        <v>0</v>
      </c>
      <c r="AP629" s="59">
        <v>0</v>
      </c>
    </row>
    <row r="630" spans="1:42" ht="93" customHeight="1" x14ac:dyDescent="0.25">
      <c r="A630" s="62" t="s">
        <v>88</v>
      </c>
      <c r="B630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630" s="64" t="s">
        <v>89</v>
      </c>
      <c r="D630" s="64" t="s">
        <v>80</v>
      </c>
      <c r="E630" s="64" t="s">
        <v>81</v>
      </c>
      <c r="F630" s="64" t="s">
        <v>99</v>
      </c>
      <c r="G630" s="64" t="s">
        <v>98</v>
      </c>
      <c r="H630" s="65" t="str">
        <f>VLOOKUP(Tabla6[[#This Row],[DIRECCIÓN]],DIRECCIÓN[#All],2,0)</f>
        <v>OPERACIONES</v>
      </c>
      <c r="I630" s="66" t="s">
        <v>93</v>
      </c>
      <c r="J630" s="67">
        <v>1</v>
      </c>
      <c r="K630" s="68" t="str">
        <f>VLOOKUP(Tabla6[[#This Row],[DIRECCIÓN GENERAL / COORDINACIÓN / SUBDIRECCIÓN]],Tabla37[[#All],[Columna1]:[EOD]],2,0)</f>
        <v>266_0004</v>
      </c>
      <c r="L630" s="69">
        <f>VLOOKUP(Tabla6[[#This Row],[OBJETIVOS PND]],Listas!$A$1:$C$3,3,0)</f>
        <v>55</v>
      </c>
      <c r="M630" s="70">
        <f>VLOOKUP(Tabla6[[#This Row],[PG]],Listas2!$G$14:$K$16,5,0)</f>
        <v>0</v>
      </c>
      <c r="N630" s="71">
        <v>2</v>
      </c>
      <c r="O630" s="72">
        <v>2300</v>
      </c>
      <c r="P630" s="73" t="str">
        <f>VLOOKUP(Tabla6[[#This Row],[GEO]],Listas!$A$48:$B$77,2,0)</f>
        <v>SANTO DOMINGO</v>
      </c>
      <c r="Q630" s="70">
        <f>VLOOKUP(Tabla6[[#This Row],[PG]],Listas2!$G$14:$K$16,3,0)</f>
        <v>1</v>
      </c>
      <c r="R630" s="73">
        <f>VLOOKUP(Tabla6[[#This Row],[PG]],Listas2!H140:'Listas2'!$G$14:$K$16,4,0)</f>
        <v>0</v>
      </c>
      <c r="S630" s="73">
        <f>VLOOKUP(Tabla6[[#This Row],[PG]],Listas2!$G$14:$K$16,2,0)</f>
        <v>0</v>
      </c>
      <c r="T630" s="66" t="s">
        <v>84</v>
      </c>
      <c r="U630" s="74">
        <v>51</v>
      </c>
      <c r="V630" s="66">
        <v>510513</v>
      </c>
      <c r="W630" s="63" t="str">
        <f>VLOOKUP(Tabla6[[#This Row],[ÍTEM PRESUPUESTARIO]],Tabla2[#All],2,0)</f>
        <v>ENCARGOS</v>
      </c>
      <c r="X630" s="57">
        <v>0</v>
      </c>
      <c r="Y630" s="57">
        <f>1384+2768-500-1137.74</f>
        <v>2514.2600000000002</v>
      </c>
      <c r="Z630" s="58">
        <v>0</v>
      </c>
      <c r="AA630" s="58">
        <v>0</v>
      </c>
      <c r="AB630" s="58">
        <v>0</v>
      </c>
      <c r="AC630" s="58">
        <v>0</v>
      </c>
      <c r="AD630" s="58">
        <v>180</v>
      </c>
      <c r="AE630" s="58">
        <v>700</v>
      </c>
      <c r="AF630" s="58">
        <v>772</v>
      </c>
      <c r="AG630" s="58">
        <v>500</v>
      </c>
      <c r="AH630" s="58">
        <v>362.26</v>
      </c>
      <c r="AI630" s="58">
        <v>0</v>
      </c>
      <c r="AJ630" s="58">
        <v>0</v>
      </c>
      <c r="AK630" s="58">
        <v>0</v>
      </c>
      <c r="AL630" s="75">
        <f>+SUBTOTAL(9,Tabla6[[#This Row],[ENE]:[DIC]])</f>
        <v>2514.2600000000002</v>
      </c>
      <c r="AM630" s="76" t="str">
        <f t="shared" si="12"/>
        <v>OK</v>
      </c>
      <c r="AN630" s="60">
        <v>2514.2600000000002</v>
      </c>
      <c r="AO630" s="61">
        <f>+Tabla6[[#This Row],[PRESUPUESTO VIGENTE]]-Tabla6[[#This Row],[CERTIFICACIÓN PAPP]]</f>
        <v>0</v>
      </c>
      <c r="AP630" s="59">
        <v>0</v>
      </c>
    </row>
    <row r="631" spans="1:42" ht="93" customHeight="1" x14ac:dyDescent="0.25">
      <c r="A631" s="62" t="s">
        <v>88</v>
      </c>
      <c r="B631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631" s="64" t="s">
        <v>89</v>
      </c>
      <c r="D631" s="64" t="s">
        <v>80</v>
      </c>
      <c r="E631" s="64" t="s">
        <v>81</v>
      </c>
      <c r="F631" s="64" t="s">
        <v>99</v>
      </c>
      <c r="G631" s="64" t="s">
        <v>98</v>
      </c>
      <c r="H631" s="65" t="str">
        <f>VLOOKUP(Tabla6[[#This Row],[DIRECCIÓN]],DIRECCIÓN[#All],2,0)</f>
        <v>OPERACIONES</v>
      </c>
      <c r="I631" s="66" t="s">
        <v>93</v>
      </c>
      <c r="J631" s="67">
        <v>1</v>
      </c>
      <c r="K631" s="68" t="str">
        <f>VLOOKUP(Tabla6[[#This Row],[DIRECCIÓN GENERAL / COORDINACIÓN / SUBDIRECCIÓN]],Tabla37[[#All],[Columna1]:[EOD]],2,0)</f>
        <v>266_0004</v>
      </c>
      <c r="L631" s="69">
        <f>VLOOKUP(Tabla6[[#This Row],[OBJETIVOS PND]],Listas!$A$1:$C$3,3,0)</f>
        <v>55</v>
      </c>
      <c r="M631" s="70">
        <f>VLOOKUP(Tabla6[[#This Row],[PG]],Listas2!$G$14:$K$16,5,0)</f>
        <v>0</v>
      </c>
      <c r="N631" s="71">
        <v>2</v>
      </c>
      <c r="O631" s="72">
        <v>2300</v>
      </c>
      <c r="P631" s="73" t="str">
        <f>VLOOKUP(Tabla6[[#This Row],[GEO]],Listas!$A$48:$B$77,2,0)</f>
        <v>SANTO DOMINGO</v>
      </c>
      <c r="Q631" s="70">
        <f>VLOOKUP(Tabla6[[#This Row],[PG]],Listas2!$G$14:$K$16,3,0)</f>
        <v>1</v>
      </c>
      <c r="R631" s="73">
        <f>VLOOKUP(Tabla6[[#This Row],[PG]],Listas2!H141:'Listas2'!$G$14:$K$16,4,0)</f>
        <v>0</v>
      </c>
      <c r="S631" s="73">
        <f>VLOOKUP(Tabla6[[#This Row],[PG]],Listas2!$G$14:$K$16,2,0)</f>
        <v>0</v>
      </c>
      <c r="T631" s="66" t="s">
        <v>84</v>
      </c>
      <c r="U631" s="74">
        <v>51</v>
      </c>
      <c r="V631" s="66">
        <v>510601</v>
      </c>
      <c r="W631" s="63" t="str">
        <f>VLOOKUP(Tabla6[[#This Row],[ÍTEM PRESUPUESTARIO]],Tabla2[#All],2,0)</f>
        <v>APORTE PATRONAL</v>
      </c>
      <c r="X631" s="57">
        <v>53117</v>
      </c>
      <c r="Y631" s="57">
        <f>53117-1000-916.82</f>
        <v>51200.18</v>
      </c>
      <c r="Z631" s="58">
        <v>4426</v>
      </c>
      <c r="AA631" s="58">
        <v>4426</v>
      </c>
      <c r="AB631" s="58">
        <v>4426</v>
      </c>
      <c r="AC631" s="58">
        <v>4426</v>
      </c>
      <c r="AD631" s="58">
        <v>4426</v>
      </c>
      <c r="AE631" s="58">
        <v>4426</v>
      </c>
      <c r="AF631" s="58">
        <v>4426</v>
      </c>
      <c r="AG631" s="58">
        <v>4426</v>
      </c>
      <c r="AH631" s="58">
        <v>4426</v>
      </c>
      <c r="AI631" s="58">
        <v>4000</v>
      </c>
      <c r="AJ631" s="58">
        <v>4000</v>
      </c>
      <c r="AK631" s="58">
        <v>3366.18</v>
      </c>
      <c r="AL631" s="75">
        <f>+SUBTOTAL(9,Tabla6[[#This Row],[ENE]:[DIC]])</f>
        <v>51200.18</v>
      </c>
      <c r="AM631" s="76" t="str">
        <f t="shared" si="12"/>
        <v>OK</v>
      </c>
      <c r="AN631" s="60">
        <v>51200.18</v>
      </c>
      <c r="AO631" s="61">
        <f>+Tabla6[[#This Row],[PRESUPUESTO VIGENTE]]-Tabla6[[#This Row],[CERTIFICACIÓN PAPP]]</f>
        <v>0</v>
      </c>
      <c r="AP631" s="59">
        <v>0</v>
      </c>
    </row>
    <row r="632" spans="1:42" ht="93" customHeight="1" x14ac:dyDescent="0.25">
      <c r="A632" s="62" t="s">
        <v>88</v>
      </c>
      <c r="B632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632" s="64" t="s">
        <v>89</v>
      </c>
      <c r="D632" s="64" t="s">
        <v>80</v>
      </c>
      <c r="E632" s="64" t="s">
        <v>81</v>
      </c>
      <c r="F632" s="64" t="s">
        <v>99</v>
      </c>
      <c r="G632" s="64" t="s">
        <v>98</v>
      </c>
      <c r="H632" s="65" t="str">
        <f>VLOOKUP(Tabla6[[#This Row],[DIRECCIÓN]],DIRECCIÓN[#All],2,0)</f>
        <v>OPERACIONES</v>
      </c>
      <c r="I632" s="66" t="s">
        <v>93</v>
      </c>
      <c r="J632" s="67">
        <v>1</v>
      </c>
      <c r="K632" s="68" t="str">
        <f>VLOOKUP(Tabla6[[#This Row],[DIRECCIÓN GENERAL / COORDINACIÓN / SUBDIRECCIÓN]],Tabla37[[#All],[Columna1]:[EOD]],2,0)</f>
        <v>266_0004</v>
      </c>
      <c r="L632" s="69">
        <f>VLOOKUP(Tabla6[[#This Row],[OBJETIVOS PND]],Listas!$A$1:$C$3,3,0)</f>
        <v>55</v>
      </c>
      <c r="M632" s="70">
        <f>VLOOKUP(Tabla6[[#This Row],[PG]],Listas2!$G$14:$K$16,5,0)</f>
        <v>0</v>
      </c>
      <c r="N632" s="71">
        <v>2</v>
      </c>
      <c r="O632" s="72">
        <v>2300</v>
      </c>
      <c r="P632" s="73" t="str">
        <f>VLOOKUP(Tabla6[[#This Row],[GEO]],Listas!$A$48:$B$77,2,0)</f>
        <v>SANTO DOMINGO</v>
      </c>
      <c r="Q632" s="70">
        <f>VLOOKUP(Tabla6[[#This Row],[PG]],Listas2!$G$14:$K$16,3,0)</f>
        <v>1</v>
      </c>
      <c r="R632" s="73">
        <f>VLOOKUP(Tabla6[[#This Row],[PG]],Listas2!H142:'Listas2'!$G$14:$K$16,4,0)</f>
        <v>0</v>
      </c>
      <c r="S632" s="73">
        <f>VLOOKUP(Tabla6[[#This Row],[PG]],Listas2!$G$14:$K$16,2,0)</f>
        <v>0</v>
      </c>
      <c r="T632" s="66" t="s">
        <v>84</v>
      </c>
      <c r="U632" s="74">
        <v>51</v>
      </c>
      <c r="V632" s="66">
        <v>510602</v>
      </c>
      <c r="W632" s="63" t="str">
        <f>VLOOKUP(Tabla6[[#This Row],[ÍTEM PRESUPUESTARIO]],Tabla2[#All],2,0)</f>
        <v>FONDO DE RESERVA</v>
      </c>
      <c r="X632" s="57">
        <v>45424</v>
      </c>
      <c r="Y632" s="57">
        <f>43924-400-800-500-1247.87</f>
        <v>40976.129999999997</v>
      </c>
      <c r="Z632" s="58">
        <v>2785</v>
      </c>
      <c r="AA632" s="58">
        <v>2785</v>
      </c>
      <c r="AB632" s="58">
        <v>3825</v>
      </c>
      <c r="AC632" s="58">
        <v>3825</v>
      </c>
      <c r="AD632" s="58">
        <v>3825</v>
      </c>
      <c r="AE632" s="58">
        <v>3825</v>
      </c>
      <c r="AF632" s="58">
        <v>3825</v>
      </c>
      <c r="AG632" s="58">
        <v>3825</v>
      </c>
      <c r="AH632" s="58">
        <v>3826</v>
      </c>
      <c r="AI632" s="58">
        <v>3700</v>
      </c>
      <c r="AJ632" s="58">
        <v>3500</v>
      </c>
      <c r="AK632" s="58">
        <v>1430.13</v>
      </c>
      <c r="AL632" s="75">
        <f>+SUBTOTAL(9,Tabla6[[#This Row],[ENE]:[DIC]])</f>
        <v>40976.129999999997</v>
      </c>
      <c r="AM632" s="76" t="str">
        <f t="shared" ref="AM632:AM695" si="13">IF(AL632=Y632,"OK",Y632-AL632)</f>
        <v>OK</v>
      </c>
      <c r="AN632" s="60">
        <v>40976.129999999997</v>
      </c>
      <c r="AO632" s="61">
        <f>+Tabla6[[#This Row],[PRESUPUESTO VIGENTE]]-Tabla6[[#This Row],[CERTIFICACIÓN PAPP]]</f>
        <v>0</v>
      </c>
      <c r="AP632" s="59">
        <v>0</v>
      </c>
    </row>
    <row r="633" spans="1:42" ht="93" customHeight="1" x14ac:dyDescent="0.25">
      <c r="A633" s="62" t="s">
        <v>88</v>
      </c>
      <c r="B633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633" s="64" t="s">
        <v>89</v>
      </c>
      <c r="D633" s="64" t="s">
        <v>80</v>
      </c>
      <c r="E633" s="64" t="s">
        <v>81</v>
      </c>
      <c r="F633" s="64" t="s">
        <v>99</v>
      </c>
      <c r="G633" s="64" t="s">
        <v>98</v>
      </c>
      <c r="H633" s="65" t="str">
        <f>VLOOKUP(Tabla6[[#This Row],[DIRECCIÓN]],DIRECCIÓN[#All],2,0)</f>
        <v>OPERACIONES</v>
      </c>
      <c r="I633" s="66" t="s">
        <v>93</v>
      </c>
      <c r="J633" s="67">
        <v>1</v>
      </c>
      <c r="K633" s="68" t="str">
        <f>VLOOKUP(Tabla6[[#This Row],[DIRECCIÓN GENERAL / COORDINACIÓN / SUBDIRECCIÓN]],Tabla37[[#All],[Columna1]:[EOD]],2,0)</f>
        <v>266_0004</v>
      </c>
      <c r="L633" s="69">
        <f>VLOOKUP(Tabla6[[#This Row],[OBJETIVOS PND]],Listas!$A$1:$C$3,3,0)</f>
        <v>55</v>
      </c>
      <c r="M633" s="70">
        <f>VLOOKUP(Tabla6[[#This Row],[PG]],Listas2!$G$14:$K$16,5,0)</f>
        <v>0</v>
      </c>
      <c r="N633" s="71">
        <v>2</v>
      </c>
      <c r="O633" s="72">
        <v>2300</v>
      </c>
      <c r="P633" s="73" t="str">
        <f>VLOOKUP(Tabla6[[#This Row],[GEO]],Listas!$A$48:$B$77,2,0)</f>
        <v>SANTO DOMINGO</v>
      </c>
      <c r="Q633" s="70">
        <f>VLOOKUP(Tabla6[[#This Row],[PG]],Listas2!$G$14:$K$16,3,0)</f>
        <v>1</v>
      </c>
      <c r="R633" s="73">
        <f>VLOOKUP(Tabla6[[#This Row],[PG]],Listas2!H143:'Listas2'!$G$14:$K$16,4,0)</f>
        <v>0</v>
      </c>
      <c r="S633" s="73">
        <f>VLOOKUP(Tabla6[[#This Row],[PG]],Listas2!$G$14:$K$16,2,0)</f>
        <v>0</v>
      </c>
      <c r="T633" s="66" t="s">
        <v>84</v>
      </c>
      <c r="U633" s="74">
        <v>51</v>
      </c>
      <c r="V633" s="66">
        <v>510707</v>
      </c>
      <c r="W633" s="63" t="str">
        <f>VLOOKUP(Tabla6[[#This Row],[ÍTEM PRESUPUESTARIO]],Tabla2[#All],2,0)</f>
        <v>COMPENSACIÓN POR VACACIONES NO GOZADAS POR CESACIÓN DE FUNCIONES</v>
      </c>
      <c r="X633" s="57">
        <v>0</v>
      </c>
      <c r="Y633" s="57">
        <f>2000-692-773.91</f>
        <v>534.09</v>
      </c>
      <c r="Z633" s="58">
        <v>163</v>
      </c>
      <c r="AA633" s="58">
        <v>163</v>
      </c>
      <c r="AB633" s="58">
        <v>163</v>
      </c>
      <c r="AC633" s="58">
        <v>45.09</v>
      </c>
      <c r="AD633" s="58">
        <v>0</v>
      </c>
      <c r="AE633" s="58">
        <v>0</v>
      </c>
      <c r="AF633" s="58">
        <v>0</v>
      </c>
      <c r="AG633" s="58">
        <v>0</v>
      </c>
      <c r="AH633" s="58">
        <v>0</v>
      </c>
      <c r="AI633" s="58">
        <v>0</v>
      </c>
      <c r="AJ633" s="58">
        <v>0</v>
      </c>
      <c r="AK633" s="58">
        <v>0</v>
      </c>
      <c r="AL633" s="75">
        <f>+SUBTOTAL(9,Tabla6[[#This Row],[ENE]:[DIC]])</f>
        <v>534.09</v>
      </c>
      <c r="AM633" s="76" t="str">
        <f t="shared" si="13"/>
        <v>OK</v>
      </c>
      <c r="AN633" s="60">
        <v>534.09</v>
      </c>
      <c r="AO633" s="61">
        <f>+Tabla6[[#This Row],[PRESUPUESTO VIGENTE]]-Tabla6[[#This Row],[CERTIFICACIÓN PAPP]]</f>
        <v>0</v>
      </c>
      <c r="AP633" s="59">
        <v>0</v>
      </c>
    </row>
    <row r="634" spans="1:42" ht="93" customHeight="1" x14ac:dyDescent="0.25">
      <c r="A634" s="62" t="s">
        <v>88</v>
      </c>
      <c r="B634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634" s="64" t="s">
        <v>89</v>
      </c>
      <c r="D634" s="64" t="s">
        <v>80</v>
      </c>
      <c r="E634" s="64" t="s">
        <v>81</v>
      </c>
      <c r="F634" s="64" t="s">
        <v>99</v>
      </c>
      <c r="G634" s="64" t="s">
        <v>90</v>
      </c>
      <c r="H634" s="65" t="str">
        <f>VLOOKUP(Tabla6[[#This Row],[DIRECCIÓN]],DIRECCIÓN[#All],2,0)</f>
        <v>TECNOLOGÍA</v>
      </c>
      <c r="I634" s="66" t="s">
        <v>93</v>
      </c>
      <c r="J634" s="67">
        <v>1</v>
      </c>
      <c r="K634" s="68" t="str">
        <f>VLOOKUP(Tabla6[[#This Row],[DIRECCIÓN GENERAL / COORDINACIÓN / SUBDIRECCIÓN]],Tabla37[[#All],[Columna1]:[EOD]],2,0)</f>
        <v>266_0004</v>
      </c>
      <c r="L634" s="69">
        <f>VLOOKUP(Tabla6[[#This Row],[OBJETIVOS PND]],Listas!$A$1:$C$3,3,0)</f>
        <v>55</v>
      </c>
      <c r="M634" s="70">
        <f>VLOOKUP(Tabla6[[#This Row],[PG]],Listas2!$G$14:$K$16,5,0)</f>
        <v>0</v>
      </c>
      <c r="N634" s="71">
        <v>3</v>
      </c>
      <c r="O634" s="72">
        <v>2300</v>
      </c>
      <c r="P634" s="73" t="str">
        <f>VLOOKUP(Tabla6[[#This Row],[GEO]],Listas!$A$48:$B$77,2,0)</f>
        <v>SANTO DOMINGO</v>
      </c>
      <c r="Q634" s="70">
        <f>VLOOKUP(Tabla6[[#This Row],[PG]],Listas2!$G$14:$K$16,3,0)</f>
        <v>1</v>
      </c>
      <c r="R634" s="73">
        <f>VLOOKUP(Tabla6[[#This Row],[PG]],Listas2!H144:'Listas2'!$G$14:$K$16,4,0)</f>
        <v>0</v>
      </c>
      <c r="S634" s="73">
        <f>VLOOKUP(Tabla6[[#This Row],[PG]],Listas2!$G$14:$K$16,2,0)</f>
        <v>0</v>
      </c>
      <c r="T634" s="66" t="s">
        <v>84</v>
      </c>
      <c r="U634" s="74">
        <v>51</v>
      </c>
      <c r="V634" s="66">
        <v>510105</v>
      </c>
      <c r="W634" s="63" t="str">
        <f>VLOOKUP(Tabla6[[#This Row],[ÍTEM PRESUPUESTARIO]],Tabla2[#All],2,0)</f>
        <v>REMUNERACIONES UNIFICADAS</v>
      </c>
      <c r="X634" s="57">
        <v>49200</v>
      </c>
      <c r="Y634" s="57">
        <v>49200</v>
      </c>
      <c r="Z634" s="58">
        <v>4100</v>
      </c>
      <c r="AA634" s="58">
        <v>4100</v>
      </c>
      <c r="AB634" s="58">
        <v>4100</v>
      </c>
      <c r="AC634" s="58">
        <v>4100</v>
      </c>
      <c r="AD634" s="58">
        <v>4100</v>
      </c>
      <c r="AE634" s="58">
        <v>4100</v>
      </c>
      <c r="AF634" s="58">
        <v>4100</v>
      </c>
      <c r="AG634" s="58">
        <v>4100</v>
      </c>
      <c r="AH634" s="58">
        <v>4100</v>
      </c>
      <c r="AI634" s="58">
        <v>4100</v>
      </c>
      <c r="AJ634" s="58">
        <v>4100</v>
      </c>
      <c r="AK634" s="58">
        <v>4100</v>
      </c>
      <c r="AL634" s="75">
        <f>+SUBTOTAL(9,Tabla6[[#This Row],[ENE]:[DIC]])</f>
        <v>49200</v>
      </c>
      <c r="AM634" s="76" t="str">
        <f t="shared" si="13"/>
        <v>OK</v>
      </c>
      <c r="AN634" s="60">
        <v>49200</v>
      </c>
      <c r="AO634" s="61">
        <f>+Tabla6[[#This Row],[PRESUPUESTO VIGENTE]]-Tabla6[[#This Row],[CERTIFICACIÓN PAPP]]</f>
        <v>0</v>
      </c>
      <c r="AP634" s="59">
        <v>0</v>
      </c>
    </row>
    <row r="635" spans="1:42" ht="93" customHeight="1" x14ac:dyDescent="0.25">
      <c r="A635" s="62" t="s">
        <v>88</v>
      </c>
      <c r="B635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635" s="64" t="s">
        <v>89</v>
      </c>
      <c r="D635" s="64" t="s">
        <v>80</v>
      </c>
      <c r="E635" s="64" t="s">
        <v>81</v>
      </c>
      <c r="F635" s="64" t="s">
        <v>99</v>
      </c>
      <c r="G635" s="64" t="s">
        <v>90</v>
      </c>
      <c r="H635" s="65" t="str">
        <f>VLOOKUP(Tabla6[[#This Row],[DIRECCIÓN]],DIRECCIÓN[#All],2,0)</f>
        <v>TECNOLOGÍA</v>
      </c>
      <c r="I635" s="66" t="s">
        <v>93</v>
      </c>
      <c r="J635" s="67">
        <v>1</v>
      </c>
      <c r="K635" s="68" t="str">
        <f>VLOOKUP(Tabla6[[#This Row],[DIRECCIÓN GENERAL / COORDINACIÓN / SUBDIRECCIÓN]],Tabla37[[#All],[Columna1]:[EOD]],2,0)</f>
        <v>266_0004</v>
      </c>
      <c r="L635" s="69">
        <f>VLOOKUP(Tabla6[[#This Row],[OBJETIVOS PND]],Listas!$A$1:$C$3,3,0)</f>
        <v>55</v>
      </c>
      <c r="M635" s="70">
        <f>VLOOKUP(Tabla6[[#This Row],[PG]],Listas2!$G$14:$K$16,5,0)</f>
        <v>0</v>
      </c>
      <c r="N635" s="71">
        <v>3</v>
      </c>
      <c r="O635" s="72">
        <v>2300</v>
      </c>
      <c r="P635" s="73" t="str">
        <f>VLOOKUP(Tabla6[[#This Row],[GEO]],Listas!$A$48:$B$77,2,0)</f>
        <v>SANTO DOMINGO</v>
      </c>
      <c r="Q635" s="70">
        <f>VLOOKUP(Tabla6[[#This Row],[PG]],Listas2!$G$14:$K$16,3,0)</f>
        <v>1</v>
      </c>
      <c r="R635" s="73">
        <f>VLOOKUP(Tabla6[[#This Row],[PG]],Listas2!H145:'Listas2'!$G$14:$K$16,4,0)</f>
        <v>0</v>
      </c>
      <c r="S635" s="73">
        <f>VLOOKUP(Tabla6[[#This Row],[PG]],Listas2!$G$14:$K$16,2,0)</f>
        <v>0</v>
      </c>
      <c r="T635" s="66" t="s">
        <v>84</v>
      </c>
      <c r="U635" s="74">
        <v>51</v>
      </c>
      <c r="V635" s="66">
        <v>510203</v>
      </c>
      <c r="W635" s="63" t="str">
        <f>VLOOKUP(Tabla6[[#This Row],[ÍTEM PRESUPUESTARIO]],Tabla2[#All],2,0)</f>
        <v>DÉCIMO TERCER SUELDO</v>
      </c>
      <c r="X635" s="57">
        <v>4100</v>
      </c>
      <c r="Y635" s="57">
        <f>4100+250-250</f>
        <v>4100</v>
      </c>
      <c r="Z635" s="58">
        <v>0</v>
      </c>
      <c r="AA635" s="58">
        <v>0</v>
      </c>
      <c r="AB635" s="58">
        <v>0</v>
      </c>
      <c r="AC635" s="58">
        <v>0</v>
      </c>
      <c r="AD635" s="58">
        <v>0</v>
      </c>
      <c r="AE635" s="58">
        <v>0</v>
      </c>
      <c r="AF635" s="58">
        <v>0</v>
      </c>
      <c r="AG635" s="58">
        <v>0</v>
      </c>
      <c r="AH635" s="58">
        <v>0</v>
      </c>
      <c r="AI635" s="58">
        <v>0</v>
      </c>
      <c r="AJ635" s="58">
        <v>0</v>
      </c>
      <c r="AK635" s="58">
        <v>4100</v>
      </c>
      <c r="AL635" s="75">
        <f>+SUBTOTAL(9,Tabla6[[#This Row],[ENE]:[DIC]])</f>
        <v>4100</v>
      </c>
      <c r="AM635" s="76" t="str">
        <f t="shared" si="13"/>
        <v>OK</v>
      </c>
      <c r="AN635" s="60">
        <v>4100</v>
      </c>
      <c r="AO635" s="61">
        <f>+Tabla6[[#This Row],[PRESUPUESTO VIGENTE]]-Tabla6[[#This Row],[CERTIFICACIÓN PAPP]]</f>
        <v>0</v>
      </c>
      <c r="AP635" s="59">
        <v>0</v>
      </c>
    </row>
    <row r="636" spans="1:42" ht="93" customHeight="1" x14ac:dyDescent="0.25">
      <c r="A636" s="62" t="s">
        <v>88</v>
      </c>
      <c r="B636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636" s="64" t="s">
        <v>89</v>
      </c>
      <c r="D636" s="64" t="s">
        <v>80</v>
      </c>
      <c r="E636" s="64" t="s">
        <v>81</v>
      </c>
      <c r="F636" s="64" t="s">
        <v>99</v>
      </c>
      <c r="G636" s="64" t="s">
        <v>90</v>
      </c>
      <c r="H636" s="65" t="str">
        <f>VLOOKUP(Tabla6[[#This Row],[DIRECCIÓN]],DIRECCIÓN[#All],2,0)</f>
        <v>TECNOLOGÍA</v>
      </c>
      <c r="I636" s="66" t="s">
        <v>93</v>
      </c>
      <c r="J636" s="67">
        <v>1</v>
      </c>
      <c r="K636" s="68" t="str">
        <f>VLOOKUP(Tabla6[[#This Row],[DIRECCIÓN GENERAL / COORDINACIÓN / SUBDIRECCIÓN]],Tabla37[[#All],[Columna1]:[EOD]],2,0)</f>
        <v>266_0004</v>
      </c>
      <c r="L636" s="69">
        <f>VLOOKUP(Tabla6[[#This Row],[OBJETIVOS PND]],Listas!$A$1:$C$3,3,0)</f>
        <v>55</v>
      </c>
      <c r="M636" s="70">
        <f>VLOOKUP(Tabla6[[#This Row],[PG]],Listas2!$G$14:$K$16,5,0)</f>
        <v>0</v>
      </c>
      <c r="N636" s="71">
        <v>3</v>
      </c>
      <c r="O636" s="72">
        <v>2300</v>
      </c>
      <c r="P636" s="73" t="str">
        <f>VLOOKUP(Tabla6[[#This Row],[GEO]],Listas!$A$48:$B$77,2,0)</f>
        <v>SANTO DOMINGO</v>
      </c>
      <c r="Q636" s="70">
        <f>VLOOKUP(Tabla6[[#This Row],[PG]],Listas2!$G$14:$K$16,3,0)</f>
        <v>1</v>
      </c>
      <c r="R636" s="73">
        <f>VLOOKUP(Tabla6[[#This Row],[PG]],Listas2!H146:'Listas2'!$G$14:$K$16,4,0)</f>
        <v>0</v>
      </c>
      <c r="S636" s="73">
        <f>VLOOKUP(Tabla6[[#This Row],[PG]],Listas2!$G$14:$K$16,2,0)</f>
        <v>0</v>
      </c>
      <c r="T636" s="66" t="s">
        <v>84</v>
      </c>
      <c r="U636" s="74">
        <v>51</v>
      </c>
      <c r="V636" s="66">
        <v>510204</v>
      </c>
      <c r="W636" s="63" t="str">
        <f>VLOOKUP(Tabla6[[#This Row],[ÍTEM PRESUPUESTARIO]],Tabla2[#All],2,0)</f>
        <v>DÉCIMO CUARTO SUELDO</v>
      </c>
      <c r="X636" s="57">
        <v>1275</v>
      </c>
      <c r="Y636" s="57">
        <v>1350</v>
      </c>
      <c r="Z636" s="58">
        <v>0</v>
      </c>
      <c r="AA636" s="58">
        <v>0</v>
      </c>
      <c r="AB636" s="58">
        <v>0</v>
      </c>
      <c r="AC636" s="58">
        <v>1350</v>
      </c>
      <c r="AD636" s="58">
        <v>0</v>
      </c>
      <c r="AE636" s="58">
        <v>0</v>
      </c>
      <c r="AF636" s="58">
        <v>0</v>
      </c>
      <c r="AG636" s="58">
        <v>0</v>
      </c>
      <c r="AH636" s="58">
        <v>0</v>
      </c>
      <c r="AI636" s="58">
        <v>0</v>
      </c>
      <c r="AJ636" s="58">
        <v>0</v>
      </c>
      <c r="AK636" s="58">
        <v>0</v>
      </c>
      <c r="AL636" s="75">
        <f>+SUBTOTAL(9,Tabla6[[#This Row],[ENE]:[DIC]])</f>
        <v>1350</v>
      </c>
      <c r="AM636" s="76" t="str">
        <f t="shared" si="13"/>
        <v>OK</v>
      </c>
      <c r="AN636" s="60">
        <v>1350</v>
      </c>
      <c r="AO636" s="61">
        <f>+Tabla6[[#This Row],[PRESUPUESTO VIGENTE]]-Tabla6[[#This Row],[CERTIFICACIÓN PAPP]]</f>
        <v>0</v>
      </c>
      <c r="AP636" s="59">
        <v>0</v>
      </c>
    </row>
    <row r="637" spans="1:42" ht="93" customHeight="1" x14ac:dyDescent="0.25">
      <c r="A637" s="62" t="s">
        <v>88</v>
      </c>
      <c r="B637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637" s="64" t="s">
        <v>89</v>
      </c>
      <c r="D637" s="64" t="s">
        <v>80</v>
      </c>
      <c r="E637" s="64" t="s">
        <v>81</v>
      </c>
      <c r="F637" s="64" t="s">
        <v>99</v>
      </c>
      <c r="G637" s="64" t="s">
        <v>90</v>
      </c>
      <c r="H637" s="65" t="str">
        <f>VLOOKUP(Tabla6[[#This Row],[DIRECCIÓN]],DIRECCIÓN[#All],2,0)</f>
        <v>TECNOLOGÍA</v>
      </c>
      <c r="I637" s="66" t="s">
        <v>93</v>
      </c>
      <c r="J637" s="67">
        <v>1</v>
      </c>
      <c r="K637" s="68" t="str">
        <f>VLOOKUP(Tabla6[[#This Row],[DIRECCIÓN GENERAL / COORDINACIÓN / SUBDIRECCIÓN]],Tabla37[[#All],[Columna1]:[EOD]],2,0)</f>
        <v>266_0004</v>
      </c>
      <c r="L637" s="69">
        <f>VLOOKUP(Tabla6[[#This Row],[OBJETIVOS PND]],Listas!$A$1:$C$3,3,0)</f>
        <v>55</v>
      </c>
      <c r="M637" s="70">
        <f>VLOOKUP(Tabla6[[#This Row],[PG]],Listas2!$G$14:$K$16,5,0)</f>
        <v>0</v>
      </c>
      <c r="N637" s="71">
        <v>3</v>
      </c>
      <c r="O637" s="72">
        <v>2300</v>
      </c>
      <c r="P637" s="73" t="str">
        <f>VLOOKUP(Tabla6[[#This Row],[GEO]],Listas!$A$48:$B$77,2,0)</f>
        <v>SANTO DOMINGO</v>
      </c>
      <c r="Q637" s="70">
        <f>VLOOKUP(Tabla6[[#This Row],[PG]],Listas2!$G$14:$K$16,3,0)</f>
        <v>1</v>
      </c>
      <c r="R637" s="73">
        <f>VLOOKUP(Tabla6[[#This Row],[PG]],Listas2!H147:'Listas2'!$G$14:$K$16,4,0)</f>
        <v>0</v>
      </c>
      <c r="S637" s="73">
        <f>VLOOKUP(Tabla6[[#This Row],[PG]],Listas2!$G$14:$K$16,2,0)</f>
        <v>0</v>
      </c>
      <c r="T637" s="66" t="s">
        <v>84</v>
      </c>
      <c r="U637" s="74">
        <v>51</v>
      </c>
      <c r="V637" s="66">
        <v>510304</v>
      </c>
      <c r="W637" s="63" t="str">
        <f>VLOOKUP(Tabla6[[#This Row],[ÍTEM PRESUPUESTARIO]],Tabla2[#All],2,0)</f>
        <v>COMPENSACION POR TRANSPORTE</v>
      </c>
      <c r="X637" s="57">
        <v>0</v>
      </c>
      <c r="Y637" s="57">
        <v>0</v>
      </c>
      <c r="Z637" s="58">
        <v>0</v>
      </c>
      <c r="AA637" s="58">
        <v>0</v>
      </c>
      <c r="AB637" s="58">
        <v>0</v>
      </c>
      <c r="AC637" s="58">
        <v>0</v>
      </c>
      <c r="AD637" s="58">
        <v>0</v>
      </c>
      <c r="AE637" s="58">
        <v>0</v>
      </c>
      <c r="AF637" s="58">
        <v>0</v>
      </c>
      <c r="AG637" s="58">
        <v>0</v>
      </c>
      <c r="AH637" s="58">
        <v>0</v>
      </c>
      <c r="AI637" s="58">
        <v>0</v>
      </c>
      <c r="AJ637" s="58">
        <v>0</v>
      </c>
      <c r="AK637" s="58">
        <v>0</v>
      </c>
      <c r="AL637" s="75">
        <f>+SUBTOTAL(9,Tabla6[[#This Row],[ENE]:[DIC]])</f>
        <v>0</v>
      </c>
      <c r="AM637" s="76" t="str">
        <f t="shared" si="13"/>
        <v>OK</v>
      </c>
      <c r="AN637" s="60">
        <v>0</v>
      </c>
      <c r="AO637" s="61">
        <f>+Tabla6[[#This Row],[PRESUPUESTO VIGENTE]]-Tabla6[[#This Row],[CERTIFICACIÓN PAPP]]</f>
        <v>0</v>
      </c>
      <c r="AP637" s="59">
        <v>0</v>
      </c>
    </row>
    <row r="638" spans="1:42" ht="93" customHeight="1" x14ac:dyDescent="0.25">
      <c r="A638" s="62" t="s">
        <v>88</v>
      </c>
      <c r="B638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638" s="64" t="s">
        <v>89</v>
      </c>
      <c r="D638" s="64" t="s">
        <v>80</v>
      </c>
      <c r="E638" s="64" t="s">
        <v>81</v>
      </c>
      <c r="F638" s="64" t="s">
        <v>99</v>
      </c>
      <c r="G638" s="64" t="s">
        <v>90</v>
      </c>
      <c r="H638" s="65" t="str">
        <f>VLOOKUP(Tabla6[[#This Row],[DIRECCIÓN]],DIRECCIÓN[#All],2,0)</f>
        <v>TECNOLOGÍA</v>
      </c>
      <c r="I638" s="66" t="s">
        <v>93</v>
      </c>
      <c r="J638" s="67">
        <v>1</v>
      </c>
      <c r="K638" s="68" t="str">
        <f>VLOOKUP(Tabla6[[#This Row],[DIRECCIÓN GENERAL / COORDINACIÓN / SUBDIRECCIÓN]],Tabla37[[#All],[Columna1]:[EOD]],2,0)</f>
        <v>266_0004</v>
      </c>
      <c r="L638" s="69">
        <f>VLOOKUP(Tabla6[[#This Row],[OBJETIVOS PND]],Listas!$A$1:$C$3,3,0)</f>
        <v>55</v>
      </c>
      <c r="M638" s="70">
        <f>VLOOKUP(Tabla6[[#This Row],[PG]],Listas2!$G$14:$K$16,5,0)</f>
        <v>0</v>
      </c>
      <c r="N638" s="71">
        <v>3</v>
      </c>
      <c r="O638" s="72">
        <v>2300</v>
      </c>
      <c r="P638" s="73" t="str">
        <f>VLOOKUP(Tabla6[[#This Row],[GEO]],Listas!$A$48:$B$77,2,0)</f>
        <v>SANTO DOMINGO</v>
      </c>
      <c r="Q638" s="70">
        <f>VLOOKUP(Tabla6[[#This Row],[PG]],Listas2!$G$14:$K$16,3,0)</f>
        <v>1</v>
      </c>
      <c r="R638" s="73">
        <f>VLOOKUP(Tabla6[[#This Row],[PG]],Listas2!H148:'Listas2'!$G$14:$K$16,4,0)</f>
        <v>0</v>
      </c>
      <c r="S638" s="73">
        <f>VLOOKUP(Tabla6[[#This Row],[PG]],Listas2!$G$14:$K$16,2,0)</f>
        <v>0</v>
      </c>
      <c r="T638" s="66" t="s">
        <v>84</v>
      </c>
      <c r="U638" s="74">
        <v>51</v>
      </c>
      <c r="V638" s="66">
        <v>510306</v>
      </c>
      <c r="W638" s="63" t="str">
        <f>VLOOKUP(Tabla6[[#This Row],[ÍTEM PRESUPUESTARIO]],Tabla2[#All],2,0)</f>
        <v>ALIMENTACION</v>
      </c>
      <c r="X638" s="57">
        <v>0</v>
      </c>
      <c r="Y638" s="57">
        <v>0</v>
      </c>
      <c r="Z638" s="58">
        <v>0</v>
      </c>
      <c r="AA638" s="58">
        <v>0</v>
      </c>
      <c r="AB638" s="58">
        <v>0</v>
      </c>
      <c r="AC638" s="58">
        <v>0</v>
      </c>
      <c r="AD638" s="58">
        <v>0</v>
      </c>
      <c r="AE638" s="58">
        <v>0</v>
      </c>
      <c r="AF638" s="58">
        <v>0</v>
      </c>
      <c r="AG638" s="58">
        <v>0</v>
      </c>
      <c r="AH638" s="58">
        <v>0</v>
      </c>
      <c r="AI638" s="58">
        <v>0</v>
      </c>
      <c r="AJ638" s="58">
        <v>0</v>
      </c>
      <c r="AK638" s="58">
        <v>0</v>
      </c>
      <c r="AL638" s="75">
        <f>+SUBTOTAL(9,Tabla6[[#This Row],[ENE]:[DIC]])</f>
        <v>0</v>
      </c>
      <c r="AM638" s="76" t="str">
        <f t="shared" si="13"/>
        <v>OK</v>
      </c>
      <c r="AN638" s="60">
        <v>0</v>
      </c>
      <c r="AO638" s="61">
        <f>+Tabla6[[#This Row],[PRESUPUESTO VIGENTE]]-Tabla6[[#This Row],[CERTIFICACIÓN PAPP]]</f>
        <v>0</v>
      </c>
      <c r="AP638" s="59">
        <v>0</v>
      </c>
    </row>
    <row r="639" spans="1:42" ht="93" customHeight="1" x14ac:dyDescent="0.25">
      <c r="A639" s="62" t="s">
        <v>88</v>
      </c>
      <c r="B639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639" s="64" t="s">
        <v>89</v>
      </c>
      <c r="D639" s="64" t="s">
        <v>80</v>
      </c>
      <c r="E639" s="64" t="s">
        <v>81</v>
      </c>
      <c r="F639" s="64" t="s">
        <v>99</v>
      </c>
      <c r="G639" s="64" t="s">
        <v>90</v>
      </c>
      <c r="H639" s="65" t="str">
        <f>VLOOKUP(Tabla6[[#This Row],[DIRECCIÓN]],DIRECCIÓN[#All],2,0)</f>
        <v>TECNOLOGÍA</v>
      </c>
      <c r="I639" s="66" t="s">
        <v>93</v>
      </c>
      <c r="J639" s="67">
        <v>1</v>
      </c>
      <c r="K639" s="68" t="str">
        <f>VLOOKUP(Tabla6[[#This Row],[DIRECCIÓN GENERAL / COORDINACIÓN / SUBDIRECCIÓN]],Tabla37[[#All],[Columna1]:[EOD]],2,0)</f>
        <v>266_0004</v>
      </c>
      <c r="L639" s="69">
        <f>VLOOKUP(Tabla6[[#This Row],[OBJETIVOS PND]],Listas!$A$1:$C$3,3,0)</f>
        <v>55</v>
      </c>
      <c r="M639" s="70">
        <f>VLOOKUP(Tabla6[[#This Row],[PG]],Listas2!$G$14:$K$16,5,0)</f>
        <v>0</v>
      </c>
      <c r="N639" s="71">
        <v>3</v>
      </c>
      <c r="O639" s="72">
        <v>2300</v>
      </c>
      <c r="P639" s="73" t="str">
        <f>VLOOKUP(Tabla6[[#This Row],[GEO]],Listas!$A$48:$B$77,2,0)</f>
        <v>SANTO DOMINGO</v>
      </c>
      <c r="Q639" s="70">
        <f>VLOOKUP(Tabla6[[#This Row],[PG]],Listas2!$G$14:$K$16,3,0)</f>
        <v>1</v>
      </c>
      <c r="R639" s="73">
        <f>VLOOKUP(Tabla6[[#This Row],[PG]],Listas2!H149:'Listas2'!$G$14:$K$16,4,0)</f>
        <v>0</v>
      </c>
      <c r="S639" s="73">
        <f>VLOOKUP(Tabla6[[#This Row],[PG]],Listas2!$G$14:$K$16,2,0)</f>
        <v>0</v>
      </c>
      <c r="T639" s="66" t="s">
        <v>84</v>
      </c>
      <c r="U639" s="74">
        <v>51</v>
      </c>
      <c r="V639" s="66">
        <v>510401</v>
      </c>
      <c r="W639" s="63" t="str">
        <f>VLOOKUP(Tabla6[[#This Row],[ÍTEM PRESUPUESTARIO]],Tabla2[#All],2,0)</f>
        <v>POR CARGAS FAMILIARES</v>
      </c>
      <c r="X639" s="57">
        <v>0</v>
      </c>
      <c r="Y639" s="57">
        <v>0</v>
      </c>
      <c r="Z639" s="58">
        <v>0</v>
      </c>
      <c r="AA639" s="58">
        <v>0</v>
      </c>
      <c r="AB639" s="58">
        <v>0</v>
      </c>
      <c r="AC639" s="58">
        <v>0</v>
      </c>
      <c r="AD639" s="58">
        <v>0</v>
      </c>
      <c r="AE639" s="58">
        <v>0</v>
      </c>
      <c r="AF639" s="58">
        <v>0</v>
      </c>
      <c r="AG639" s="58">
        <v>0</v>
      </c>
      <c r="AH639" s="58">
        <v>0</v>
      </c>
      <c r="AI639" s="58">
        <v>0</v>
      </c>
      <c r="AJ639" s="58">
        <v>0</v>
      </c>
      <c r="AK639" s="58">
        <v>0</v>
      </c>
      <c r="AL639" s="75">
        <f>+SUBTOTAL(9,Tabla6[[#This Row],[ENE]:[DIC]])</f>
        <v>0</v>
      </c>
      <c r="AM639" s="76" t="str">
        <f t="shared" si="13"/>
        <v>OK</v>
      </c>
      <c r="AN639" s="60">
        <v>0</v>
      </c>
      <c r="AO639" s="61">
        <f>+Tabla6[[#This Row],[PRESUPUESTO VIGENTE]]-Tabla6[[#This Row],[CERTIFICACIÓN PAPP]]</f>
        <v>0</v>
      </c>
      <c r="AP639" s="59">
        <v>0</v>
      </c>
    </row>
    <row r="640" spans="1:42" ht="93" customHeight="1" x14ac:dyDescent="0.25">
      <c r="A640" s="62" t="s">
        <v>88</v>
      </c>
      <c r="B640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640" s="64" t="s">
        <v>89</v>
      </c>
      <c r="D640" s="64" t="s">
        <v>80</v>
      </c>
      <c r="E640" s="64" t="s">
        <v>81</v>
      </c>
      <c r="F640" s="64" t="s">
        <v>99</v>
      </c>
      <c r="G640" s="64" t="s">
        <v>90</v>
      </c>
      <c r="H640" s="65" t="str">
        <f>VLOOKUP(Tabla6[[#This Row],[DIRECCIÓN]],DIRECCIÓN[#All],2,0)</f>
        <v>TECNOLOGÍA</v>
      </c>
      <c r="I640" s="66" t="s">
        <v>93</v>
      </c>
      <c r="J640" s="67">
        <v>1</v>
      </c>
      <c r="K640" s="68" t="str">
        <f>VLOOKUP(Tabla6[[#This Row],[DIRECCIÓN GENERAL / COORDINACIÓN / SUBDIRECCIÓN]],Tabla37[[#All],[Columna1]:[EOD]],2,0)</f>
        <v>266_0004</v>
      </c>
      <c r="L640" s="69">
        <f>VLOOKUP(Tabla6[[#This Row],[OBJETIVOS PND]],Listas!$A$1:$C$3,3,0)</f>
        <v>55</v>
      </c>
      <c r="M640" s="70">
        <f>VLOOKUP(Tabla6[[#This Row],[PG]],Listas2!$G$14:$K$16,5,0)</f>
        <v>0</v>
      </c>
      <c r="N640" s="71">
        <v>3</v>
      </c>
      <c r="O640" s="72">
        <v>2300</v>
      </c>
      <c r="P640" s="73" t="str">
        <f>VLOOKUP(Tabla6[[#This Row],[GEO]],Listas!$A$48:$B$77,2,0)</f>
        <v>SANTO DOMINGO</v>
      </c>
      <c r="Q640" s="70">
        <f>VLOOKUP(Tabla6[[#This Row],[PG]],Listas2!$G$14:$K$16,3,0)</f>
        <v>1</v>
      </c>
      <c r="R640" s="73">
        <f>VLOOKUP(Tabla6[[#This Row],[PG]],Listas2!H150:'Listas2'!$G$14:$K$16,4,0)</f>
        <v>0</v>
      </c>
      <c r="S640" s="73">
        <f>VLOOKUP(Tabla6[[#This Row],[PG]],Listas2!$G$14:$K$16,2,0)</f>
        <v>0</v>
      </c>
      <c r="T640" s="66" t="s">
        <v>84</v>
      </c>
      <c r="U640" s="74">
        <v>51</v>
      </c>
      <c r="V640" s="66">
        <v>510408</v>
      </c>
      <c r="W640" s="63" t="str">
        <f>VLOOKUP(Tabla6[[#This Row],[ÍTEM PRESUPUESTARIO]],Tabla2[#All],2,0)</f>
        <v>SUBSIDIO DE ANTIGUEDAD</v>
      </c>
      <c r="X640" s="57">
        <v>0</v>
      </c>
      <c r="Y640" s="57">
        <v>0</v>
      </c>
      <c r="Z640" s="58">
        <v>0</v>
      </c>
      <c r="AA640" s="58">
        <v>0</v>
      </c>
      <c r="AB640" s="58">
        <v>0</v>
      </c>
      <c r="AC640" s="58">
        <v>0</v>
      </c>
      <c r="AD640" s="58">
        <v>0</v>
      </c>
      <c r="AE640" s="58">
        <v>0</v>
      </c>
      <c r="AF640" s="58">
        <v>0</v>
      </c>
      <c r="AG640" s="58">
        <v>0</v>
      </c>
      <c r="AH640" s="58">
        <v>0</v>
      </c>
      <c r="AI640" s="58">
        <v>0</v>
      </c>
      <c r="AJ640" s="58">
        <v>0</v>
      </c>
      <c r="AK640" s="58">
        <v>0</v>
      </c>
      <c r="AL640" s="75">
        <f>+SUBTOTAL(9,Tabla6[[#This Row],[ENE]:[DIC]])</f>
        <v>0</v>
      </c>
      <c r="AM640" s="76" t="str">
        <f t="shared" si="13"/>
        <v>OK</v>
      </c>
      <c r="AN640" s="60">
        <v>0</v>
      </c>
      <c r="AO640" s="61">
        <f>+Tabla6[[#This Row],[PRESUPUESTO VIGENTE]]-Tabla6[[#This Row],[CERTIFICACIÓN PAPP]]</f>
        <v>0</v>
      </c>
      <c r="AP640" s="59">
        <v>0</v>
      </c>
    </row>
    <row r="641" spans="1:42" ht="93" customHeight="1" x14ac:dyDescent="0.25">
      <c r="A641" s="62" t="s">
        <v>88</v>
      </c>
      <c r="B641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641" s="64" t="s">
        <v>89</v>
      </c>
      <c r="D641" s="64" t="s">
        <v>80</v>
      </c>
      <c r="E641" s="64" t="s">
        <v>81</v>
      </c>
      <c r="F641" s="64" t="s">
        <v>99</v>
      </c>
      <c r="G641" s="64" t="s">
        <v>90</v>
      </c>
      <c r="H641" s="65" t="str">
        <f>VLOOKUP(Tabla6[[#This Row],[DIRECCIÓN]],DIRECCIÓN[#All],2,0)</f>
        <v>TECNOLOGÍA</v>
      </c>
      <c r="I641" s="66" t="s">
        <v>93</v>
      </c>
      <c r="J641" s="67">
        <v>1</v>
      </c>
      <c r="K641" s="68" t="str">
        <f>VLOOKUP(Tabla6[[#This Row],[DIRECCIÓN GENERAL / COORDINACIÓN / SUBDIRECCIÓN]],Tabla37[[#All],[Columna1]:[EOD]],2,0)</f>
        <v>266_0004</v>
      </c>
      <c r="L641" s="69">
        <f>VLOOKUP(Tabla6[[#This Row],[OBJETIVOS PND]],Listas!$A$1:$C$3,3,0)</f>
        <v>55</v>
      </c>
      <c r="M641" s="70">
        <f>VLOOKUP(Tabla6[[#This Row],[PG]],Listas2!$G$14:$K$16,5,0)</f>
        <v>0</v>
      </c>
      <c r="N641" s="71">
        <v>3</v>
      </c>
      <c r="O641" s="72">
        <v>2300</v>
      </c>
      <c r="P641" s="73" t="str">
        <f>VLOOKUP(Tabla6[[#This Row],[GEO]],Listas!$A$48:$B$77,2,0)</f>
        <v>SANTO DOMINGO</v>
      </c>
      <c r="Q641" s="70">
        <f>VLOOKUP(Tabla6[[#This Row],[PG]],Listas2!$G$14:$K$16,3,0)</f>
        <v>1</v>
      </c>
      <c r="R641" s="73">
        <f>VLOOKUP(Tabla6[[#This Row],[PG]],Listas2!H151:'Listas2'!$G$14:$K$16,4,0)</f>
        <v>0</v>
      </c>
      <c r="S641" s="73">
        <f>VLOOKUP(Tabla6[[#This Row],[PG]],Listas2!$G$14:$K$16,2,0)</f>
        <v>0</v>
      </c>
      <c r="T641" s="66" t="s">
        <v>84</v>
      </c>
      <c r="U641" s="74">
        <v>51</v>
      </c>
      <c r="V641" s="66">
        <v>510512</v>
      </c>
      <c r="W641" s="63" t="str">
        <f>VLOOKUP(Tabla6[[#This Row],[ÍTEM PRESUPUESTARIO]],Tabla2[#All],2,0)</f>
        <v xml:space="preserve">SUBROGACIÓN </v>
      </c>
      <c r="X641" s="57">
        <v>150</v>
      </c>
      <c r="Y641" s="57">
        <f>295-242+400-406.87</f>
        <v>46.129999999999995</v>
      </c>
      <c r="Z641" s="58">
        <v>0</v>
      </c>
      <c r="AA641" s="58">
        <v>0</v>
      </c>
      <c r="AB641" s="58">
        <v>0</v>
      </c>
      <c r="AC641" s="58">
        <v>0</v>
      </c>
      <c r="AD641" s="58">
        <v>46.13</v>
      </c>
      <c r="AE641" s="58">
        <v>0</v>
      </c>
      <c r="AF641" s="58">
        <v>0</v>
      </c>
      <c r="AG641" s="58">
        <v>0</v>
      </c>
      <c r="AH641" s="58">
        <v>0</v>
      </c>
      <c r="AI641" s="58">
        <v>0</v>
      </c>
      <c r="AJ641" s="58">
        <v>0</v>
      </c>
      <c r="AK641" s="58">
        <v>0</v>
      </c>
      <c r="AL641" s="75">
        <f>+SUBTOTAL(9,Tabla6[[#This Row],[ENE]:[DIC]])</f>
        <v>46.13</v>
      </c>
      <c r="AM641" s="76" t="str">
        <f t="shared" si="13"/>
        <v>OK</v>
      </c>
      <c r="AN641" s="60">
        <v>46.13</v>
      </c>
      <c r="AO641" s="61">
        <f>+Tabla6[[#This Row],[PRESUPUESTO VIGENTE]]-Tabla6[[#This Row],[CERTIFICACIÓN PAPP]]</f>
        <v>0</v>
      </c>
      <c r="AP641" s="59">
        <v>0</v>
      </c>
    </row>
    <row r="642" spans="1:42" ht="93" customHeight="1" x14ac:dyDescent="0.25">
      <c r="A642" s="62" t="s">
        <v>88</v>
      </c>
      <c r="B642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642" s="64" t="s">
        <v>89</v>
      </c>
      <c r="D642" s="64" t="s">
        <v>80</v>
      </c>
      <c r="E642" s="64" t="s">
        <v>81</v>
      </c>
      <c r="F642" s="64" t="s">
        <v>99</v>
      </c>
      <c r="G642" s="64" t="s">
        <v>90</v>
      </c>
      <c r="H642" s="65" t="str">
        <f>VLOOKUP(Tabla6[[#This Row],[DIRECCIÓN]],DIRECCIÓN[#All],2,0)</f>
        <v>TECNOLOGÍA</v>
      </c>
      <c r="I642" s="66" t="s">
        <v>93</v>
      </c>
      <c r="J642" s="67">
        <v>1</v>
      </c>
      <c r="K642" s="68" t="str">
        <f>VLOOKUP(Tabla6[[#This Row],[DIRECCIÓN GENERAL / COORDINACIÓN / SUBDIRECCIÓN]],Tabla37[[#All],[Columna1]:[EOD]],2,0)</f>
        <v>266_0004</v>
      </c>
      <c r="L642" s="69">
        <f>VLOOKUP(Tabla6[[#This Row],[OBJETIVOS PND]],Listas!$A$1:$C$3,3,0)</f>
        <v>55</v>
      </c>
      <c r="M642" s="70">
        <f>VLOOKUP(Tabla6[[#This Row],[PG]],Listas2!$G$14:$K$16,5,0)</f>
        <v>0</v>
      </c>
      <c r="N642" s="71">
        <v>3</v>
      </c>
      <c r="O642" s="72">
        <v>2300</v>
      </c>
      <c r="P642" s="73" t="str">
        <f>VLOOKUP(Tabla6[[#This Row],[GEO]],Listas!$A$48:$B$77,2,0)</f>
        <v>SANTO DOMINGO</v>
      </c>
      <c r="Q642" s="70">
        <f>VLOOKUP(Tabla6[[#This Row],[PG]],Listas2!$G$14:$K$16,3,0)</f>
        <v>1</v>
      </c>
      <c r="R642" s="73">
        <f>VLOOKUP(Tabla6[[#This Row],[PG]],Listas2!H152:'Listas2'!$G$14:$K$16,4,0)</f>
        <v>0</v>
      </c>
      <c r="S642" s="73">
        <f>VLOOKUP(Tabla6[[#This Row],[PG]],Listas2!$G$14:$K$16,2,0)</f>
        <v>0</v>
      </c>
      <c r="T642" s="66" t="s">
        <v>84</v>
      </c>
      <c r="U642" s="74">
        <v>51</v>
      </c>
      <c r="V642" s="66">
        <v>510513</v>
      </c>
      <c r="W642" s="63" t="str">
        <f>VLOOKUP(Tabla6[[#This Row],[ÍTEM PRESUPUESTARIO]],Tabla2[#All],2,0)</f>
        <v>ENCARGOS</v>
      </c>
      <c r="X642" s="57">
        <v>0</v>
      </c>
      <c r="Y642" s="57">
        <f>1192-1192+100-100</f>
        <v>0</v>
      </c>
      <c r="Z642" s="58">
        <v>0</v>
      </c>
      <c r="AA642" s="58">
        <v>0</v>
      </c>
      <c r="AB642" s="58">
        <v>0</v>
      </c>
      <c r="AC642" s="58">
        <v>0</v>
      </c>
      <c r="AD642" s="58">
        <v>0</v>
      </c>
      <c r="AE642" s="58">
        <v>0</v>
      </c>
      <c r="AF642" s="58">
        <v>0</v>
      </c>
      <c r="AG642" s="58">
        <v>0</v>
      </c>
      <c r="AH642" s="58">
        <v>0</v>
      </c>
      <c r="AI642" s="58">
        <v>0</v>
      </c>
      <c r="AJ642" s="58">
        <v>0</v>
      </c>
      <c r="AK642" s="58">
        <v>0</v>
      </c>
      <c r="AL642" s="75">
        <f>+SUBTOTAL(9,Tabla6[[#This Row],[ENE]:[DIC]])</f>
        <v>0</v>
      </c>
      <c r="AM642" s="76" t="str">
        <f t="shared" si="13"/>
        <v>OK</v>
      </c>
      <c r="AN642" s="60">
        <v>0</v>
      </c>
      <c r="AO642" s="61">
        <f>+Tabla6[[#This Row],[PRESUPUESTO VIGENTE]]-Tabla6[[#This Row],[CERTIFICACIÓN PAPP]]</f>
        <v>0</v>
      </c>
      <c r="AP642" s="59">
        <v>0</v>
      </c>
    </row>
    <row r="643" spans="1:42" ht="93" customHeight="1" x14ac:dyDescent="0.25">
      <c r="A643" s="62" t="s">
        <v>88</v>
      </c>
      <c r="B643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643" s="64" t="s">
        <v>89</v>
      </c>
      <c r="D643" s="64" t="s">
        <v>80</v>
      </c>
      <c r="E643" s="64" t="s">
        <v>81</v>
      </c>
      <c r="F643" s="64" t="s">
        <v>99</v>
      </c>
      <c r="G643" s="64" t="s">
        <v>90</v>
      </c>
      <c r="H643" s="65" t="str">
        <f>VLOOKUP(Tabla6[[#This Row],[DIRECCIÓN]],DIRECCIÓN[#All],2,0)</f>
        <v>TECNOLOGÍA</v>
      </c>
      <c r="I643" s="66" t="s">
        <v>93</v>
      </c>
      <c r="J643" s="67">
        <v>1</v>
      </c>
      <c r="K643" s="68" t="str">
        <f>VLOOKUP(Tabla6[[#This Row],[DIRECCIÓN GENERAL / COORDINACIÓN / SUBDIRECCIÓN]],Tabla37[[#All],[Columna1]:[EOD]],2,0)</f>
        <v>266_0004</v>
      </c>
      <c r="L643" s="69">
        <f>VLOOKUP(Tabla6[[#This Row],[OBJETIVOS PND]],Listas!$A$1:$C$3,3,0)</f>
        <v>55</v>
      </c>
      <c r="M643" s="70">
        <f>VLOOKUP(Tabla6[[#This Row],[PG]],Listas2!$G$14:$K$16,5,0)</f>
        <v>0</v>
      </c>
      <c r="N643" s="71">
        <v>3</v>
      </c>
      <c r="O643" s="72">
        <v>2300</v>
      </c>
      <c r="P643" s="73" t="str">
        <f>VLOOKUP(Tabla6[[#This Row],[GEO]],Listas!$A$48:$B$77,2,0)</f>
        <v>SANTO DOMINGO</v>
      </c>
      <c r="Q643" s="70">
        <f>VLOOKUP(Tabla6[[#This Row],[PG]],Listas2!$G$14:$K$16,3,0)</f>
        <v>1</v>
      </c>
      <c r="R643" s="73">
        <f>VLOOKUP(Tabla6[[#This Row],[PG]],Listas2!H153:'Listas2'!$G$14:$K$16,4,0)</f>
        <v>0</v>
      </c>
      <c r="S643" s="73">
        <f>VLOOKUP(Tabla6[[#This Row],[PG]],Listas2!$G$14:$K$16,2,0)</f>
        <v>0</v>
      </c>
      <c r="T643" s="66" t="s">
        <v>84</v>
      </c>
      <c r="U643" s="74">
        <v>51</v>
      </c>
      <c r="V643" s="66">
        <v>510601</v>
      </c>
      <c r="W643" s="63" t="str">
        <f>VLOOKUP(Tabla6[[#This Row],[ÍTEM PRESUPUESTARIO]],Tabla2[#All],2,0)</f>
        <v>APORTE PATRONAL</v>
      </c>
      <c r="X643" s="57">
        <v>4748</v>
      </c>
      <c r="Y643" s="57">
        <f>4748+50-45.75</f>
        <v>4752.25</v>
      </c>
      <c r="Z643" s="58">
        <v>395</v>
      </c>
      <c r="AA643" s="58">
        <v>395</v>
      </c>
      <c r="AB643" s="58">
        <v>395</v>
      </c>
      <c r="AC643" s="58">
        <v>395</v>
      </c>
      <c r="AD643" s="58">
        <v>396</v>
      </c>
      <c r="AE643" s="58">
        <v>396</v>
      </c>
      <c r="AF643" s="58">
        <v>396</v>
      </c>
      <c r="AG643" s="58">
        <v>396</v>
      </c>
      <c r="AH643" s="58">
        <v>396</v>
      </c>
      <c r="AI643" s="58">
        <v>396</v>
      </c>
      <c r="AJ643" s="58">
        <v>396</v>
      </c>
      <c r="AK643" s="58">
        <v>400.25</v>
      </c>
      <c r="AL643" s="75">
        <f>+SUBTOTAL(9,Tabla6[[#This Row],[ENE]:[DIC]])</f>
        <v>4752.25</v>
      </c>
      <c r="AM643" s="76" t="str">
        <f t="shared" si="13"/>
        <v>OK</v>
      </c>
      <c r="AN643" s="60">
        <v>4752.25</v>
      </c>
      <c r="AO643" s="61">
        <f>+Tabla6[[#This Row],[PRESUPUESTO VIGENTE]]-Tabla6[[#This Row],[CERTIFICACIÓN PAPP]]</f>
        <v>0</v>
      </c>
      <c r="AP643" s="59">
        <v>0</v>
      </c>
    </row>
    <row r="644" spans="1:42" ht="93" customHeight="1" x14ac:dyDescent="0.25">
      <c r="A644" s="62" t="s">
        <v>88</v>
      </c>
      <c r="B644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644" s="64" t="s">
        <v>89</v>
      </c>
      <c r="D644" s="64" t="s">
        <v>80</v>
      </c>
      <c r="E644" s="64" t="s">
        <v>81</v>
      </c>
      <c r="F644" s="64" t="s">
        <v>99</v>
      </c>
      <c r="G644" s="64" t="s">
        <v>90</v>
      </c>
      <c r="H644" s="65" t="str">
        <f>VLOOKUP(Tabla6[[#This Row],[DIRECCIÓN]],DIRECCIÓN[#All],2,0)</f>
        <v>TECNOLOGÍA</v>
      </c>
      <c r="I644" s="66" t="s">
        <v>93</v>
      </c>
      <c r="J644" s="67">
        <v>1</v>
      </c>
      <c r="K644" s="68" t="str">
        <f>VLOOKUP(Tabla6[[#This Row],[DIRECCIÓN GENERAL / COORDINACIÓN / SUBDIRECCIÓN]],Tabla37[[#All],[Columna1]:[EOD]],2,0)</f>
        <v>266_0004</v>
      </c>
      <c r="L644" s="69">
        <f>VLOOKUP(Tabla6[[#This Row],[OBJETIVOS PND]],Listas!$A$1:$C$3,3,0)</f>
        <v>55</v>
      </c>
      <c r="M644" s="70">
        <f>VLOOKUP(Tabla6[[#This Row],[PG]],Listas2!$G$14:$K$16,5,0)</f>
        <v>0</v>
      </c>
      <c r="N644" s="71">
        <v>3</v>
      </c>
      <c r="O644" s="72">
        <v>2300</v>
      </c>
      <c r="P644" s="73" t="str">
        <f>VLOOKUP(Tabla6[[#This Row],[GEO]],Listas!$A$48:$B$77,2,0)</f>
        <v>SANTO DOMINGO</v>
      </c>
      <c r="Q644" s="70">
        <f>VLOOKUP(Tabla6[[#This Row],[PG]],Listas2!$G$14:$K$16,3,0)</f>
        <v>1</v>
      </c>
      <c r="R644" s="73">
        <f>VLOOKUP(Tabla6[[#This Row],[PG]],Listas2!H154:'Listas2'!$G$14:$K$16,4,0)</f>
        <v>0</v>
      </c>
      <c r="S644" s="73">
        <f>VLOOKUP(Tabla6[[#This Row],[PG]],Listas2!$G$14:$K$16,2,0)</f>
        <v>0</v>
      </c>
      <c r="T644" s="66" t="s">
        <v>84</v>
      </c>
      <c r="U644" s="74">
        <v>51</v>
      </c>
      <c r="V644" s="66">
        <v>510602</v>
      </c>
      <c r="W644" s="63" t="str">
        <f>VLOOKUP(Tabla6[[#This Row],[ÍTEM PRESUPUESTARIO]],Tabla2[#All],2,0)</f>
        <v>FONDO DE RESERVA</v>
      </c>
      <c r="X644" s="57">
        <v>4100</v>
      </c>
      <c r="Y644" s="57">
        <f>4100-1.64</f>
        <v>4098.3599999999997</v>
      </c>
      <c r="Z644" s="58">
        <v>341</v>
      </c>
      <c r="AA644" s="58">
        <v>341</v>
      </c>
      <c r="AB644" s="58">
        <v>341</v>
      </c>
      <c r="AC644" s="58">
        <v>341</v>
      </c>
      <c r="AD644" s="58">
        <v>342</v>
      </c>
      <c r="AE644" s="58">
        <v>342</v>
      </c>
      <c r="AF644" s="58">
        <v>342</v>
      </c>
      <c r="AG644" s="58">
        <v>342</v>
      </c>
      <c r="AH644" s="58">
        <v>342</v>
      </c>
      <c r="AI644" s="58">
        <v>342</v>
      </c>
      <c r="AJ644" s="58">
        <v>342</v>
      </c>
      <c r="AK644" s="58">
        <v>340.36</v>
      </c>
      <c r="AL644" s="75">
        <f>+SUBTOTAL(9,Tabla6[[#This Row],[ENE]:[DIC]])</f>
        <v>4098.3599999999997</v>
      </c>
      <c r="AM644" s="76" t="str">
        <f t="shared" si="13"/>
        <v>OK</v>
      </c>
      <c r="AN644" s="60">
        <v>4098.3599999999997</v>
      </c>
      <c r="AO644" s="61">
        <f>+Tabla6[[#This Row],[PRESUPUESTO VIGENTE]]-Tabla6[[#This Row],[CERTIFICACIÓN PAPP]]</f>
        <v>0</v>
      </c>
      <c r="AP644" s="59">
        <v>0</v>
      </c>
    </row>
    <row r="645" spans="1:42" ht="93" customHeight="1" x14ac:dyDescent="0.25">
      <c r="A645" s="62" t="s">
        <v>88</v>
      </c>
      <c r="B645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645" s="64" t="s">
        <v>89</v>
      </c>
      <c r="D645" s="64" t="s">
        <v>80</v>
      </c>
      <c r="E645" s="64" t="s">
        <v>81</v>
      </c>
      <c r="F645" s="64" t="s">
        <v>99</v>
      </c>
      <c r="G645" s="64" t="s">
        <v>90</v>
      </c>
      <c r="H645" s="65" t="str">
        <f>VLOOKUP(Tabla6[[#This Row],[DIRECCIÓN]],DIRECCIÓN[#All],2,0)</f>
        <v>TECNOLOGÍA</v>
      </c>
      <c r="I645" s="66" t="s">
        <v>93</v>
      </c>
      <c r="J645" s="67">
        <v>1</v>
      </c>
      <c r="K645" s="68" t="str">
        <f>VLOOKUP(Tabla6[[#This Row],[DIRECCIÓN GENERAL / COORDINACIÓN / SUBDIRECCIÓN]],Tabla37[[#All],[Columna1]:[EOD]],2,0)</f>
        <v>266_0004</v>
      </c>
      <c r="L645" s="69">
        <f>VLOOKUP(Tabla6[[#This Row],[OBJETIVOS PND]],Listas!$A$1:$C$3,3,0)</f>
        <v>55</v>
      </c>
      <c r="M645" s="70">
        <f>VLOOKUP(Tabla6[[#This Row],[PG]],Listas2!$G$14:$K$16,5,0)</f>
        <v>0</v>
      </c>
      <c r="N645" s="71">
        <v>3</v>
      </c>
      <c r="O645" s="72">
        <v>2300</v>
      </c>
      <c r="P645" s="73" t="str">
        <f>VLOOKUP(Tabla6[[#This Row],[GEO]],Listas!$A$48:$B$77,2,0)</f>
        <v>SANTO DOMINGO</v>
      </c>
      <c r="Q645" s="70">
        <f>VLOOKUP(Tabla6[[#This Row],[PG]],Listas2!$G$14:$K$16,3,0)</f>
        <v>1</v>
      </c>
      <c r="R645" s="73">
        <f>VLOOKUP(Tabla6[[#This Row],[PG]],Listas2!H155:'Listas2'!$G$14:$K$16,4,0)</f>
        <v>0</v>
      </c>
      <c r="S645" s="73">
        <f>VLOOKUP(Tabla6[[#This Row],[PG]],Listas2!$G$14:$K$16,2,0)</f>
        <v>0</v>
      </c>
      <c r="T645" s="66" t="s">
        <v>84</v>
      </c>
      <c r="U645" s="74">
        <v>51</v>
      </c>
      <c r="V645" s="66">
        <v>510707</v>
      </c>
      <c r="W645" s="63" t="str">
        <f>VLOOKUP(Tabla6[[#This Row],[ÍTEM PRESUPUESTARIO]],Tabla2[#All],2,0)</f>
        <v>COMPENSACIÓN POR VACACIONES NO GOZADAS POR CESACIÓN DE FUNCIONES</v>
      </c>
      <c r="X645" s="57">
        <v>0</v>
      </c>
      <c r="Y645" s="57">
        <f>500-500</f>
        <v>0</v>
      </c>
      <c r="Z645" s="58">
        <v>0</v>
      </c>
      <c r="AA645" s="58">
        <v>0</v>
      </c>
      <c r="AB645" s="58">
        <v>0</v>
      </c>
      <c r="AC645" s="58">
        <v>0</v>
      </c>
      <c r="AD645" s="58">
        <v>0</v>
      </c>
      <c r="AE645" s="58">
        <v>0</v>
      </c>
      <c r="AF645" s="58">
        <v>0</v>
      </c>
      <c r="AG645" s="58">
        <v>0</v>
      </c>
      <c r="AH645" s="58">
        <v>0</v>
      </c>
      <c r="AI645" s="58">
        <v>0</v>
      </c>
      <c r="AJ645" s="58">
        <v>0</v>
      </c>
      <c r="AK645" s="58">
        <v>0</v>
      </c>
      <c r="AL645" s="75">
        <f>+SUBTOTAL(9,Tabla6[[#This Row],[ENE]:[DIC]])</f>
        <v>0</v>
      </c>
      <c r="AM645" s="76" t="str">
        <f t="shared" si="13"/>
        <v>OK</v>
      </c>
      <c r="AN645" s="60">
        <v>0</v>
      </c>
      <c r="AO645" s="61">
        <f>+Tabla6[[#This Row],[PRESUPUESTO VIGENTE]]-Tabla6[[#This Row],[CERTIFICACIÓN PAPP]]</f>
        <v>0</v>
      </c>
      <c r="AP645" s="59">
        <v>0</v>
      </c>
    </row>
    <row r="646" spans="1:42" ht="93" customHeight="1" x14ac:dyDescent="0.25">
      <c r="A646" s="62" t="s">
        <v>78</v>
      </c>
      <c r="B646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646" s="64" t="s">
        <v>79</v>
      </c>
      <c r="D646" s="64" t="s">
        <v>80</v>
      </c>
      <c r="E646" s="64" t="s">
        <v>81</v>
      </c>
      <c r="F646" s="64" t="s">
        <v>99</v>
      </c>
      <c r="G646" s="64" t="s">
        <v>83</v>
      </c>
      <c r="H646" s="65" t="str">
        <f>VLOOKUP(Tabla6[[#This Row],[DIRECCIÓN]],DIRECCIÓN[#All],2,0)</f>
        <v>ADMINISTRACIÓN CENTRAL</v>
      </c>
      <c r="I646" s="66" t="s">
        <v>597</v>
      </c>
      <c r="J646" s="67">
        <v>1</v>
      </c>
      <c r="K646" s="68" t="str">
        <f>VLOOKUP(Tabla6[[#This Row],[DIRECCIÓN GENERAL / COORDINACIÓN / SUBDIRECCIÓN]],Tabla37[[#All],[Columna1]:[EOD]],2,0)</f>
        <v>266_0004</v>
      </c>
      <c r="L646" s="69">
        <f>VLOOKUP(Tabla6[[#This Row],[OBJETIVOS PND]],Listas!$A$1:$C$3,3,0)</f>
        <v>1</v>
      </c>
      <c r="M646" s="70">
        <f>VLOOKUP(Tabla6[[#This Row],[PG]],Listas2!$G$14:$K$16,5,0)</f>
        <v>0</v>
      </c>
      <c r="N646" s="71">
        <v>1</v>
      </c>
      <c r="O646" s="72">
        <v>2301</v>
      </c>
      <c r="P646" s="73" t="str">
        <f>VLOOKUP(Tabla6[[#This Row],[GEO]],Listas!$A$48:$B$77,2,0)</f>
        <v xml:space="preserve">SANTO DOMINGO </v>
      </c>
      <c r="Q646" s="70">
        <f>VLOOKUP(Tabla6[[#This Row],[PG]],Listas2!$G$14:$K$16,3,0)</f>
        <v>1</v>
      </c>
      <c r="R646" s="73">
        <f>VLOOKUP(Tabla6[[#This Row],[PG]],Listas2!H156:'Listas2'!$G$14:$K$16,4,0)</f>
        <v>0</v>
      </c>
      <c r="S646" s="73">
        <f>VLOOKUP(Tabla6[[#This Row],[PG]],Listas2!$G$14:$K$16,2,0)</f>
        <v>0</v>
      </c>
      <c r="T646" s="66" t="s">
        <v>84</v>
      </c>
      <c r="U646" s="74">
        <v>53</v>
      </c>
      <c r="V646" s="66">
        <v>530101</v>
      </c>
      <c r="W646" s="63" t="str">
        <f>VLOOKUP(Tabla6[[#This Row],[ÍTEM PRESUPUESTARIO]],Tabla2[#All],2,0)</f>
        <v>AGUA POTABLE</v>
      </c>
      <c r="X646" s="57">
        <v>1080</v>
      </c>
      <c r="Y646" s="57">
        <f>1080+1159.72-860.15</f>
        <v>1379.5700000000002</v>
      </c>
      <c r="Z646" s="58">
        <v>180</v>
      </c>
      <c r="AA646" s="58">
        <v>180</v>
      </c>
      <c r="AB646" s="58">
        <v>180</v>
      </c>
      <c r="AC646" s="58">
        <v>180</v>
      </c>
      <c r="AD646" s="58">
        <v>180</v>
      </c>
      <c r="AE646" s="58">
        <v>180</v>
      </c>
      <c r="AF646" s="58">
        <v>100</v>
      </c>
      <c r="AG646" s="58">
        <v>199.57</v>
      </c>
      <c r="AH646" s="58">
        <v>0</v>
      </c>
      <c r="AI646" s="58">
        <v>0</v>
      </c>
      <c r="AJ646" s="58">
        <v>0</v>
      </c>
      <c r="AK646" s="58">
        <v>0</v>
      </c>
      <c r="AL646" s="75">
        <f>+SUBTOTAL(9,Tabla6[[#This Row],[ENE]:[DIC]])</f>
        <v>1379.57</v>
      </c>
      <c r="AM646" s="76" t="str">
        <f t="shared" si="13"/>
        <v>OK</v>
      </c>
      <c r="AN646" s="60">
        <f>319.72+640+1280-860.15</f>
        <v>1379.5700000000002</v>
      </c>
      <c r="AO646" s="61">
        <f>+Tabla6[[#This Row],[PRESUPUESTO VIGENTE]]-Tabla6[[#This Row],[CERTIFICACIÓN PAPP]]</f>
        <v>0</v>
      </c>
      <c r="AP646" s="59">
        <v>0</v>
      </c>
    </row>
    <row r="647" spans="1:42" ht="93" customHeight="1" x14ac:dyDescent="0.25">
      <c r="A647" s="62" t="s">
        <v>78</v>
      </c>
      <c r="B647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647" s="64" t="s">
        <v>79</v>
      </c>
      <c r="D647" s="64" t="s">
        <v>80</v>
      </c>
      <c r="E647" s="64" t="s">
        <v>81</v>
      </c>
      <c r="F647" s="64" t="s">
        <v>99</v>
      </c>
      <c r="G647" s="64" t="s">
        <v>83</v>
      </c>
      <c r="H647" s="65" t="str">
        <f>VLOOKUP(Tabla6[[#This Row],[DIRECCIÓN]],DIRECCIÓN[#All],2,0)</f>
        <v>ADMINISTRACIÓN CENTRAL</v>
      </c>
      <c r="I647" s="66" t="s">
        <v>598</v>
      </c>
      <c r="J647" s="67">
        <v>1</v>
      </c>
      <c r="K647" s="68" t="str">
        <f>VLOOKUP(Tabla6[[#This Row],[DIRECCIÓN GENERAL / COORDINACIÓN / SUBDIRECCIÓN]],Tabla37[[#All],[Columna1]:[EOD]],2,0)</f>
        <v>266_0004</v>
      </c>
      <c r="L647" s="69">
        <f>VLOOKUP(Tabla6[[#This Row],[OBJETIVOS PND]],Listas!$A$1:$C$3,3,0)</f>
        <v>1</v>
      </c>
      <c r="M647" s="70">
        <f>VLOOKUP(Tabla6[[#This Row],[PG]],Listas2!$G$14:$K$16,5,0)</f>
        <v>0</v>
      </c>
      <c r="N647" s="71">
        <v>1</v>
      </c>
      <c r="O647" s="72">
        <v>2301</v>
      </c>
      <c r="P647" s="73" t="str">
        <f>VLOOKUP(Tabla6[[#This Row],[GEO]],Listas!$A$48:$B$77,2,0)</f>
        <v xml:space="preserve">SANTO DOMINGO </v>
      </c>
      <c r="Q647" s="70">
        <f>VLOOKUP(Tabla6[[#This Row],[PG]],Listas2!$G$14:$K$16,3,0)</f>
        <v>1</v>
      </c>
      <c r="R647" s="73">
        <f>VLOOKUP(Tabla6[[#This Row],[PG]],Listas2!H157:'Listas2'!$G$14:$K$16,4,0)</f>
        <v>0</v>
      </c>
      <c r="S647" s="73">
        <f>VLOOKUP(Tabla6[[#This Row],[PG]],Listas2!$G$14:$K$16,2,0)</f>
        <v>0</v>
      </c>
      <c r="T647" s="66" t="s">
        <v>84</v>
      </c>
      <c r="U647" s="74">
        <v>53</v>
      </c>
      <c r="V647" s="66">
        <v>530104</v>
      </c>
      <c r="W647" s="63" t="str">
        <f>VLOOKUP(Tabla6[[#This Row],[ÍTEM PRESUPUESTARIO]],Tabla2[#All],2,0)</f>
        <v>ENERGÍA ELÉCTRICA</v>
      </c>
      <c r="X647" s="57">
        <v>27000</v>
      </c>
      <c r="Y647" s="57">
        <f>24500+28423.67+2800-381.8</f>
        <v>55341.869999999995</v>
      </c>
      <c r="Z647" s="58">
        <v>4080</v>
      </c>
      <c r="AA647" s="58">
        <v>4080</v>
      </c>
      <c r="AB647" s="58">
        <v>4080</v>
      </c>
      <c r="AC647" s="58">
        <v>4550</v>
      </c>
      <c r="AD647" s="58">
        <v>4550</v>
      </c>
      <c r="AE647" s="58">
        <v>4550</v>
      </c>
      <c r="AF647" s="58">
        <v>4533.67</v>
      </c>
      <c r="AG647" s="58">
        <v>4500</v>
      </c>
      <c r="AH647" s="58">
        <v>4500</v>
      </c>
      <c r="AI647" s="58">
        <v>4500</v>
      </c>
      <c r="AJ647" s="58">
        <v>4500</v>
      </c>
      <c r="AK647" s="58">
        <v>6918.2</v>
      </c>
      <c r="AL647" s="75">
        <f>+SUBTOTAL(9,Tabla6[[#This Row],[ENE]:[DIC]])</f>
        <v>55341.869999999995</v>
      </c>
      <c r="AM647" s="76" t="str">
        <f t="shared" si="13"/>
        <v>OK</v>
      </c>
      <c r="AN647" s="60">
        <f>3723.67+20500+28700+2418.2</f>
        <v>55341.869999999995</v>
      </c>
      <c r="AO647" s="61">
        <f>+Tabla6[[#This Row],[PRESUPUESTO VIGENTE]]-Tabla6[[#This Row],[CERTIFICACIÓN PAPP]]</f>
        <v>0</v>
      </c>
      <c r="AP647" s="59">
        <v>0</v>
      </c>
    </row>
    <row r="648" spans="1:42" ht="93" customHeight="1" x14ac:dyDescent="0.25">
      <c r="A648" s="62" t="s">
        <v>78</v>
      </c>
      <c r="B648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648" s="64" t="s">
        <v>79</v>
      </c>
      <c r="D648" s="64" t="s">
        <v>80</v>
      </c>
      <c r="E648" s="64" t="s">
        <v>81</v>
      </c>
      <c r="F648" s="64" t="s">
        <v>99</v>
      </c>
      <c r="G648" s="64" t="s">
        <v>83</v>
      </c>
      <c r="H648" s="65" t="str">
        <f>VLOOKUP(Tabla6[[#This Row],[DIRECCIÓN]],DIRECCIÓN[#All],2,0)</f>
        <v>ADMINISTRACIÓN CENTRAL</v>
      </c>
      <c r="I648" s="66" t="s">
        <v>599</v>
      </c>
      <c r="J648" s="67">
        <v>1</v>
      </c>
      <c r="K648" s="68" t="str">
        <f>VLOOKUP(Tabla6[[#This Row],[DIRECCIÓN GENERAL / COORDINACIÓN / SUBDIRECCIÓN]],Tabla37[[#All],[Columna1]:[EOD]],2,0)</f>
        <v>266_0004</v>
      </c>
      <c r="L648" s="69">
        <f>VLOOKUP(Tabla6[[#This Row],[OBJETIVOS PND]],Listas!$A$1:$C$3,3,0)</f>
        <v>1</v>
      </c>
      <c r="M648" s="70">
        <f>VLOOKUP(Tabla6[[#This Row],[PG]],Listas2!$G$14:$K$16,5,0)</f>
        <v>0</v>
      </c>
      <c r="N648" s="71">
        <v>1</v>
      </c>
      <c r="O648" s="72">
        <v>2301</v>
      </c>
      <c r="P648" s="73" t="str">
        <f>VLOOKUP(Tabla6[[#This Row],[GEO]],Listas!$A$48:$B$77,2,0)</f>
        <v xml:space="preserve">SANTO DOMINGO </v>
      </c>
      <c r="Q648" s="70">
        <f>VLOOKUP(Tabla6[[#This Row],[PG]],Listas2!$G$14:$K$16,3,0)</f>
        <v>1</v>
      </c>
      <c r="R648" s="73">
        <f>VLOOKUP(Tabla6[[#This Row],[PG]],Listas2!H158:'Listas2'!$G$14:$K$16,4,0)</f>
        <v>0</v>
      </c>
      <c r="S648" s="73">
        <f>VLOOKUP(Tabla6[[#This Row],[PG]],Listas2!$G$14:$K$16,2,0)</f>
        <v>0</v>
      </c>
      <c r="T648" s="66" t="s">
        <v>84</v>
      </c>
      <c r="U648" s="74">
        <v>53</v>
      </c>
      <c r="V648" s="66">
        <v>530201</v>
      </c>
      <c r="W648" s="63" t="str">
        <f>VLOOKUP(Tabla6[[#This Row],[ÍTEM PRESUPUESTARIO]],Tabla2[#All],2,0)</f>
        <v>TRANSPORTE DE PERSONAL</v>
      </c>
      <c r="X648" s="57">
        <v>39000</v>
      </c>
      <c r="Y648" s="57">
        <f>39000-8962.51-123.16-123.16-2805.1</f>
        <v>26986.07</v>
      </c>
      <c r="Z648" s="58">
        <v>3000</v>
      </c>
      <c r="AA648" s="58">
        <v>3000</v>
      </c>
      <c r="AB648" s="58">
        <v>3000</v>
      </c>
      <c r="AC648" s="58">
        <v>3000</v>
      </c>
      <c r="AD648" s="58">
        <v>3000</v>
      </c>
      <c r="AE648" s="58">
        <v>2200</v>
      </c>
      <c r="AF648" s="58">
        <v>2200</v>
      </c>
      <c r="AG648" s="58">
        <v>2200</v>
      </c>
      <c r="AH648" s="58">
        <v>2000</v>
      </c>
      <c r="AI648" s="58">
        <v>2000</v>
      </c>
      <c r="AJ648" s="58">
        <v>1386.07</v>
      </c>
      <c r="AK648" s="58">
        <v>0</v>
      </c>
      <c r="AL648" s="75">
        <f>+SUBTOTAL(9,Tabla6[[#This Row],[ENE]:[DIC]])</f>
        <v>26986.07</v>
      </c>
      <c r="AM648" s="76" t="str">
        <f t="shared" si="13"/>
        <v>OK</v>
      </c>
      <c r="AN648" s="60">
        <f>19537.49+10253.68-564.6+1-2241.5</f>
        <v>26986.070000000003</v>
      </c>
      <c r="AO648" s="61">
        <f>+Tabla6[[#This Row],[PRESUPUESTO VIGENTE]]-Tabla6[[#This Row],[CERTIFICACIÓN PAPP]]</f>
        <v>0</v>
      </c>
      <c r="AP648" s="59">
        <v>0</v>
      </c>
    </row>
    <row r="649" spans="1:42" ht="93" customHeight="1" x14ac:dyDescent="0.25">
      <c r="A649" s="62" t="s">
        <v>78</v>
      </c>
      <c r="B649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649" s="64" t="s">
        <v>79</v>
      </c>
      <c r="D649" s="64" t="s">
        <v>80</v>
      </c>
      <c r="E649" s="64" t="s">
        <v>81</v>
      </c>
      <c r="F649" s="64" t="s">
        <v>99</v>
      </c>
      <c r="G649" s="64" t="s">
        <v>83</v>
      </c>
      <c r="H649" s="65" t="str">
        <f>VLOOKUP(Tabla6[[#This Row],[DIRECCIÓN]],DIRECCIÓN[#All],2,0)</f>
        <v>ADMINISTRACIÓN CENTRAL</v>
      </c>
      <c r="I649" s="66" t="s">
        <v>600</v>
      </c>
      <c r="J649" s="67">
        <v>1</v>
      </c>
      <c r="K649" s="68" t="str">
        <f>VLOOKUP(Tabla6[[#This Row],[DIRECCIÓN GENERAL / COORDINACIÓN / SUBDIRECCIÓN]],Tabla37[[#All],[Columna1]:[EOD]],2,0)</f>
        <v>266_0004</v>
      </c>
      <c r="L649" s="69">
        <f>VLOOKUP(Tabla6[[#This Row],[OBJETIVOS PND]],Listas!$A$1:$C$3,3,0)</f>
        <v>1</v>
      </c>
      <c r="M649" s="70">
        <f>VLOOKUP(Tabla6[[#This Row],[PG]],Listas2!$G$14:$K$16,5,0)</f>
        <v>0</v>
      </c>
      <c r="N649" s="71">
        <v>1</v>
      </c>
      <c r="O649" s="72">
        <v>2301</v>
      </c>
      <c r="P649" s="73" t="str">
        <f>VLOOKUP(Tabla6[[#This Row],[GEO]],Listas!$A$48:$B$77,2,0)</f>
        <v xml:space="preserve">SANTO DOMINGO </v>
      </c>
      <c r="Q649" s="70">
        <f>VLOOKUP(Tabla6[[#This Row],[PG]],Listas2!$G$14:$K$16,3,0)</f>
        <v>1</v>
      </c>
      <c r="R649" s="73">
        <f>VLOOKUP(Tabla6[[#This Row],[PG]],Listas2!H159:'Listas2'!$G$14:$K$16,4,0)</f>
        <v>0</v>
      </c>
      <c r="S649" s="73">
        <f>VLOOKUP(Tabla6[[#This Row],[PG]],Listas2!$G$14:$K$16,2,0)</f>
        <v>0</v>
      </c>
      <c r="T649" s="66" t="s">
        <v>84</v>
      </c>
      <c r="U649" s="74">
        <v>53</v>
      </c>
      <c r="V649" s="66">
        <v>530209</v>
      </c>
      <c r="W649" s="63" t="str">
        <f>VLOOKUP(Tabla6[[#This Row],[ÍTEM PRESUPUESTARIO]],Tabla2[#All],2,0)</f>
        <v>SERVICIOS DE ASEO, LAVADO DE VESTIMENTA DE TRABAJO, FUMIGACIÓN, DESINFECCIÓN, LIMPIEZA DE INSTALACIONES, MANEJO DE DESECHOS CONTAMINADOS, RECUPERACIÓN Y CLASIFICACIÓN DE MATERIALES RECICLABLES</v>
      </c>
      <c r="X649" s="57">
        <v>39225</v>
      </c>
      <c r="Y649" s="57">
        <f>39225+20581.96-3800-843</f>
        <v>55163.96</v>
      </c>
      <c r="Z649" s="58">
        <v>4950</v>
      </c>
      <c r="AA649" s="58">
        <v>4950</v>
      </c>
      <c r="AB649" s="58">
        <v>4950</v>
      </c>
      <c r="AC649" s="58">
        <v>4950</v>
      </c>
      <c r="AD649" s="58">
        <v>4950</v>
      </c>
      <c r="AE649" s="58">
        <v>4950</v>
      </c>
      <c r="AF649" s="58">
        <v>6000</v>
      </c>
      <c r="AG649" s="58">
        <v>6000</v>
      </c>
      <c r="AH649" s="58">
        <v>5000</v>
      </c>
      <c r="AI649" s="58">
        <v>5606.96</v>
      </c>
      <c r="AJ649" s="58">
        <v>2857</v>
      </c>
      <c r="AK649" s="58">
        <v>0</v>
      </c>
      <c r="AL649" s="75">
        <f>+SUBTOTAL(9,Tabla6[[#This Row],[ENE]:[DIC]])</f>
        <v>55163.96</v>
      </c>
      <c r="AM649" s="76" t="str">
        <f t="shared" si="13"/>
        <v>OK</v>
      </c>
      <c r="AN649" s="60">
        <f>31942.96+27864-4644+1</f>
        <v>55163.96</v>
      </c>
      <c r="AO649" s="61">
        <f>+Tabla6[[#This Row],[PRESUPUESTO VIGENTE]]-Tabla6[[#This Row],[CERTIFICACIÓN PAPP]]</f>
        <v>0</v>
      </c>
      <c r="AP649" s="59">
        <v>0</v>
      </c>
    </row>
    <row r="650" spans="1:42" ht="93" customHeight="1" x14ac:dyDescent="0.25">
      <c r="A650" s="62" t="s">
        <v>78</v>
      </c>
      <c r="B650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650" s="64" t="s">
        <v>79</v>
      </c>
      <c r="D650" s="64" t="s">
        <v>80</v>
      </c>
      <c r="E650" s="64" t="s">
        <v>81</v>
      </c>
      <c r="F650" s="64" t="s">
        <v>99</v>
      </c>
      <c r="G650" s="64" t="s">
        <v>83</v>
      </c>
      <c r="H650" s="65" t="str">
        <f>VLOOKUP(Tabla6[[#This Row],[DIRECCIÓN]],DIRECCIÓN[#All],2,0)</f>
        <v>ADMINISTRACIÓN CENTRAL</v>
      </c>
      <c r="I650" s="66" t="s">
        <v>601</v>
      </c>
      <c r="J650" s="67">
        <v>1</v>
      </c>
      <c r="K650" s="68" t="str">
        <f>VLOOKUP(Tabla6[[#This Row],[DIRECCIÓN GENERAL / COORDINACIÓN / SUBDIRECCIÓN]],Tabla37[[#All],[Columna1]:[EOD]],2,0)</f>
        <v>266_0004</v>
      </c>
      <c r="L650" s="69">
        <f>VLOOKUP(Tabla6[[#This Row],[OBJETIVOS PND]],Listas!$A$1:$C$3,3,0)</f>
        <v>1</v>
      </c>
      <c r="M650" s="70">
        <f>VLOOKUP(Tabla6[[#This Row],[PG]],Listas2!$G$14:$K$16,5,0)</f>
        <v>0</v>
      </c>
      <c r="N650" s="71">
        <v>1</v>
      </c>
      <c r="O650" s="72">
        <v>2301</v>
      </c>
      <c r="P650" s="73" t="str">
        <f>VLOOKUP(Tabla6[[#This Row],[GEO]],Listas!$A$48:$B$77,2,0)</f>
        <v xml:space="preserve">SANTO DOMINGO </v>
      </c>
      <c r="Q650" s="70">
        <f>VLOOKUP(Tabla6[[#This Row],[PG]],Listas2!$G$14:$K$16,3,0)</f>
        <v>1</v>
      </c>
      <c r="R650" s="73">
        <f>VLOOKUP(Tabla6[[#This Row],[PG]],Listas2!H160:'Listas2'!$G$14:$K$16,4,0)</f>
        <v>0</v>
      </c>
      <c r="S650" s="73">
        <f>VLOOKUP(Tabla6[[#This Row],[PG]],Listas2!$G$14:$K$16,2,0)</f>
        <v>0</v>
      </c>
      <c r="T650" s="66" t="s">
        <v>84</v>
      </c>
      <c r="U650" s="74">
        <v>53</v>
      </c>
      <c r="V650" s="66">
        <v>530210</v>
      </c>
      <c r="W650" s="63" t="str">
        <f>VLOOKUP(Tabla6[[#This Row],[ÍTEM PRESUPUESTARIO]],Tabla2[#All],2,0)</f>
        <v>SERVICIO DE GUARDERÍA</v>
      </c>
      <c r="X650" s="57">
        <v>0</v>
      </c>
      <c r="Y650" s="57">
        <f>3906-3906</f>
        <v>0</v>
      </c>
      <c r="Z650" s="58">
        <v>0</v>
      </c>
      <c r="AA650" s="58">
        <v>0</v>
      </c>
      <c r="AB650" s="58">
        <v>0</v>
      </c>
      <c r="AC650" s="58">
        <v>0</v>
      </c>
      <c r="AD650" s="58">
        <v>0</v>
      </c>
      <c r="AE650" s="58">
        <v>0</v>
      </c>
      <c r="AF650" s="58">
        <v>0</v>
      </c>
      <c r="AG650" s="58">
        <v>0</v>
      </c>
      <c r="AH650" s="58">
        <v>0</v>
      </c>
      <c r="AI650" s="58">
        <v>0</v>
      </c>
      <c r="AJ650" s="58">
        <v>0</v>
      </c>
      <c r="AK650" s="58">
        <v>0</v>
      </c>
      <c r="AL650" s="75">
        <f>+SUBTOTAL(9,Tabla6[[#This Row],[ENE]:[DIC]])</f>
        <v>0</v>
      </c>
      <c r="AM650" s="76" t="str">
        <f t="shared" si="13"/>
        <v>OK</v>
      </c>
      <c r="AN650" s="60">
        <f>3906-3906</f>
        <v>0</v>
      </c>
      <c r="AO650" s="61">
        <f>+Tabla6[[#This Row],[PRESUPUESTO VIGENTE]]-Tabla6[[#This Row],[CERTIFICACIÓN PAPP]]</f>
        <v>0</v>
      </c>
      <c r="AP650" s="59">
        <v>0</v>
      </c>
    </row>
    <row r="651" spans="1:42" ht="93" customHeight="1" x14ac:dyDescent="0.25">
      <c r="A651" s="62" t="s">
        <v>78</v>
      </c>
      <c r="B651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651" s="64" t="s">
        <v>79</v>
      </c>
      <c r="D651" s="64" t="s">
        <v>80</v>
      </c>
      <c r="E651" s="64" t="s">
        <v>81</v>
      </c>
      <c r="F651" s="64" t="s">
        <v>99</v>
      </c>
      <c r="G651" s="64" t="s">
        <v>83</v>
      </c>
      <c r="H651" s="65" t="str">
        <f>VLOOKUP(Tabla6[[#This Row],[DIRECCIÓN]],DIRECCIÓN[#All],2,0)</f>
        <v>ADMINISTRACIÓN CENTRAL</v>
      </c>
      <c r="I651" s="66" t="s">
        <v>602</v>
      </c>
      <c r="J651" s="67">
        <v>1</v>
      </c>
      <c r="K651" s="68" t="str">
        <f>VLOOKUP(Tabla6[[#This Row],[DIRECCIÓN GENERAL / COORDINACIÓN / SUBDIRECCIÓN]],Tabla37[[#All],[Columna1]:[EOD]],2,0)</f>
        <v>266_0004</v>
      </c>
      <c r="L651" s="69">
        <f>VLOOKUP(Tabla6[[#This Row],[OBJETIVOS PND]],Listas!$A$1:$C$3,3,0)</f>
        <v>1</v>
      </c>
      <c r="M651" s="70">
        <f>VLOOKUP(Tabla6[[#This Row],[PG]],Listas2!$G$14:$K$16,5,0)</f>
        <v>0</v>
      </c>
      <c r="N651" s="71">
        <v>1</v>
      </c>
      <c r="O651" s="72">
        <v>2301</v>
      </c>
      <c r="P651" s="73" t="str">
        <f>VLOOKUP(Tabla6[[#This Row],[GEO]],Listas!$A$48:$B$77,2,0)</f>
        <v xml:space="preserve">SANTO DOMINGO </v>
      </c>
      <c r="Q651" s="70">
        <f>VLOOKUP(Tabla6[[#This Row],[PG]],Listas2!$G$14:$K$16,3,0)</f>
        <v>1</v>
      </c>
      <c r="R651" s="73">
        <f>VLOOKUP(Tabla6[[#This Row],[PG]],Listas2!H161:'Listas2'!$G$14:$K$16,4,0)</f>
        <v>0</v>
      </c>
      <c r="S651" s="73">
        <f>VLOOKUP(Tabla6[[#This Row],[PG]],Listas2!$G$14:$K$16,2,0)</f>
        <v>0</v>
      </c>
      <c r="T651" s="66" t="s">
        <v>84</v>
      </c>
      <c r="U651" s="74">
        <v>53</v>
      </c>
      <c r="V651" s="66">
        <v>530255</v>
      </c>
      <c r="W651" s="63" t="str">
        <f>VLOOKUP(Tabla6[[#This Row],[ÍTEM PRESUPUESTARIO]],Tabla2[#All],2,0)</f>
        <v>COMBUSTIBLES</v>
      </c>
      <c r="X651" s="57">
        <v>0</v>
      </c>
      <c r="Y651" s="57">
        <f>3650-764.86</f>
        <v>2885.14</v>
      </c>
      <c r="Z651" s="58">
        <v>0</v>
      </c>
      <c r="AA651" s="58">
        <v>331</v>
      </c>
      <c r="AB651" s="58">
        <v>331</v>
      </c>
      <c r="AC651" s="58">
        <v>331</v>
      </c>
      <c r="AD651" s="58">
        <v>331</v>
      </c>
      <c r="AE651" s="58">
        <v>331</v>
      </c>
      <c r="AF651" s="58">
        <v>331</v>
      </c>
      <c r="AG651" s="58">
        <v>331</v>
      </c>
      <c r="AH651" s="58">
        <v>331</v>
      </c>
      <c r="AI651" s="58">
        <v>237.14</v>
      </c>
      <c r="AJ651" s="58">
        <v>0</v>
      </c>
      <c r="AK651" s="58">
        <v>0</v>
      </c>
      <c r="AL651" s="75">
        <f>+SUBTOTAL(9,Tabla6[[#This Row],[ENE]:[DIC]])</f>
        <v>2885.14</v>
      </c>
      <c r="AM651" s="76" t="str">
        <f t="shared" si="13"/>
        <v>OK</v>
      </c>
      <c r="AN651" s="60">
        <f>3650-391.07+277.54+113.53-764.86</f>
        <v>2885.14</v>
      </c>
      <c r="AO651" s="61">
        <f>+Tabla6[[#This Row],[PRESUPUESTO VIGENTE]]-Tabla6[[#This Row],[CERTIFICACIÓN PAPP]]</f>
        <v>0</v>
      </c>
      <c r="AP651" s="59">
        <v>0</v>
      </c>
    </row>
    <row r="652" spans="1:42" ht="93" customHeight="1" x14ac:dyDescent="0.25">
      <c r="A652" s="62" t="s">
        <v>78</v>
      </c>
      <c r="B652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652" s="64" t="s">
        <v>79</v>
      </c>
      <c r="D652" s="64" t="s">
        <v>80</v>
      </c>
      <c r="E652" s="64" t="s">
        <v>81</v>
      </c>
      <c r="F652" s="64" t="s">
        <v>99</v>
      </c>
      <c r="G652" s="64" t="s">
        <v>83</v>
      </c>
      <c r="H652" s="65" t="str">
        <f>VLOOKUP(Tabla6[[#This Row],[DIRECCIÓN]],DIRECCIÓN[#All],2,0)</f>
        <v>ADMINISTRACIÓN CENTRAL</v>
      </c>
      <c r="I652" s="66" t="s">
        <v>603</v>
      </c>
      <c r="J652" s="67">
        <v>1</v>
      </c>
      <c r="K652" s="68" t="str">
        <f>VLOOKUP(Tabla6[[#This Row],[DIRECCIÓN GENERAL / COORDINACIÓN / SUBDIRECCIÓN]],Tabla37[[#All],[Columna1]:[EOD]],2,0)</f>
        <v>266_0004</v>
      </c>
      <c r="L652" s="69">
        <f>VLOOKUP(Tabla6[[#This Row],[OBJETIVOS PND]],Listas!$A$1:$C$3,3,0)</f>
        <v>1</v>
      </c>
      <c r="M652" s="70">
        <f>VLOOKUP(Tabla6[[#This Row],[PG]],Listas2!$G$14:$K$16,5,0)</f>
        <v>0</v>
      </c>
      <c r="N652" s="71">
        <v>1</v>
      </c>
      <c r="O652" s="72">
        <v>2301</v>
      </c>
      <c r="P652" s="73" t="str">
        <f>VLOOKUP(Tabla6[[#This Row],[GEO]],Listas!$A$48:$B$77,2,0)</f>
        <v xml:space="preserve">SANTO DOMINGO </v>
      </c>
      <c r="Q652" s="70">
        <f>VLOOKUP(Tabla6[[#This Row],[PG]],Listas2!$G$14:$K$16,3,0)</f>
        <v>1</v>
      </c>
      <c r="R652" s="73">
        <f>VLOOKUP(Tabla6[[#This Row],[PG]],Listas2!H162:'Listas2'!$G$14:$K$16,4,0)</f>
        <v>0</v>
      </c>
      <c r="S652" s="73">
        <f>VLOOKUP(Tabla6[[#This Row],[PG]],Listas2!$G$14:$K$16,2,0)</f>
        <v>0</v>
      </c>
      <c r="T652" s="66" t="s">
        <v>84</v>
      </c>
      <c r="U652" s="74">
        <v>53</v>
      </c>
      <c r="V652" s="66">
        <v>530255</v>
      </c>
      <c r="W652" s="63" t="str">
        <f>VLOOKUP(Tabla6[[#This Row],[ÍTEM PRESUPUESTARIO]],Tabla2[#All],2,0)</f>
        <v>COMBUSTIBLES</v>
      </c>
      <c r="X652" s="57">
        <v>0</v>
      </c>
      <c r="Y652" s="57">
        <f>113.53-56.76-52.67-4.1</f>
        <v>0</v>
      </c>
      <c r="Z652" s="58">
        <v>0</v>
      </c>
      <c r="AA652" s="58">
        <v>0</v>
      </c>
      <c r="AB652" s="58">
        <v>0</v>
      </c>
      <c r="AC652" s="58">
        <v>0</v>
      </c>
      <c r="AD652" s="58">
        <v>0</v>
      </c>
      <c r="AE652" s="58">
        <v>0</v>
      </c>
      <c r="AF652" s="58">
        <v>0</v>
      </c>
      <c r="AG652" s="58">
        <v>0</v>
      </c>
      <c r="AH652" s="58">
        <v>0</v>
      </c>
      <c r="AI652" s="58">
        <v>0</v>
      </c>
      <c r="AJ652" s="58">
        <v>0</v>
      </c>
      <c r="AK652" s="58">
        <v>0</v>
      </c>
      <c r="AL652" s="75">
        <f>+SUBTOTAL(9,Tabla6[[#This Row],[ENE]:[DIC]])</f>
        <v>0</v>
      </c>
      <c r="AM652" s="76" t="str">
        <f t="shared" si="13"/>
        <v>OK</v>
      </c>
      <c r="AN652" s="60">
        <v>0</v>
      </c>
      <c r="AO652" s="61">
        <f>+Tabla6[[#This Row],[PRESUPUESTO VIGENTE]]-Tabla6[[#This Row],[CERTIFICACIÓN PAPP]]</f>
        <v>0</v>
      </c>
      <c r="AP652" s="59">
        <v>0</v>
      </c>
    </row>
    <row r="653" spans="1:42" ht="93" customHeight="1" x14ac:dyDescent="0.25">
      <c r="A653" s="62" t="s">
        <v>78</v>
      </c>
      <c r="B653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653" s="64" t="s">
        <v>79</v>
      </c>
      <c r="D653" s="64" t="s">
        <v>80</v>
      </c>
      <c r="E653" s="64" t="s">
        <v>81</v>
      </c>
      <c r="F653" s="64" t="s">
        <v>99</v>
      </c>
      <c r="G653" s="64" t="s">
        <v>83</v>
      </c>
      <c r="H653" s="65" t="str">
        <f>VLOOKUP(Tabla6[[#This Row],[DIRECCIÓN]],DIRECCIÓN[#All],2,0)</f>
        <v>ADMINISTRACIÓN CENTRAL</v>
      </c>
      <c r="I653" s="66" t="s">
        <v>604</v>
      </c>
      <c r="J653" s="67">
        <v>1</v>
      </c>
      <c r="K653" s="68" t="str">
        <f>VLOOKUP(Tabla6[[#This Row],[DIRECCIÓN GENERAL / COORDINACIÓN / SUBDIRECCIÓN]],Tabla37[[#All],[Columna1]:[EOD]],2,0)</f>
        <v>266_0004</v>
      </c>
      <c r="L653" s="69">
        <f>VLOOKUP(Tabla6[[#This Row],[OBJETIVOS PND]],Listas!$A$1:$C$3,3,0)</f>
        <v>1</v>
      </c>
      <c r="M653" s="70">
        <f>VLOOKUP(Tabla6[[#This Row],[PG]],Listas2!$G$14:$K$16,5,0)</f>
        <v>0</v>
      </c>
      <c r="N653" s="71">
        <v>1</v>
      </c>
      <c r="O653" s="72">
        <v>2301</v>
      </c>
      <c r="P653" s="73" t="str">
        <f>VLOOKUP(Tabla6[[#This Row],[GEO]],Listas!$A$48:$B$77,2,0)</f>
        <v xml:space="preserve">SANTO DOMINGO </v>
      </c>
      <c r="Q653" s="70">
        <f>VLOOKUP(Tabla6[[#This Row],[PG]],Listas2!$G$14:$K$16,3,0)</f>
        <v>1</v>
      </c>
      <c r="R653" s="73">
        <f>VLOOKUP(Tabla6[[#This Row],[PG]],Listas2!H163:'Listas2'!$G$14:$K$16,4,0)</f>
        <v>0</v>
      </c>
      <c r="S653" s="73">
        <f>VLOOKUP(Tabla6[[#This Row],[PG]],Listas2!$G$14:$K$16,2,0)</f>
        <v>0</v>
      </c>
      <c r="T653" s="66" t="s">
        <v>84</v>
      </c>
      <c r="U653" s="74">
        <v>53</v>
      </c>
      <c r="V653" s="66">
        <v>530301</v>
      </c>
      <c r="W653" s="63" t="str">
        <f>VLOOKUP(Tabla6[[#This Row],[ÍTEM PRESUPUESTARIO]],Tabla2[#All],2,0)</f>
        <v>PASAJES AL INTERIOR</v>
      </c>
      <c r="X653" s="57">
        <v>100</v>
      </c>
      <c r="Y653" s="57">
        <f>100+100-122</f>
        <v>78</v>
      </c>
      <c r="Z653" s="58">
        <v>0</v>
      </c>
      <c r="AA653" s="58">
        <v>0</v>
      </c>
      <c r="AB653" s="58">
        <v>0</v>
      </c>
      <c r="AC653" s="58">
        <v>0</v>
      </c>
      <c r="AD653" s="58">
        <v>0</v>
      </c>
      <c r="AE653" s="58">
        <v>0</v>
      </c>
      <c r="AF653" s="58">
        <v>0</v>
      </c>
      <c r="AG653" s="58">
        <v>0</v>
      </c>
      <c r="AH653" s="58">
        <v>0</v>
      </c>
      <c r="AI653" s="58">
        <v>0</v>
      </c>
      <c r="AJ653" s="58">
        <v>0</v>
      </c>
      <c r="AK653" s="58">
        <v>78</v>
      </c>
      <c r="AL653" s="75">
        <f>+SUBTOTAL(9,Tabla6[[#This Row],[ENE]:[DIC]])</f>
        <v>78</v>
      </c>
      <c r="AM653" s="76" t="str">
        <f t="shared" si="13"/>
        <v>OK</v>
      </c>
      <c r="AN653" s="60">
        <f>100+100-122</f>
        <v>78</v>
      </c>
      <c r="AO653" s="61">
        <f>+Tabla6[[#This Row],[PRESUPUESTO VIGENTE]]-Tabla6[[#This Row],[CERTIFICACIÓN PAPP]]</f>
        <v>0</v>
      </c>
      <c r="AP653" s="59">
        <v>0</v>
      </c>
    </row>
    <row r="654" spans="1:42" ht="93" customHeight="1" x14ac:dyDescent="0.25">
      <c r="A654" s="62" t="s">
        <v>78</v>
      </c>
      <c r="B654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654" s="64" t="s">
        <v>79</v>
      </c>
      <c r="D654" s="64" t="s">
        <v>80</v>
      </c>
      <c r="E654" s="64" t="s">
        <v>81</v>
      </c>
      <c r="F654" s="64" t="s">
        <v>99</v>
      </c>
      <c r="G654" s="64" t="s">
        <v>83</v>
      </c>
      <c r="H654" s="65" t="str">
        <f>VLOOKUP(Tabla6[[#This Row],[DIRECCIÓN]],DIRECCIÓN[#All],2,0)</f>
        <v>ADMINISTRACIÓN CENTRAL</v>
      </c>
      <c r="I654" s="66" t="s">
        <v>605</v>
      </c>
      <c r="J654" s="67">
        <v>1</v>
      </c>
      <c r="K654" s="68" t="str">
        <f>VLOOKUP(Tabla6[[#This Row],[DIRECCIÓN GENERAL / COORDINACIÓN / SUBDIRECCIÓN]],Tabla37[[#All],[Columna1]:[EOD]],2,0)</f>
        <v>266_0004</v>
      </c>
      <c r="L654" s="69">
        <f>VLOOKUP(Tabla6[[#This Row],[OBJETIVOS PND]],Listas!$A$1:$C$3,3,0)</f>
        <v>1</v>
      </c>
      <c r="M654" s="70">
        <f>VLOOKUP(Tabla6[[#This Row],[PG]],Listas2!$G$14:$K$16,5,0)</f>
        <v>0</v>
      </c>
      <c r="N654" s="71">
        <v>1</v>
      </c>
      <c r="O654" s="72">
        <v>2301</v>
      </c>
      <c r="P654" s="73" t="str">
        <f>VLOOKUP(Tabla6[[#This Row],[GEO]],Listas!$A$48:$B$77,2,0)</f>
        <v xml:space="preserve">SANTO DOMINGO </v>
      </c>
      <c r="Q654" s="70">
        <f>VLOOKUP(Tabla6[[#This Row],[PG]],Listas2!$G$14:$K$16,3,0)</f>
        <v>1</v>
      </c>
      <c r="R654" s="73">
        <f>VLOOKUP(Tabla6[[#This Row],[PG]],Listas2!H164:'Listas2'!$G$14:$K$16,4,0)</f>
        <v>0</v>
      </c>
      <c r="S654" s="73">
        <f>VLOOKUP(Tabla6[[#This Row],[PG]],Listas2!$G$14:$K$16,2,0)</f>
        <v>0</v>
      </c>
      <c r="T654" s="66" t="s">
        <v>84</v>
      </c>
      <c r="U654" s="74">
        <v>53</v>
      </c>
      <c r="V654" s="66">
        <v>530303</v>
      </c>
      <c r="W654" s="63" t="str">
        <f>VLOOKUP(Tabla6[[#This Row],[ÍTEM PRESUPUESTARIO]],Tabla2[#All],2,0)</f>
        <v>VIÁTICOS Y SUBSISTENCIAS EN EL INTERIOR</v>
      </c>
      <c r="X654" s="57">
        <v>930</v>
      </c>
      <c r="Y654" s="57">
        <f>930+1000+1000+1321.39-270-1136.51</f>
        <v>2844.88</v>
      </c>
      <c r="Z654" s="58">
        <v>0</v>
      </c>
      <c r="AA654" s="58">
        <v>0</v>
      </c>
      <c r="AB654" s="58">
        <v>0</v>
      </c>
      <c r="AC654" s="58">
        <v>0</v>
      </c>
      <c r="AD654" s="58">
        <v>0</v>
      </c>
      <c r="AE654" s="58">
        <v>0</v>
      </c>
      <c r="AF654" s="58">
        <v>0</v>
      </c>
      <c r="AG654" s="58">
        <v>0</v>
      </c>
      <c r="AH654" s="58">
        <v>0</v>
      </c>
      <c r="AI654" s="58">
        <v>0</v>
      </c>
      <c r="AJ654" s="58">
        <v>0</v>
      </c>
      <c r="AK654" s="58">
        <v>2844.88</v>
      </c>
      <c r="AL654" s="75">
        <f>+SUBTOTAL(9,Tabla6[[#This Row],[ENE]:[DIC]])</f>
        <v>2844.88</v>
      </c>
      <c r="AM654" s="76" t="str">
        <f t="shared" si="13"/>
        <v>OK</v>
      </c>
      <c r="AN654" s="60">
        <f>930+1000+2051.39-1136.51</f>
        <v>2844.88</v>
      </c>
      <c r="AO654" s="61">
        <f>+Tabla6[[#This Row],[PRESUPUESTO VIGENTE]]-Tabla6[[#This Row],[CERTIFICACIÓN PAPP]]</f>
        <v>0</v>
      </c>
      <c r="AP654" s="59">
        <v>0</v>
      </c>
    </row>
    <row r="655" spans="1:42" ht="93" customHeight="1" x14ac:dyDescent="0.25">
      <c r="A655" s="62" t="s">
        <v>78</v>
      </c>
      <c r="B655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655" s="64" t="s">
        <v>79</v>
      </c>
      <c r="D655" s="64" t="s">
        <v>80</v>
      </c>
      <c r="E655" s="64" t="s">
        <v>81</v>
      </c>
      <c r="F655" s="64" t="s">
        <v>99</v>
      </c>
      <c r="G655" s="64" t="s">
        <v>83</v>
      </c>
      <c r="H655" s="65" t="str">
        <f>VLOOKUP(Tabla6[[#This Row],[DIRECCIÓN]],DIRECCIÓN[#All],2,0)</f>
        <v>ADMINISTRACIÓN CENTRAL</v>
      </c>
      <c r="I655" s="66" t="s">
        <v>606</v>
      </c>
      <c r="J655" s="67">
        <v>1</v>
      </c>
      <c r="K655" s="68" t="str">
        <f>VLOOKUP(Tabla6[[#This Row],[DIRECCIÓN GENERAL / COORDINACIÓN / SUBDIRECCIÓN]],Tabla37[[#All],[Columna1]:[EOD]],2,0)</f>
        <v>266_0004</v>
      </c>
      <c r="L655" s="69">
        <f>VLOOKUP(Tabla6[[#This Row],[OBJETIVOS PND]],Listas!$A$1:$C$3,3,0)</f>
        <v>1</v>
      </c>
      <c r="M655" s="70">
        <f>VLOOKUP(Tabla6[[#This Row],[PG]],Listas2!$G$14:$K$16,5,0)</f>
        <v>0</v>
      </c>
      <c r="N655" s="71">
        <v>1</v>
      </c>
      <c r="O655" s="72">
        <v>2301</v>
      </c>
      <c r="P655" s="73" t="str">
        <f>VLOOKUP(Tabla6[[#This Row],[GEO]],Listas!$A$48:$B$77,2,0)</f>
        <v xml:space="preserve">SANTO DOMINGO </v>
      </c>
      <c r="Q655" s="70">
        <f>VLOOKUP(Tabla6[[#This Row],[PG]],Listas2!$G$14:$K$16,3,0)</f>
        <v>1</v>
      </c>
      <c r="R655" s="73">
        <f>VLOOKUP(Tabla6[[#This Row],[PG]],Listas2!H165:'Listas2'!$G$14:$K$16,4,0)</f>
        <v>0</v>
      </c>
      <c r="S655" s="73">
        <f>VLOOKUP(Tabla6[[#This Row],[PG]],Listas2!$G$14:$K$16,2,0)</f>
        <v>0</v>
      </c>
      <c r="T655" s="66" t="s">
        <v>84</v>
      </c>
      <c r="U655" s="74">
        <v>53</v>
      </c>
      <c r="V655" s="66">
        <v>530402</v>
      </c>
      <c r="W655" s="63" t="str">
        <f>VLOOKUP(Tabla6[[#This Row],[ÍTEM PRESUPUESTARIO]],Tabla2[#All],2,0)</f>
        <v>EDIFICIOS, LOCALES, RESIDENCIAS Y CABLEADO ESTRUCTURADO (INSTALACIÓN, MANTENIMIENTO Y REPARACIÓN)</v>
      </c>
      <c r="X655" s="57">
        <v>34000</v>
      </c>
      <c r="Y655" s="57">
        <f>34000-30357.14+25357.14-159.8-159.8-10680.4-505.99-17494.01</f>
        <v>0</v>
      </c>
      <c r="Z655" s="58">
        <v>0</v>
      </c>
      <c r="AA655" s="58">
        <v>0</v>
      </c>
      <c r="AB655" s="58">
        <v>0</v>
      </c>
      <c r="AC655" s="58">
        <v>0</v>
      </c>
      <c r="AD655" s="58">
        <v>0</v>
      </c>
      <c r="AE655" s="58">
        <v>0</v>
      </c>
      <c r="AF655" s="58">
        <v>0</v>
      </c>
      <c r="AG655" s="58">
        <v>0</v>
      </c>
      <c r="AH655" s="58">
        <v>0</v>
      </c>
      <c r="AI655" s="58">
        <v>0</v>
      </c>
      <c r="AJ655" s="58">
        <v>0</v>
      </c>
      <c r="AK655" s="58">
        <v>0</v>
      </c>
      <c r="AL655" s="75">
        <f>+SUBTOTAL(9,Tabla6[[#This Row],[ENE]:[DIC]])</f>
        <v>0</v>
      </c>
      <c r="AM655" s="76" t="str">
        <f t="shared" si="13"/>
        <v>OK</v>
      </c>
      <c r="AN655" s="60">
        <f>28680.4-28680.4+17494.01-17494.01</f>
        <v>0</v>
      </c>
      <c r="AO655" s="61">
        <f>+Tabla6[[#This Row],[PRESUPUESTO VIGENTE]]-Tabla6[[#This Row],[CERTIFICACIÓN PAPP]]</f>
        <v>0</v>
      </c>
      <c r="AP655" s="59" t="s">
        <v>87</v>
      </c>
    </row>
    <row r="656" spans="1:42" ht="93" customHeight="1" x14ac:dyDescent="0.25">
      <c r="A656" s="62" t="s">
        <v>78</v>
      </c>
      <c r="B656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656" s="64" t="s">
        <v>79</v>
      </c>
      <c r="D656" s="64" t="s">
        <v>80</v>
      </c>
      <c r="E656" s="64" t="s">
        <v>81</v>
      </c>
      <c r="F656" s="64" t="s">
        <v>99</v>
      </c>
      <c r="G656" s="64" t="s">
        <v>83</v>
      </c>
      <c r="H656" s="65" t="str">
        <f>VLOOKUP(Tabla6[[#This Row],[DIRECCIÓN]],DIRECCIÓN[#All],2,0)</f>
        <v>ADMINISTRACIÓN CENTRAL</v>
      </c>
      <c r="I656" s="66" t="s">
        <v>607</v>
      </c>
      <c r="J656" s="67">
        <v>1</v>
      </c>
      <c r="K656" s="68" t="str">
        <f>VLOOKUP(Tabla6[[#This Row],[DIRECCIÓN GENERAL / COORDINACIÓN / SUBDIRECCIÓN]],Tabla37[[#All],[Columna1]:[EOD]],2,0)</f>
        <v>266_0004</v>
      </c>
      <c r="L656" s="69">
        <f>VLOOKUP(Tabla6[[#This Row],[OBJETIVOS PND]],Listas!$A$1:$C$3,3,0)</f>
        <v>1</v>
      </c>
      <c r="M656" s="70">
        <f>VLOOKUP(Tabla6[[#This Row],[PG]],Listas2!$G$14:$K$16,5,0)</f>
        <v>0</v>
      </c>
      <c r="N656" s="71">
        <v>1</v>
      </c>
      <c r="O656" s="72">
        <v>2301</v>
      </c>
      <c r="P656" s="73" t="str">
        <f>VLOOKUP(Tabla6[[#This Row],[GEO]],Listas!$A$48:$B$77,2,0)</f>
        <v xml:space="preserve">SANTO DOMINGO </v>
      </c>
      <c r="Q656" s="70">
        <f>VLOOKUP(Tabla6[[#This Row],[PG]],Listas2!$G$14:$K$16,3,0)</f>
        <v>1</v>
      </c>
      <c r="R656" s="73">
        <f>VLOOKUP(Tabla6[[#This Row],[PG]],Listas2!H166:'Listas2'!$G$14:$K$16,4,0)</f>
        <v>0</v>
      </c>
      <c r="S656" s="73">
        <f>VLOOKUP(Tabla6[[#This Row],[PG]],Listas2!$G$14:$K$16,2,0)</f>
        <v>0</v>
      </c>
      <c r="T656" s="66" t="s">
        <v>84</v>
      </c>
      <c r="U656" s="74">
        <v>53</v>
      </c>
      <c r="V656" s="66">
        <v>530402</v>
      </c>
      <c r="W656" s="63" t="str">
        <f>VLOOKUP(Tabla6[[#This Row],[ÍTEM PRESUPUESTARIO]],Tabla2[#All],2,0)</f>
        <v>EDIFICIOS, LOCALES, RESIDENCIAS Y CABLEADO ESTRUCTURADO (INSTALACIÓN, MANTENIMIENTO Y REPARACIÓN)</v>
      </c>
      <c r="X656" s="57">
        <v>0</v>
      </c>
      <c r="Y656" s="57">
        <f>3750-3750</f>
        <v>0</v>
      </c>
      <c r="Z656" s="58">
        <v>0</v>
      </c>
      <c r="AA656" s="58">
        <v>0</v>
      </c>
      <c r="AB656" s="58">
        <v>0</v>
      </c>
      <c r="AC656" s="58">
        <v>0</v>
      </c>
      <c r="AD656" s="58">
        <v>0</v>
      </c>
      <c r="AE656" s="58">
        <v>0</v>
      </c>
      <c r="AF656" s="58">
        <v>0</v>
      </c>
      <c r="AG656" s="58">
        <v>0</v>
      </c>
      <c r="AH656" s="58">
        <v>0</v>
      </c>
      <c r="AI656" s="58">
        <v>0</v>
      </c>
      <c r="AJ656" s="58">
        <v>0</v>
      </c>
      <c r="AK656" s="58">
        <v>0</v>
      </c>
      <c r="AL656" s="75">
        <f>+SUBTOTAL(9,Tabla6[[#This Row],[ENE]:[DIC]])</f>
        <v>0</v>
      </c>
      <c r="AM656" s="76" t="str">
        <f t="shared" si="13"/>
        <v>OK</v>
      </c>
      <c r="AN656" s="60">
        <v>0</v>
      </c>
      <c r="AO656" s="61">
        <f>+Tabla6[[#This Row],[PRESUPUESTO VIGENTE]]-Tabla6[[#This Row],[CERTIFICACIÓN PAPP]]</f>
        <v>0</v>
      </c>
      <c r="AP656" s="59">
        <v>0</v>
      </c>
    </row>
    <row r="657" spans="1:42" ht="93" customHeight="1" x14ac:dyDescent="0.25">
      <c r="A657" s="62" t="s">
        <v>78</v>
      </c>
      <c r="B657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657" s="64" t="s">
        <v>79</v>
      </c>
      <c r="D657" s="64" t="s">
        <v>80</v>
      </c>
      <c r="E657" s="64" t="s">
        <v>81</v>
      </c>
      <c r="F657" s="64" t="s">
        <v>99</v>
      </c>
      <c r="G657" s="64" t="s">
        <v>83</v>
      </c>
      <c r="H657" s="65" t="str">
        <f>VLOOKUP(Tabla6[[#This Row],[DIRECCIÓN]],DIRECCIÓN[#All],2,0)</f>
        <v>ADMINISTRACIÓN CENTRAL</v>
      </c>
      <c r="I657" s="66" t="s">
        <v>608</v>
      </c>
      <c r="J657" s="67">
        <v>1</v>
      </c>
      <c r="K657" s="68" t="str">
        <f>VLOOKUP(Tabla6[[#This Row],[DIRECCIÓN GENERAL / COORDINACIÓN / SUBDIRECCIÓN]],Tabla37[[#All],[Columna1]:[EOD]],2,0)</f>
        <v>266_0004</v>
      </c>
      <c r="L657" s="69">
        <f>VLOOKUP(Tabla6[[#This Row],[OBJETIVOS PND]],Listas!$A$1:$C$3,3,0)</f>
        <v>1</v>
      </c>
      <c r="M657" s="70">
        <f>VLOOKUP(Tabla6[[#This Row],[PG]],Listas2!$G$14:$K$16,5,0)</f>
        <v>0</v>
      </c>
      <c r="N657" s="71">
        <v>1</v>
      </c>
      <c r="O657" s="72">
        <v>2301</v>
      </c>
      <c r="P657" s="73" t="str">
        <f>VLOOKUP(Tabla6[[#This Row],[GEO]],Listas!$A$48:$B$77,2,0)</f>
        <v xml:space="preserve">SANTO DOMINGO </v>
      </c>
      <c r="Q657" s="70">
        <f>VLOOKUP(Tabla6[[#This Row],[PG]],Listas2!$G$14:$K$16,3,0)</f>
        <v>1</v>
      </c>
      <c r="R657" s="73">
        <f>VLOOKUP(Tabla6[[#This Row],[PG]],Listas2!H167:'Listas2'!$G$14:$K$16,4,0)</f>
        <v>0</v>
      </c>
      <c r="S657" s="73">
        <f>VLOOKUP(Tabla6[[#This Row],[PG]],Listas2!$G$14:$K$16,2,0)</f>
        <v>0</v>
      </c>
      <c r="T657" s="66" t="s">
        <v>84</v>
      </c>
      <c r="U657" s="74">
        <v>53</v>
      </c>
      <c r="V657" s="66">
        <v>530402</v>
      </c>
      <c r="W657" s="63" t="str">
        <f>VLOOKUP(Tabla6[[#This Row],[ÍTEM PRESUPUESTARIO]],Tabla2[#All],2,0)</f>
        <v>EDIFICIOS, LOCALES, RESIDENCIAS Y CABLEADO ESTRUCTURADO (INSTALACIÓN, MANTENIMIENTO Y REPARACIÓN)</v>
      </c>
      <c r="X657" s="57">
        <v>0</v>
      </c>
      <c r="Y657" s="57">
        <f>6300-6300</f>
        <v>0</v>
      </c>
      <c r="Z657" s="58">
        <v>0</v>
      </c>
      <c r="AA657" s="58">
        <v>0</v>
      </c>
      <c r="AB657" s="58">
        <v>0</v>
      </c>
      <c r="AC657" s="58">
        <v>0</v>
      </c>
      <c r="AD657" s="58">
        <v>0</v>
      </c>
      <c r="AE657" s="58">
        <v>0</v>
      </c>
      <c r="AF657" s="58">
        <v>0</v>
      </c>
      <c r="AG657" s="58">
        <v>0</v>
      </c>
      <c r="AH657" s="58">
        <v>0</v>
      </c>
      <c r="AI657" s="58">
        <v>0</v>
      </c>
      <c r="AJ657" s="58">
        <v>0</v>
      </c>
      <c r="AK657" s="58">
        <v>0</v>
      </c>
      <c r="AL657" s="75">
        <f>+SUBTOTAL(9,Tabla6[[#This Row],[ENE]:[DIC]])</f>
        <v>0</v>
      </c>
      <c r="AM657" s="76" t="str">
        <f t="shared" si="13"/>
        <v>OK</v>
      </c>
      <c r="AN657" s="60">
        <v>0</v>
      </c>
      <c r="AO657" s="61">
        <f>+Tabla6[[#This Row],[PRESUPUESTO VIGENTE]]-Tabla6[[#This Row],[CERTIFICACIÓN PAPP]]</f>
        <v>0</v>
      </c>
      <c r="AP657" s="59">
        <v>0</v>
      </c>
    </row>
    <row r="658" spans="1:42" ht="93" customHeight="1" x14ac:dyDescent="0.25">
      <c r="A658" s="62" t="s">
        <v>78</v>
      </c>
      <c r="B658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658" s="64" t="s">
        <v>79</v>
      </c>
      <c r="D658" s="64" t="s">
        <v>80</v>
      </c>
      <c r="E658" s="64" t="s">
        <v>81</v>
      </c>
      <c r="F658" s="64" t="s">
        <v>99</v>
      </c>
      <c r="G658" s="64" t="s">
        <v>83</v>
      </c>
      <c r="H658" s="65" t="str">
        <f>VLOOKUP(Tabla6[[#This Row],[DIRECCIÓN]],DIRECCIÓN[#All],2,0)</f>
        <v>ADMINISTRACIÓN CENTRAL</v>
      </c>
      <c r="I658" s="66" t="s">
        <v>609</v>
      </c>
      <c r="J658" s="67">
        <v>1</v>
      </c>
      <c r="K658" s="68" t="str">
        <f>VLOOKUP(Tabla6[[#This Row],[DIRECCIÓN GENERAL / COORDINACIÓN / SUBDIRECCIÓN]],Tabla37[[#All],[Columna1]:[EOD]],2,0)</f>
        <v>266_0004</v>
      </c>
      <c r="L658" s="69">
        <f>VLOOKUP(Tabla6[[#This Row],[OBJETIVOS PND]],Listas!$A$1:$C$3,3,0)</f>
        <v>1</v>
      </c>
      <c r="M658" s="70">
        <f>VLOOKUP(Tabla6[[#This Row],[PG]],Listas2!$G$14:$K$16,5,0)</f>
        <v>0</v>
      </c>
      <c r="N658" s="71">
        <v>1</v>
      </c>
      <c r="O658" s="72">
        <v>2301</v>
      </c>
      <c r="P658" s="73" t="str">
        <f>VLOOKUP(Tabla6[[#This Row],[GEO]],Listas!$A$48:$B$77,2,0)</f>
        <v xml:space="preserve">SANTO DOMINGO </v>
      </c>
      <c r="Q658" s="70">
        <f>VLOOKUP(Tabla6[[#This Row],[PG]],Listas2!$G$14:$K$16,3,0)</f>
        <v>1</v>
      </c>
      <c r="R658" s="73">
        <f>VLOOKUP(Tabla6[[#This Row],[PG]],Listas2!H168:'Listas2'!$G$14:$K$16,4,0)</f>
        <v>0</v>
      </c>
      <c r="S658" s="73">
        <f>VLOOKUP(Tabla6[[#This Row],[PG]],Listas2!$G$14:$K$16,2,0)</f>
        <v>0</v>
      </c>
      <c r="T658" s="66" t="s">
        <v>84</v>
      </c>
      <c r="U658" s="74">
        <v>53</v>
      </c>
      <c r="V658" s="66">
        <v>530402</v>
      </c>
      <c r="W658" s="63" t="str">
        <f>VLOOKUP(Tabla6[[#This Row],[ÍTEM PRESUPUESTARIO]],Tabla2[#All],2,0)</f>
        <v>EDIFICIOS, LOCALES, RESIDENCIAS Y CABLEADO ESTRUCTURADO (INSTALACIÓN, MANTENIMIENTO Y REPARACIÓN)</v>
      </c>
      <c r="X658" s="57">
        <v>0</v>
      </c>
      <c r="Y658" s="57">
        <f>2000-2000</f>
        <v>0</v>
      </c>
      <c r="Z658" s="58">
        <v>0</v>
      </c>
      <c r="AA658" s="58">
        <v>0</v>
      </c>
      <c r="AB658" s="58">
        <v>0</v>
      </c>
      <c r="AC658" s="58">
        <v>0</v>
      </c>
      <c r="AD658" s="58">
        <v>0</v>
      </c>
      <c r="AE658" s="58">
        <v>0</v>
      </c>
      <c r="AF658" s="58">
        <v>0</v>
      </c>
      <c r="AG658" s="58">
        <v>0</v>
      </c>
      <c r="AH658" s="58">
        <v>0</v>
      </c>
      <c r="AI658" s="58">
        <v>0</v>
      </c>
      <c r="AJ658" s="58">
        <v>0</v>
      </c>
      <c r="AK658" s="58">
        <v>0</v>
      </c>
      <c r="AL658" s="75">
        <f>+SUBTOTAL(9,Tabla6[[#This Row],[ENE]:[DIC]])</f>
        <v>0</v>
      </c>
      <c r="AM658" s="76" t="str">
        <f t="shared" si="13"/>
        <v>OK</v>
      </c>
      <c r="AN658" s="60">
        <v>0</v>
      </c>
      <c r="AO658" s="61">
        <f>+Tabla6[[#This Row],[PRESUPUESTO VIGENTE]]-Tabla6[[#This Row],[CERTIFICACIÓN PAPP]]</f>
        <v>0</v>
      </c>
      <c r="AP658" s="59">
        <v>0</v>
      </c>
    </row>
    <row r="659" spans="1:42" ht="93" customHeight="1" x14ac:dyDescent="0.25">
      <c r="A659" s="62" t="s">
        <v>78</v>
      </c>
      <c r="B659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659" s="64" t="s">
        <v>79</v>
      </c>
      <c r="D659" s="64" t="s">
        <v>80</v>
      </c>
      <c r="E659" s="64" t="s">
        <v>81</v>
      </c>
      <c r="F659" s="64" t="s">
        <v>99</v>
      </c>
      <c r="G659" s="64" t="s">
        <v>83</v>
      </c>
      <c r="H659" s="65" t="str">
        <f>VLOOKUP(Tabla6[[#This Row],[DIRECCIÓN]],DIRECCIÓN[#All],2,0)</f>
        <v>ADMINISTRACIÓN CENTRAL</v>
      </c>
      <c r="I659" s="66" t="s">
        <v>610</v>
      </c>
      <c r="J659" s="67">
        <v>1</v>
      </c>
      <c r="K659" s="68" t="str">
        <f>VLOOKUP(Tabla6[[#This Row],[DIRECCIÓN GENERAL / COORDINACIÓN / SUBDIRECCIÓN]],Tabla37[[#All],[Columna1]:[EOD]],2,0)</f>
        <v>266_0004</v>
      </c>
      <c r="L659" s="69">
        <f>VLOOKUP(Tabla6[[#This Row],[OBJETIVOS PND]],Listas!$A$1:$C$3,3,0)</f>
        <v>1</v>
      </c>
      <c r="M659" s="70">
        <f>VLOOKUP(Tabla6[[#This Row],[PG]],Listas2!$G$14:$K$16,5,0)</f>
        <v>0</v>
      </c>
      <c r="N659" s="71">
        <v>1</v>
      </c>
      <c r="O659" s="72">
        <v>2301</v>
      </c>
      <c r="P659" s="73" t="str">
        <f>VLOOKUP(Tabla6[[#This Row],[GEO]],Listas!$A$48:$B$77,2,0)</f>
        <v xml:space="preserve">SANTO DOMINGO </v>
      </c>
      <c r="Q659" s="70">
        <f>VLOOKUP(Tabla6[[#This Row],[PG]],Listas2!$G$14:$K$16,3,0)</f>
        <v>1</v>
      </c>
      <c r="R659" s="73">
        <f>VLOOKUP(Tabla6[[#This Row],[PG]],Listas2!H169:'Listas2'!$G$14:$K$16,4,0)</f>
        <v>0</v>
      </c>
      <c r="S659" s="73">
        <f>VLOOKUP(Tabla6[[#This Row],[PG]],Listas2!$G$14:$K$16,2,0)</f>
        <v>0</v>
      </c>
      <c r="T659" s="66" t="s">
        <v>84</v>
      </c>
      <c r="U659" s="74">
        <v>53</v>
      </c>
      <c r="V659" s="66">
        <v>530402</v>
      </c>
      <c r="W659" s="63" t="str">
        <f>VLOOKUP(Tabla6[[#This Row],[ÍTEM PRESUPUESTARIO]],Tabla2[#All],2,0)</f>
        <v>EDIFICIOS, LOCALES, RESIDENCIAS Y CABLEADO ESTRUCTURADO (INSTALACIÓN, MANTENIMIENTO Y REPARACIÓN)</v>
      </c>
      <c r="X659" s="57">
        <v>0</v>
      </c>
      <c r="Y659" s="57">
        <f>6300-60-110.5-6129.5</f>
        <v>0</v>
      </c>
      <c r="Z659" s="58">
        <v>0</v>
      </c>
      <c r="AA659" s="58">
        <v>0</v>
      </c>
      <c r="AB659" s="58">
        <v>0</v>
      </c>
      <c r="AC659" s="58">
        <v>0</v>
      </c>
      <c r="AD659" s="58">
        <v>0</v>
      </c>
      <c r="AE659" s="58">
        <v>0</v>
      </c>
      <c r="AF659" s="58">
        <v>0</v>
      </c>
      <c r="AG659" s="58">
        <v>0</v>
      </c>
      <c r="AH659" s="58">
        <v>0</v>
      </c>
      <c r="AI659" s="58">
        <v>0</v>
      </c>
      <c r="AJ659" s="58">
        <v>0</v>
      </c>
      <c r="AK659" s="58">
        <v>0</v>
      </c>
      <c r="AL659" s="75">
        <f>+SUBTOTAL(9,Tabla6[[#This Row],[ENE]:[DIC]])</f>
        <v>0</v>
      </c>
      <c r="AM659" s="76" t="str">
        <f t="shared" si="13"/>
        <v>OK</v>
      </c>
      <c r="AN659" s="60">
        <f>6129.5-6129.5</f>
        <v>0</v>
      </c>
      <c r="AO659" s="61">
        <f>+Tabla6[[#This Row],[PRESUPUESTO VIGENTE]]-Tabla6[[#This Row],[CERTIFICACIÓN PAPP]]</f>
        <v>0</v>
      </c>
      <c r="AP659" s="59">
        <v>0</v>
      </c>
    </row>
    <row r="660" spans="1:42" ht="93" customHeight="1" x14ac:dyDescent="0.25">
      <c r="A660" s="62" t="s">
        <v>78</v>
      </c>
      <c r="B660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660" s="64" t="s">
        <v>79</v>
      </c>
      <c r="D660" s="64" t="s">
        <v>80</v>
      </c>
      <c r="E660" s="64" t="s">
        <v>81</v>
      </c>
      <c r="F660" s="64" t="s">
        <v>99</v>
      </c>
      <c r="G660" s="64" t="s">
        <v>83</v>
      </c>
      <c r="H660" s="65" t="str">
        <f>VLOOKUP(Tabla6[[#This Row],[DIRECCIÓN]],DIRECCIÓN[#All],2,0)</f>
        <v>ADMINISTRACIÓN CENTRAL</v>
      </c>
      <c r="I660" s="66" t="s">
        <v>611</v>
      </c>
      <c r="J660" s="67">
        <v>1</v>
      </c>
      <c r="K660" s="68" t="str">
        <f>VLOOKUP(Tabla6[[#This Row],[DIRECCIÓN GENERAL / COORDINACIÓN / SUBDIRECCIÓN]],Tabla37[[#All],[Columna1]:[EOD]],2,0)</f>
        <v>266_0004</v>
      </c>
      <c r="L660" s="69">
        <f>VLOOKUP(Tabla6[[#This Row],[OBJETIVOS PND]],Listas!$A$1:$C$3,3,0)</f>
        <v>1</v>
      </c>
      <c r="M660" s="70">
        <f>VLOOKUP(Tabla6[[#This Row],[PG]],Listas2!$G$14:$K$16,5,0)</f>
        <v>0</v>
      </c>
      <c r="N660" s="71">
        <v>1</v>
      </c>
      <c r="O660" s="72">
        <v>2301</v>
      </c>
      <c r="P660" s="73" t="str">
        <f>VLOOKUP(Tabla6[[#This Row],[GEO]],Listas!$A$48:$B$77,2,0)</f>
        <v xml:space="preserve">SANTO DOMINGO </v>
      </c>
      <c r="Q660" s="70">
        <f>VLOOKUP(Tabla6[[#This Row],[PG]],Listas2!$G$14:$K$16,3,0)</f>
        <v>1</v>
      </c>
      <c r="R660" s="73">
        <f>VLOOKUP(Tabla6[[#This Row],[PG]],Listas2!H170:'Listas2'!$G$14:$K$16,4,0)</f>
        <v>0</v>
      </c>
      <c r="S660" s="73">
        <f>VLOOKUP(Tabla6[[#This Row],[PG]],Listas2!$G$14:$K$16,2,0)</f>
        <v>0</v>
      </c>
      <c r="T660" s="66" t="s">
        <v>84</v>
      </c>
      <c r="U660" s="74">
        <v>53</v>
      </c>
      <c r="V660" s="66">
        <v>530402</v>
      </c>
      <c r="W660" s="63" t="str">
        <f>VLOOKUP(Tabla6[[#This Row],[ÍTEM PRESUPUESTARIO]],Tabla2[#All],2,0)</f>
        <v>EDIFICIOS, LOCALES, RESIDENCIAS Y CABLEADO ESTRUCTURADO (INSTALACIÓN, MANTENIMIENTO Y REPARACIÓN)</v>
      </c>
      <c r="X660" s="57">
        <v>0</v>
      </c>
      <c r="Y660" s="57">
        <f>5000-5000</f>
        <v>0</v>
      </c>
      <c r="Z660" s="58">
        <v>0</v>
      </c>
      <c r="AA660" s="58">
        <v>0</v>
      </c>
      <c r="AB660" s="58">
        <v>0</v>
      </c>
      <c r="AC660" s="58">
        <v>0</v>
      </c>
      <c r="AD660" s="58">
        <v>0</v>
      </c>
      <c r="AE660" s="58">
        <v>0</v>
      </c>
      <c r="AF660" s="58">
        <v>0</v>
      </c>
      <c r="AG660" s="58">
        <v>0</v>
      </c>
      <c r="AH660" s="58">
        <v>0</v>
      </c>
      <c r="AI660" s="58">
        <v>0</v>
      </c>
      <c r="AJ660" s="58">
        <v>0</v>
      </c>
      <c r="AK660" s="58">
        <v>0</v>
      </c>
      <c r="AL660" s="75">
        <f>+SUBTOTAL(9,Tabla6[[#This Row],[ENE]:[DIC]])</f>
        <v>0</v>
      </c>
      <c r="AM660" s="76" t="str">
        <f t="shared" si="13"/>
        <v>OK</v>
      </c>
      <c r="AN660" s="60">
        <v>0</v>
      </c>
      <c r="AO660" s="61">
        <f>+Tabla6[[#This Row],[PRESUPUESTO VIGENTE]]-Tabla6[[#This Row],[CERTIFICACIÓN PAPP]]</f>
        <v>0</v>
      </c>
      <c r="AP660" s="59">
        <v>0</v>
      </c>
    </row>
    <row r="661" spans="1:42" ht="93" customHeight="1" x14ac:dyDescent="0.25">
      <c r="A661" s="62" t="s">
        <v>78</v>
      </c>
      <c r="B661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661" s="64" t="s">
        <v>79</v>
      </c>
      <c r="D661" s="64" t="s">
        <v>80</v>
      </c>
      <c r="E661" s="64" t="s">
        <v>81</v>
      </c>
      <c r="F661" s="64" t="s">
        <v>99</v>
      </c>
      <c r="G661" s="64" t="s">
        <v>83</v>
      </c>
      <c r="H661" s="65" t="str">
        <f>VLOOKUP(Tabla6[[#This Row],[DIRECCIÓN]],DIRECCIÓN[#All],2,0)</f>
        <v>ADMINISTRACIÓN CENTRAL</v>
      </c>
      <c r="I661" s="66" t="s">
        <v>612</v>
      </c>
      <c r="J661" s="67">
        <v>1</v>
      </c>
      <c r="K661" s="68" t="str">
        <f>VLOOKUP(Tabla6[[#This Row],[DIRECCIÓN GENERAL / COORDINACIÓN / SUBDIRECCIÓN]],Tabla37[[#All],[Columna1]:[EOD]],2,0)</f>
        <v>266_0004</v>
      </c>
      <c r="L661" s="69">
        <f>VLOOKUP(Tabla6[[#This Row],[OBJETIVOS PND]],Listas!$A$1:$C$3,3,0)</f>
        <v>1</v>
      </c>
      <c r="M661" s="70">
        <f>VLOOKUP(Tabla6[[#This Row],[PG]],Listas2!$G$14:$K$16,5,0)</f>
        <v>0</v>
      </c>
      <c r="N661" s="71">
        <v>1</v>
      </c>
      <c r="O661" s="72">
        <v>2301</v>
      </c>
      <c r="P661" s="73" t="str">
        <f>VLOOKUP(Tabla6[[#This Row],[GEO]],Listas!$A$48:$B$77,2,0)</f>
        <v xml:space="preserve">SANTO DOMINGO </v>
      </c>
      <c r="Q661" s="70">
        <f>VLOOKUP(Tabla6[[#This Row],[PG]],Listas2!$G$14:$K$16,3,0)</f>
        <v>1</v>
      </c>
      <c r="R661" s="73">
        <f>VLOOKUP(Tabla6[[#This Row],[PG]],Listas2!H171:'Listas2'!$G$14:$K$16,4,0)</f>
        <v>0</v>
      </c>
      <c r="S661" s="73">
        <f>VLOOKUP(Tabla6[[#This Row],[PG]],Listas2!$G$14:$K$16,2,0)</f>
        <v>0</v>
      </c>
      <c r="T661" s="66" t="s">
        <v>84</v>
      </c>
      <c r="U661" s="74">
        <v>53</v>
      </c>
      <c r="V661" s="66">
        <v>530402</v>
      </c>
      <c r="W661" s="63" t="str">
        <f>VLOOKUP(Tabla6[[#This Row],[ÍTEM PRESUPUESTARIO]],Tabla2[#All],2,0)</f>
        <v>EDIFICIOS, LOCALES, RESIDENCIAS Y CABLEADO ESTRUCTURADO (INSTALACIÓN, MANTENIMIENTO Y REPARACIÓN)</v>
      </c>
      <c r="X661" s="57">
        <v>28000</v>
      </c>
      <c r="Y661" s="57">
        <f>28000+6250-12227.28-15892.22</f>
        <v>6130.5000000000018</v>
      </c>
      <c r="Z661" s="58">
        <v>0</v>
      </c>
      <c r="AA661" s="58">
        <v>0</v>
      </c>
      <c r="AB661" s="58">
        <v>0</v>
      </c>
      <c r="AC661" s="58">
        <v>0</v>
      </c>
      <c r="AD661" s="58">
        <v>0</v>
      </c>
      <c r="AE661" s="58">
        <v>0</v>
      </c>
      <c r="AF661" s="58">
        <v>0</v>
      </c>
      <c r="AG661" s="58">
        <v>6130.5</v>
      </c>
      <c r="AH661" s="58">
        <v>0</v>
      </c>
      <c r="AI661" s="58">
        <v>0</v>
      </c>
      <c r="AJ661" s="58">
        <v>0</v>
      </c>
      <c r="AK661" s="58">
        <v>0</v>
      </c>
      <c r="AL661" s="75">
        <f>+SUBTOTAL(9,Tabla6[[#This Row],[ENE]:[DIC]])</f>
        <v>6130.5</v>
      </c>
      <c r="AM661" s="76" t="str">
        <f t="shared" si="13"/>
        <v>OK</v>
      </c>
      <c r="AN661" s="60">
        <f>22022.72-15892.22</f>
        <v>6130.5000000000018</v>
      </c>
      <c r="AO661" s="61">
        <f>+Tabla6[[#This Row],[PRESUPUESTO VIGENTE]]-Tabla6[[#This Row],[CERTIFICACIÓN PAPP]]</f>
        <v>0</v>
      </c>
      <c r="AP661" s="59" t="s">
        <v>87</v>
      </c>
    </row>
    <row r="662" spans="1:42" ht="93" customHeight="1" x14ac:dyDescent="0.25">
      <c r="A662" s="62" t="s">
        <v>78</v>
      </c>
      <c r="B662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662" s="64" t="s">
        <v>79</v>
      </c>
      <c r="D662" s="64" t="s">
        <v>80</v>
      </c>
      <c r="E662" s="64" t="s">
        <v>81</v>
      </c>
      <c r="F662" s="64" t="s">
        <v>99</v>
      </c>
      <c r="G662" s="64" t="s">
        <v>83</v>
      </c>
      <c r="H662" s="65" t="str">
        <f>VLOOKUP(Tabla6[[#This Row],[DIRECCIÓN]],DIRECCIÓN[#All],2,0)</f>
        <v>ADMINISTRACIÓN CENTRAL</v>
      </c>
      <c r="I662" s="66" t="s">
        <v>613</v>
      </c>
      <c r="J662" s="67">
        <v>1</v>
      </c>
      <c r="K662" s="68" t="str">
        <f>VLOOKUP(Tabla6[[#This Row],[DIRECCIÓN GENERAL / COORDINACIÓN / SUBDIRECCIÓN]],Tabla37[[#All],[Columna1]:[EOD]],2,0)</f>
        <v>266_0004</v>
      </c>
      <c r="L662" s="69">
        <f>VLOOKUP(Tabla6[[#This Row],[OBJETIVOS PND]],Listas!$A$1:$C$3,3,0)</f>
        <v>1</v>
      </c>
      <c r="M662" s="70">
        <f>VLOOKUP(Tabla6[[#This Row],[PG]],Listas2!$G$14:$K$16,5,0)</f>
        <v>0</v>
      </c>
      <c r="N662" s="71">
        <v>1</v>
      </c>
      <c r="O662" s="72">
        <v>2301</v>
      </c>
      <c r="P662" s="73" t="str">
        <f>VLOOKUP(Tabla6[[#This Row],[GEO]],Listas!$A$48:$B$77,2,0)</f>
        <v xml:space="preserve">SANTO DOMINGO </v>
      </c>
      <c r="Q662" s="70">
        <f>VLOOKUP(Tabla6[[#This Row],[PG]],Listas2!$G$14:$K$16,3,0)</f>
        <v>1</v>
      </c>
      <c r="R662" s="73">
        <f>VLOOKUP(Tabla6[[#This Row],[PG]],Listas2!H172:'Listas2'!$G$14:$K$16,4,0)</f>
        <v>0</v>
      </c>
      <c r="S662" s="73">
        <f>VLOOKUP(Tabla6[[#This Row],[PG]],Listas2!$G$14:$K$16,2,0)</f>
        <v>0</v>
      </c>
      <c r="T662" s="66" t="s">
        <v>84</v>
      </c>
      <c r="U662" s="74">
        <v>53</v>
      </c>
      <c r="V662" s="66">
        <v>530405</v>
      </c>
      <c r="W662" s="63" t="str">
        <f>VLOOKUP(Tabla6[[#This Row],[ÍTEM PRESUPUESTARIO]],Tabla2[#All],2,0)</f>
        <v>VEHÍCULOS (SERVICIO PARA MANTENIMIENTO Y REPARACIÓN)</v>
      </c>
      <c r="X662" s="57">
        <v>2500</v>
      </c>
      <c r="Y662" s="57">
        <f>2500-240+778-966.93-349.67</f>
        <v>1721.4</v>
      </c>
      <c r="Z662" s="58">
        <v>0</v>
      </c>
      <c r="AA662" s="58">
        <v>0</v>
      </c>
      <c r="AB662" s="58">
        <v>500</v>
      </c>
      <c r="AC662" s="58">
        <v>0</v>
      </c>
      <c r="AD662" s="58">
        <v>0</v>
      </c>
      <c r="AE662" s="58">
        <v>500</v>
      </c>
      <c r="AF662" s="58">
        <v>0</v>
      </c>
      <c r="AG662" s="58">
        <v>0</v>
      </c>
      <c r="AH662" s="58">
        <v>300</v>
      </c>
      <c r="AI662" s="58">
        <v>300</v>
      </c>
      <c r="AJ662" s="58">
        <v>121.4</v>
      </c>
      <c r="AK662" s="58">
        <v>0</v>
      </c>
      <c r="AL662" s="75">
        <f>+SUBTOTAL(9,Tabla6[[#This Row],[ENE]:[DIC]])</f>
        <v>1721.4</v>
      </c>
      <c r="AM662" s="76" t="str">
        <f t="shared" si="13"/>
        <v>OK</v>
      </c>
      <c r="AN662" s="60">
        <f>2500-480+51.07-349.67</f>
        <v>1721.4</v>
      </c>
      <c r="AO662" s="61">
        <f>+Tabla6[[#This Row],[PRESUPUESTO VIGENTE]]-Tabla6[[#This Row],[CERTIFICACIÓN PAPP]]</f>
        <v>0</v>
      </c>
      <c r="AP662" s="59">
        <v>0</v>
      </c>
    </row>
    <row r="663" spans="1:42" ht="93" customHeight="1" x14ac:dyDescent="0.25">
      <c r="A663" s="62" t="s">
        <v>78</v>
      </c>
      <c r="B663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663" s="64" t="s">
        <v>79</v>
      </c>
      <c r="D663" s="64" t="s">
        <v>80</v>
      </c>
      <c r="E663" s="64" t="s">
        <v>81</v>
      </c>
      <c r="F663" s="64" t="s">
        <v>99</v>
      </c>
      <c r="G663" s="64" t="s">
        <v>83</v>
      </c>
      <c r="H663" s="65" t="str">
        <f>VLOOKUP(Tabla6[[#This Row],[DIRECCIÓN]],DIRECCIÓN[#All],2,0)</f>
        <v>ADMINISTRACIÓN CENTRAL</v>
      </c>
      <c r="I663" s="66" t="s">
        <v>603</v>
      </c>
      <c r="J663" s="67">
        <v>1</v>
      </c>
      <c r="K663" s="68" t="str">
        <f>VLOOKUP(Tabla6[[#This Row],[DIRECCIÓN GENERAL / COORDINACIÓN / SUBDIRECCIÓN]],Tabla37[[#All],[Columna1]:[EOD]],2,0)</f>
        <v>266_0004</v>
      </c>
      <c r="L663" s="69">
        <f>VLOOKUP(Tabla6[[#This Row],[OBJETIVOS PND]],Listas!$A$1:$C$3,3,0)</f>
        <v>1</v>
      </c>
      <c r="M663" s="70">
        <f>VLOOKUP(Tabla6[[#This Row],[PG]],Listas2!$G$14:$K$16,5,0)</f>
        <v>0</v>
      </c>
      <c r="N663" s="71">
        <v>1</v>
      </c>
      <c r="O663" s="72">
        <v>2301</v>
      </c>
      <c r="P663" s="73" t="str">
        <f>VLOOKUP(Tabla6[[#This Row],[GEO]],Listas!$A$48:$B$77,2,0)</f>
        <v xml:space="preserve">SANTO DOMINGO </v>
      </c>
      <c r="Q663" s="70">
        <f>VLOOKUP(Tabla6[[#This Row],[PG]],Listas2!$G$14:$K$16,3,0)</f>
        <v>1</v>
      </c>
      <c r="R663" s="73">
        <f>VLOOKUP(Tabla6[[#This Row],[PG]],Listas2!H173:'Listas2'!$G$14:$K$16,4,0)</f>
        <v>0</v>
      </c>
      <c r="S663" s="73">
        <f>VLOOKUP(Tabla6[[#This Row],[PG]],Listas2!$G$14:$K$16,2,0)</f>
        <v>0</v>
      </c>
      <c r="T663" s="66" t="s">
        <v>84</v>
      </c>
      <c r="U663" s="74">
        <v>53</v>
      </c>
      <c r="V663" s="66">
        <v>530803</v>
      </c>
      <c r="W663" s="63" t="str">
        <f>VLOOKUP(Tabla6[[#This Row],[ÍTEM PRESUPUESTARIO]],Tabla2[#All],2,0)</f>
        <v>LUBRICANTES</v>
      </c>
      <c r="X663" s="57">
        <v>100</v>
      </c>
      <c r="Y663" s="57">
        <f>100-100</f>
        <v>0</v>
      </c>
      <c r="Z663" s="58">
        <v>0</v>
      </c>
      <c r="AA663" s="58">
        <v>0</v>
      </c>
      <c r="AB663" s="58">
        <v>0</v>
      </c>
      <c r="AC663" s="58">
        <v>0</v>
      </c>
      <c r="AD663" s="58">
        <v>0</v>
      </c>
      <c r="AE663" s="58">
        <v>0</v>
      </c>
      <c r="AF663" s="58">
        <v>0</v>
      </c>
      <c r="AG663" s="58">
        <v>0</v>
      </c>
      <c r="AH663" s="58">
        <v>0</v>
      </c>
      <c r="AI663" s="58">
        <v>0</v>
      </c>
      <c r="AJ663" s="58">
        <v>0</v>
      </c>
      <c r="AK663" s="58">
        <v>0</v>
      </c>
      <c r="AL663" s="75">
        <f>+SUBTOTAL(9,Tabla6[[#This Row],[ENE]:[DIC]])</f>
        <v>0</v>
      </c>
      <c r="AM663" s="76" t="str">
        <f t="shared" si="13"/>
        <v>OK</v>
      </c>
      <c r="AN663" s="60">
        <v>0</v>
      </c>
      <c r="AO663" s="61">
        <f>+Tabla6[[#This Row],[PRESUPUESTO VIGENTE]]-Tabla6[[#This Row],[CERTIFICACIÓN PAPP]]</f>
        <v>0</v>
      </c>
      <c r="AP663" s="59">
        <v>0</v>
      </c>
    </row>
    <row r="664" spans="1:42" ht="93" customHeight="1" x14ac:dyDescent="0.25">
      <c r="A664" s="62" t="s">
        <v>78</v>
      </c>
      <c r="B664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664" s="64" t="s">
        <v>79</v>
      </c>
      <c r="D664" s="64" t="s">
        <v>80</v>
      </c>
      <c r="E664" s="64" t="s">
        <v>81</v>
      </c>
      <c r="F664" s="64" t="s">
        <v>99</v>
      </c>
      <c r="G664" s="64" t="s">
        <v>83</v>
      </c>
      <c r="H664" s="65" t="str">
        <f>VLOOKUP(Tabla6[[#This Row],[DIRECCIÓN]],DIRECCIÓN[#All],2,0)</f>
        <v>ADMINISTRACIÓN CENTRAL</v>
      </c>
      <c r="I664" s="66" t="s">
        <v>613</v>
      </c>
      <c r="J664" s="67">
        <v>1</v>
      </c>
      <c r="K664" s="68" t="str">
        <f>VLOOKUP(Tabla6[[#This Row],[DIRECCIÓN GENERAL / COORDINACIÓN / SUBDIRECCIÓN]],Tabla37[[#All],[Columna1]:[EOD]],2,0)</f>
        <v>266_0004</v>
      </c>
      <c r="L664" s="69">
        <f>VLOOKUP(Tabla6[[#This Row],[OBJETIVOS PND]],Listas!$A$1:$C$3,3,0)</f>
        <v>1</v>
      </c>
      <c r="M664" s="70">
        <f>VLOOKUP(Tabla6[[#This Row],[PG]],Listas2!$G$14:$K$16,5,0)</f>
        <v>0</v>
      </c>
      <c r="N664" s="71">
        <v>1</v>
      </c>
      <c r="O664" s="72">
        <v>2301</v>
      </c>
      <c r="P664" s="73" t="str">
        <f>VLOOKUP(Tabla6[[#This Row],[GEO]],Listas!$A$48:$B$77,2,0)</f>
        <v xml:space="preserve">SANTO DOMINGO </v>
      </c>
      <c r="Q664" s="70">
        <f>VLOOKUP(Tabla6[[#This Row],[PG]],Listas2!$G$14:$K$16,3,0)</f>
        <v>1</v>
      </c>
      <c r="R664" s="73">
        <f>VLOOKUP(Tabla6[[#This Row],[PG]],Listas2!H174:'Listas2'!$G$14:$K$16,4,0)</f>
        <v>0</v>
      </c>
      <c r="S664" s="73">
        <f>VLOOKUP(Tabla6[[#This Row],[PG]],Listas2!$G$14:$K$16,2,0)</f>
        <v>0</v>
      </c>
      <c r="T664" s="66" t="s">
        <v>84</v>
      </c>
      <c r="U664" s="74">
        <v>53</v>
      </c>
      <c r="V664" s="66">
        <v>530803</v>
      </c>
      <c r="W664" s="63" t="str">
        <f>VLOOKUP(Tabla6[[#This Row],[ÍTEM PRESUPUESTARIO]],Tabla2[#All],2,0)</f>
        <v>LUBRICANTES</v>
      </c>
      <c r="X664" s="57">
        <v>1100</v>
      </c>
      <c r="Y664" s="57">
        <f>1100-215+307.11-30-594.22</f>
        <v>567.8900000000001</v>
      </c>
      <c r="Z664" s="58">
        <v>0</v>
      </c>
      <c r="AA664" s="58">
        <v>0</v>
      </c>
      <c r="AB664" s="58">
        <v>300</v>
      </c>
      <c r="AC664" s="58">
        <v>0</v>
      </c>
      <c r="AD664" s="58">
        <v>0</v>
      </c>
      <c r="AE664" s="58">
        <v>267.89</v>
      </c>
      <c r="AF664" s="58">
        <v>0</v>
      </c>
      <c r="AG664" s="58">
        <v>0</v>
      </c>
      <c r="AH664" s="58">
        <v>0</v>
      </c>
      <c r="AI664" s="58">
        <v>0</v>
      </c>
      <c r="AJ664" s="58">
        <v>0</v>
      </c>
      <c r="AK664" s="58">
        <v>0</v>
      </c>
      <c r="AL664" s="75">
        <f>+SUBTOTAL(9,Tabla6[[#This Row],[ENE]:[DIC]])</f>
        <v>567.89</v>
      </c>
      <c r="AM664" s="76" t="str">
        <f t="shared" si="13"/>
        <v>OK</v>
      </c>
      <c r="AN664" s="60">
        <f>1100-430+492.11-594.22</f>
        <v>567.8900000000001</v>
      </c>
      <c r="AO664" s="61">
        <f>+Tabla6[[#This Row],[PRESUPUESTO VIGENTE]]-Tabla6[[#This Row],[CERTIFICACIÓN PAPP]]</f>
        <v>0</v>
      </c>
      <c r="AP664" s="59">
        <v>0</v>
      </c>
    </row>
    <row r="665" spans="1:42" ht="93" customHeight="1" x14ac:dyDescent="0.25">
      <c r="A665" s="62" t="s">
        <v>78</v>
      </c>
      <c r="B665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665" s="64" t="s">
        <v>79</v>
      </c>
      <c r="D665" s="64" t="s">
        <v>80</v>
      </c>
      <c r="E665" s="64" t="s">
        <v>81</v>
      </c>
      <c r="F665" s="64" t="s">
        <v>99</v>
      </c>
      <c r="G665" s="64" t="s">
        <v>83</v>
      </c>
      <c r="H665" s="65" t="str">
        <f>VLOOKUP(Tabla6[[#This Row],[DIRECCIÓN]],DIRECCIÓN[#All],2,0)</f>
        <v>ADMINISTRACIÓN CENTRAL</v>
      </c>
      <c r="I665" s="66" t="s">
        <v>614</v>
      </c>
      <c r="J665" s="67">
        <v>1</v>
      </c>
      <c r="K665" s="68" t="str">
        <f>VLOOKUP(Tabla6[[#This Row],[DIRECCIÓN GENERAL / COORDINACIÓN / SUBDIRECCIÓN]],Tabla37[[#All],[Columna1]:[EOD]],2,0)</f>
        <v>266_0004</v>
      </c>
      <c r="L665" s="69">
        <f>VLOOKUP(Tabla6[[#This Row],[OBJETIVOS PND]],Listas!$A$1:$C$3,3,0)</f>
        <v>1</v>
      </c>
      <c r="M665" s="70">
        <f>VLOOKUP(Tabla6[[#This Row],[PG]],Listas2!$G$14:$K$16,5,0)</f>
        <v>0</v>
      </c>
      <c r="N665" s="71">
        <v>1</v>
      </c>
      <c r="O665" s="72">
        <v>2301</v>
      </c>
      <c r="P665" s="73" t="str">
        <f>VLOOKUP(Tabla6[[#This Row],[GEO]],Listas!$A$48:$B$77,2,0)</f>
        <v xml:space="preserve">SANTO DOMINGO </v>
      </c>
      <c r="Q665" s="70">
        <f>VLOOKUP(Tabla6[[#This Row],[PG]],Listas2!$G$14:$K$16,3,0)</f>
        <v>1</v>
      </c>
      <c r="R665" s="73">
        <f>VLOOKUP(Tabla6[[#This Row],[PG]],Listas2!H175:'Listas2'!$G$14:$K$16,4,0)</f>
        <v>0</v>
      </c>
      <c r="S665" s="73">
        <f>VLOOKUP(Tabla6[[#This Row],[PG]],Listas2!$G$14:$K$16,2,0)</f>
        <v>0</v>
      </c>
      <c r="T665" s="66" t="s">
        <v>84</v>
      </c>
      <c r="U665" s="74">
        <v>53</v>
      </c>
      <c r="V665" s="66">
        <v>530803</v>
      </c>
      <c r="W665" s="63" t="str">
        <f>VLOOKUP(Tabla6[[#This Row],[ÍTEM PRESUPUESTARIO]],Tabla2[#All],2,0)</f>
        <v>LUBRICANTES</v>
      </c>
      <c r="X665" s="57">
        <v>4500</v>
      </c>
      <c r="Y665" s="57">
        <f>850-850</f>
        <v>0</v>
      </c>
      <c r="Z665" s="58">
        <v>0</v>
      </c>
      <c r="AA665" s="58">
        <v>0</v>
      </c>
      <c r="AB665" s="58">
        <v>0</v>
      </c>
      <c r="AC665" s="58">
        <v>0</v>
      </c>
      <c r="AD665" s="58">
        <v>0</v>
      </c>
      <c r="AE665" s="58">
        <v>0</v>
      </c>
      <c r="AF665" s="58">
        <v>0</v>
      </c>
      <c r="AG665" s="58">
        <v>0</v>
      </c>
      <c r="AH665" s="58">
        <v>0</v>
      </c>
      <c r="AI665" s="58">
        <v>0</v>
      </c>
      <c r="AJ665" s="58">
        <v>0</v>
      </c>
      <c r="AK665" s="58">
        <v>0</v>
      </c>
      <c r="AL665" s="75">
        <f>+SUBTOTAL(9,Tabla6[[#This Row],[ENE]:[DIC]])</f>
        <v>0</v>
      </c>
      <c r="AM665" s="76" t="str">
        <f t="shared" si="13"/>
        <v>OK</v>
      </c>
      <c r="AN665" s="60">
        <v>0</v>
      </c>
      <c r="AO665" s="61">
        <f>+Tabla6[[#This Row],[PRESUPUESTO VIGENTE]]-Tabla6[[#This Row],[CERTIFICACIÓN PAPP]]</f>
        <v>0</v>
      </c>
      <c r="AP665" s="59">
        <v>0</v>
      </c>
    </row>
    <row r="666" spans="1:42" ht="93" customHeight="1" x14ac:dyDescent="0.25">
      <c r="A666" s="62" t="s">
        <v>78</v>
      </c>
      <c r="B666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666" s="64" t="s">
        <v>79</v>
      </c>
      <c r="D666" s="64" t="s">
        <v>80</v>
      </c>
      <c r="E666" s="64" t="s">
        <v>81</v>
      </c>
      <c r="F666" s="64" t="s">
        <v>99</v>
      </c>
      <c r="G666" s="64" t="s">
        <v>83</v>
      </c>
      <c r="H666" s="65" t="str">
        <f>VLOOKUP(Tabla6[[#This Row],[DIRECCIÓN]],DIRECCIÓN[#All],2,0)</f>
        <v>ADMINISTRACIÓN CENTRAL</v>
      </c>
      <c r="I666" s="66" t="s">
        <v>615</v>
      </c>
      <c r="J666" s="67">
        <v>1</v>
      </c>
      <c r="K666" s="68" t="str">
        <f>VLOOKUP(Tabla6[[#This Row],[DIRECCIÓN GENERAL / COORDINACIÓN / SUBDIRECCIÓN]],Tabla37[[#All],[Columna1]:[EOD]],2,0)</f>
        <v>266_0004</v>
      </c>
      <c r="L666" s="69">
        <f>VLOOKUP(Tabla6[[#This Row],[OBJETIVOS PND]],Listas!$A$1:$C$3,3,0)</f>
        <v>1</v>
      </c>
      <c r="M666" s="70">
        <f>VLOOKUP(Tabla6[[#This Row],[PG]],Listas2!$G$14:$K$16,5,0)</f>
        <v>0</v>
      </c>
      <c r="N666" s="71">
        <v>1</v>
      </c>
      <c r="O666" s="72">
        <v>2301</v>
      </c>
      <c r="P666" s="73" t="str">
        <f>VLOOKUP(Tabla6[[#This Row],[GEO]],Listas!$A$48:$B$77,2,0)</f>
        <v xml:space="preserve">SANTO DOMINGO </v>
      </c>
      <c r="Q666" s="70">
        <f>VLOOKUP(Tabla6[[#This Row],[PG]],Listas2!$G$14:$K$16,3,0)</f>
        <v>1</v>
      </c>
      <c r="R666" s="73">
        <f>VLOOKUP(Tabla6[[#This Row],[PG]],Listas2!H176:'Listas2'!$G$14:$K$16,4,0)</f>
        <v>0</v>
      </c>
      <c r="S666" s="73">
        <f>VLOOKUP(Tabla6[[#This Row],[PG]],Listas2!$G$14:$K$16,2,0)</f>
        <v>0</v>
      </c>
      <c r="T666" s="66" t="s">
        <v>84</v>
      </c>
      <c r="U666" s="74">
        <v>53</v>
      </c>
      <c r="V666" s="66">
        <v>530804</v>
      </c>
      <c r="W666" s="63" t="str">
        <f>VLOOKUP(Tabla6[[#This Row],[ÍTEM PRESUPUESTARIO]],Tabla2[#All],2,0)</f>
        <v>MATERIALES DE OFICINA</v>
      </c>
      <c r="X666" s="57">
        <v>0</v>
      </c>
      <c r="Y666" s="57">
        <f>300-92.97</f>
        <v>207.03</v>
      </c>
      <c r="Z666" s="58">
        <v>0</v>
      </c>
      <c r="AA666" s="58">
        <v>0</v>
      </c>
      <c r="AB666" s="58">
        <v>0</v>
      </c>
      <c r="AC666" s="58">
        <v>0</v>
      </c>
      <c r="AD666" s="58">
        <v>0</v>
      </c>
      <c r="AE666" s="58">
        <v>0</v>
      </c>
      <c r="AF666" s="58">
        <v>207.03</v>
      </c>
      <c r="AG666" s="58">
        <v>0</v>
      </c>
      <c r="AH666" s="58">
        <v>0</v>
      </c>
      <c r="AI666" s="58">
        <v>0</v>
      </c>
      <c r="AJ666" s="58">
        <v>0</v>
      </c>
      <c r="AK666" s="58">
        <v>0</v>
      </c>
      <c r="AL666" s="75">
        <f>+SUBTOTAL(9,Tabla6[[#This Row],[ENE]:[DIC]])</f>
        <v>207.03</v>
      </c>
      <c r="AM666" s="76" t="str">
        <f t="shared" si="13"/>
        <v>OK</v>
      </c>
      <c r="AN666" s="60">
        <f>299.94-92.91</f>
        <v>207.03</v>
      </c>
      <c r="AO666" s="61">
        <f>+Tabla6[[#This Row],[PRESUPUESTO VIGENTE]]-Tabla6[[#This Row],[CERTIFICACIÓN PAPP]]</f>
        <v>0</v>
      </c>
      <c r="AP666" s="59">
        <v>0</v>
      </c>
    </row>
    <row r="667" spans="1:42" ht="93" customHeight="1" x14ac:dyDescent="0.25">
      <c r="A667" s="62" t="s">
        <v>78</v>
      </c>
      <c r="B667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667" s="64" t="s">
        <v>79</v>
      </c>
      <c r="D667" s="64" t="s">
        <v>80</v>
      </c>
      <c r="E667" s="64" t="s">
        <v>81</v>
      </c>
      <c r="F667" s="64" t="s">
        <v>99</v>
      </c>
      <c r="G667" s="64" t="s">
        <v>83</v>
      </c>
      <c r="H667" s="65" t="str">
        <f>VLOOKUP(Tabla6[[#This Row],[DIRECCIÓN]],DIRECCIÓN[#All],2,0)</f>
        <v>ADMINISTRACIÓN CENTRAL</v>
      </c>
      <c r="I667" s="66" t="s">
        <v>616</v>
      </c>
      <c r="J667" s="67">
        <v>1</v>
      </c>
      <c r="K667" s="68" t="str">
        <f>VLOOKUP(Tabla6[[#This Row],[DIRECCIÓN GENERAL / COORDINACIÓN / SUBDIRECCIÓN]],Tabla37[[#All],[Columna1]:[EOD]],2,0)</f>
        <v>266_0004</v>
      </c>
      <c r="L667" s="69">
        <f>VLOOKUP(Tabla6[[#This Row],[OBJETIVOS PND]],Listas!$A$1:$C$3,3,0)</f>
        <v>1</v>
      </c>
      <c r="M667" s="70">
        <f>VLOOKUP(Tabla6[[#This Row],[PG]],Listas2!$G$14:$K$16,5,0)</f>
        <v>0</v>
      </c>
      <c r="N667" s="71">
        <v>1</v>
      </c>
      <c r="O667" s="72">
        <v>2301</v>
      </c>
      <c r="P667" s="73" t="str">
        <f>VLOOKUP(Tabla6[[#This Row],[GEO]],Listas!$A$48:$B$77,2,0)</f>
        <v xml:space="preserve">SANTO DOMINGO </v>
      </c>
      <c r="Q667" s="70">
        <f>VLOOKUP(Tabla6[[#This Row],[PG]],Listas2!$G$14:$K$16,3,0)</f>
        <v>1</v>
      </c>
      <c r="R667" s="73">
        <f>VLOOKUP(Tabla6[[#This Row],[PG]],Listas2!H177:'Listas2'!$G$14:$K$16,4,0)</f>
        <v>0</v>
      </c>
      <c r="S667" s="73">
        <f>VLOOKUP(Tabla6[[#This Row],[PG]],Listas2!$G$14:$K$16,2,0)</f>
        <v>0</v>
      </c>
      <c r="T667" s="66" t="s">
        <v>84</v>
      </c>
      <c r="U667" s="74">
        <v>53</v>
      </c>
      <c r="V667" s="66">
        <v>530805</v>
      </c>
      <c r="W667" s="63" t="str">
        <f>VLOOKUP(Tabla6[[#This Row],[ÍTEM PRESUPUESTARIO]],Tabla2[#All],2,0)</f>
        <v>MATERIALES DE ASEO</v>
      </c>
      <c r="X667" s="57">
        <v>0</v>
      </c>
      <c r="Y667" s="57">
        <f>100-0.53</f>
        <v>99.47</v>
      </c>
      <c r="Z667" s="58">
        <v>0</v>
      </c>
      <c r="AA667" s="58">
        <v>0</v>
      </c>
      <c r="AB667" s="58">
        <v>0</v>
      </c>
      <c r="AC667" s="58">
        <v>0</v>
      </c>
      <c r="AD667" s="58">
        <v>0</v>
      </c>
      <c r="AE667" s="58">
        <v>0</v>
      </c>
      <c r="AF667" s="58">
        <v>99.47</v>
      </c>
      <c r="AG667" s="58">
        <v>0</v>
      </c>
      <c r="AH667" s="58">
        <v>0</v>
      </c>
      <c r="AI667" s="58">
        <v>0</v>
      </c>
      <c r="AJ667" s="58">
        <v>0</v>
      </c>
      <c r="AK667" s="58">
        <v>0</v>
      </c>
      <c r="AL667" s="75">
        <f>+SUBTOTAL(9,Tabla6[[#This Row],[ENE]:[DIC]])</f>
        <v>99.47</v>
      </c>
      <c r="AM667" s="76" t="str">
        <f t="shared" si="13"/>
        <v>OK</v>
      </c>
      <c r="AN667" s="60">
        <v>99.47</v>
      </c>
      <c r="AO667" s="61">
        <f>+Tabla6[[#This Row],[PRESUPUESTO VIGENTE]]-Tabla6[[#This Row],[CERTIFICACIÓN PAPP]]</f>
        <v>0</v>
      </c>
      <c r="AP667" s="59">
        <v>0</v>
      </c>
    </row>
    <row r="668" spans="1:42" ht="93" customHeight="1" x14ac:dyDescent="0.25">
      <c r="A668" s="62" t="s">
        <v>78</v>
      </c>
      <c r="B668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668" s="64" t="s">
        <v>79</v>
      </c>
      <c r="D668" s="64" t="s">
        <v>80</v>
      </c>
      <c r="E668" s="64" t="s">
        <v>81</v>
      </c>
      <c r="F668" s="64" t="s">
        <v>99</v>
      </c>
      <c r="G668" s="64" t="s">
        <v>83</v>
      </c>
      <c r="H668" s="65" t="str">
        <f>VLOOKUP(Tabla6[[#This Row],[DIRECCIÓN]],DIRECCIÓN[#All],2,0)</f>
        <v>ADMINISTRACIÓN CENTRAL</v>
      </c>
      <c r="I668" s="66" t="s">
        <v>611</v>
      </c>
      <c r="J668" s="67">
        <v>1</v>
      </c>
      <c r="K668" s="68" t="str">
        <f>VLOOKUP(Tabla6[[#This Row],[DIRECCIÓN GENERAL / COORDINACIÓN / SUBDIRECCIÓN]],Tabla37[[#All],[Columna1]:[EOD]],2,0)</f>
        <v>266_0004</v>
      </c>
      <c r="L668" s="69">
        <f>VLOOKUP(Tabla6[[#This Row],[OBJETIVOS PND]],Listas!$A$1:$C$3,3,0)</f>
        <v>1</v>
      </c>
      <c r="M668" s="70">
        <f>VLOOKUP(Tabla6[[#This Row],[PG]],Listas2!$G$14:$K$16,5,0)</f>
        <v>0</v>
      </c>
      <c r="N668" s="71">
        <v>1</v>
      </c>
      <c r="O668" s="72">
        <v>2301</v>
      </c>
      <c r="P668" s="73" t="str">
        <f>VLOOKUP(Tabla6[[#This Row],[GEO]],Listas!$A$48:$B$77,2,0)</f>
        <v xml:space="preserve">SANTO DOMINGO </v>
      </c>
      <c r="Q668" s="70">
        <f>VLOOKUP(Tabla6[[#This Row],[PG]],Listas2!$G$14:$K$16,3,0)</f>
        <v>1</v>
      </c>
      <c r="R668" s="73">
        <f>VLOOKUP(Tabla6[[#This Row],[PG]],Listas2!H178:'Listas2'!$G$14:$K$16,4,0)</f>
        <v>0</v>
      </c>
      <c r="S668" s="73">
        <f>VLOOKUP(Tabla6[[#This Row],[PG]],Listas2!$G$14:$K$16,2,0)</f>
        <v>0</v>
      </c>
      <c r="T668" s="66" t="s">
        <v>84</v>
      </c>
      <c r="U668" s="74">
        <v>53</v>
      </c>
      <c r="V668" s="66">
        <v>530811</v>
      </c>
      <c r="W668" s="63" t="str">
        <f>VLOOKUP(Tabla6[[#This Row],[ÍTEM PRESUPUESTARIO]],Tabla2[#All],2,0)</f>
        <v>INSUMOS, MATERIALES Y SUMINISTROS PARA CONSTRUCCIÓN, ELECTRICIDAD, PLOMERÍA, CARPINTERÍA, SEÑALIZACIÓN VIAL, NAVEGACIÓN, CONTRA INCENDIOS Y PLACAS</v>
      </c>
      <c r="X668" s="57">
        <v>0</v>
      </c>
      <c r="Y668" s="57">
        <f>4500-2325-2175</f>
        <v>0</v>
      </c>
      <c r="Z668" s="58">
        <v>0</v>
      </c>
      <c r="AA668" s="58">
        <v>0</v>
      </c>
      <c r="AB668" s="58">
        <v>0</v>
      </c>
      <c r="AC668" s="58">
        <v>0</v>
      </c>
      <c r="AD668" s="58">
        <v>0</v>
      </c>
      <c r="AE668" s="58">
        <v>0</v>
      </c>
      <c r="AF668" s="58">
        <v>0</v>
      </c>
      <c r="AG668" s="58">
        <v>0</v>
      </c>
      <c r="AH668" s="58">
        <v>0</v>
      </c>
      <c r="AI668" s="58">
        <v>0</v>
      </c>
      <c r="AJ668" s="58">
        <v>0</v>
      </c>
      <c r="AK668" s="58">
        <v>0</v>
      </c>
      <c r="AL668" s="75">
        <f>+SUBTOTAL(9,Tabla6[[#This Row],[ENE]:[DIC]])</f>
        <v>0</v>
      </c>
      <c r="AM668" s="76" t="str">
        <f t="shared" si="13"/>
        <v>OK</v>
      </c>
      <c r="AN668" s="60">
        <v>0</v>
      </c>
      <c r="AO668" s="61">
        <f>+Tabla6[[#This Row],[PRESUPUESTO VIGENTE]]-Tabla6[[#This Row],[CERTIFICACIÓN PAPP]]</f>
        <v>0</v>
      </c>
      <c r="AP668" s="59" t="s">
        <v>87</v>
      </c>
    </row>
    <row r="669" spans="1:42" ht="93" customHeight="1" x14ac:dyDescent="0.25">
      <c r="A669" s="62" t="s">
        <v>78</v>
      </c>
      <c r="B669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669" s="64" t="s">
        <v>79</v>
      </c>
      <c r="D669" s="64" t="s">
        <v>80</v>
      </c>
      <c r="E669" s="64" t="s">
        <v>81</v>
      </c>
      <c r="F669" s="64" t="s">
        <v>99</v>
      </c>
      <c r="G669" s="64" t="s">
        <v>83</v>
      </c>
      <c r="H669" s="65" t="str">
        <f>VLOOKUP(Tabla6[[#This Row],[DIRECCIÓN]],DIRECCIÓN[#All],2,0)</f>
        <v>ADMINISTRACIÓN CENTRAL</v>
      </c>
      <c r="I669" s="66" t="s">
        <v>617</v>
      </c>
      <c r="J669" s="67">
        <v>1</v>
      </c>
      <c r="K669" s="68" t="str">
        <f>VLOOKUP(Tabla6[[#This Row],[DIRECCIÓN GENERAL / COORDINACIÓN / SUBDIRECCIÓN]],Tabla37[[#All],[Columna1]:[EOD]],2,0)</f>
        <v>266_0004</v>
      </c>
      <c r="L669" s="69">
        <f>VLOOKUP(Tabla6[[#This Row],[OBJETIVOS PND]],Listas!$A$1:$C$3,3,0)</f>
        <v>1</v>
      </c>
      <c r="M669" s="70">
        <f>VLOOKUP(Tabla6[[#This Row],[PG]],Listas2!$G$14:$K$16,5,0)</f>
        <v>0</v>
      </c>
      <c r="N669" s="71">
        <v>1</v>
      </c>
      <c r="O669" s="72">
        <v>2301</v>
      </c>
      <c r="P669" s="73" t="str">
        <f>VLOOKUP(Tabla6[[#This Row],[GEO]],Listas!$A$48:$B$77,2,0)</f>
        <v xml:space="preserve">SANTO DOMINGO </v>
      </c>
      <c r="Q669" s="70">
        <f>VLOOKUP(Tabla6[[#This Row],[PG]],Listas2!$G$14:$K$16,3,0)</f>
        <v>1</v>
      </c>
      <c r="R669" s="73">
        <f>VLOOKUP(Tabla6[[#This Row],[PG]],Listas2!H179:'Listas2'!$G$14:$K$16,4,0)</f>
        <v>0</v>
      </c>
      <c r="S669" s="73">
        <f>VLOOKUP(Tabla6[[#This Row],[PG]],Listas2!$G$14:$K$16,2,0)</f>
        <v>0</v>
      </c>
      <c r="T669" s="66" t="s">
        <v>84</v>
      </c>
      <c r="U669" s="74">
        <v>53</v>
      </c>
      <c r="V669" s="66">
        <v>530811</v>
      </c>
      <c r="W669" s="63" t="str">
        <f>VLOOKUP(Tabla6[[#This Row],[ÍTEM PRESUPUESTARIO]],Tabla2[#All],2,0)</f>
        <v>INSUMOS, MATERIALES Y SUMINISTROS PARA CONSTRUCCIÓN, ELECTRICIDAD, PLOMERÍA, CARPINTERÍA, SEÑALIZACIÓN VIAL, NAVEGACIÓN, CONTRA INCENDIOS Y PLACAS</v>
      </c>
      <c r="X669" s="57">
        <v>0</v>
      </c>
      <c r="Y669" s="57">
        <f>150-150</f>
        <v>0</v>
      </c>
      <c r="Z669" s="58">
        <v>0</v>
      </c>
      <c r="AA669" s="58">
        <v>0</v>
      </c>
      <c r="AB669" s="58">
        <v>0</v>
      </c>
      <c r="AC669" s="58">
        <v>0</v>
      </c>
      <c r="AD669" s="58">
        <v>0</v>
      </c>
      <c r="AE669" s="58">
        <v>0</v>
      </c>
      <c r="AF669" s="58">
        <v>0</v>
      </c>
      <c r="AG669" s="58">
        <v>0</v>
      </c>
      <c r="AH669" s="58">
        <v>0</v>
      </c>
      <c r="AI669" s="58">
        <v>0</v>
      </c>
      <c r="AJ669" s="58">
        <v>0</v>
      </c>
      <c r="AK669" s="58">
        <v>0</v>
      </c>
      <c r="AL669" s="75">
        <f>+SUBTOTAL(9,Tabla6[[#This Row],[ENE]:[DIC]])</f>
        <v>0</v>
      </c>
      <c r="AM669" s="76" t="str">
        <f t="shared" si="13"/>
        <v>OK</v>
      </c>
      <c r="AN669" s="60">
        <v>0</v>
      </c>
      <c r="AO669" s="61">
        <f>+Tabla6[[#This Row],[PRESUPUESTO VIGENTE]]-Tabla6[[#This Row],[CERTIFICACIÓN PAPP]]</f>
        <v>0</v>
      </c>
      <c r="AP669" s="59">
        <v>0</v>
      </c>
    </row>
    <row r="670" spans="1:42" ht="93" customHeight="1" x14ac:dyDescent="0.25">
      <c r="A670" s="62" t="s">
        <v>78</v>
      </c>
      <c r="B670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670" s="64" t="s">
        <v>79</v>
      </c>
      <c r="D670" s="64" t="s">
        <v>80</v>
      </c>
      <c r="E670" s="64" t="s">
        <v>81</v>
      </c>
      <c r="F670" s="64" t="s">
        <v>99</v>
      </c>
      <c r="G670" s="64" t="s">
        <v>83</v>
      </c>
      <c r="H670" s="65" t="str">
        <f>VLOOKUP(Tabla6[[#This Row],[DIRECCIÓN]],DIRECCIÓN[#All],2,0)</f>
        <v>ADMINISTRACIÓN CENTRAL</v>
      </c>
      <c r="I670" s="66" t="s">
        <v>618</v>
      </c>
      <c r="J670" s="67">
        <v>1</v>
      </c>
      <c r="K670" s="68" t="str">
        <f>VLOOKUP(Tabla6[[#This Row],[DIRECCIÓN GENERAL / COORDINACIÓN / SUBDIRECCIÓN]],Tabla37[[#All],[Columna1]:[EOD]],2,0)</f>
        <v>266_0004</v>
      </c>
      <c r="L670" s="69">
        <f>VLOOKUP(Tabla6[[#This Row],[OBJETIVOS PND]],Listas!$A$1:$C$3,3,0)</f>
        <v>1</v>
      </c>
      <c r="M670" s="70">
        <f>VLOOKUP(Tabla6[[#This Row],[PG]],Listas2!$G$14:$K$16,5,0)</f>
        <v>0</v>
      </c>
      <c r="N670" s="71">
        <v>1</v>
      </c>
      <c r="O670" s="72">
        <v>2301</v>
      </c>
      <c r="P670" s="73" t="str">
        <f>VLOOKUP(Tabla6[[#This Row],[GEO]],Listas!$A$48:$B$77,2,0)</f>
        <v xml:space="preserve">SANTO DOMINGO </v>
      </c>
      <c r="Q670" s="70">
        <f>VLOOKUP(Tabla6[[#This Row],[PG]],Listas2!$G$14:$K$16,3,0)</f>
        <v>1</v>
      </c>
      <c r="R670" s="73">
        <f>VLOOKUP(Tabla6[[#This Row],[PG]],Listas2!H180:'Listas2'!$G$14:$K$16,4,0)</f>
        <v>0</v>
      </c>
      <c r="S670" s="73">
        <f>VLOOKUP(Tabla6[[#This Row],[PG]],Listas2!$G$14:$K$16,2,0)</f>
        <v>0</v>
      </c>
      <c r="T670" s="66" t="s">
        <v>84</v>
      </c>
      <c r="U670" s="74">
        <v>53</v>
      </c>
      <c r="V670" s="66">
        <v>530811</v>
      </c>
      <c r="W670" s="63" t="str">
        <f>VLOOKUP(Tabla6[[#This Row],[ÍTEM PRESUPUESTARIO]],Tabla2[#All],2,0)</f>
        <v>INSUMOS, MATERIALES Y SUMINISTROS PARA CONSTRUCCIÓN, ELECTRICIDAD, PLOMERÍA, CARPINTERÍA, SEÑALIZACIÓN VIAL, NAVEGACIÓN, CONTRA INCENDIOS Y PLACAS</v>
      </c>
      <c r="X670" s="57">
        <v>0</v>
      </c>
      <c r="Y670" s="57">
        <f>208+20-228</f>
        <v>0</v>
      </c>
      <c r="Z670" s="58">
        <v>0</v>
      </c>
      <c r="AA670" s="58">
        <v>0</v>
      </c>
      <c r="AB670" s="58">
        <v>0</v>
      </c>
      <c r="AC670" s="58">
        <v>0</v>
      </c>
      <c r="AD670" s="58">
        <v>0</v>
      </c>
      <c r="AE670" s="58">
        <v>0</v>
      </c>
      <c r="AF670" s="58">
        <v>0</v>
      </c>
      <c r="AG670" s="58">
        <v>0</v>
      </c>
      <c r="AH670" s="58">
        <v>0</v>
      </c>
      <c r="AI670" s="58">
        <v>0</v>
      </c>
      <c r="AJ670" s="58">
        <v>0</v>
      </c>
      <c r="AK670" s="58">
        <v>0</v>
      </c>
      <c r="AL670" s="75">
        <f>+SUBTOTAL(9,Tabla6[[#This Row],[ENE]:[DIC]])</f>
        <v>0</v>
      </c>
      <c r="AM670" s="76" t="str">
        <f t="shared" si="13"/>
        <v>OK</v>
      </c>
      <c r="AN670" s="60">
        <f>209.92-209.92</f>
        <v>0</v>
      </c>
      <c r="AO670" s="61">
        <f>+Tabla6[[#This Row],[PRESUPUESTO VIGENTE]]-Tabla6[[#This Row],[CERTIFICACIÓN PAPP]]</f>
        <v>0</v>
      </c>
      <c r="AP670" s="59">
        <v>0</v>
      </c>
    </row>
    <row r="671" spans="1:42" ht="93" customHeight="1" x14ac:dyDescent="0.25">
      <c r="A671" s="62" t="s">
        <v>78</v>
      </c>
      <c r="B671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671" s="64" t="s">
        <v>79</v>
      </c>
      <c r="D671" s="64" t="s">
        <v>80</v>
      </c>
      <c r="E671" s="64" t="s">
        <v>81</v>
      </c>
      <c r="F671" s="64" t="s">
        <v>99</v>
      </c>
      <c r="G671" s="64" t="s">
        <v>83</v>
      </c>
      <c r="H671" s="65" t="str">
        <f>VLOOKUP(Tabla6[[#This Row],[DIRECCIÓN]],DIRECCIÓN[#All],2,0)</f>
        <v>ADMINISTRACIÓN CENTRAL</v>
      </c>
      <c r="I671" s="66" t="s">
        <v>619</v>
      </c>
      <c r="J671" s="67">
        <v>1</v>
      </c>
      <c r="K671" s="68" t="str">
        <f>VLOOKUP(Tabla6[[#This Row],[DIRECCIÓN GENERAL / COORDINACIÓN / SUBDIRECCIÓN]],Tabla37[[#All],[Columna1]:[EOD]],2,0)</f>
        <v>266_0004</v>
      </c>
      <c r="L671" s="69">
        <f>VLOOKUP(Tabla6[[#This Row],[OBJETIVOS PND]],Listas!$A$1:$C$3,3,0)</f>
        <v>1</v>
      </c>
      <c r="M671" s="70">
        <f>VLOOKUP(Tabla6[[#This Row],[PG]],Listas2!$G$14:$K$16,5,0)</f>
        <v>0</v>
      </c>
      <c r="N671" s="71">
        <v>1</v>
      </c>
      <c r="O671" s="72">
        <v>2301</v>
      </c>
      <c r="P671" s="73" t="str">
        <f>VLOOKUP(Tabla6[[#This Row],[GEO]],Listas!$A$48:$B$77,2,0)</f>
        <v xml:space="preserve">SANTO DOMINGO </v>
      </c>
      <c r="Q671" s="70">
        <f>VLOOKUP(Tabla6[[#This Row],[PG]],Listas2!$G$14:$K$16,3,0)</f>
        <v>1</v>
      </c>
      <c r="R671" s="73">
        <f>VLOOKUP(Tabla6[[#This Row],[PG]],Listas2!H181:'Listas2'!$G$14:$K$16,4,0)</f>
        <v>0</v>
      </c>
      <c r="S671" s="73">
        <f>VLOOKUP(Tabla6[[#This Row],[PG]],Listas2!$G$14:$K$16,2,0)</f>
        <v>0</v>
      </c>
      <c r="T671" s="66" t="s">
        <v>84</v>
      </c>
      <c r="U671" s="74">
        <v>53</v>
      </c>
      <c r="V671" s="66">
        <v>530813</v>
      </c>
      <c r="W671" s="63" t="str">
        <f>VLOOKUP(Tabla6[[#This Row],[ÍTEM PRESUPUESTARIO]],Tabla2[#All],2,0)</f>
        <v>REPUESTOS Y ACCESORIOS</v>
      </c>
      <c r="X671" s="57">
        <v>0</v>
      </c>
      <c r="Y671" s="57">
        <f>317.11</f>
        <v>317.11</v>
      </c>
      <c r="Z671" s="58">
        <v>0</v>
      </c>
      <c r="AA671" s="58">
        <v>0</v>
      </c>
      <c r="AB671" s="58">
        <v>0</v>
      </c>
      <c r="AC671" s="58">
        <v>317.11</v>
      </c>
      <c r="AD671" s="58">
        <v>0</v>
      </c>
      <c r="AE671" s="58">
        <v>0</v>
      </c>
      <c r="AF671" s="58">
        <v>0</v>
      </c>
      <c r="AG671" s="58">
        <v>0</v>
      </c>
      <c r="AH671" s="58">
        <v>0</v>
      </c>
      <c r="AI671" s="58">
        <v>0</v>
      </c>
      <c r="AJ671" s="58">
        <v>0</v>
      </c>
      <c r="AK671" s="58">
        <v>0</v>
      </c>
      <c r="AL671" s="75">
        <f>+SUBTOTAL(9,Tabla6[[#This Row],[ENE]:[DIC]])</f>
        <v>317.11</v>
      </c>
      <c r="AM671" s="76" t="str">
        <f t="shared" si="13"/>
        <v>OK</v>
      </c>
      <c r="AN671" s="60">
        <f>308.18+8.93</f>
        <v>317.11</v>
      </c>
      <c r="AO671" s="61">
        <f>+Tabla6[[#This Row],[PRESUPUESTO VIGENTE]]-Tabla6[[#This Row],[CERTIFICACIÓN PAPP]]</f>
        <v>0</v>
      </c>
      <c r="AP671" s="59">
        <v>0</v>
      </c>
    </row>
    <row r="672" spans="1:42" ht="93" customHeight="1" x14ac:dyDescent="0.25">
      <c r="A672" s="62" t="s">
        <v>78</v>
      </c>
      <c r="B672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672" s="64" t="s">
        <v>79</v>
      </c>
      <c r="D672" s="64" t="s">
        <v>80</v>
      </c>
      <c r="E672" s="64" t="s">
        <v>81</v>
      </c>
      <c r="F672" s="64" t="s">
        <v>99</v>
      </c>
      <c r="G672" s="64" t="s">
        <v>83</v>
      </c>
      <c r="H672" s="65" t="str">
        <f>VLOOKUP(Tabla6[[#This Row],[DIRECCIÓN]],DIRECCIÓN[#All],2,0)</f>
        <v>ADMINISTRACIÓN CENTRAL</v>
      </c>
      <c r="I672" s="66" t="s">
        <v>611</v>
      </c>
      <c r="J672" s="67">
        <v>1</v>
      </c>
      <c r="K672" s="68" t="str">
        <f>VLOOKUP(Tabla6[[#This Row],[DIRECCIÓN GENERAL / COORDINACIÓN / SUBDIRECCIÓN]],Tabla37[[#All],[Columna1]:[EOD]],2,0)</f>
        <v>266_0004</v>
      </c>
      <c r="L672" s="69">
        <f>VLOOKUP(Tabla6[[#This Row],[OBJETIVOS PND]],Listas!$A$1:$C$3,3,0)</f>
        <v>1</v>
      </c>
      <c r="M672" s="70">
        <f>VLOOKUP(Tabla6[[#This Row],[PG]],Listas2!$G$14:$K$16,5,0)</f>
        <v>0</v>
      </c>
      <c r="N672" s="71">
        <v>1</v>
      </c>
      <c r="O672" s="72">
        <v>2301</v>
      </c>
      <c r="P672" s="73" t="str">
        <f>VLOOKUP(Tabla6[[#This Row],[GEO]],Listas!$A$48:$B$77,2,0)</f>
        <v xml:space="preserve">SANTO DOMINGO </v>
      </c>
      <c r="Q672" s="70">
        <f>VLOOKUP(Tabla6[[#This Row],[PG]],Listas2!$G$14:$K$16,3,0)</f>
        <v>1</v>
      </c>
      <c r="R672" s="73">
        <f>VLOOKUP(Tabla6[[#This Row],[PG]],Listas2!H182:'Listas2'!$G$14:$K$16,4,0)</f>
        <v>0</v>
      </c>
      <c r="S672" s="73">
        <f>VLOOKUP(Tabla6[[#This Row],[PG]],Listas2!$G$14:$K$16,2,0)</f>
        <v>0</v>
      </c>
      <c r="T672" s="66" t="s">
        <v>84</v>
      </c>
      <c r="U672" s="74">
        <v>53</v>
      </c>
      <c r="V672" s="66">
        <v>530813</v>
      </c>
      <c r="W672" s="63" t="str">
        <f>VLOOKUP(Tabla6[[#This Row],[ÍTEM PRESUPUESTARIO]],Tabla2[#All],2,0)</f>
        <v>REPUESTOS Y ACCESORIOS</v>
      </c>
      <c r="X672" s="57">
        <v>0</v>
      </c>
      <c r="Y672" s="57">
        <f>26700-13354.46-13345.54</f>
        <v>0</v>
      </c>
      <c r="Z672" s="58">
        <v>0</v>
      </c>
      <c r="AA672" s="58">
        <v>0</v>
      </c>
      <c r="AB672" s="58">
        <v>0</v>
      </c>
      <c r="AC672" s="58">
        <v>0</v>
      </c>
      <c r="AD672" s="58">
        <v>0</v>
      </c>
      <c r="AE672" s="58">
        <v>0</v>
      </c>
      <c r="AF672" s="58">
        <v>0</v>
      </c>
      <c r="AG672" s="58">
        <v>0</v>
      </c>
      <c r="AH672" s="58">
        <v>0</v>
      </c>
      <c r="AI672" s="58">
        <v>0</v>
      </c>
      <c r="AJ672" s="58">
        <v>0</v>
      </c>
      <c r="AK672" s="58">
        <v>0</v>
      </c>
      <c r="AL672" s="75">
        <f>+SUBTOTAL(9,Tabla6[[#This Row],[ENE]:[DIC]])</f>
        <v>0</v>
      </c>
      <c r="AM672" s="76" t="str">
        <f t="shared" si="13"/>
        <v>OK</v>
      </c>
      <c r="AN672" s="60">
        <v>0</v>
      </c>
      <c r="AO672" s="61">
        <f>+Tabla6[[#This Row],[PRESUPUESTO VIGENTE]]-Tabla6[[#This Row],[CERTIFICACIÓN PAPP]]</f>
        <v>0</v>
      </c>
      <c r="AP672" s="59" t="s">
        <v>87</v>
      </c>
    </row>
    <row r="673" spans="1:42" ht="93" customHeight="1" x14ac:dyDescent="0.25">
      <c r="A673" s="62" t="s">
        <v>78</v>
      </c>
      <c r="B673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673" s="64" t="s">
        <v>79</v>
      </c>
      <c r="D673" s="64" t="s">
        <v>80</v>
      </c>
      <c r="E673" s="64" t="s">
        <v>81</v>
      </c>
      <c r="F673" s="64" t="s">
        <v>99</v>
      </c>
      <c r="G673" s="64" t="s">
        <v>83</v>
      </c>
      <c r="H673" s="65" t="str">
        <f>VLOOKUP(Tabla6[[#This Row],[DIRECCIÓN]],DIRECCIÓN[#All],2,0)</f>
        <v>ADMINISTRACIÓN CENTRAL</v>
      </c>
      <c r="I673" s="66" t="s">
        <v>613</v>
      </c>
      <c r="J673" s="67">
        <v>1</v>
      </c>
      <c r="K673" s="68" t="str">
        <f>VLOOKUP(Tabla6[[#This Row],[DIRECCIÓN GENERAL / COORDINACIÓN / SUBDIRECCIÓN]],Tabla37[[#All],[Columna1]:[EOD]],2,0)</f>
        <v>266_0004</v>
      </c>
      <c r="L673" s="69">
        <f>VLOOKUP(Tabla6[[#This Row],[OBJETIVOS PND]],Listas!$A$1:$C$3,3,0)</f>
        <v>1</v>
      </c>
      <c r="M673" s="70">
        <f>VLOOKUP(Tabla6[[#This Row],[PG]],Listas2!$G$14:$K$16,5,0)</f>
        <v>0</v>
      </c>
      <c r="N673" s="71">
        <v>1</v>
      </c>
      <c r="O673" s="72">
        <v>2301</v>
      </c>
      <c r="P673" s="73" t="str">
        <f>VLOOKUP(Tabla6[[#This Row],[GEO]],Listas!$A$48:$B$77,2,0)</f>
        <v xml:space="preserve">SANTO DOMINGO </v>
      </c>
      <c r="Q673" s="70">
        <f>VLOOKUP(Tabla6[[#This Row],[PG]],Listas2!$G$14:$K$16,3,0)</f>
        <v>1</v>
      </c>
      <c r="R673" s="73">
        <f>VLOOKUP(Tabla6[[#This Row],[PG]],Listas2!H183:'Listas2'!$G$14:$K$16,4,0)</f>
        <v>0</v>
      </c>
      <c r="S673" s="73">
        <f>VLOOKUP(Tabla6[[#This Row],[PG]],Listas2!$G$14:$K$16,2,0)</f>
        <v>0</v>
      </c>
      <c r="T673" s="66" t="s">
        <v>84</v>
      </c>
      <c r="U673" s="74">
        <v>53</v>
      </c>
      <c r="V673" s="66">
        <v>530813</v>
      </c>
      <c r="W673" s="63" t="str">
        <f>VLOOKUP(Tabla6[[#This Row],[ÍTEM PRESUPUESTARIO]],Tabla2[#All],2,0)</f>
        <v>REPUESTOS Y ACCESORIOS</v>
      </c>
      <c r="X673" s="57">
        <v>0</v>
      </c>
      <c r="Y673" s="57">
        <f>2500-317.11+850-400.8</f>
        <v>2632.0899999999997</v>
      </c>
      <c r="Z673" s="58">
        <v>0</v>
      </c>
      <c r="AA673" s="58">
        <v>180</v>
      </c>
      <c r="AB673" s="58">
        <v>180</v>
      </c>
      <c r="AC673" s="58">
        <v>192.89</v>
      </c>
      <c r="AD673" s="58">
        <v>200</v>
      </c>
      <c r="AE673" s="58">
        <v>500</v>
      </c>
      <c r="AF673" s="58">
        <v>0</v>
      </c>
      <c r="AG673" s="58">
        <v>0</v>
      </c>
      <c r="AH673" s="58">
        <v>470</v>
      </c>
      <c r="AI673" s="58">
        <v>400</v>
      </c>
      <c r="AJ673" s="58">
        <v>509.2</v>
      </c>
      <c r="AK673" s="58">
        <v>0</v>
      </c>
      <c r="AL673" s="75">
        <f>+SUBTOTAL(9,Tabla6[[#This Row],[ENE]:[DIC]])</f>
        <v>2632.0899999999997</v>
      </c>
      <c r="AM673" s="76" t="str">
        <f t="shared" si="13"/>
        <v>OK</v>
      </c>
      <c r="AN673" s="60">
        <f>2182.89+850-400.8</f>
        <v>2632.0899999999997</v>
      </c>
      <c r="AO673" s="61">
        <f>+Tabla6[[#This Row],[PRESUPUESTO VIGENTE]]-Tabla6[[#This Row],[CERTIFICACIÓN PAPP]]</f>
        <v>0</v>
      </c>
      <c r="AP673" s="59" t="s">
        <v>87</v>
      </c>
    </row>
    <row r="674" spans="1:42" ht="93" customHeight="1" x14ac:dyDescent="0.25">
      <c r="A674" s="62" t="s">
        <v>78</v>
      </c>
      <c r="B674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674" s="64" t="s">
        <v>79</v>
      </c>
      <c r="D674" s="64" t="s">
        <v>80</v>
      </c>
      <c r="E674" s="64" t="s">
        <v>81</v>
      </c>
      <c r="F674" s="64" t="s">
        <v>99</v>
      </c>
      <c r="G674" s="64" t="s">
        <v>83</v>
      </c>
      <c r="H674" s="65" t="str">
        <f>VLOOKUP(Tabla6[[#This Row],[DIRECCIÓN]],DIRECCIÓN[#All],2,0)</f>
        <v>ADMINISTRACIÓN CENTRAL</v>
      </c>
      <c r="I674" s="66" t="s">
        <v>618</v>
      </c>
      <c r="J674" s="67">
        <v>1</v>
      </c>
      <c r="K674" s="68" t="str">
        <f>VLOOKUP(Tabla6[[#This Row],[DIRECCIÓN GENERAL / COORDINACIÓN / SUBDIRECCIÓN]],Tabla37[[#All],[Columna1]:[EOD]],2,0)</f>
        <v>266_0004</v>
      </c>
      <c r="L674" s="69">
        <f>VLOOKUP(Tabla6[[#This Row],[OBJETIVOS PND]],Listas!$A$1:$C$3,3,0)</f>
        <v>1</v>
      </c>
      <c r="M674" s="70">
        <f>VLOOKUP(Tabla6[[#This Row],[PG]],Listas2!$G$14:$K$16,5,0)</f>
        <v>0</v>
      </c>
      <c r="N674" s="71">
        <v>1</v>
      </c>
      <c r="O674" s="72">
        <v>2301</v>
      </c>
      <c r="P674" s="73" t="str">
        <f>VLOOKUP(Tabla6[[#This Row],[GEO]],Listas!$A$48:$B$77,2,0)</f>
        <v xml:space="preserve">SANTO DOMINGO </v>
      </c>
      <c r="Q674" s="70">
        <f>VLOOKUP(Tabla6[[#This Row],[PG]],Listas2!$G$14:$K$16,3,0)</f>
        <v>1</v>
      </c>
      <c r="R674" s="73">
        <f>VLOOKUP(Tabla6[[#This Row],[PG]],Listas2!H184:'Listas2'!$G$14:$K$16,4,0)</f>
        <v>0</v>
      </c>
      <c r="S674" s="73">
        <f>VLOOKUP(Tabla6[[#This Row],[PG]],Listas2!$G$14:$K$16,2,0)</f>
        <v>0</v>
      </c>
      <c r="T674" s="66" t="s">
        <v>84</v>
      </c>
      <c r="U674" s="74">
        <v>53</v>
      </c>
      <c r="V674" s="66">
        <v>531404</v>
      </c>
      <c r="W674" s="63" t="str">
        <f>VLOOKUP(Tabla6[[#This Row],[ÍTEM PRESUPUESTARIO]],Tabla2[#All],2,0)</f>
        <v>MAQUINARIAS Y EQUIPOS</v>
      </c>
      <c r="X674" s="57">
        <v>0</v>
      </c>
      <c r="Y674" s="57">
        <f>4308-4308</f>
        <v>0</v>
      </c>
      <c r="Z674" s="58">
        <v>0</v>
      </c>
      <c r="AA674" s="58">
        <v>0</v>
      </c>
      <c r="AB674" s="58">
        <v>0</v>
      </c>
      <c r="AC674" s="58">
        <v>0</v>
      </c>
      <c r="AD674" s="58">
        <v>0</v>
      </c>
      <c r="AE674" s="58">
        <v>0</v>
      </c>
      <c r="AF674" s="58">
        <v>0</v>
      </c>
      <c r="AG674" s="58">
        <v>0</v>
      </c>
      <c r="AH674" s="58">
        <v>0</v>
      </c>
      <c r="AI674" s="58">
        <v>0</v>
      </c>
      <c r="AJ674" s="58">
        <v>0</v>
      </c>
      <c r="AK674" s="58">
        <v>0</v>
      </c>
      <c r="AL674" s="75">
        <f>+SUBTOTAL(9,Tabla6[[#This Row],[ENE]:[DIC]])</f>
        <v>0</v>
      </c>
      <c r="AM674" s="76" t="str">
        <f t="shared" si="13"/>
        <v>OK</v>
      </c>
      <c r="AN674" s="60">
        <f>4270-4270</f>
        <v>0</v>
      </c>
      <c r="AO674" s="61">
        <f>+Tabla6[[#This Row],[PRESUPUESTO VIGENTE]]-Tabla6[[#This Row],[CERTIFICACIÓN PAPP]]</f>
        <v>0</v>
      </c>
      <c r="AP674" s="59">
        <v>0</v>
      </c>
    </row>
    <row r="675" spans="1:42" ht="93" customHeight="1" x14ac:dyDescent="0.25">
      <c r="A675" s="62" t="s">
        <v>78</v>
      </c>
      <c r="B675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675" s="64" t="s">
        <v>79</v>
      </c>
      <c r="D675" s="64" t="s">
        <v>80</v>
      </c>
      <c r="E675" s="64" t="s">
        <v>81</v>
      </c>
      <c r="F675" s="64" t="s">
        <v>99</v>
      </c>
      <c r="G675" s="64" t="s">
        <v>83</v>
      </c>
      <c r="H675" s="65" t="str">
        <f>VLOOKUP(Tabla6[[#This Row],[DIRECCIÓN]],DIRECCIÓN[#All],2,0)</f>
        <v>ADMINISTRACIÓN CENTRAL</v>
      </c>
      <c r="I675" s="66" t="s">
        <v>618</v>
      </c>
      <c r="J675" s="67">
        <v>1</v>
      </c>
      <c r="K675" s="68" t="str">
        <f>VLOOKUP(Tabla6[[#This Row],[DIRECCIÓN GENERAL / COORDINACIÓN / SUBDIRECCIÓN]],Tabla37[[#All],[Columna1]:[EOD]],2,0)</f>
        <v>266_0004</v>
      </c>
      <c r="L675" s="69">
        <f>VLOOKUP(Tabla6[[#This Row],[OBJETIVOS PND]],Listas!$A$1:$C$3,3,0)</f>
        <v>1</v>
      </c>
      <c r="M675" s="70">
        <f>VLOOKUP(Tabla6[[#This Row],[PG]],Listas2!$G$14:$K$16,5,0)</f>
        <v>0</v>
      </c>
      <c r="N675" s="71">
        <v>1</v>
      </c>
      <c r="O675" s="72">
        <v>2301</v>
      </c>
      <c r="P675" s="73" t="str">
        <f>VLOOKUP(Tabla6[[#This Row],[GEO]],Listas!$A$48:$B$77,2,0)</f>
        <v xml:space="preserve">SANTO DOMINGO </v>
      </c>
      <c r="Q675" s="70">
        <f>VLOOKUP(Tabla6[[#This Row],[PG]],Listas2!$G$14:$K$16,3,0)</f>
        <v>1</v>
      </c>
      <c r="R675" s="73">
        <f>VLOOKUP(Tabla6[[#This Row],[PG]],Listas2!H185:'Listas2'!$G$14:$K$16,4,0)</f>
        <v>0</v>
      </c>
      <c r="S675" s="73">
        <f>VLOOKUP(Tabla6[[#This Row],[PG]],Listas2!$G$14:$K$16,2,0)</f>
        <v>0</v>
      </c>
      <c r="T675" s="66" t="s">
        <v>84</v>
      </c>
      <c r="U675" s="74">
        <v>53</v>
      </c>
      <c r="V675" s="66">
        <v>531407</v>
      </c>
      <c r="W675" s="63" t="str">
        <f>VLOOKUP(Tabla6[[#This Row],[ÍTEM PRESUPUESTARIO]],Tabla2[#All],2,0)</f>
        <v>EQUIPOS, SISTEMAS Y PAQUETES INFORMÁTICOS</v>
      </c>
      <c r="X675" s="57">
        <v>0</v>
      </c>
      <c r="Y675" s="57">
        <f>1781+40-1821</f>
        <v>0</v>
      </c>
      <c r="Z675" s="58">
        <v>0</v>
      </c>
      <c r="AA675" s="58">
        <v>0</v>
      </c>
      <c r="AB675" s="58">
        <v>0</v>
      </c>
      <c r="AC675" s="58">
        <v>0</v>
      </c>
      <c r="AD675" s="58">
        <v>0</v>
      </c>
      <c r="AE675" s="58">
        <v>0</v>
      </c>
      <c r="AF675" s="58">
        <v>0</v>
      </c>
      <c r="AG675" s="58">
        <v>0</v>
      </c>
      <c r="AH675" s="58">
        <v>0</v>
      </c>
      <c r="AI675" s="58">
        <v>0</v>
      </c>
      <c r="AJ675" s="58">
        <v>0</v>
      </c>
      <c r="AK675" s="58">
        <v>0</v>
      </c>
      <c r="AL675" s="75">
        <f>+SUBTOTAL(9,Tabla6[[#This Row],[ENE]:[DIC]])</f>
        <v>0</v>
      </c>
      <c r="AM675" s="76" t="str">
        <f t="shared" si="13"/>
        <v>OK</v>
      </c>
      <c r="AN675" s="60">
        <f>1798-1798</f>
        <v>0</v>
      </c>
      <c r="AO675" s="61">
        <f>+Tabla6[[#This Row],[PRESUPUESTO VIGENTE]]-Tabla6[[#This Row],[CERTIFICACIÓN PAPP]]</f>
        <v>0</v>
      </c>
      <c r="AP675" s="59">
        <v>0</v>
      </c>
    </row>
    <row r="676" spans="1:42" ht="93" customHeight="1" x14ac:dyDescent="0.25">
      <c r="A676" s="62" t="s">
        <v>78</v>
      </c>
      <c r="B676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676" s="64" t="s">
        <v>79</v>
      </c>
      <c r="D676" s="64" t="s">
        <v>80</v>
      </c>
      <c r="E676" s="64" t="s">
        <v>81</v>
      </c>
      <c r="F676" s="64" t="s">
        <v>99</v>
      </c>
      <c r="G676" s="64" t="s">
        <v>83</v>
      </c>
      <c r="H676" s="65" t="str">
        <f>VLOOKUP(Tabla6[[#This Row],[DIRECCIÓN]],DIRECCIÓN[#All],2,0)</f>
        <v>ADMINISTRACIÓN CENTRAL</v>
      </c>
      <c r="I676" s="66" t="s">
        <v>620</v>
      </c>
      <c r="J676" s="67">
        <v>1</v>
      </c>
      <c r="K676" s="68" t="str">
        <f>VLOOKUP(Tabla6[[#This Row],[DIRECCIÓN GENERAL / COORDINACIÓN / SUBDIRECCIÓN]],Tabla37[[#All],[Columna1]:[EOD]],2,0)</f>
        <v>266_0004</v>
      </c>
      <c r="L676" s="69">
        <f>VLOOKUP(Tabla6[[#This Row],[OBJETIVOS PND]],Listas!$A$1:$C$3,3,0)</f>
        <v>1</v>
      </c>
      <c r="M676" s="70">
        <f>VLOOKUP(Tabla6[[#This Row],[PG]],Listas2!$G$14:$K$16,5,0)</f>
        <v>0</v>
      </c>
      <c r="N676" s="71">
        <v>1</v>
      </c>
      <c r="O676" s="72">
        <v>2301</v>
      </c>
      <c r="P676" s="73" t="str">
        <f>VLOOKUP(Tabla6[[#This Row],[GEO]],Listas!$A$48:$B$77,2,0)</f>
        <v xml:space="preserve">SANTO DOMINGO </v>
      </c>
      <c r="Q676" s="70">
        <f>VLOOKUP(Tabla6[[#This Row],[PG]],Listas2!$G$14:$K$16,3,0)</f>
        <v>1</v>
      </c>
      <c r="R676" s="73">
        <f>VLOOKUP(Tabla6[[#This Row],[PG]],Listas2!H186:'Listas2'!$G$14:$K$16,4,0)</f>
        <v>0</v>
      </c>
      <c r="S676" s="73">
        <f>VLOOKUP(Tabla6[[#This Row],[PG]],Listas2!$G$14:$K$16,2,0)</f>
        <v>0</v>
      </c>
      <c r="T676" s="66" t="s">
        <v>84</v>
      </c>
      <c r="U676" s="74">
        <v>57</v>
      </c>
      <c r="V676" s="66">
        <v>570102</v>
      </c>
      <c r="W676" s="63" t="str">
        <f>VLOOKUP(Tabla6[[#This Row],[ÍTEM PRESUPUESTARIO]],Tabla2[#All],2,0)</f>
        <v>TASAS GENERALES, IMPUESTOS, CONTRIBUCIONES, PERMISOS, LICENCIAS Y PATENTES</v>
      </c>
      <c r="X676" s="57">
        <v>1800</v>
      </c>
      <c r="Y676" s="57">
        <f>1800-215.44-69.98</f>
        <v>1514.58</v>
      </c>
      <c r="Z676" s="58">
        <v>0</v>
      </c>
      <c r="AA676" s="58">
        <v>0</v>
      </c>
      <c r="AB676" s="58">
        <v>1514.58</v>
      </c>
      <c r="AC676" s="58">
        <v>0</v>
      </c>
      <c r="AD676" s="58">
        <v>0</v>
      </c>
      <c r="AE676" s="58">
        <v>0</v>
      </c>
      <c r="AF676" s="58">
        <v>0</v>
      </c>
      <c r="AG676" s="58">
        <v>0</v>
      </c>
      <c r="AH676" s="58">
        <v>0</v>
      </c>
      <c r="AI676" s="58">
        <v>0</v>
      </c>
      <c r="AJ676" s="58">
        <v>0</v>
      </c>
      <c r="AK676" s="58">
        <v>0</v>
      </c>
      <c r="AL676" s="75">
        <f>+SUBTOTAL(9,Tabla6[[#This Row],[ENE]:[DIC]])</f>
        <v>1514.58</v>
      </c>
      <c r="AM676" s="76" t="str">
        <f t="shared" si="13"/>
        <v>OK</v>
      </c>
      <c r="AN676" s="60">
        <f>1584.56-69.98</f>
        <v>1514.58</v>
      </c>
      <c r="AO676" s="61">
        <f>+Tabla6[[#This Row],[PRESUPUESTO VIGENTE]]-Tabla6[[#This Row],[CERTIFICACIÓN PAPP]]</f>
        <v>0</v>
      </c>
      <c r="AP676" s="59">
        <v>0</v>
      </c>
    </row>
    <row r="677" spans="1:42" ht="93" customHeight="1" x14ac:dyDescent="0.25">
      <c r="A677" s="62" t="s">
        <v>78</v>
      </c>
      <c r="B677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677" s="64" t="s">
        <v>79</v>
      </c>
      <c r="D677" s="64" t="s">
        <v>80</v>
      </c>
      <c r="E677" s="64" t="s">
        <v>81</v>
      </c>
      <c r="F677" s="64" t="s">
        <v>99</v>
      </c>
      <c r="G677" s="64" t="s">
        <v>83</v>
      </c>
      <c r="H677" s="65" t="str">
        <f>VLOOKUP(Tabla6[[#This Row],[DIRECCIÓN]],DIRECCIÓN[#All],2,0)</f>
        <v>ADMINISTRACIÓN CENTRAL</v>
      </c>
      <c r="I677" s="66" t="s">
        <v>621</v>
      </c>
      <c r="J677" s="67">
        <v>1</v>
      </c>
      <c r="K677" s="68" t="str">
        <f>VLOOKUP(Tabla6[[#This Row],[DIRECCIÓN GENERAL / COORDINACIÓN / SUBDIRECCIÓN]],Tabla37[[#All],[Columna1]:[EOD]],2,0)</f>
        <v>266_0004</v>
      </c>
      <c r="L677" s="69">
        <f>VLOOKUP(Tabla6[[#This Row],[OBJETIVOS PND]],Listas!$A$1:$C$3,3,0)</f>
        <v>1</v>
      </c>
      <c r="M677" s="70">
        <f>VLOOKUP(Tabla6[[#This Row],[PG]],Listas2!$G$14:$K$16,5,0)</f>
        <v>0</v>
      </c>
      <c r="N677" s="71">
        <v>1</v>
      </c>
      <c r="O677" s="72">
        <v>2301</v>
      </c>
      <c r="P677" s="73" t="str">
        <f>VLOOKUP(Tabla6[[#This Row],[GEO]],Listas!$A$48:$B$77,2,0)</f>
        <v xml:space="preserve">SANTO DOMINGO </v>
      </c>
      <c r="Q677" s="70">
        <f>VLOOKUP(Tabla6[[#This Row],[PG]],Listas2!$G$14:$K$16,3,0)</f>
        <v>1</v>
      </c>
      <c r="R677" s="73">
        <f>VLOOKUP(Tabla6[[#This Row],[PG]],Listas2!H187:'Listas2'!$G$14:$K$16,4,0)</f>
        <v>0</v>
      </c>
      <c r="S677" s="73">
        <f>VLOOKUP(Tabla6[[#This Row],[PG]],Listas2!$G$14:$K$16,2,0)</f>
        <v>0</v>
      </c>
      <c r="T677" s="66" t="s">
        <v>84</v>
      </c>
      <c r="U677" s="74">
        <v>57</v>
      </c>
      <c r="V677" s="66">
        <v>570102</v>
      </c>
      <c r="W677" s="63" t="str">
        <f>VLOOKUP(Tabla6[[#This Row],[ÍTEM PRESUPUESTARIO]],Tabla2[#All],2,0)</f>
        <v>TASAS GENERALES, IMPUESTOS, CONTRIBUCIONES, PERMISOS, LICENCIAS Y PATENTES</v>
      </c>
      <c r="X677" s="57">
        <v>425</v>
      </c>
      <c r="Y677" s="57">
        <v>425</v>
      </c>
      <c r="Z677" s="58">
        <v>0</v>
      </c>
      <c r="AA677" s="58">
        <v>0</v>
      </c>
      <c r="AB677" s="58">
        <v>425</v>
      </c>
      <c r="AC677" s="58">
        <v>0</v>
      </c>
      <c r="AD677" s="58">
        <v>0</v>
      </c>
      <c r="AE677" s="58">
        <v>0</v>
      </c>
      <c r="AF677" s="58">
        <v>0</v>
      </c>
      <c r="AG677" s="58">
        <v>0</v>
      </c>
      <c r="AH677" s="58">
        <v>0</v>
      </c>
      <c r="AI677" s="58">
        <v>0</v>
      </c>
      <c r="AJ677" s="58">
        <v>0</v>
      </c>
      <c r="AK677" s="58">
        <v>0</v>
      </c>
      <c r="AL677" s="75">
        <f>+SUBTOTAL(9,Tabla6[[#This Row],[ENE]:[DIC]])</f>
        <v>425</v>
      </c>
      <c r="AM677" s="76" t="str">
        <f t="shared" si="13"/>
        <v>OK</v>
      </c>
      <c r="AN677" s="60">
        <f>417.02+7.98</f>
        <v>425</v>
      </c>
      <c r="AO677" s="61">
        <f>+Tabla6[[#This Row],[PRESUPUESTO VIGENTE]]-Tabla6[[#This Row],[CERTIFICACIÓN PAPP]]</f>
        <v>0</v>
      </c>
      <c r="AP677" s="59">
        <v>0</v>
      </c>
    </row>
    <row r="678" spans="1:42" ht="93" customHeight="1" x14ac:dyDescent="0.25">
      <c r="A678" s="62" t="s">
        <v>78</v>
      </c>
      <c r="B678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678" s="64" t="s">
        <v>79</v>
      </c>
      <c r="D678" s="64" t="s">
        <v>80</v>
      </c>
      <c r="E678" s="64" t="s">
        <v>81</v>
      </c>
      <c r="F678" s="64" t="s">
        <v>99</v>
      </c>
      <c r="G678" s="64" t="s">
        <v>83</v>
      </c>
      <c r="H678" s="65" t="str">
        <f>VLOOKUP(Tabla6[[#This Row],[DIRECCIÓN]],DIRECCIÓN[#All],2,0)</f>
        <v>ADMINISTRACIÓN CENTRAL</v>
      </c>
      <c r="I678" s="66" t="s">
        <v>622</v>
      </c>
      <c r="J678" s="67">
        <v>1</v>
      </c>
      <c r="K678" s="68" t="str">
        <f>VLOOKUP(Tabla6[[#This Row],[DIRECCIÓN GENERAL / COORDINACIÓN / SUBDIRECCIÓN]],Tabla37[[#All],[Columna1]:[EOD]],2,0)</f>
        <v>266_0004</v>
      </c>
      <c r="L678" s="69">
        <f>VLOOKUP(Tabla6[[#This Row],[OBJETIVOS PND]],Listas!$A$1:$C$3,3,0)</f>
        <v>1</v>
      </c>
      <c r="M678" s="70">
        <f>VLOOKUP(Tabla6[[#This Row],[PG]],Listas2!$G$14:$K$16,5,0)</f>
        <v>0</v>
      </c>
      <c r="N678" s="71">
        <v>1</v>
      </c>
      <c r="O678" s="72">
        <v>2301</v>
      </c>
      <c r="P678" s="73" t="str">
        <f>VLOOKUP(Tabla6[[#This Row],[GEO]],Listas!$A$48:$B$77,2,0)</f>
        <v xml:space="preserve">SANTO DOMINGO </v>
      </c>
      <c r="Q678" s="70">
        <f>VLOOKUP(Tabla6[[#This Row],[PG]],Listas2!$G$14:$K$16,3,0)</f>
        <v>1</v>
      </c>
      <c r="R678" s="73">
        <f>VLOOKUP(Tabla6[[#This Row],[PG]],Listas2!H188:'Listas2'!$G$14:$K$16,4,0)</f>
        <v>0</v>
      </c>
      <c r="S678" s="73">
        <f>VLOOKUP(Tabla6[[#This Row],[PG]],Listas2!$G$14:$K$16,2,0)</f>
        <v>0</v>
      </c>
      <c r="T678" s="66" t="s">
        <v>84</v>
      </c>
      <c r="U678" s="74">
        <v>57</v>
      </c>
      <c r="V678" s="66">
        <v>570102</v>
      </c>
      <c r="W678" s="63" t="str">
        <f>VLOOKUP(Tabla6[[#This Row],[ÍTEM PRESUPUESTARIO]],Tabla2[#All],2,0)</f>
        <v>TASAS GENERALES, IMPUESTOS, CONTRIBUCIONES, PERMISOS, LICENCIAS Y PATENTES</v>
      </c>
      <c r="X678" s="57">
        <v>100</v>
      </c>
      <c r="Y678" s="57">
        <v>100</v>
      </c>
      <c r="Z678" s="58">
        <v>0</v>
      </c>
      <c r="AA678" s="58">
        <v>0</v>
      </c>
      <c r="AB678" s="58">
        <v>100</v>
      </c>
      <c r="AC678" s="58">
        <v>0</v>
      </c>
      <c r="AD678" s="58">
        <v>0</v>
      </c>
      <c r="AE678" s="58">
        <v>0</v>
      </c>
      <c r="AF678" s="58">
        <v>0</v>
      </c>
      <c r="AG678" s="58">
        <v>0</v>
      </c>
      <c r="AH678" s="58">
        <v>0</v>
      </c>
      <c r="AI678" s="58">
        <v>0</v>
      </c>
      <c r="AJ678" s="58">
        <v>0</v>
      </c>
      <c r="AK678" s="58">
        <v>0</v>
      </c>
      <c r="AL678" s="75">
        <f>+SUBTOTAL(9,Tabla6[[#This Row],[ENE]:[DIC]])</f>
        <v>100</v>
      </c>
      <c r="AM678" s="76" t="str">
        <f t="shared" si="13"/>
        <v>OK</v>
      </c>
      <c r="AN678" s="60">
        <f>100</f>
        <v>100</v>
      </c>
      <c r="AO678" s="61">
        <f>+Tabla6[[#This Row],[PRESUPUESTO VIGENTE]]-Tabla6[[#This Row],[CERTIFICACIÓN PAPP]]</f>
        <v>0</v>
      </c>
      <c r="AP678" s="59">
        <v>0</v>
      </c>
    </row>
    <row r="679" spans="1:42" ht="93" customHeight="1" x14ac:dyDescent="0.25">
      <c r="A679" s="62" t="s">
        <v>78</v>
      </c>
      <c r="B679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679" s="64" t="s">
        <v>79</v>
      </c>
      <c r="D679" s="64" t="s">
        <v>80</v>
      </c>
      <c r="E679" s="64" t="s">
        <v>81</v>
      </c>
      <c r="F679" s="64" t="s">
        <v>99</v>
      </c>
      <c r="G679" s="64" t="s">
        <v>83</v>
      </c>
      <c r="H679" s="65" t="str">
        <f>VLOOKUP(Tabla6[[#This Row],[DIRECCIÓN]],DIRECCIÓN[#All],2,0)</f>
        <v>ADMINISTRACIÓN CENTRAL</v>
      </c>
      <c r="I679" s="66" t="s">
        <v>620</v>
      </c>
      <c r="J679" s="67">
        <v>1</v>
      </c>
      <c r="K679" s="68" t="str">
        <f>VLOOKUP(Tabla6[[#This Row],[DIRECCIÓN GENERAL / COORDINACIÓN / SUBDIRECCIÓN]],Tabla37[[#All],[Columna1]:[EOD]],2,0)</f>
        <v>266_0004</v>
      </c>
      <c r="L679" s="69">
        <f>VLOOKUP(Tabla6[[#This Row],[OBJETIVOS PND]],Listas!$A$1:$C$3,3,0)</f>
        <v>1</v>
      </c>
      <c r="M679" s="70">
        <f>VLOOKUP(Tabla6[[#This Row],[PG]],Listas2!$G$14:$K$16,5,0)</f>
        <v>0</v>
      </c>
      <c r="N679" s="71">
        <v>1</v>
      </c>
      <c r="O679" s="72">
        <v>2301</v>
      </c>
      <c r="P679" s="73" t="str">
        <f>VLOOKUP(Tabla6[[#This Row],[GEO]],Listas!$A$48:$B$77,2,0)</f>
        <v xml:space="preserve">SANTO DOMINGO </v>
      </c>
      <c r="Q679" s="70">
        <f>VLOOKUP(Tabla6[[#This Row],[PG]],Listas2!$G$14:$K$16,3,0)</f>
        <v>1</v>
      </c>
      <c r="R679" s="73">
        <f>VLOOKUP(Tabla6[[#This Row],[PG]],Listas2!H189:'Listas2'!$G$14:$K$16,4,0)</f>
        <v>0</v>
      </c>
      <c r="S679" s="73">
        <f>VLOOKUP(Tabla6[[#This Row],[PG]],Listas2!$G$14:$K$16,2,0)</f>
        <v>0</v>
      </c>
      <c r="T679" s="66" t="s">
        <v>84</v>
      </c>
      <c r="U679" s="74">
        <v>57</v>
      </c>
      <c r="V679" s="66">
        <v>570104</v>
      </c>
      <c r="W679" s="63" t="str">
        <f>VLOOKUP(Tabla6[[#This Row],[ÍTEM PRESUPUESTARIO]],Tabla2[#All],2,0)</f>
        <v>CONTRIBUCIONES ESPECIALES Y DE MEJORA</v>
      </c>
      <c r="X679" s="57">
        <v>2800</v>
      </c>
      <c r="Y679" s="57">
        <f>2800+559.1</f>
        <v>3359.1</v>
      </c>
      <c r="Z679" s="58">
        <v>0</v>
      </c>
      <c r="AA679" s="58">
        <v>0</v>
      </c>
      <c r="AB679" s="58">
        <v>0</v>
      </c>
      <c r="AC679" s="58">
        <v>3359.1</v>
      </c>
      <c r="AD679" s="58">
        <v>0</v>
      </c>
      <c r="AE679" s="58">
        <v>0</v>
      </c>
      <c r="AF679" s="58">
        <v>0</v>
      </c>
      <c r="AG679" s="58">
        <v>0</v>
      </c>
      <c r="AH679" s="58">
        <v>0</v>
      </c>
      <c r="AI679" s="58">
        <v>0</v>
      </c>
      <c r="AJ679" s="58">
        <v>0</v>
      </c>
      <c r="AK679" s="58">
        <v>0</v>
      </c>
      <c r="AL679" s="75">
        <f>+SUBTOTAL(9,Tabla6[[#This Row],[ENE]:[DIC]])</f>
        <v>3359.1</v>
      </c>
      <c r="AM679" s="76" t="str">
        <f t="shared" si="13"/>
        <v>OK</v>
      </c>
      <c r="AN679" s="60">
        <v>3359.1</v>
      </c>
      <c r="AO679" s="61">
        <f>+Tabla6[[#This Row],[PRESUPUESTO VIGENTE]]-Tabla6[[#This Row],[CERTIFICACIÓN PAPP]]</f>
        <v>0</v>
      </c>
      <c r="AP679" s="59">
        <v>0</v>
      </c>
    </row>
    <row r="680" spans="1:42" ht="93" customHeight="1" x14ac:dyDescent="0.25">
      <c r="A680" s="62" t="s">
        <v>78</v>
      </c>
      <c r="B680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680" s="64" t="s">
        <v>79</v>
      </c>
      <c r="D680" s="64" t="s">
        <v>80</v>
      </c>
      <c r="E680" s="64" t="s">
        <v>81</v>
      </c>
      <c r="F680" s="64" t="s">
        <v>99</v>
      </c>
      <c r="G680" s="64" t="s">
        <v>83</v>
      </c>
      <c r="H680" s="65" t="str">
        <f>VLOOKUP(Tabla6[[#This Row],[DIRECCIÓN]],DIRECCIÓN[#All],2,0)</f>
        <v>ADMINISTRACIÓN CENTRAL</v>
      </c>
      <c r="I680" s="66" t="s">
        <v>617</v>
      </c>
      <c r="J680" s="67">
        <v>1</v>
      </c>
      <c r="K680" s="68" t="str">
        <f>VLOOKUP(Tabla6[[#This Row],[DIRECCIÓN GENERAL / COORDINACIÓN / SUBDIRECCIÓN]],Tabla37[[#All],[Columna1]:[EOD]],2,0)</f>
        <v>266_0004</v>
      </c>
      <c r="L680" s="69">
        <f>VLOOKUP(Tabla6[[#This Row],[OBJETIVOS PND]],Listas!$A$1:$C$3,3,0)</f>
        <v>1</v>
      </c>
      <c r="M680" s="70">
        <f>VLOOKUP(Tabla6[[#This Row],[PG]],Listas2!$G$14:$K$16,5,0)</f>
        <v>0</v>
      </c>
      <c r="N680" s="71">
        <v>1</v>
      </c>
      <c r="O680" s="72">
        <v>2301</v>
      </c>
      <c r="P680" s="73" t="str">
        <f>VLOOKUP(Tabla6[[#This Row],[GEO]],Listas!$A$48:$B$77,2,0)</f>
        <v xml:space="preserve">SANTO DOMINGO </v>
      </c>
      <c r="Q680" s="70">
        <f>VLOOKUP(Tabla6[[#This Row],[PG]],Listas2!$G$14:$K$16,3,0)</f>
        <v>1</v>
      </c>
      <c r="R680" s="73">
        <f>VLOOKUP(Tabla6[[#This Row],[PG]],Listas2!H190:'Listas2'!$G$14:$K$16,4,0)</f>
        <v>0</v>
      </c>
      <c r="S680" s="73">
        <f>VLOOKUP(Tabla6[[#This Row],[PG]],Listas2!$G$14:$K$16,2,0)</f>
        <v>0</v>
      </c>
      <c r="T680" s="66" t="s">
        <v>84</v>
      </c>
      <c r="U680" s="74">
        <v>57</v>
      </c>
      <c r="V680" s="66">
        <v>570206</v>
      </c>
      <c r="W680" s="63" t="str">
        <f>VLOOKUP(Tabla6[[#This Row],[ÍTEM PRESUPUESTARIO]],Tabla2[#All],2,0)</f>
        <v>COSTAS JUDICIALES, TRÁMITES NOTARIALES,  LEGALIZACIÓN DE DOCUMENTOS Y ARREGLOS EXTRAJUDICIALES</v>
      </c>
      <c r="X680" s="57">
        <v>0</v>
      </c>
      <c r="Y680" s="57">
        <f>50-50</f>
        <v>0</v>
      </c>
      <c r="Z680" s="58">
        <v>0</v>
      </c>
      <c r="AA680" s="58">
        <v>0</v>
      </c>
      <c r="AB680" s="58">
        <v>0</v>
      </c>
      <c r="AC680" s="58">
        <v>0</v>
      </c>
      <c r="AD680" s="58">
        <v>0</v>
      </c>
      <c r="AE680" s="58">
        <v>0</v>
      </c>
      <c r="AF680" s="58">
        <v>0</v>
      </c>
      <c r="AG680" s="58">
        <v>0</v>
      </c>
      <c r="AH680" s="58">
        <v>0</v>
      </c>
      <c r="AI680" s="58">
        <v>0</v>
      </c>
      <c r="AJ680" s="58">
        <v>0</v>
      </c>
      <c r="AK680" s="58">
        <v>0</v>
      </c>
      <c r="AL680" s="75">
        <f>+SUBTOTAL(9,Tabla6[[#This Row],[ENE]:[DIC]])</f>
        <v>0</v>
      </c>
      <c r="AM680" s="76" t="str">
        <f t="shared" si="13"/>
        <v>OK</v>
      </c>
      <c r="AN680" s="60">
        <v>0</v>
      </c>
      <c r="AO680" s="61">
        <f>+Tabla6[[#This Row],[PRESUPUESTO VIGENTE]]-Tabla6[[#This Row],[CERTIFICACIÓN PAPP]]</f>
        <v>0</v>
      </c>
      <c r="AP680" s="59">
        <v>0</v>
      </c>
    </row>
    <row r="681" spans="1:42" ht="93" customHeight="1" x14ac:dyDescent="0.25">
      <c r="A681" s="62" t="s">
        <v>88</v>
      </c>
      <c r="B681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681" s="64" t="s">
        <v>100</v>
      </c>
      <c r="D681" s="64" t="s">
        <v>80</v>
      </c>
      <c r="E681" s="64" t="s">
        <v>81</v>
      </c>
      <c r="F681" s="64" t="s">
        <v>99</v>
      </c>
      <c r="G681" s="64" t="s">
        <v>90</v>
      </c>
      <c r="H681" s="65" t="str">
        <f>VLOOKUP(Tabla6[[#This Row],[DIRECCIÓN]],DIRECCIÓN[#All],2,0)</f>
        <v>TECNOLOGÍA</v>
      </c>
      <c r="I681" s="66" t="s">
        <v>623</v>
      </c>
      <c r="J681" s="67">
        <v>1</v>
      </c>
      <c r="K681" s="68" t="str">
        <f>VLOOKUP(Tabla6[[#This Row],[DIRECCIÓN GENERAL / COORDINACIÓN / SUBDIRECCIÓN]],Tabla37[[#All],[Columna1]:[EOD]],2,0)</f>
        <v>266_0004</v>
      </c>
      <c r="L681" s="69">
        <f>VLOOKUP(Tabla6[[#This Row],[OBJETIVOS PND]],Listas!$A$1:$C$3,3,0)</f>
        <v>55</v>
      </c>
      <c r="M681" s="70">
        <f>VLOOKUP(Tabla6[[#This Row],[PG]],Listas2!$G$14:$K$16,5,0)</f>
        <v>0</v>
      </c>
      <c r="N681" s="71">
        <v>3</v>
      </c>
      <c r="O681" s="72">
        <v>2301</v>
      </c>
      <c r="P681" s="73" t="str">
        <f>VLOOKUP(Tabla6[[#This Row],[GEO]],Listas!$A$48:$B$77,2,0)</f>
        <v xml:space="preserve">SANTO DOMINGO </v>
      </c>
      <c r="Q681" s="70">
        <f>VLOOKUP(Tabla6[[#This Row],[PG]],Listas2!$G$14:$K$16,3,0)</f>
        <v>1</v>
      </c>
      <c r="R681" s="73">
        <f>VLOOKUP(Tabla6[[#This Row],[PG]],Listas2!H191:'Listas2'!$G$14:$K$16,4,0)</f>
        <v>0</v>
      </c>
      <c r="S681" s="73">
        <f>VLOOKUP(Tabla6[[#This Row],[PG]],Listas2!$G$14:$K$16,2,0)</f>
        <v>0</v>
      </c>
      <c r="T681" s="66" t="s">
        <v>84</v>
      </c>
      <c r="U681" s="74">
        <v>53</v>
      </c>
      <c r="V681" s="66">
        <v>530105</v>
      </c>
      <c r="W681" s="63" t="str">
        <f>VLOOKUP(Tabla6[[#This Row],[ÍTEM PRESUPUESTARIO]],Tabla2[#All],2,0)</f>
        <v>TELECOMUNICACIONES</v>
      </c>
      <c r="X681" s="57">
        <v>150000</v>
      </c>
      <c r="Y681" s="57">
        <f>150000-12092.86-29277.05-20362.84-1000+4728.3-2880-800-34744.18</f>
        <v>53571.370000000017</v>
      </c>
      <c r="Z681" s="58">
        <v>9060</v>
      </c>
      <c r="AA681" s="58">
        <v>9060</v>
      </c>
      <c r="AB681" s="58">
        <v>9060</v>
      </c>
      <c r="AC681" s="58">
        <v>9060</v>
      </c>
      <c r="AD681" s="58">
        <v>9060</v>
      </c>
      <c r="AE681" s="58">
        <v>5000</v>
      </c>
      <c r="AF681" s="58">
        <v>3271.37</v>
      </c>
      <c r="AG681" s="58">
        <v>0</v>
      </c>
      <c r="AH681" s="58">
        <v>0</v>
      </c>
      <c r="AI681" s="58">
        <v>0</v>
      </c>
      <c r="AJ681" s="58">
        <v>0</v>
      </c>
      <c r="AK681" s="58">
        <v>0</v>
      </c>
      <c r="AL681" s="75">
        <f>+SUBTOTAL(9,Tabla6[[#This Row],[ENE]:[DIC]])</f>
        <v>53571.37</v>
      </c>
      <c r="AM681" s="76" t="str">
        <f t="shared" si="13"/>
        <v>OK</v>
      </c>
      <c r="AN681" s="60">
        <f>67140.4+1-13570.03</f>
        <v>53571.369999999995</v>
      </c>
      <c r="AO681" s="61">
        <f>+Tabla6[[#This Row],[PRESUPUESTO VIGENTE]]-Tabla6[[#This Row],[CERTIFICACIÓN PAPP]]</f>
        <v>0</v>
      </c>
      <c r="AP681" s="59">
        <v>0</v>
      </c>
    </row>
    <row r="682" spans="1:42" ht="93" customHeight="1" x14ac:dyDescent="0.25">
      <c r="A682" s="62" t="s">
        <v>88</v>
      </c>
      <c r="B682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682" s="64" t="s">
        <v>100</v>
      </c>
      <c r="D682" s="64" t="s">
        <v>80</v>
      </c>
      <c r="E682" s="64" t="s">
        <v>81</v>
      </c>
      <c r="F682" s="64" t="s">
        <v>99</v>
      </c>
      <c r="G682" s="64" t="s">
        <v>90</v>
      </c>
      <c r="H682" s="65" t="str">
        <f>VLOOKUP(Tabla6[[#This Row],[DIRECCIÓN]],DIRECCIÓN[#All],2,0)</f>
        <v>TECNOLOGÍA</v>
      </c>
      <c r="I682" s="66" t="s">
        <v>624</v>
      </c>
      <c r="J682" s="67">
        <v>1</v>
      </c>
      <c r="K682" s="68" t="str">
        <f>VLOOKUP(Tabla6[[#This Row],[DIRECCIÓN GENERAL / COORDINACIÓN / SUBDIRECCIÓN]],Tabla37[[#All],[Columna1]:[EOD]],2,0)</f>
        <v>266_0004</v>
      </c>
      <c r="L682" s="69">
        <f>VLOOKUP(Tabla6[[#This Row],[OBJETIVOS PND]],Listas!$A$1:$C$3,3,0)</f>
        <v>55</v>
      </c>
      <c r="M682" s="70">
        <f>VLOOKUP(Tabla6[[#This Row],[PG]],Listas2!$G$14:$K$16,5,0)</f>
        <v>0</v>
      </c>
      <c r="N682" s="71">
        <v>3</v>
      </c>
      <c r="O682" s="72">
        <v>2301</v>
      </c>
      <c r="P682" s="73" t="str">
        <f>VLOOKUP(Tabla6[[#This Row],[GEO]],Listas!$A$48:$B$77,2,0)</f>
        <v xml:space="preserve">SANTO DOMINGO </v>
      </c>
      <c r="Q682" s="70">
        <f>VLOOKUP(Tabla6[[#This Row],[PG]],Listas2!$G$14:$K$16,3,0)</f>
        <v>1</v>
      </c>
      <c r="R682" s="73">
        <f>VLOOKUP(Tabla6[[#This Row],[PG]],Listas2!H192:'Listas2'!$G$14:$K$16,4,0)</f>
        <v>0</v>
      </c>
      <c r="S682" s="73">
        <f>VLOOKUP(Tabla6[[#This Row],[PG]],Listas2!$G$14:$K$16,2,0)</f>
        <v>0</v>
      </c>
      <c r="T682" s="66" t="s">
        <v>84</v>
      </c>
      <c r="U682" s="74">
        <v>53</v>
      </c>
      <c r="V682" s="66">
        <v>530702</v>
      </c>
      <c r="W682" s="63" t="str">
        <f>VLOOKUP(Tabla6[[#This Row],[ÍTEM PRESUPUESTARIO]],Tabla2[#All],2,0)</f>
        <v>ARRENDAMIENTO Y LICENCIAS DE USO DE PAQUETES INFORMÁTICOS</v>
      </c>
      <c r="X682" s="57">
        <v>800</v>
      </c>
      <c r="Y682" s="57">
        <f>800-800</f>
        <v>0</v>
      </c>
      <c r="Z682" s="58">
        <v>0</v>
      </c>
      <c r="AA682" s="58">
        <v>0</v>
      </c>
      <c r="AB682" s="58">
        <v>0</v>
      </c>
      <c r="AC682" s="58">
        <v>0</v>
      </c>
      <c r="AD682" s="58">
        <v>0</v>
      </c>
      <c r="AE682" s="58">
        <v>0</v>
      </c>
      <c r="AF682" s="58">
        <v>0</v>
      </c>
      <c r="AG682" s="58">
        <v>0</v>
      </c>
      <c r="AH682" s="58">
        <v>0</v>
      </c>
      <c r="AI682" s="58">
        <v>0</v>
      </c>
      <c r="AJ682" s="58">
        <v>0</v>
      </c>
      <c r="AK682" s="58">
        <v>0</v>
      </c>
      <c r="AL682" s="75">
        <f>+SUBTOTAL(9,Tabla6[[#This Row],[ENE]:[DIC]])</f>
        <v>0</v>
      </c>
      <c r="AM682" s="76" t="str">
        <f t="shared" si="13"/>
        <v>OK</v>
      </c>
      <c r="AN682" s="60">
        <v>0</v>
      </c>
      <c r="AO682" s="61">
        <f>+Tabla6[[#This Row],[PRESUPUESTO VIGENTE]]-Tabla6[[#This Row],[CERTIFICACIÓN PAPP]]</f>
        <v>0</v>
      </c>
      <c r="AP682" s="59">
        <v>0</v>
      </c>
    </row>
    <row r="683" spans="1:42" ht="93" customHeight="1" x14ac:dyDescent="0.25">
      <c r="A683" s="62" t="s">
        <v>88</v>
      </c>
      <c r="B683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683" s="64" t="s">
        <v>100</v>
      </c>
      <c r="D683" s="64" t="s">
        <v>80</v>
      </c>
      <c r="E683" s="64" t="s">
        <v>81</v>
      </c>
      <c r="F683" s="64" t="s">
        <v>99</v>
      </c>
      <c r="G683" s="64" t="s">
        <v>90</v>
      </c>
      <c r="H683" s="65" t="str">
        <f>VLOOKUP(Tabla6[[#This Row],[DIRECCIÓN]],DIRECCIÓN[#All],2,0)</f>
        <v>TECNOLOGÍA</v>
      </c>
      <c r="I683" s="66" t="s">
        <v>586</v>
      </c>
      <c r="J683" s="67">
        <v>1</v>
      </c>
      <c r="K683" s="68" t="str">
        <f>VLOOKUP(Tabla6[[#This Row],[DIRECCIÓN GENERAL / COORDINACIÓN / SUBDIRECCIÓN]],Tabla37[[#All],[Columna1]:[EOD]],2,0)</f>
        <v>266_0004</v>
      </c>
      <c r="L683" s="69">
        <f>VLOOKUP(Tabla6[[#This Row],[OBJETIVOS PND]],Listas!$A$1:$C$3,3,0)</f>
        <v>55</v>
      </c>
      <c r="M683" s="70">
        <f>VLOOKUP(Tabla6[[#This Row],[PG]],Listas2!$G$14:$K$16,5,0)</f>
        <v>0</v>
      </c>
      <c r="N683" s="71">
        <v>3</v>
      </c>
      <c r="O683" s="72">
        <v>2301</v>
      </c>
      <c r="P683" s="73" t="str">
        <f>VLOOKUP(Tabla6[[#This Row],[GEO]],Listas!$A$48:$B$77,2,0)</f>
        <v xml:space="preserve">SANTO DOMINGO </v>
      </c>
      <c r="Q683" s="70">
        <f>VLOOKUP(Tabla6[[#This Row],[PG]],Listas2!$G$14:$K$16,3,0)</f>
        <v>1</v>
      </c>
      <c r="R683" s="73">
        <f>VLOOKUP(Tabla6[[#This Row],[PG]],Listas2!H193:'Listas2'!$G$14:$K$16,4,0)</f>
        <v>0</v>
      </c>
      <c r="S683" s="73">
        <f>VLOOKUP(Tabla6[[#This Row],[PG]],Listas2!$G$14:$K$16,2,0)</f>
        <v>0</v>
      </c>
      <c r="T683" s="66" t="s">
        <v>84</v>
      </c>
      <c r="U683" s="74">
        <v>53</v>
      </c>
      <c r="V683" s="66">
        <v>530704</v>
      </c>
      <c r="W683" s="63" t="str">
        <f>VLOOKUP(Tabla6[[#This Row],[ÍTEM PRESUPUESTARIO]],Tabla2[#All],2,0)</f>
        <v xml:space="preserve">MANTENIMIENTO Y REPARACIÓN DE EQUIPOS Y SISTEMAS INFORMÁTICOS </v>
      </c>
      <c r="X683" s="57">
        <v>0</v>
      </c>
      <c r="Y683" s="57">
        <f>3000-822.05-2177.95</f>
        <v>0</v>
      </c>
      <c r="Z683" s="58">
        <v>0</v>
      </c>
      <c r="AA683" s="58">
        <v>0</v>
      </c>
      <c r="AB683" s="58">
        <v>0</v>
      </c>
      <c r="AC683" s="58">
        <v>0</v>
      </c>
      <c r="AD683" s="58">
        <v>0</v>
      </c>
      <c r="AE683" s="58">
        <v>0</v>
      </c>
      <c r="AF683" s="58">
        <v>0</v>
      </c>
      <c r="AG683" s="58">
        <v>0</v>
      </c>
      <c r="AH683" s="58">
        <v>0</v>
      </c>
      <c r="AI683" s="58">
        <v>0</v>
      </c>
      <c r="AJ683" s="58">
        <v>0</v>
      </c>
      <c r="AK683" s="58">
        <v>0</v>
      </c>
      <c r="AL683" s="75">
        <f>+SUBTOTAL(9,Tabla6[[#This Row],[ENE]:[DIC]])</f>
        <v>0</v>
      </c>
      <c r="AM683" s="76" t="str">
        <f t="shared" si="13"/>
        <v>OK</v>
      </c>
      <c r="AN683" s="60">
        <f>2020-2020</f>
        <v>0</v>
      </c>
      <c r="AO683" s="61">
        <f>+Tabla6[[#This Row],[PRESUPUESTO VIGENTE]]-Tabla6[[#This Row],[CERTIFICACIÓN PAPP]]</f>
        <v>0</v>
      </c>
      <c r="AP683" s="59">
        <v>0</v>
      </c>
    </row>
    <row r="684" spans="1:42" ht="93" customHeight="1" x14ac:dyDescent="0.25">
      <c r="A684" s="62" t="s">
        <v>88</v>
      </c>
      <c r="B684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684" s="64" t="s">
        <v>100</v>
      </c>
      <c r="D684" s="64" t="s">
        <v>80</v>
      </c>
      <c r="E684" s="64" t="s">
        <v>81</v>
      </c>
      <c r="F684" s="64" t="s">
        <v>99</v>
      </c>
      <c r="G684" s="64" t="s">
        <v>90</v>
      </c>
      <c r="H684" s="65" t="str">
        <f>VLOOKUP(Tabla6[[#This Row],[DIRECCIÓN]],DIRECCIÓN[#All],2,0)</f>
        <v>TECNOLOGÍA</v>
      </c>
      <c r="I684" s="66" t="s">
        <v>584</v>
      </c>
      <c r="J684" s="67">
        <v>1</v>
      </c>
      <c r="K684" s="68" t="str">
        <f>VLOOKUP(Tabla6[[#This Row],[DIRECCIÓN GENERAL / COORDINACIÓN / SUBDIRECCIÓN]],Tabla37[[#All],[Columna1]:[EOD]],2,0)</f>
        <v>266_0004</v>
      </c>
      <c r="L684" s="69">
        <f>VLOOKUP(Tabla6[[#This Row],[OBJETIVOS PND]],Listas!$A$1:$C$3,3,0)</f>
        <v>55</v>
      </c>
      <c r="M684" s="70">
        <f>VLOOKUP(Tabla6[[#This Row],[PG]],Listas2!$G$14:$K$16,5,0)</f>
        <v>0</v>
      </c>
      <c r="N684" s="71">
        <v>3</v>
      </c>
      <c r="O684" s="72">
        <v>2301</v>
      </c>
      <c r="P684" s="73" t="str">
        <f>VLOOKUP(Tabla6[[#This Row],[GEO]],Listas!$A$48:$B$77,2,0)</f>
        <v xml:space="preserve">SANTO DOMINGO </v>
      </c>
      <c r="Q684" s="70">
        <f>VLOOKUP(Tabla6[[#This Row],[PG]],Listas2!$G$14:$K$16,3,0)</f>
        <v>1</v>
      </c>
      <c r="R684" s="73">
        <f>VLOOKUP(Tabla6[[#This Row],[PG]],Listas2!H194:'Listas2'!$G$14:$K$16,4,0)</f>
        <v>0</v>
      </c>
      <c r="S684" s="73">
        <f>VLOOKUP(Tabla6[[#This Row],[PG]],Listas2!$G$14:$K$16,2,0)</f>
        <v>0</v>
      </c>
      <c r="T684" s="66" t="s">
        <v>84</v>
      </c>
      <c r="U684" s="74">
        <v>53</v>
      </c>
      <c r="V684" s="66">
        <v>530704</v>
      </c>
      <c r="W684" s="63" t="str">
        <f>VLOOKUP(Tabla6[[#This Row],[ÍTEM PRESUPUESTARIO]],Tabla2[#All],2,0)</f>
        <v xml:space="preserve">MANTENIMIENTO Y REPARACIÓN DE EQUIPOS Y SISTEMAS INFORMÁTICOS </v>
      </c>
      <c r="X684" s="57">
        <v>42000</v>
      </c>
      <c r="Y684" s="57">
        <f>42000-1336.57</f>
        <v>40663.43</v>
      </c>
      <c r="Z684" s="58">
        <v>0</v>
      </c>
      <c r="AA684" s="58">
        <v>0</v>
      </c>
      <c r="AB684" s="58">
        <v>0</v>
      </c>
      <c r="AC684" s="58">
        <v>4667</v>
      </c>
      <c r="AD684" s="58">
        <v>4667</v>
      </c>
      <c r="AE684" s="58">
        <v>4667</v>
      </c>
      <c r="AF684" s="58">
        <v>4667</v>
      </c>
      <c r="AG684" s="58">
        <v>4667</v>
      </c>
      <c r="AH684" s="58">
        <v>4667</v>
      </c>
      <c r="AI684" s="58">
        <v>4667</v>
      </c>
      <c r="AJ684" s="58">
        <v>4667</v>
      </c>
      <c r="AK684" s="58">
        <v>3327.43</v>
      </c>
      <c r="AL684" s="75">
        <f>+SUBTOTAL(9,Tabla6[[#This Row],[ENE]:[DIC]])</f>
        <v>40663.43</v>
      </c>
      <c r="AM684" s="76" t="str">
        <f t="shared" si="13"/>
        <v>OK</v>
      </c>
      <c r="AN684" s="60">
        <f>6241.4+34422.03</f>
        <v>40663.43</v>
      </c>
      <c r="AO684" s="61">
        <f>+Tabla6[[#This Row],[PRESUPUESTO VIGENTE]]-Tabla6[[#This Row],[CERTIFICACIÓN PAPP]]</f>
        <v>0</v>
      </c>
      <c r="AP684" s="59">
        <v>0</v>
      </c>
    </row>
    <row r="685" spans="1:42" ht="93" customHeight="1" x14ac:dyDescent="0.25">
      <c r="A685" s="62" t="s">
        <v>88</v>
      </c>
      <c r="B685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685" s="64" t="s">
        <v>100</v>
      </c>
      <c r="D685" s="64" t="s">
        <v>80</v>
      </c>
      <c r="E685" s="64" t="s">
        <v>81</v>
      </c>
      <c r="F685" s="64" t="s">
        <v>99</v>
      </c>
      <c r="G685" s="64" t="s">
        <v>90</v>
      </c>
      <c r="H685" s="65" t="str">
        <f>VLOOKUP(Tabla6[[#This Row],[DIRECCIÓN]],DIRECCIÓN[#All],2,0)</f>
        <v>TECNOLOGÍA</v>
      </c>
      <c r="I685" s="66" t="s">
        <v>585</v>
      </c>
      <c r="J685" s="67">
        <v>1</v>
      </c>
      <c r="K685" s="68" t="str">
        <f>VLOOKUP(Tabla6[[#This Row],[DIRECCIÓN GENERAL / COORDINACIÓN / SUBDIRECCIÓN]],Tabla37[[#All],[Columna1]:[EOD]],2,0)</f>
        <v>266_0004</v>
      </c>
      <c r="L685" s="69">
        <f>VLOOKUP(Tabla6[[#This Row],[OBJETIVOS PND]],Listas!$A$1:$C$3,3,0)</f>
        <v>55</v>
      </c>
      <c r="M685" s="70">
        <f>VLOOKUP(Tabla6[[#This Row],[PG]],Listas2!$G$14:$K$16,5,0)</f>
        <v>0</v>
      </c>
      <c r="N685" s="71">
        <v>3</v>
      </c>
      <c r="O685" s="72">
        <v>2301</v>
      </c>
      <c r="P685" s="73" t="str">
        <f>VLOOKUP(Tabla6[[#This Row],[GEO]],Listas!$A$48:$B$77,2,0)</f>
        <v xml:space="preserve">SANTO DOMINGO </v>
      </c>
      <c r="Q685" s="70">
        <f>VLOOKUP(Tabla6[[#This Row],[PG]],Listas2!$G$14:$K$16,3,0)</f>
        <v>1</v>
      </c>
      <c r="R685" s="73">
        <f>VLOOKUP(Tabla6[[#This Row],[PG]],Listas2!H195:'Listas2'!$G$14:$K$16,4,0)</f>
        <v>0</v>
      </c>
      <c r="S685" s="73">
        <f>VLOOKUP(Tabla6[[#This Row],[PG]],Listas2!$G$14:$K$16,2,0)</f>
        <v>0</v>
      </c>
      <c r="T685" s="66" t="s">
        <v>84</v>
      </c>
      <c r="U685" s="74">
        <v>53</v>
      </c>
      <c r="V685" s="66">
        <v>530704</v>
      </c>
      <c r="W685" s="63" t="str">
        <f>VLOOKUP(Tabla6[[#This Row],[ÍTEM PRESUPUESTARIO]],Tabla2[#All],2,0)</f>
        <v xml:space="preserve">MANTENIMIENTO Y REPARACIÓN DE EQUIPOS Y SISTEMAS INFORMÁTICOS </v>
      </c>
      <c r="X685" s="57">
        <v>0</v>
      </c>
      <c r="Y685" s="57">
        <f>3000-3000</f>
        <v>0</v>
      </c>
      <c r="Z685" s="58">
        <v>0</v>
      </c>
      <c r="AA685" s="58">
        <v>0</v>
      </c>
      <c r="AB685" s="58">
        <v>0</v>
      </c>
      <c r="AC685" s="58">
        <v>0</v>
      </c>
      <c r="AD685" s="58">
        <v>0</v>
      </c>
      <c r="AE685" s="58">
        <v>0</v>
      </c>
      <c r="AF685" s="58">
        <v>0</v>
      </c>
      <c r="AG685" s="58">
        <v>0</v>
      </c>
      <c r="AH685" s="58">
        <v>0</v>
      </c>
      <c r="AI685" s="58">
        <v>0</v>
      </c>
      <c r="AJ685" s="58">
        <v>0</v>
      </c>
      <c r="AK685" s="58">
        <v>0</v>
      </c>
      <c r="AL685" s="75">
        <f>+SUBTOTAL(9,Tabla6[[#This Row],[ENE]:[DIC]])</f>
        <v>0</v>
      </c>
      <c r="AM685" s="76" t="str">
        <f t="shared" si="13"/>
        <v>OK</v>
      </c>
      <c r="AN685" s="60">
        <v>0</v>
      </c>
      <c r="AO685" s="61">
        <f>+Tabla6[[#This Row],[PRESUPUESTO VIGENTE]]-Tabla6[[#This Row],[CERTIFICACIÓN PAPP]]</f>
        <v>0</v>
      </c>
      <c r="AP685" s="59">
        <v>0</v>
      </c>
    </row>
    <row r="686" spans="1:42" ht="93" customHeight="1" x14ac:dyDescent="0.25">
      <c r="A686" s="62" t="s">
        <v>88</v>
      </c>
      <c r="B686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686" s="64" t="s">
        <v>100</v>
      </c>
      <c r="D686" s="64" t="s">
        <v>80</v>
      </c>
      <c r="E686" s="64" t="s">
        <v>81</v>
      </c>
      <c r="F686" s="64" t="s">
        <v>99</v>
      </c>
      <c r="G686" s="64" t="s">
        <v>90</v>
      </c>
      <c r="H686" s="65" t="str">
        <f>VLOOKUP(Tabla6[[#This Row],[DIRECCIÓN]],DIRECCIÓN[#All],2,0)</f>
        <v>TECNOLOGÍA</v>
      </c>
      <c r="I686" s="66" t="s">
        <v>587</v>
      </c>
      <c r="J686" s="67">
        <v>1</v>
      </c>
      <c r="K686" s="68" t="str">
        <f>VLOOKUP(Tabla6[[#This Row],[DIRECCIÓN GENERAL / COORDINACIÓN / SUBDIRECCIÓN]],Tabla37[[#All],[Columna1]:[EOD]],2,0)</f>
        <v>266_0004</v>
      </c>
      <c r="L686" s="69">
        <f>VLOOKUP(Tabla6[[#This Row],[OBJETIVOS PND]],Listas!$A$1:$C$3,3,0)</f>
        <v>55</v>
      </c>
      <c r="M686" s="70">
        <f>VLOOKUP(Tabla6[[#This Row],[PG]],Listas2!$G$14:$K$16,5,0)</f>
        <v>0</v>
      </c>
      <c r="N686" s="71">
        <v>3</v>
      </c>
      <c r="O686" s="72">
        <v>2301</v>
      </c>
      <c r="P686" s="73" t="str">
        <f>VLOOKUP(Tabla6[[#This Row],[GEO]],Listas!$A$48:$B$77,2,0)</f>
        <v xml:space="preserve">SANTO DOMINGO </v>
      </c>
      <c r="Q686" s="70">
        <f>VLOOKUP(Tabla6[[#This Row],[PG]],Listas2!$G$14:$K$16,3,0)</f>
        <v>1</v>
      </c>
      <c r="R686" s="73">
        <f>VLOOKUP(Tabla6[[#This Row],[PG]],Listas2!H196:'Listas2'!$G$14:$K$16,4,0)</f>
        <v>0</v>
      </c>
      <c r="S686" s="73">
        <f>VLOOKUP(Tabla6[[#This Row],[PG]],Listas2!$G$14:$K$16,2,0)</f>
        <v>0</v>
      </c>
      <c r="T686" s="66" t="s">
        <v>84</v>
      </c>
      <c r="U686" s="74">
        <v>53</v>
      </c>
      <c r="V686" s="66">
        <v>530704</v>
      </c>
      <c r="W686" s="63" t="str">
        <f>VLOOKUP(Tabla6[[#This Row],[ÍTEM PRESUPUESTARIO]],Tabla2[#All],2,0)</f>
        <v xml:space="preserve">MANTENIMIENTO Y REPARACIÓN DE EQUIPOS Y SISTEMAS INFORMÁTICOS </v>
      </c>
      <c r="X686" s="57">
        <v>0</v>
      </c>
      <c r="Y686" s="57">
        <f>3000-3000</f>
        <v>0</v>
      </c>
      <c r="Z686" s="58">
        <v>0</v>
      </c>
      <c r="AA686" s="58">
        <v>0</v>
      </c>
      <c r="AB686" s="58">
        <v>0</v>
      </c>
      <c r="AC686" s="58">
        <v>0</v>
      </c>
      <c r="AD686" s="58">
        <v>0</v>
      </c>
      <c r="AE686" s="58">
        <v>0</v>
      </c>
      <c r="AF686" s="58">
        <v>0</v>
      </c>
      <c r="AG686" s="58">
        <v>0</v>
      </c>
      <c r="AH686" s="58">
        <v>0</v>
      </c>
      <c r="AI686" s="58">
        <v>0</v>
      </c>
      <c r="AJ686" s="58">
        <v>0</v>
      </c>
      <c r="AK686" s="58">
        <v>0</v>
      </c>
      <c r="AL686" s="75">
        <f>+SUBTOTAL(9,Tabla6[[#This Row],[ENE]:[DIC]])</f>
        <v>0</v>
      </c>
      <c r="AM686" s="76" t="str">
        <f t="shared" si="13"/>
        <v>OK</v>
      </c>
      <c r="AN686" s="60">
        <v>0</v>
      </c>
      <c r="AO686" s="61">
        <f>+Tabla6[[#This Row],[PRESUPUESTO VIGENTE]]-Tabla6[[#This Row],[CERTIFICACIÓN PAPP]]</f>
        <v>0</v>
      </c>
      <c r="AP686" s="59">
        <v>0</v>
      </c>
    </row>
    <row r="687" spans="1:42" ht="93" customHeight="1" x14ac:dyDescent="0.25">
      <c r="A687" s="62" t="s">
        <v>88</v>
      </c>
      <c r="B687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687" s="64" t="s">
        <v>100</v>
      </c>
      <c r="D687" s="64" t="s">
        <v>80</v>
      </c>
      <c r="E687" s="64" t="s">
        <v>81</v>
      </c>
      <c r="F687" s="64" t="s">
        <v>99</v>
      </c>
      <c r="G687" s="64" t="s">
        <v>90</v>
      </c>
      <c r="H687" s="65" t="str">
        <f>VLOOKUP(Tabla6[[#This Row],[DIRECCIÓN]],DIRECCIÓN[#All],2,0)</f>
        <v>TECNOLOGÍA</v>
      </c>
      <c r="I687" s="66" t="s">
        <v>625</v>
      </c>
      <c r="J687" s="67">
        <v>1</v>
      </c>
      <c r="K687" s="68" t="str">
        <f>VLOOKUP(Tabla6[[#This Row],[DIRECCIÓN GENERAL / COORDINACIÓN / SUBDIRECCIÓN]],Tabla37[[#All],[Columna1]:[EOD]],2,0)</f>
        <v>266_0004</v>
      </c>
      <c r="L687" s="69">
        <f>VLOOKUP(Tabla6[[#This Row],[OBJETIVOS PND]],Listas!$A$1:$C$3,3,0)</f>
        <v>55</v>
      </c>
      <c r="M687" s="70">
        <f>VLOOKUP(Tabla6[[#This Row],[PG]],Listas2!$G$14:$K$16,5,0)</f>
        <v>0</v>
      </c>
      <c r="N687" s="71">
        <v>3</v>
      </c>
      <c r="O687" s="72">
        <v>2301</v>
      </c>
      <c r="P687" s="73" t="str">
        <f>VLOOKUP(Tabla6[[#This Row],[GEO]],Listas!$A$48:$B$77,2,0)</f>
        <v xml:space="preserve">SANTO DOMINGO </v>
      </c>
      <c r="Q687" s="70">
        <f>VLOOKUP(Tabla6[[#This Row],[PG]],Listas2!$G$14:$K$16,3,0)</f>
        <v>1</v>
      </c>
      <c r="R687" s="73">
        <f>VLOOKUP(Tabla6[[#This Row],[PG]],Listas2!H197:'Listas2'!$G$14:$K$16,4,0)</f>
        <v>0</v>
      </c>
      <c r="S687" s="73">
        <f>VLOOKUP(Tabla6[[#This Row],[PG]],Listas2!$G$14:$K$16,2,0)</f>
        <v>0</v>
      </c>
      <c r="T687" s="66" t="s">
        <v>84</v>
      </c>
      <c r="U687" s="74">
        <v>53</v>
      </c>
      <c r="V687" s="66">
        <v>530704</v>
      </c>
      <c r="W687" s="63" t="str">
        <f>VLOOKUP(Tabla6[[#This Row],[ÍTEM PRESUPUESTARIO]],Tabla2[#All],2,0)</f>
        <v xml:space="preserve">MANTENIMIENTO Y REPARACIÓN DE EQUIPOS Y SISTEMAS INFORMÁTICOS </v>
      </c>
      <c r="X687" s="57">
        <v>500</v>
      </c>
      <c r="Y687" s="57">
        <f>500-239.53</f>
        <v>260.47000000000003</v>
      </c>
      <c r="Z687" s="58">
        <v>0</v>
      </c>
      <c r="AA687" s="58">
        <v>0</v>
      </c>
      <c r="AB687" s="58">
        <v>0</v>
      </c>
      <c r="AC687" s="58">
        <v>260.47000000000003</v>
      </c>
      <c r="AD687" s="58">
        <v>0</v>
      </c>
      <c r="AE687" s="58">
        <v>0</v>
      </c>
      <c r="AF687" s="58">
        <v>0</v>
      </c>
      <c r="AG687" s="58">
        <v>0</v>
      </c>
      <c r="AH687" s="58">
        <v>0</v>
      </c>
      <c r="AI687" s="58">
        <v>0</v>
      </c>
      <c r="AJ687" s="58">
        <v>0</v>
      </c>
      <c r="AK687" s="58">
        <v>0</v>
      </c>
      <c r="AL687" s="75">
        <f>+SUBTOTAL(9,Tabla6[[#This Row],[ENE]:[DIC]])</f>
        <v>260.47000000000003</v>
      </c>
      <c r="AM687" s="76" t="str">
        <f t="shared" si="13"/>
        <v>OK</v>
      </c>
      <c r="AN687" s="60">
        <f>365-104.53</f>
        <v>260.47000000000003</v>
      </c>
      <c r="AO687" s="61">
        <f>+Tabla6[[#This Row],[PRESUPUESTO VIGENTE]]-Tabla6[[#This Row],[CERTIFICACIÓN PAPP]]</f>
        <v>0</v>
      </c>
      <c r="AP687" s="59" t="s">
        <v>87</v>
      </c>
    </row>
    <row r="688" spans="1:42" ht="93" customHeight="1" x14ac:dyDescent="0.25">
      <c r="A688" s="62" t="s">
        <v>88</v>
      </c>
      <c r="B688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688" s="64" t="s">
        <v>100</v>
      </c>
      <c r="D688" s="64" t="s">
        <v>80</v>
      </c>
      <c r="E688" s="64" t="s">
        <v>81</v>
      </c>
      <c r="F688" s="64" t="s">
        <v>99</v>
      </c>
      <c r="G688" s="64" t="s">
        <v>90</v>
      </c>
      <c r="H688" s="65" t="str">
        <f>VLOOKUP(Tabla6[[#This Row],[DIRECCIÓN]],DIRECCIÓN[#All],2,0)</f>
        <v>TECNOLOGÍA</v>
      </c>
      <c r="I688" s="66" t="s">
        <v>591</v>
      </c>
      <c r="J688" s="67">
        <v>3</v>
      </c>
      <c r="K688" s="68" t="str">
        <f>VLOOKUP(Tabla6[[#This Row],[DIRECCIÓN GENERAL / COORDINACIÓN / SUBDIRECCIÓN]],Tabla37[[#All],[Columna1]:[EOD]],2,0)</f>
        <v>266_0004</v>
      </c>
      <c r="L688" s="69">
        <f>VLOOKUP(Tabla6[[#This Row],[OBJETIVOS PND]],Listas!$A$1:$C$3,3,0)</f>
        <v>55</v>
      </c>
      <c r="M688" s="70">
        <f>VLOOKUP(Tabla6[[#This Row],[PG]],Listas2!$G$14:$K$16,5,0)</f>
        <v>0</v>
      </c>
      <c r="N688" s="71">
        <v>3</v>
      </c>
      <c r="O688" s="72">
        <v>2301</v>
      </c>
      <c r="P688" s="73" t="str">
        <f>VLOOKUP(Tabla6[[#This Row],[GEO]],Listas!$A$48:$B$77,2,0)</f>
        <v xml:space="preserve">SANTO DOMINGO </v>
      </c>
      <c r="Q688" s="70">
        <f>VLOOKUP(Tabla6[[#This Row],[PG]],Listas2!$G$14:$K$16,3,0)</f>
        <v>1</v>
      </c>
      <c r="R688" s="73">
        <f>VLOOKUP(Tabla6[[#This Row],[PG]],Listas2!H198:'Listas2'!$G$14:$K$16,4,0)</f>
        <v>0</v>
      </c>
      <c r="S688" s="73">
        <f>VLOOKUP(Tabla6[[#This Row],[PG]],Listas2!$G$14:$K$16,2,0)</f>
        <v>0</v>
      </c>
      <c r="T688" s="66" t="s">
        <v>84</v>
      </c>
      <c r="U688" s="74">
        <v>53</v>
      </c>
      <c r="V688" s="66">
        <v>530803</v>
      </c>
      <c r="W688" s="63" t="str">
        <f>VLOOKUP(Tabla6[[#This Row],[ÍTEM PRESUPUESTARIO]],Tabla2[#All],2,0)</f>
        <v>LUBRICANTES</v>
      </c>
      <c r="X688" s="57">
        <v>100</v>
      </c>
      <c r="Y688" s="57">
        <f>100-20-20</f>
        <v>60</v>
      </c>
      <c r="Z688" s="58">
        <v>0</v>
      </c>
      <c r="AA688" s="58">
        <v>0</v>
      </c>
      <c r="AB688" s="58">
        <v>0</v>
      </c>
      <c r="AC688" s="58">
        <v>0</v>
      </c>
      <c r="AD688" s="58">
        <v>60</v>
      </c>
      <c r="AE688" s="58">
        <v>0</v>
      </c>
      <c r="AF688" s="58">
        <v>0</v>
      </c>
      <c r="AG688" s="58">
        <v>0</v>
      </c>
      <c r="AH688" s="58">
        <v>0</v>
      </c>
      <c r="AI688" s="58">
        <v>0</v>
      </c>
      <c r="AJ688" s="58">
        <v>0</v>
      </c>
      <c r="AK688" s="58">
        <v>0</v>
      </c>
      <c r="AL688" s="75">
        <f>+SUBTOTAL(9,Tabla6[[#This Row],[ENE]:[DIC]])</f>
        <v>60</v>
      </c>
      <c r="AM688" s="76" t="str">
        <f t="shared" si="13"/>
        <v>OK</v>
      </c>
      <c r="AN688" s="60">
        <f>60</f>
        <v>60</v>
      </c>
      <c r="AO688" s="61">
        <f>+Tabla6[[#This Row],[PRESUPUESTO VIGENTE]]-Tabla6[[#This Row],[CERTIFICACIÓN PAPP]]</f>
        <v>0</v>
      </c>
      <c r="AP688" s="59">
        <v>0</v>
      </c>
    </row>
    <row r="689" spans="1:42" ht="93" customHeight="1" x14ac:dyDescent="0.25">
      <c r="A689" s="62" t="s">
        <v>88</v>
      </c>
      <c r="B689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689" s="64" t="s">
        <v>100</v>
      </c>
      <c r="D689" s="64" t="s">
        <v>80</v>
      </c>
      <c r="E689" s="64" t="s">
        <v>81</v>
      </c>
      <c r="F689" s="64" t="s">
        <v>99</v>
      </c>
      <c r="G689" s="64" t="s">
        <v>90</v>
      </c>
      <c r="H689" s="65" t="str">
        <f>VLOOKUP(Tabla6[[#This Row],[DIRECCIÓN]],DIRECCIÓN[#All],2,0)</f>
        <v>TECNOLOGÍA</v>
      </c>
      <c r="I689" s="66" t="s">
        <v>591</v>
      </c>
      <c r="J689" s="67">
        <v>3</v>
      </c>
      <c r="K689" s="68" t="str">
        <f>VLOOKUP(Tabla6[[#This Row],[DIRECCIÓN GENERAL / COORDINACIÓN / SUBDIRECCIÓN]],Tabla37[[#All],[Columna1]:[EOD]],2,0)</f>
        <v>266_0004</v>
      </c>
      <c r="L689" s="69">
        <f>VLOOKUP(Tabla6[[#This Row],[OBJETIVOS PND]],Listas!$A$1:$C$3,3,0)</f>
        <v>55</v>
      </c>
      <c r="M689" s="70">
        <f>VLOOKUP(Tabla6[[#This Row],[PG]],Listas2!$G$14:$K$16,5,0)</f>
        <v>0</v>
      </c>
      <c r="N689" s="71">
        <v>3</v>
      </c>
      <c r="O689" s="72">
        <v>2301</v>
      </c>
      <c r="P689" s="73" t="str">
        <f>VLOOKUP(Tabla6[[#This Row],[GEO]],Listas!$A$48:$B$77,2,0)</f>
        <v xml:space="preserve">SANTO DOMINGO </v>
      </c>
      <c r="Q689" s="70">
        <f>VLOOKUP(Tabla6[[#This Row],[PG]],Listas2!$G$14:$K$16,3,0)</f>
        <v>1</v>
      </c>
      <c r="R689" s="73">
        <f>VLOOKUP(Tabla6[[#This Row],[PG]],Listas2!H199:'Listas2'!$G$14:$K$16,4,0)</f>
        <v>0</v>
      </c>
      <c r="S689" s="73">
        <f>VLOOKUP(Tabla6[[#This Row],[PG]],Listas2!$G$14:$K$16,2,0)</f>
        <v>0</v>
      </c>
      <c r="T689" s="66" t="s">
        <v>84</v>
      </c>
      <c r="U689" s="74">
        <v>53</v>
      </c>
      <c r="V689" s="66">
        <v>530805</v>
      </c>
      <c r="W689" s="63" t="str">
        <f>VLOOKUP(Tabla6[[#This Row],[ÍTEM PRESUPUESTARIO]],Tabla2[#All],2,0)</f>
        <v>MATERIALES DE ASEO</v>
      </c>
      <c r="X689" s="57">
        <v>100</v>
      </c>
      <c r="Y689" s="57">
        <f>100-5-5</f>
        <v>90</v>
      </c>
      <c r="Z689" s="58">
        <v>0</v>
      </c>
      <c r="AA689" s="58">
        <v>0</v>
      </c>
      <c r="AB689" s="58">
        <v>0</v>
      </c>
      <c r="AC689" s="58">
        <v>0</v>
      </c>
      <c r="AD689" s="58">
        <v>90</v>
      </c>
      <c r="AE689" s="58">
        <v>0</v>
      </c>
      <c r="AF689" s="58">
        <v>0</v>
      </c>
      <c r="AG689" s="58">
        <v>0</v>
      </c>
      <c r="AH689" s="58">
        <v>0</v>
      </c>
      <c r="AI689" s="58">
        <v>0</v>
      </c>
      <c r="AJ689" s="58">
        <v>0</v>
      </c>
      <c r="AK689" s="58">
        <v>0</v>
      </c>
      <c r="AL689" s="75">
        <f>+SUBTOTAL(9,Tabla6[[#This Row],[ENE]:[DIC]])</f>
        <v>90</v>
      </c>
      <c r="AM689" s="76" t="str">
        <f t="shared" si="13"/>
        <v>OK</v>
      </c>
      <c r="AN689" s="60">
        <v>90</v>
      </c>
      <c r="AO689" s="61">
        <f>+Tabla6[[#This Row],[PRESUPUESTO VIGENTE]]-Tabla6[[#This Row],[CERTIFICACIÓN PAPP]]</f>
        <v>0</v>
      </c>
      <c r="AP689" s="59">
        <v>0</v>
      </c>
    </row>
    <row r="690" spans="1:42" ht="93" customHeight="1" x14ac:dyDescent="0.25">
      <c r="A690" s="62" t="s">
        <v>88</v>
      </c>
      <c r="B690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690" s="64" t="s">
        <v>100</v>
      </c>
      <c r="D690" s="64" t="s">
        <v>80</v>
      </c>
      <c r="E690" s="64" t="s">
        <v>81</v>
      </c>
      <c r="F690" s="64" t="s">
        <v>99</v>
      </c>
      <c r="G690" s="64" t="s">
        <v>90</v>
      </c>
      <c r="H690" s="65" t="str">
        <f>VLOOKUP(Tabla6[[#This Row],[DIRECCIÓN]],DIRECCIÓN[#All],2,0)</f>
        <v>TECNOLOGÍA</v>
      </c>
      <c r="I690" s="66" t="s">
        <v>592</v>
      </c>
      <c r="J690" s="67">
        <v>1</v>
      </c>
      <c r="K690" s="68" t="str">
        <f>VLOOKUP(Tabla6[[#This Row],[DIRECCIÓN GENERAL / COORDINACIÓN / SUBDIRECCIÓN]],Tabla37[[#All],[Columna1]:[EOD]],2,0)</f>
        <v>266_0004</v>
      </c>
      <c r="L690" s="69">
        <f>VLOOKUP(Tabla6[[#This Row],[OBJETIVOS PND]],Listas!$A$1:$C$3,3,0)</f>
        <v>55</v>
      </c>
      <c r="M690" s="70">
        <f>VLOOKUP(Tabla6[[#This Row],[PG]],Listas2!$G$14:$K$16,5,0)</f>
        <v>0</v>
      </c>
      <c r="N690" s="71">
        <v>3</v>
      </c>
      <c r="O690" s="72">
        <v>2301</v>
      </c>
      <c r="P690" s="73" t="str">
        <f>VLOOKUP(Tabla6[[#This Row],[GEO]],Listas!$A$48:$B$77,2,0)</f>
        <v xml:space="preserve">SANTO DOMINGO </v>
      </c>
      <c r="Q690" s="70">
        <f>VLOOKUP(Tabla6[[#This Row],[PG]],Listas2!$G$14:$K$16,3,0)</f>
        <v>1</v>
      </c>
      <c r="R690" s="73">
        <f>VLOOKUP(Tabla6[[#This Row],[PG]],Listas2!H200:'Listas2'!$G$14:$K$16,4,0)</f>
        <v>0</v>
      </c>
      <c r="S690" s="73">
        <f>VLOOKUP(Tabla6[[#This Row],[PG]],Listas2!$G$14:$K$16,2,0)</f>
        <v>0</v>
      </c>
      <c r="T690" s="66" t="s">
        <v>84</v>
      </c>
      <c r="U690" s="74">
        <v>53</v>
      </c>
      <c r="V690" s="66">
        <v>530807</v>
      </c>
      <c r="W690" s="63" t="str">
        <f>VLOOKUP(Tabla6[[#This Row],[ÍTEM PRESUPUESTARIO]],Tabla2[#All],2,0)</f>
        <v>MATERIALES DE IMPRESIÓN, FOTOGRAFÍA, REPRODUCCIÓN Y PUBLICACIONES</v>
      </c>
      <c r="X690" s="57">
        <v>0</v>
      </c>
      <c r="Y690" s="57">
        <f>560-280-280</f>
        <v>0</v>
      </c>
      <c r="Z690" s="58">
        <v>0</v>
      </c>
      <c r="AA690" s="58">
        <v>0</v>
      </c>
      <c r="AB690" s="58">
        <v>0</v>
      </c>
      <c r="AC690" s="58">
        <v>0</v>
      </c>
      <c r="AD690" s="58">
        <v>0</v>
      </c>
      <c r="AE690" s="58">
        <v>0</v>
      </c>
      <c r="AF690" s="58">
        <v>0</v>
      </c>
      <c r="AG690" s="58">
        <v>0</v>
      </c>
      <c r="AH690" s="58">
        <v>0</v>
      </c>
      <c r="AI690" s="58">
        <v>0</v>
      </c>
      <c r="AJ690" s="58">
        <v>0</v>
      </c>
      <c r="AK690" s="58">
        <v>0</v>
      </c>
      <c r="AL690" s="75">
        <f>+SUBTOTAL(9,Tabla6[[#This Row],[ENE]:[DIC]])</f>
        <v>0</v>
      </c>
      <c r="AM690" s="76" t="str">
        <f t="shared" si="13"/>
        <v>OK</v>
      </c>
      <c r="AN690" s="60">
        <v>0</v>
      </c>
      <c r="AO690" s="61">
        <f>+Tabla6[[#This Row],[PRESUPUESTO VIGENTE]]-Tabla6[[#This Row],[CERTIFICACIÓN PAPP]]</f>
        <v>0</v>
      </c>
      <c r="AP690" s="59">
        <v>0</v>
      </c>
    </row>
    <row r="691" spans="1:42" ht="93" customHeight="1" x14ac:dyDescent="0.25">
      <c r="A691" s="62" t="s">
        <v>88</v>
      </c>
      <c r="B691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691" s="64" t="s">
        <v>100</v>
      </c>
      <c r="D691" s="64" t="s">
        <v>80</v>
      </c>
      <c r="E691" s="64" t="s">
        <v>81</v>
      </c>
      <c r="F691" s="64" t="s">
        <v>99</v>
      </c>
      <c r="G691" s="64" t="s">
        <v>90</v>
      </c>
      <c r="H691" s="65" t="str">
        <f>VLOOKUP(Tabla6[[#This Row],[DIRECCIÓN]],DIRECCIÓN[#All],2,0)</f>
        <v>TECNOLOGÍA</v>
      </c>
      <c r="I691" s="66" t="s">
        <v>593</v>
      </c>
      <c r="J691" s="67">
        <v>1</v>
      </c>
      <c r="K691" s="68" t="str">
        <f>VLOOKUP(Tabla6[[#This Row],[DIRECCIÓN GENERAL / COORDINACIÓN / SUBDIRECCIÓN]],Tabla37[[#All],[Columna1]:[EOD]],2,0)</f>
        <v>266_0004</v>
      </c>
      <c r="L691" s="69">
        <f>VLOOKUP(Tabla6[[#This Row],[OBJETIVOS PND]],Listas!$A$1:$C$3,3,0)</f>
        <v>55</v>
      </c>
      <c r="M691" s="70">
        <f>VLOOKUP(Tabla6[[#This Row],[PG]],Listas2!$G$14:$K$16,5,0)</f>
        <v>0</v>
      </c>
      <c r="N691" s="71">
        <v>3</v>
      </c>
      <c r="O691" s="72">
        <v>2301</v>
      </c>
      <c r="P691" s="73" t="str">
        <f>VLOOKUP(Tabla6[[#This Row],[GEO]],Listas!$A$48:$B$77,2,0)</f>
        <v xml:space="preserve">SANTO DOMINGO </v>
      </c>
      <c r="Q691" s="70">
        <f>VLOOKUP(Tabla6[[#This Row],[PG]],Listas2!$G$14:$K$16,3,0)</f>
        <v>1</v>
      </c>
      <c r="R691" s="73">
        <f>VLOOKUP(Tabla6[[#This Row],[PG]],Listas2!H201:'Listas2'!$G$14:$K$16,4,0)</f>
        <v>0</v>
      </c>
      <c r="S691" s="73">
        <f>VLOOKUP(Tabla6[[#This Row],[PG]],Listas2!$G$14:$K$16,2,0)</f>
        <v>0</v>
      </c>
      <c r="T691" s="66" t="s">
        <v>84</v>
      </c>
      <c r="U691" s="74">
        <v>53</v>
      </c>
      <c r="V691" s="66">
        <v>530807</v>
      </c>
      <c r="W691" s="63" t="str">
        <f>VLOOKUP(Tabla6[[#This Row],[ÍTEM PRESUPUESTARIO]],Tabla2[#All],2,0)</f>
        <v>MATERIALES DE IMPRESIÓN, FOTOGRAFÍA, REPRODUCCIÓN Y PUBLICACIONES</v>
      </c>
      <c r="X691" s="57">
        <v>0</v>
      </c>
      <c r="Y691" s="57">
        <f>2440-1728.3-14.27</f>
        <v>697.43000000000006</v>
      </c>
      <c r="Z691" s="58">
        <v>0</v>
      </c>
      <c r="AA691" s="58">
        <v>0</v>
      </c>
      <c r="AB691" s="58">
        <v>0</v>
      </c>
      <c r="AC691" s="58">
        <v>0</v>
      </c>
      <c r="AD691" s="58">
        <v>0</v>
      </c>
      <c r="AE691" s="58">
        <v>0</v>
      </c>
      <c r="AF691" s="58">
        <v>0</v>
      </c>
      <c r="AG691" s="58">
        <v>0</v>
      </c>
      <c r="AH691" s="58">
        <v>697.43</v>
      </c>
      <c r="AI691" s="58">
        <v>0</v>
      </c>
      <c r="AJ691" s="58">
        <v>0</v>
      </c>
      <c r="AK691" s="58">
        <v>0</v>
      </c>
      <c r="AL691" s="75">
        <f>+SUBTOTAL(9,Tabla6[[#This Row],[ENE]:[DIC]])</f>
        <v>697.43</v>
      </c>
      <c r="AM691" s="76" t="str">
        <f t="shared" si="13"/>
        <v>OK</v>
      </c>
      <c r="AN691" s="60">
        <f>711.7-14.27</f>
        <v>697.43000000000006</v>
      </c>
      <c r="AO691" s="61">
        <f>+Tabla6[[#This Row],[PRESUPUESTO VIGENTE]]-Tabla6[[#This Row],[CERTIFICACIÓN PAPP]]</f>
        <v>0</v>
      </c>
      <c r="AP691" s="59">
        <v>0</v>
      </c>
    </row>
    <row r="692" spans="1:42" ht="93" customHeight="1" x14ac:dyDescent="0.25">
      <c r="A692" s="62" t="s">
        <v>88</v>
      </c>
      <c r="B692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692" s="64" t="s">
        <v>100</v>
      </c>
      <c r="D692" s="64" t="s">
        <v>80</v>
      </c>
      <c r="E692" s="64" t="s">
        <v>81</v>
      </c>
      <c r="F692" s="64" t="s">
        <v>99</v>
      </c>
      <c r="G692" s="64" t="s">
        <v>90</v>
      </c>
      <c r="H692" s="65" t="str">
        <f>VLOOKUP(Tabla6[[#This Row],[DIRECCIÓN]],DIRECCIÓN[#All],2,0)</f>
        <v>TECNOLOGÍA</v>
      </c>
      <c r="I692" s="66" t="s">
        <v>594</v>
      </c>
      <c r="J692" s="67">
        <v>1</v>
      </c>
      <c r="K692" s="68" t="str">
        <f>VLOOKUP(Tabla6[[#This Row],[DIRECCIÓN GENERAL / COORDINACIÓN / SUBDIRECCIÓN]],Tabla37[[#All],[Columna1]:[EOD]],2,0)</f>
        <v>266_0004</v>
      </c>
      <c r="L692" s="69">
        <f>VLOOKUP(Tabla6[[#This Row],[OBJETIVOS PND]],Listas!$A$1:$C$3,3,0)</f>
        <v>55</v>
      </c>
      <c r="M692" s="70">
        <f>VLOOKUP(Tabla6[[#This Row],[PG]],Listas2!$G$14:$K$16,5,0)</f>
        <v>0</v>
      </c>
      <c r="N692" s="71">
        <v>3</v>
      </c>
      <c r="O692" s="72">
        <v>2301</v>
      </c>
      <c r="P692" s="73" t="str">
        <f>VLOOKUP(Tabla6[[#This Row],[GEO]],Listas!$A$48:$B$77,2,0)</f>
        <v xml:space="preserve">SANTO DOMINGO </v>
      </c>
      <c r="Q692" s="70">
        <f>VLOOKUP(Tabla6[[#This Row],[PG]],Listas2!$G$14:$K$16,3,0)</f>
        <v>1</v>
      </c>
      <c r="R692" s="73">
        <f>VLOOKUP(Tabla6[[#This Row],[PG]],Listas2!H202:'Listas2'!$G$14:$K$16,4,0)</f>
        <v>0</v>
      </c>
      <c r="S692" s="73">
        <f>VLOOKUP(Tabla6[[#This Row],[PG]],Listas2!$G$14:$K$16,2,0)</f>
        <v>0</v>
      </c>
      <c r="T692" s="66" t="s">
        <v>84</v>
      </c>
      <c r="U692" s="74">
        <v>53</v>
      </c>
      <c r="V692" s="66">
        <v>530807</v>
      </c>
      <c r="W692" s="63" t="str">
        <f>VLOOKUP(Tabla6[[#This Row],[ÍTEM PRESUPUESTARIO]],Tabla2[#All],2,0)</f>
        <v>MATERIALES DE IMPRESIÓN, FOTOGRAFÍA, REPRODUCCIÓN Y PUBLICACIONES</v>
      </c>
      <c r="X692" s="57">
        <v>3000</v>
      </c>
      <c r="Y692" s="57">
        <f>3000-3000</f>
        <v>0</v>
      </c>
      <c r="Z692" s="58">
        <v>0</v>
      </c>
      <c r="AA692" s="58">
        <v>0</v>
      </c>
      <c r="AB692" s="58">
        <v>0</v>
      </c>
      <c r="AC692" s="58">
        <v>0</v>
      </c>
      <c r="AD692" s="58">
        <v>0</v>
      </c>
      <c r="AE692" s="58">
        <v>0</v>
      </c>
      <c r="AF692" s="58">
        <v>0</v>
      </c>
      <c r="AG692" s="58">
        <v>0</v>
      </c>
      <c r="AH692" s="58">
        <v>0</v>
      </c>
      <c r="AI692" s="58">
        <v>0</v>
      </c>
      <c r="AJ692" s="58">
        <v>0</v>
      </c>
      <c r="AK692" s="58">
        <v>0</v>
      </c>
      <c r="AL692" s="75">
        <f>+SUBTOTAL(9,Tabla6[[#This Row],[ENE]:[DIC]])</f>
        <v>0</v>
      </c>
      <c r="AM692" s="76" t="str">
        <f t="shared" si="13"/>
        <v>OK</v>
      </c>
      <c r="AN692" s="60">
        <v>0</v>
      </c>
      <c r="AO692" s="61">
        <f>+Tabla6[[#This Row],[PRESUPUESTO VIGENTE]]-Tabla6[[#This Row],[CERTIFICACIÓN PAPP]]</f>
        <v>0</v>
      </c>
      <c r="AP692" s="59" t="s">
        <v>87</v>
      </c>
    </row>
    <row r="693" spans="1:42" ht="93" customHeight="1" x14ac:dyDescent="0.25">
      <c r="A693" s="62" t="s">
        <v>88</v>
      </c>
      <c r="B693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693" s="64" t="s">
        <v>100</v>
      </c>
      <c r="D693" s="64" t="s">
        <v>80</v>
      </c>
      <c r="E693" s="64" t="s">
        <v>81</v>
      </c>
      <c r="F693" s="64" t="s">
        <v>99</v>
      </c>
      <c r="G693" s="64" t="s">
        <v>90</v>
      </c>
      <c r="H693" s="65" t="str">
        <f>VLOOKUP(Tabla6[[#This Row],[DIRECCIÓN]],DIRECCIÓN[#All],2,0)</f>
        <v>TECNOLOGÍA</v>
      </c>
      <c r="I693" s="66" t="s">
        <v>591</v>
      </c>
      <c r="J693" s="67">
        <v>3</v>
      </c>
      <c r="K693" s="68" t="str">
        <f>VLOOKUP(Tabla6[[#This Row],[DIRECCIÓN GENERAL / COORDINACIÓN / SUBDIRECCIÓN]],Tabla37[[#All],[Columna1]:[EOD]],2,0)</f>
        <v>266_0004</v>
      </c>
      <c r="L693" s="69">
        <f>VLOOKUP(Tabla6[[#This Row],[OBJETIVOS PND]],Listas!$A$1:$C$3,3,0)</f>
        <v>55</v>
      </c>
      <c r="M693" s="70">
        <f>VLOOKUP(Tabla6[[#This Row],[PG]],Listas2!$G$14:$K$16,5,0)</f>
        <v>0</v>
      </c>
      <c r="N693" s="71">
        <v>3</v>
      </c>
      <c r="O693" s="72">
        <v>2301</v>
      </c>
      <c r="P693" s="73" t="str">
        <f>VLOOKUP(Tabla6[[#This Row],[GEO]],Listas!$A$48:$B$77,2,0)</f>
        <v xml:space="preserve">SANTO DOMINGO </v>
      </c>
      <c r="Q693" s="70">
        <f>VLOOKUP(Tabla6[[#This Row],[PG]],Listas2!$G$14:$K$16,3,0)</f>
        <v>1</v>
      </c>
      <c r="R693" s="73">
        <f>VLOOKUP(Tabla6[[#This Row],[PG]],Listas2!H203:'Listas2'!$G$14:$K$16,4,0)</f>
        <v>0</v>
      </c>
      <c r="S693" s="73">
        <f>VLOOKUP(Tabla6[[#This Row],[PG]],Listas2!$G$14:$K$16,2,0)</f>
        <v>0</v>
      </c>
      <c r="T693" s="66" t="s">
        <v>84</v>
      </c>
      <c r="U693" s="74">
        <v>53</v>
      </c>
      <c r="V693" s="66">
        <v>530811</v>
      </c>
      <c r="W693" s="63" t="str">
        <f>VLOOKUP(Tabla6[[#This Row],[ÍTEM PRESUPUESTARIO]],Tabla2[#All],2,0)</f>
        <v>INSUMOS, MATERIALES Y SUMINISTROS PARA CONSTRUCCIÓN, ELECTRICIDAD, PLOMERÍA, CARPINTERÍA, SEÑALIZACIÓN VIAL, NAVEGACIÓN, CONTRA INCENDIOS Y PLACAS</v>
      </c>
      <c r="X693" s="57">
        <v>800</v>
      </c>
      <c r="Y693" s="57">
        <f>800-54-54</f>
        <v>692</v>
      </c>
      <c r="Z693" s="58">
        <v>0</v>
      </c>
      <c r="AA693" s="58">
        <v>0</v>
      </c>
      <c r="AB693" s="58">
        <v>0</v>
      </c>
      <c r="AC693" s="58">
        <v>0</v>
      </c>
      <c r="AD693" s="58">
        <v>692</v>
      </c>
      <c r="AE693" s="58">
        <v>0</v>
      </c>
      <c r="AF693" s="58">
        <v>0</v>
      </c>
      <c r="AG693" s="58">
        <v>0</v>
      </c>
      <c r="AH693" s="58">
        <v>0</v>
      </c>
      <c r="AI693" s="58">
        <v>0</v>
      </c>
      <c r="AJ693" s="58">
        <v>0</v>
      </c>
      <c r="AK693" s="58">
        <v>0</v>
      </c>
      <c r="AL693" s="75">
        <f>+SUBTOTAL(9,Tabla6[[#This Row],[ENE]:[DIC]])</f>
        <v>692</v>
      </c>
      <c r="AM693" s="76" t="str">
        <f t="shared" si="13"/>
        <v>OK</v>
      </c>
      <c r="AN693" s="60">
        <f>692+5.43-5.43</f>
        <v>692</v>
      </c>
      <c r="AO693" s="61">
        <f>+Tabla6[[#This Row],[PRESUPUESTO VIGENTE]]-Tabla6[[#This Row],[CERTIFICACIÓN PAPP]]</f>
        <v>0</v>
      </c>
      <c r="AP693" s="59">
        <v>0</v>
      </c>
    </row>
    <row r="694" spans="1:42" ht="93" customHeight="1" x14ac:dyDescent="0.25">
      <c r="A694" s="62" t="s">
        <v>88</v>
      </c>
      <c r="B694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694" s="64" t="s">
        <v>100</v>
      </c>
      <c r="D694" s="64" t="s">
        <v>80</v>
      </c>
      <c r="E694" s="64" t="s">
        <v>81</v>
      </c>
      <c r="F694" s="64" t="s">
        <v>99</v>
      </c>
      <c r="G694" s="64" t="s">
        <v>90</v>
      </c>
      <c r="H694" s="65" t="str">
        <f>VLOOKUP(Tabla6[[#This Row],[DIRECCIÓN]],DIRECCIÓN[#All],2,0)</f>
        <v>TECNOLOGÍA</v>
      </c>
      <c r="I694" s="66" t="s">
        <v>591</v>
      </c>
      <c r="J694" s="67">
        <v>3</v>
      </c>
      <c r="K694" s="68" t="str">
        <f>VLOOKUP(Tabla6[[#This Row],[DIRECCIÓN GENERAL / COORDINACIÓN / SUBDIRECCIÓN]],Tabla37[[#All],[Columna1]:[EOD]],2,0)</f>
        <v>266_0004</v>
      </c>
      <c r="L694" s="69">
        <f>VLOOKUP(Tabla6[[#This Row],[OBJETIVOS PND]],Listas!$A$1:$C$3,3,0)</f>
        <v>55</v>
      </c>
      <c r="M694" s="70">
        <f>VLOOKUP(Tabla6[[#This Row],[PG]],Listas2!$G$14:$K$16,5,0)</f>
        <v>0</v>
      </c>
      <c r="N694" s="71">
        <v>3</v>
      </c>
      <c r="O694" s="72">
        <v>2301</v>
      </c>
      <c r="P694" s="73" t="str">
        <f>VLOOKUP(Tabla6[[#This Row],[GEO]],Listas!$A$48:$B$77,2,0)</f>
        <v xml:space="preserve">SANTO DOMINGO </v>
      </c>
      <c r="Q694" s="70">
        <f>VLOOKUP(Tabla6[[#This Row],[PG]],Listas2!$G$14:$K$16,3,0)</f>
        <v>1</v>
      </c>
      <c r="R694" s="73">
        <f>VLOOKUP(Tabla6[[#This Row],[PG]],Listas2!H204:'Listas2'!$G$14:$K$16,4,0)</f>
        <v>0</v>
      </c>
      <c r="S694" s="73">
        <f>VLOOKUP(Tabla6[[#This Row],[PG]],Listas2!$G$14:$K$16,2,0)</f>
        <v>0</v>
      </c>
      <c r="T694" s="66" t="s">
        <v>84</v>
      </c>
      <c r="U694" s="74">
        <v>53</v>
      </c>
      <c r="V694" s="66">
        <v>530813</v>
      </c>
      <c r="W694" s="63" t="str">
        <f>VLOOKUP(Tabla6[[#This Row],[ÍTEM PRESUPUESTARIO]],Tabla2[#All],2,0)</f>
        <v>REPUESTOS Y ACCESORIOS</v>
      </c>
      <c r="X694" s="57">
        <v>1000</v>
      </c>
      <c r="Y694" s="57">
        <f>1000-519.5-480.5</f>
        <v>0</v>
      </c>
      <c r="Z694" s="58">
        <v>0</v>
      </c>
      <c r="AA694" s="58">
        <v>0</v>
      </c>
      <c r="AB694" s="58">
        <v>0</v>
      </c>
      <c r="AC694" s="58">
        <v>0</v>
      </c>
      <c r="AD694" s="58">
        <v>0</v>
      </c>
      <c r="AE694" s="58">
        <v>0</v>
      </c>
      <c r="AF694" s="58">
        <v>0</v>
      </c>
      <c r="AG694" s="58">
        <v>0</v>
      </c>
      <c r="AH694" s="58">
        <v>0</v>
      </c>
      <c r="AI694" s="58">
        <v>0</v>
      </c>
      <c r="AJ694" s="58">
        <v>0</v>
      </c>
      <c r="AK694" s="58">
        <v>0</v>
      </c>
      <c r="AL694" s="75">
        <f>+SUBTOTAL(9,Tabla6[[#This Row],[ENE]:[DIC]])</f>
        <v>0</v>
      </c>
      <c r="AM694" s="76" t="str">
        <f t="shared" si="13"/>
        <v>OK</v>
      </c>
      <c r="AN694" s="60">
        <v>0</v>
      </c>
      <c r="AO694" s="61">
        <f>+Tabla6[[#This Row],[PRESUPUESTO VIGENTE]]-Tabla6[[#This Row],[CERTIFICACIÓN PAPP]]</f>
        <v>0</v>
      </c>
      <c r="AP694" s="59">
        <v>0</v>
      </c>
    </row>
    <row r="695" spans="1:42" ht="93" customHeight="1" x14ac:dyDescent="0.25">
      <c r="A695" s="62" t="s">
        <v>88</v>
      </c>
      <c r="B695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695" s="64" t="s">
        <v>100</v>
      </c>
      <c r="D695" s="64" t="s">
        <v>80</v>
      </c>
      <c r="E695" s="64" t="s">
        <v>81</v>
      </c>
      <c r="F695" s="64" t="s">
        <v>99</v>
      </c>
      <c r="G695" s="64" t="s">
        <v>90</v>
      </c>
      <c r="H695" s="65" t="str">
        <f>VLOOKUP(Tabla6[[#This Row],[DIRECCIÓN]],DIRECCIÓN[#All],2,0)</f>
        <v>TECNOLOGÍA</v>
      </c>
      <c r="I695" s="66" t="s">
        <v>625</v>
      </c>
      <c r="J695" s="67">
        <v>1</v>
      </c>
      <c r="K695" s="68" t="str">
        <f>VLOOKUP(Tabla6[[#This Row],[DIRECCIÓN GENERAL / COORDINACIÓN / SUBDIRECCIÓN]],Tabla37[[#All],[Columna1]:[EOD]],2,0)</f>
        <v>266_0004</v>
      </c>
      <c r="L695" s="69">
        <f>VLOOKUP(Tabla6[[#This Row],[OBJETIVOS PND]],Listas!$A$1:$C$3,3,0)</f>
        <v>55</v>
      </c>
      <c r="M695" s="70">
        <f>VLOOKUP(Tabla6[[#This Row],[PG]],Listas2!$G$14:$K$16,5,0)</f>
        <v>0</v>
      </c>
      <c r="N695" s="71">
        <v>3</v>
      </c>
      <c r="O695" s="72">
        <v>2301</v>
      </c>
      <c r="P695" s="73" t="str">
        <f>VLOOKUP(Tabla6[[#This Row],[GEO]],Listas!$A$48:$B$77,2,0)</f>
        <v xml:space="preserve">SANTO DOMINGO </v>
      </c>
      <c r="Q695" s="70">
        <f>VLOOKUP(Tabla6[[#This Row],[PG]],Listas2!$G$14:$K$16,3,0)</f>
        <v>1</v>
      </c>
      <c r="R695" s="73">
        <f>VLOOKUP(Tabla6[[#This Row],[PG]],Listas2!H205:'Listas2'!$G$14:$K$16,4,0)</f>
        <v>0</v>
      </c>
      <c r="S695" s="73">
        <f>VLOOKUP(Tabla6[[#This Row],[PG]],Listas2!$G$14:$K$16,2,0)</f>
        <v>0</v>
      </c>
      <c r="T695" s="66" t="s">
        <v>84</v>
      </c>
      <c r="U695" s="74">
        <v>53</v>
      </c>
      <c r="V695" s="66">
        <v>530813</v>
      </c>
      <c r="W695" s="63" t="str">
        <f>VLOOKUP(Tabla6[[#This Row],[ÍTEM PRESUPUESTARIO]],Tabla2[#All],2,0)</f>
        <v>REPUESTOS Y ACCESORIOS</v>
      </c>
      <c r="X695" s="57">
        <v>2500</v>
      </c>
      <c r="Y695" s="57">
        <f>2500-39</f>
        <v>2461</v>
      </c>
      <c r="Z695" s="58">
        <v>0</v>
      </c>
      <c r="AA695" s="58">
        <v>0</v>
      </c>
      <c r="AB695" s="58">
        <v>0</v>
      </c>
      <c r="AC695" s="58">
        <v>2461</v>
      </c>
      <c r="AD695" s="58">
        <v>0</v>
      </c>
      <c r="AE695" s="58">
        <v>0</v>
      </c>
      <c r="AF695" s="58">
        <v>0</v>
      </c>
      <c r="AG695" s="58">
        <v>0</v>
      </c>
      <c r="AH695" s="58">
        <v>0</v>
      </c>
      <c r="AI695" s="58">
        <v>0</v>
      </c>
      <c r="AJ695" s="58">
        <v>0</v>
      </c>
      <c r="AK695" s="58">
        <v>0</v>
      </c>
      <c r="AL695" s="75">
        <f>+SUBTOTAL(9,Tabla6[[#This Row],[ENE]:[DIC]])</f>
        <v>2461</v>
      </c>
      <c r="AM695" s="76" t="str">
        <f t="shared" si="13"/>
        <v>OK</v>
      </c>
      <c r="AN695" s="60">
        <f>1992+469</f>
        <v>2461</v>
      </c>
      <c r="AO695" s="61">
        <f>+Tabla6[[#This Row],[PRESUPUESTO VIGENTE]]-Tabla6[[#This Row],[CERTIFICACIÓN PAPP]]</f>
        <v>0</v>
      </c>
      <c r="AP695" s="59" t="s">
        <v>87</v>
      </c>
    </row>
    <row r="696" spans="1:42" ht="93" customHeight="1" x14ac:dyDescent="0.25">
      <c r="A696" s="62" t="s">
        <v>88</v>
      </c>
      <c r="B696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696" s="64" t="s">
        <v>100</v>
      </c>
      <c r="D696" s="64" t="s">
        <v>80</v>
      </c>
      <c r="E696" s="64" t="s">
        <v>81</v>
      </c>
      <c r="F696" s="64" t="s">
        <v>99</v>
      </c>
      <c r="G696" s="64" t="s">
        <v>90</v>
      </c>
      <c r="H696" s="65" t="str">
        <f>VLOOKUP(Tabla6[[#This Row],[DIRECCIÓN]],DIRECCIÓN[#All],2,0)</f>
        <v>TECNOLOGÍA</v>
      </c>
      <c r="I696" s="66" t="s">
        <v>595</v>
      </c>
      <c r="J696" s="67">
        <v>1</v>
      </c>
      <c r="K696" s="68" t="str">
        <f>VLOOKUP(Tabla6[[#This Row],[DIRECCIÓN GENERAL / COORDINACIÓN / SUBDIRECCIÓN]],Tabla37[[#All],[Columna1]:[EOD]],2,0)</f>
        <v>266_0004</v>
      </c>
      <c r="L696" s="69">
        <f>VLOOKUP(Tabla6[[#This Row],[OBJETIVOS PND]],Listas!$A$1:$C$3,3,0)</f>
        <v>55</v>
      </c>
      <c r="M696" s="70">
        <f>VLOOKUP(Tabla6[[#This Row],[PG]],Listas2!$G$14:$K$16,5,0)</f>
        <v>0</v>
      </c>
      <c r="N696" s="71">
        <v>3</v>
      </c>
      <c r="O696" s="72">
        <v>2301</v>
      </c>
      <c r="P696" s="73" t="str">
        <f>VLOOKUP(Tabla6[[#This Row],[GEO]],Listas!$A$48:$B$77,2,0)</f>
        <v xml:space="preserve">SANTO DOMINGO </v>
      </c>
      <c r="Q696" s="70">
        <f>VLOOKUP(Tabla6[[#This Row],[PG]],Listas2!$G$14:$K$16,3,0)</f>
        <v>1</v>
      </c>
      <c r="R696" s="73">
        <f>VLOOKUP(Tabla6[[#This Row],[PG]],Listas2!H206:'Listas2'!$G$14:$K$16,4,0)</f>
        <v>0</v>
      </c>
      <c r="S696" s="73">
        <f>VLOOKUP(Tabla6[[#This Row],[PG]],Listas2!$G$14:$K$16,2,0)</f>
        <v>0</v>
      </c>
      <c r="T696" s="66" t="s">
        <v>84</v>
      </c>
      <c r="U696" s="74">
        <v>53</v>
      </c>
      <c r="V696" s="66">
        <v>531404</v>
      </c>
      <c r="W696" s="63" t="str">
        <f>VLOOKUP(Tabla6[[#This Row],[ÍTEM PRESUPUESTARIO]],Tabla2[#All],2,0)</f>
        <v>MAQUINARIAS Y EQUIPOS</v>
      </c>
      <c r="X696" s="57">
        <v>0</v>
      </c>
      <c r="Y696" s="57">
        <f>2880-1440+800</f>
        <v>2240</v>
      </c>
      <c r="Z696" s="58">
        <v>0</v>
      </c>
      <c r="AA696" s="58">
        <v>0</v>
      </c>
      <c r="AB696" s="58">
        <v>0</v>
      </c>
      <c r="AC696" s="58">
        <v>0</v>
      </c>
      <c r="AD696" s="58">
        <v>0</v>
      </c>
      <c r="AE696" s="58">
        <v>0</v>
      </c>
      <c r="AF696" s="58">
        <v>0</v>
      </c>
      <c r="AG696" s="58">
        <v>0</v>
      </c>
      <c r="AH696" s="58">
        <v>0</v>
      </c>
      <c r="AI696" s="58">
        <v>0</v>
      </c>
      <c r="AJ696" s="58">
        <v>2240</v>
      </c>
      <c r="AK696" s="58">
        <v>0</v>
      </c>
      <c r="AL696" s="75">
        <f>+SUBTOTAL(9,Tabla6[[#This Row],[ENE]:[DIC]])</f>
        <v>2240</v>
      </c>
      <c r="AM696" s="76" t="str">
        <f t="shared" ref="AM696:AM699" si="14">IF(AL696=Y696,"OK",Y696-AL696)</f>
        <v>OK</v>
      </c>
      <c r="AN696" s="60">
        <v>2240</v>
      </c>
      <c r="AO696" s="61">
        <f>+Tabla6[[#This Row],[PRESUPUESTO VIGENTE]]-Tabla6[[#This Row],[CERTIFICACIÓN PAPP]]</f>
        <v>0</v>
      </c>
      <c r="AP696" s="59" t="s">
        <v>87</v>
      </c>
    </row>
    <row r="697" spans="1:42" ht="93" customHeight="1" x14ac:dyDescent="0.25">
      <c r="A697" s="62" t="s">
        <v>88</v>
      </c>
      <c r="B697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697" s="64" t="s">
        <v>100</v>
      </c>
      <c r="D697" s="64" t="s">
        <v>80</v>
      </c>
      <c r="E697" s="64" t="s">
        <v>81</v>
      </c>
      <c r="F697" s="64" t="s">
        <v>99</v>
      </c>
      <c r="G697" s="64" t="s">
        <v>90</v>
      </c>
      <c r="H697" s="65" t="str">
        <f>VLOOKUP(Tabla6[[#This Row],[DIRECCIÓN]],DIRECCIÓN[#All],2,0)</f>
        <v>TECNOLOGÍA</v>
      </c>
      <c r="I697" s="66" t="s">
        <v>591</v>
      </c>
      <c r="J697" s="67">
        <v>3</v>
      </c>
      <c r="K697" s="68" t="str">
        <f>VLOOKUP(Tabla6[[#This Row],[DIRECCIÓN GENERAL / COORDINACIÓN / SUBDIRECCIÓN]],Tabla37[[#All],[Columna1]:[EOD]],2,0)</f>
        <v>266_0004</v>
      </c>
      <c r="L697" s="69">
        <f>VLOOKUP(Tabla6[[#This Row],[OBJETIVOS PND]],Listas!$A$1:$C$3,3,0)</f>
        <v>55</v>
      </c>
      <c r="M697" s="70">
        <f>VLOOKUP(Tabla6[[#This Row],[PG]],Listas2!$G$14:$K$16,5,0)</f>
        <v>0</v>
      </c>
      <c r="N697" s="71">
        <v>3</v>
      </c>
      <c r="O697" s="72">
        <v>2301</v>
      </c>
      <c r="P697" s="73" t="str">
        <f>VLOOKUP(Tabla6[[#This Row],[GEO]],Listas!$A$48:$B$77,2,0)</f>
        <v xml:space="preserve">SANTO DOMINGO </v>
      </c>
      <c r="Q697" s="70">
        <f>VLOOKUP(Tabla6[[#This Row],[PG]],Listas2!$G$14:$K$16,3,0)</f>
        <v>1</v>
      </c>
      <c r="R697" s="73">
        <f>VLOOKUP(Tabla6[[#This Row],[PG]],Listas2!H207:'Listas2'!$G$14:$K$16,4,0)</f>
        <v>0</v>
      </c>
      <c r="S697" s="73">
        <f>VLOOKUP(Tabla6[[#This Row],[PG]],Listas2!$G$14:$K$16,2,0)</f>
        <v>0</v>
      </c>
      <c r="T697" s="66" t="s">
        <v>84</v>
      </c>
      <c r="U697" s="74">
        <v>53</v>
      </c>
      <c r="V697" s="66">
        <v>531406</v>
      </c>
      <c r="W697" s="63" t="str">
        <f>VLOOKUP(Tabla6[[#This Row],[ÍTEM PRESUPUESTARIO]],Tabla2[#All],2,0)</f>
        <v>HERRAMIENTAS Y EQUIPOS MENORES</v>
      </c>
      <c r="X697" s="57">
        <v>200</v>
      </c>
      <c r="Y697" s="57">
        <f>200-5-5</f>
        <v>190</v>
      </c>
      <c r="Z697" s="58">
        <v>0</v>
      </c>
      <c r="AA697" s="58">
        <v>0</v>
      </c>
      <c r="AB697" s="58">
        <v>0</v>
      </c>
      <c r="AC697" s="58">
        <v>0</v>
      </c>
      <c r="AD697" s="58">
        <v>190</v>
      </c>
      <c r="AE697" s="58">
        <v>0</v>
      </c>
      <c r="AF697" s="58">
        <v>0</v>
      </c>
      <c r="AG697" s="58">
        <v>0</v>
      </c>
      <c r="AH697" s="58">
        <v>0</v>
      </c>
      <c r="AI697" s="58">
        <v>0</v>
      </c>
      <c r="AJ697" s="58">
        <v>0</v>
      </c>
      <c r="AK697" s="58">
        <v>0</v>
      </c>
      <c r="AL697" s="75">
        <f>+SUBTOTAL(9,Tabla6[[#This Row],[ENE]:[DIC]])</f>
        <v>190</v>
      </c>
      <c r="AM697" s="76" t="str">
        <f t="shared" si="14"/>
        <v>OK</v>
      </c>
      <c r="AN697" s="60">
        <v>190</v>
      </c>
      <c r="AO697" s="61">
        <f>+Tabla6[[#This Row],[PRESUPUESTO VIGENTE]]-Tabla6[[#This Row],[CERTIFICACIÓN PAPP]]</f>
        <v>0</v>
      </c>
      <c r="AP697" s="59">
        <v>0</v>
      </c>
    </row>
    <row r="698" spans="1:42" ht="93" customHeight="1" x14ac:dyDescent="0.25">
      <c r="A698" s="62" t="s">
        <v>88</v>
      </c>
      <c r="B698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698" s="64" t="s">
        <v>100</v>
      </c>
      <c r="D698" s="64" t="s">
        <v>80</v>
      </c>
      <c r="E698" s="64" t="s">
        <v>81</v>
      </c>
      <c r="F698" s="64" t="s">
        <v>99</v>
      </c>
      <c r="G698" s="64" t="s">
        <v>90</v>
      </c>
      <c r="H698" s="65" t="str">
        <f>VLOOKUP(Tabla6[[#This Row],[DIRECCIÓN]],DIRECCIÓN[#All],2,0)</f>
        <v>TECNOLOGÍA</v>
      </c>
      <c r="I698" s="66" t="s">
        <v>591</v>
      </c>
      <c r="J698" s="67">
        <v>3</v>
      </c>
      <c r="K698" s="68" t="str">
        <f>VLOOKUP(Tabla6[[#This Row],[DIRECCIÓN GENERAL / COORDINACIÓN / SUBDIRECCIÓN]],Tabla37[[#All],[Columna1]:[EOD]],2,0)</f>
        <v>266_0004</v>
      </c>
      <c r="L698" s="69">
        <f>VLOOKUP(Tabla6[[#This Row],[OBJETIVOS PND]],Listas!$A$1:$C$3,3,0)</f>
        <v>55</v>
      </c>
      <c r="M698" s="70">
        <f>VLOOKUP(Tabla6[[#This Row],[PG]],Listas2!$G$14:$K$16,5,0)</f>
        <v>0</v>
      </c>
      <c r="N698" s="71">
        <v>3</v>
      </c>
      <c r="O698" s="72">
        <v>2301</v>
      </c>
      <c r="P698" s="73" t="str">
        <f>VLOOKUP(Tabla6[[#This Row],[GEO]],Listas!$A$48:$B$77,2,0)</f>
        <v xml:space="preserve">SANTO DOMINGO </v>
      </c>
      <c r="Q698" s="70">
        <f>VLOOKUP(Tabla6[[#This Row],[PG]],Listas2!$G$14:$K$16,3,0)</f>
        <v>1</v>
      </c>
      <c r="R698" s="73">
        <f>VLOOKUP(Tabla6[[#This Row],[PG]],Listas2!H208:'Listas2'!$G$14:$K$16,4,0)</f>
        <v>0</v>
      </c>
      <c r="S698" s="73">
        <f>VLOOKUP(Tabla6[[#This Row],[PG]],Listas2!$G$14:$K$16,2,0)</f>
        <v>0</v>
      </c>
      <c r="T698" s="66" t="s">
        <v>84</v>
      </c>
      <c r="U698" s="74">
        <v>53</v>
      </c>
      <c r="V698" s="66">
        <v>531407</v>
      </c>
      <c r="W698" s="63" t="str">
        <f>VLOOKUP(Tabla6[[#This Row],[ÍTEM PRESUPUESTARIO]],Tabla2[#All],2,0)</f>
        <v>EQUIPOS, SISTEMAS Y PAQUETES INFORMÁTICOS</v>
      </c>
      <c r="X698" s="57">
        <v>1500</v>
      </c>
      <c r="Y698" s="57">
        <f>1500-84.5-84.5</f>
        <v>1331</v>
      </c>
      <c r="Z698" s="58">
        <v>0</v>
      </c>
      <c r="AA698" s="58">
        <v>0</v>
      </c>
      <c r="AB698" s="58">
        <v>0</v>
      </c>
      <c r="AC698" s="58">
        <v>0</v>
      </c>
      <c r="AD698" s="58">
        <v>1331</v>
      </c>
      <c r="AE698" s="58">
        <v>0</v>
      </c>
      <c r="AF698" s="58">
        <v>0</v>
      </c>
      <c r="AG698" s="58">
        <v>0</v>
      </c>
      <c r="AH698" s="58">
        <v>0</v>
      </c>
      <c r="AI698" s="58">
        <v>0</v>
      </c>
      <c r="AJ698" s="58">
        <v>0</v>
      </c>
      <c r="AK698" s="58">
        <v>0</v>
      </c>
      <c r="AL698" s="75">
        <f>+SUBTOTAL(9,Tabla6[[#This Row],[ENE]:[DIC]])</f>
        <v>1331</v>
      </c>
      <c r="AM698" s="76" t="str">
        <f t="shared" si="14"/>
        <v>OK</v>
      </c>
      <c r="AN698" s="60">
        <v>1331</v>
      </c>
      <c r="AO698" s="61">
        <f>+Tabla6[[#This Row],[PRESUPUESTO VIGENTE]]-Tabla6[[#This Row],[CERTIFICACIÓN PAPP]]</f>
        <v>0</v>
      </c>
      <c r="AP698" s="59">
        <v>0</v>
      </c>
    </row>
    <row r="699" spans="1:42" ht="93" customHeight="1" x14ac:dyDescent="0.25">
      <c r="A699" s="62" t="s">
        <v>88</v>
      </c>
      <c r="B699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699" s="64" t="s">
        <v>100</v>
      </c>
      <c r="D699" s="64" t="s">
        <v>80</v>
      </c>
      <c r="E699" s="64" t="s">
        <v>81</v>
      </c>
      <c r="F699" s="64" t="s">
        <v>99</v>
      </c>
      <c r="G699" s="64" t="s">
        <v>90</v>
      </c>
      <c r="H699" s="65" t="str">
        <f>VLOOKUP(Tabla6[[#This Row],[DIRECCIÓN]],DIRECCIÓN[#All],2,0)</f>
        <v>TECNOLOGÍA</v>
      </c>
      <c r="I699" s="66" t="s">
        <v>591</v>
      </c>
      <c r="J699" s="67">
        <v>3</v>
      </c>
      <c r="K699" s="68" t="str">
        <f>VLOOKUP(Tabla6[[#This Row],[DIRECCIÓN GENERAL / COORDINACIÓN / SUBDIRECCIÓN]],Tabla37[[#All],[Columna1]:[EOD]],2,0)</f>
        <v>266_0004</v>
      </c>
      <c r="L699" s="69">
        <f>VLOOKUP(Tabla6[[#This Row],[OBJETIVOS PND]],Listas!$A$1:$C$3,3,0)</f>
        <v>55</v>
      </c>
      <c r="M699" s="70">
        <f>VLOOKUP(Tabla6[[#This Row],[PG]],Listas2!$G$14:$K$16,5,0)</f>
        <v>0</v>
      </c>
      <c r="N699" s="71">
        <v>3</v>
      </c>
      <c r="O699" s="72">
        <v>2301</v>
      </c>
      <c r="P699" s="73" t="str">
        <f>VLOOKUP(Tabla6[[#This Row],[GEO]],Listas!$A$48:$B$77,2,0)</f>
        <v xml:space="preserve">SANTO DOMINGO </v>
      </c>
      <c r="Q699" s="70">
        <f>VLOOKUP(Tabla6[[#This Row],[PG]],Listas2!$G$14:$K$16,3,0)</f>
        <v>1</v>
      </c>
      <c r="R699" s="73">
        <f>VLOOKUP(Tabla6[[#This Row],[PG]],Listas2!H209:'Listas2'!$G$14:$K$16,4,0)</f>
        <v>0</v>
      </c>
      <c r="S699" s="73">
        <f>VLOOKUP(Tabla6[[#This Row],[PG]],Listas2!$G$14:$K$16,2,0)</f>
        <v>0</v>
      </c>
      <c r="T699" s="66" t="s">
        <v>84</v>
      </c>
      <c r="U699" s="74">
        <v>53</v>
      </c>
      <c r="V699" s="66">
        <v>531411</v>
      </c>
      <c r="W699" s="63" t="str">
        <f>VLOOKUP(Tabla6[[#This Row],[ÍTEM PRESUPUESTARIO]],Tabla2[#All],2,0)</f>
        <v>PARTES Y REPUESTOS</v>
      </c>
      <c r="X699" s="57">
        <v>300</v>
      </c>
      <c r="Y699" s="57">
        <f>300-150-150</f>
        <v>0</v>
      </c>
      <c r="Z699" s="58">
        <v>0</v>
      </c>
      <c r="AA699" s="58">
        <v>0</v>
      </c>
      <c r="AB699" s="58">
        <v>0</v>
      </c>
      <c r="AC699" s="58">
        <v>0</v>
      </c>
      <c r="AD699" s="58">
        <v>0</v>
      </c>
      <c r="AE699" s="58">
        <v>0</v>
      </c>
      <c r="AF699" s="58">
        <v>0</v>
      </c>
      <c r="AG699" s="58">
        <v>0</v>
      </c>
      <c r="AH699" s="58">
        <v>0</v>
      </c>
      <c r="AI699" s="58">
        <v>0</v>
      </c>
      <c r="AJ699" s="58">
        <v>0</v>
      </c>
      <c r="AK699" s="58">
        <v>0</v>
      </c>
      <c r="AL699" s="75">
        <f>+SUBTOTAL(9,Tabla6[[#This Row],[ENE]:[DIC]])</f>
        <v>0</v>
      </c>
      <c r="AM699" s="76" t="str">
        <f t="shared" si="14"/>
        <v>OK</v>
      </c>
      <c r="AN699" s="60">
        <v>0</v>
      </c>
      <c r="AO699" s="61">
        <f>+Tabla6[[#This Row],[PRESUPUESTO VIGENTE]]-Tabla6[[#This Row],[CERTIFICACIÓN PAPP]]</f>
        <v>0</v>
      </c>
      <c r="AP699" s="59">
        <v>0</v>
      </c>
    </row>
    <row r="700" spans="1:42" ht="93" customHeight="1" x14ac:dyDescent="0.25">
      <c r="A700" s="62" t="s">
        <v>78</v>
      </c>
      <c r="B700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700" s="64" t="s">
        <v>79</v>
      </c>
      <c r="D700" s="64" t="s">
        <v>80</v>
      </c>
      <c r="E700" s="64" t="s">
        <v>81</v>
      </c>
      <c r="F700" s="64" t="s">
        <v>101</v>
      </c>
      <c r="G700" s="64" t="s">
        <v>92</v>
      </c>
      <c r="H700" s="65" t="str">
        <f>VLOOKUP(Tabla6[[#This Row],[DIRECCIÓN]],DIRECCIÓN[#All],2,0)</f>
        <v>ADMINISTRACIÓN CENTRAL</v>
      </c>
      <c r="I700" s="66" t="s">
        <v>93</v>
      </c>
      <c r="J700" s="67">
        <v>1</v>
      </c>
      <c r="K700" s="68" t="str">
        <f>VLOOKUP(Tabla6[[#This Row],[DIRECCIÓN GENERAL / COORDINACIÓN / SUBDIRECCIÓN]],Tabla37[[#All],[Columna1]:[EOD]],2,0)</f>
        <v>266_0005</v>
      </c>
      <c r="L700" s="69">
        <f>VLOOKUP(Tabla6[[#This Row],[OBJETIVOS PND]],Listas!$A$1:$C$3,3,0)</f>
        <v>1</v>
      </c>
      <c r="M700" s="70">
        <f>VLOOKUP(Tabla6[[#This Row],[PG]],Listas2!$G$14:$K$16,5,0)</f>
        <v>0</v>
      </c>
      <c r="N700" s="71" t="s">
        <v>775</v>
      </c>
      <c r="O700" s="72">
        <v>900</v>
      </c>
      <c r="P700" s="73" t="str">
        <f>VLOOKUP(Tabla6[[#This Row],[GEO]],Listas!$A$48:$B$77,2,0)</f>
        <v>SAMBORONDÓN</v>
      </c>
      <c r="Q700" s="70">
        <f>VLOOKUP(Tabla6[[#This Row],[PG]],Listas2!$G$14:$K$16,3,0)</f>
        <v>1</v>
      </c>
      <c r="R700" s="73">
        <f>VLOOKUP(Tabla6[[#This Row],[PG]],Listas2!H705:'Listas2'!$G$14:$K$16,4,0)</f>
        <v>0</v>
      </c>
      <c r="S700" s="73">
        <f>VLOOKUP(Tabla6[[#This Row],[PG]],Listas2!$G$14:$K$16,2,0)</f>
        <v>0</v>
      </c>
      <c r="T700" s="66" t="s">
        <v>84</v>
      </c>
      <c r="U700" s="74">
        <v>51</v>
      </c>
      <c r="V700" s="66">
        <v>510105</v>
      </c>
      <c r="W700" s="63" t="str">
        <f>VLOOKUP(Tabla6[[#This Row],[ÍTEM PRESUPUESTARIO]],Tabla2[#All],2,0)</f>
        <v>REMUNERACIONES UNIFICADAS</v>
      </c>
      <c r="X700" s="57">
        <v>270564</v>
      </c>
      <c r="Y700" s="57">
        <f>270564+8068-71-6450-1746.47</f>
        <v>270364.53000000003</v>
      </c>
      <c r="Z700" s="58">
        <v>22547</v>
      </c>
      <c r="AA700" s="58">
        <v>22547</v>
      </c>
      <c r="AB700" s="58">
        <v>22547</v>
      </c>
      <c r="AC700" s="58">
        <v>22547</v>
      </c>
      <c r="AD700" s="58">
        <v>22547</v>
      </c>
      <c r="AE700" s="58">
        <v>22547</v>
      </c>
      <c r="AF700" s="58">
        <v>22547</v>
      </c>
      <c r="AG700" s="58">
        <v>22547</v>
      </c>
      <c r="AH700" s="58">
        <v>22547</v>
      </c>
      <c r="AI700" s="58">
        <v>22547</v>
      </c>
      <c r="AJ700" s="58">
        <v>22547</v>
      </c>
      <c r="AK700" s="58">
        <v>22347.53</v>
      </c>
      <c r="AL700" s="75">
        <f>+SUBTOTAL(9,Tabla6[[#This Row],[ENE]:[DIC]])</f>
        <v>270364.53000000003</v>
      </c>
      <c r="AM700" s="76" t="str">
        <f t="shared" ref="AM700:AM763" si="15">IF(AL700=Y700,"OK",Y700-AL700)</f>
        <v>OK</v>
      </c>
      <c r="AN700" s="60">
        <v>0</v>
      </c>
      <c r="AO700" s="61">
        <f>+Tabla6[[#This Row],[PRESUPUESTO VIGENTE]]-Tabla6[[#This Row],[CERTIFICACIÓN PAPP]]</f>
        <v>270364.53000000003</v>
      </c>
      <c r="AP700" s="59">
        <v>0</v>
      </c>
    </row>
    <row r="701" spans="1:42" ht="93" customHeight="1" x14ac:dyDescent="0.25">
      <c r="A701" s="62" t="s">
        <v>78</v>
      </c>
      <c r="B701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701" s="64" t="s">
        <v>79</v>
      </c>
      <c r="D701" s="64" t="s">
        <v>80</v>
      </c>
      <c r="E701" s="64" t="s">
        <v>81</v>
      </c>
      <c r="F701" s="64" t="s">
        <v>101</v>
      </c>
      <c r="G701" s="64" t="s">
        <v>92</v>
      </c>
      <c r="H701" s="65" t="str">
        <f>VLOOKUP(Tabla6[[#This Row],[DIRECCIÓN]],DIRECCIÓN[#All],2,0)</f>
        <v>ADMINISTRACIÓN CENTRAL</v>
      </c>
      <c r="I701" s="66" t="s">
        <v>93</v>
      </c>
      <c r="J701" s="67">
        <v>1</v>
      </c>
      <c r="K701" s="68" t="str">
        <f>VLOOKUP(Tabla6[[#This Row],[DIRECCIÓN GENERAL / COORDINACIÓN / SUBDIRECCIÓN]],Tabla37[[#All],[Columna1]:[EOD]],2,0)</f>
        <v>266_0005</v>
      </c>
      <c r="L701" s="69">
        <f>VLOOKUP(Tabla6[[#This Row],[OBJETIVOS PND]],Listas!$A$1:$C$3,3,0)</f>
        <v>1</v>
      </c>
      <c r="M701" s="70">
        <f>VLOOKUP(Tabla6[[#This Row],[PG]],Listas2!$G$14:$K$16,5,0)</f>
        <v>0</v>
      </c>
      <c r="N701" s="71" t="s">
        <v>775</v>
      </c>
      <c r="O701" s="72">
        <v>900</v>
      </c>
      <c r="P701" s="73" t="str">
        <f>VLOOKUP(Tabla6[[#This Row],[GEO]],Listas!$A$48:$B$77,2,0)</f>
        <v>SAMBORONDÓN</v>
      </c>
      <c r="Q701" s="70">
        <f>VLOOKUP(Tabla6[[#This Row],[PG]],Listas2!$G$14:$K$16,3,0)</f>
        <v>1</v>
      </c>
      <c r="R701" s="73">
        <f>VLOOKUP(Tabla6[[#This Row],[PG]],Listas2!H706:'Listas2'!$G$14:$K$16,4,0)</f>
        <v>0</v>
      </c>
      <c r="S701" s="73">
        <f>VLOOKUP(Tabla6[[#This Row],[PG]],Listas2!$G$14:$K$16,2,0)</f>
        <v>0</v>
      </c>
      <c r="T701" s="66" t="s">
        <v>84</v>
      </c>
      <c r="U701" s="74">
        <v>51</v>
      </c>
      <c r="V701" s="66">
        <v>510106</v>
      </c>
      <c r="W701" s="63" t="str">
        <f>VLOOKUP(Tabla6[[#This Row],[ÍTEM PRESUPUESTARIO]],Tabla2[#All],2,0)</f>
        <v>SALARIOS UNIFICADOS</v>
      </c>
      <c r="X701" s="57">
        <v>37764</v>
      </c>
      <c r="Y701" s="57">
        <f>37764-110.53-20-1780</f>
        <v>35853.47</v>
      </c>
      <c r="Z701" s="58">
        <v>3147</v>
      </c>
      <c r="AA701" s="58">
        <v>3147</v>
      </c>
      <c r="AB701" s="58">
        <v>3147</v>
      </c>
      <c r="AC701" s="58">
        <v>3147</v>
      </c>
      <c r="AD701" s="58">
        <v>3147</v>
      </c>
      <c r="AE701" s="58">
        <v>3147</v>
      </c>
      <c r="AF701" s="58">
        <v>3147</v>
      </c>
      <c r="AG701" s="58">
        <v>3147</v>
      </c>
      <c r="AH701" s="58">
        <v>3147</v>
      </c>
      <c r="AI701" s="58">
        <v>3147</v>
      </c>
      <c r="AJ701" s="58">
        <v>3147</v>
      </c>
      <c r="AK701" s="58">
        <v>1236.47</v>
      </c>
      <c r="AL701" s="75">
        <f>+SUBTOTAL(9,Tabla6[[#This Row],[ENE]:[DIC]])</f>
        <v>35853.47</v>
      </c>
      <c r="AM701" s="76" t="str">
        <f t="shared" si="15"/>
        <v>OK</v>
      </c>
      <c r="AN701" s="60">
        <v>0</v>
      </c>
      <c r="AO701" s="61">
        <f>+Tabla6[[#This Row],[PRESUPUESTO VIGENTE]]-Tabla6[[#This Row],[CERTIFICACIÓN PAPP]]</f>
        <v>35853.47</v>
      </c>
      <c r="AP701" s="59">
        <v>0</v>
      </c>
    </row>
    <row r="702" spans="1:42" ht="93" customHeight="1" x14ac:dyDescent="0.25">
      <c r="A702" s="62" t="s">
        <v>78</v>
      </c>
      <c r="B702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702" s="64" t="s">
        <v>79</v>
      </c>
      <c r="D702" s="64" t="s">
        <v>80</v>
      </c>
      <c r="E702" s="64" t="s">
        <v>81</v>
      </c>
      <c r="F702" s="64" t="s">
        <v>101</v>
      </c>
      <c r="G702" s="64" t="s">
        <v>92</v>
      </c>
      <c r="H702" s="65" t="str">
        <f>VLOOKUP(Tabla6[[#This Row],[DIRECCIÓN]],DIRECCIÓN[#All],2,0)</f>
        <v>ADMINISTRACIÓN CENTRAL</v>
      </c>
      <c r="I702" s="66" t="s">
        <v>93</v>
      </c>
      <c r="J702" s="67">
        <v>1</v>
      </c>
      <c r="K702" s="68" t="str">
        <f>VLOOKUP(Tabla6[[#This Row],[DIRECCIÓN GENERAL / COORDINACIÓN / SUBDIRECCIÓN]],Tabla37[[#All],[Columna1]:[EOD]],2,0)</f>
        <v>266_0005</v>
      </c>
      <c r="L702" s="69">
        <f>VLOOKUP(Tabla6[[#This Row],[OBJETIVOS PND]],Listas!$A$1:$C$3,3,0)</f>
        <v>1</v>
      </c>
      <c r="M702" s="70">
        <f>VLOOKUP(Tabla6[[#This Row],[PG]],Listas2!$G$14:$K$16,5,0)</f>
        <v>0</v>
      </c>
      <c r="N702" s="71" t="s">
        <v>775</v>
      </c>
      <c r="O702" s="72">
        <v>900</v>
      </c>
      <c r="P702" s="73" t="str">
        <f>VLOOKUP(Tabla6[[#This Row],[GEO]],Listas!$A$48:$B$77,2,0)</f>
        <v>SAMBORONDÓN</v>
      </c>
      <c r="Q702" s="70">
        <f>VLOOKUP(Tabla6[[#This Row],[PG]],Listas2!$G$14:$K$16,3,0)</f>
        <v>1</v>
      </c>
      <c r="R702" s="73">
        <f>VLOOKUP(Tabla6[[#This Row],[PG]],Listas2!H707:'Listas2'!$G$14:$K$16,4,0)</f>
        <v>0</v>
      </c>
      <c r="S702" s="73">
        <f>VLOOKUP(Tabla6[[#This Row],[PG]],Listas2!$G$14:$K$16,2,0)</f>
        <v>0</v>
      </c>
      <c r="T702" s="66" t="s">
        <v>84</v>
      </c>
      <c r="U702" s="74">
        <v>51</v>
      </c>
      <c r="V702" s="66">
        <v>510203</v>
      </c>
      <c r="W702" s="63" t="str">
        <f>VLOOKUP(Tabla6[[#This Row],[ÍTEM PRESUPUESTARIO]],Tabla2[#All],2,0)</f>
        <v>DÉCIMO TERCER SUELDO</v>
      </c>
      <c r="X702" s="57">
        <v>27160</v>
      </c>
      <c r="Y702" s="57">
        <f>27160-438.5-1508.68+4500-4425.37</f>
        <v>25287.45</v>
      </c>
      <c r="Z702" s="58">
        <v>0</v>
      </c>
      <c r="AA702" s="58">
        <v>0</v>
      </c>
      <c r="AB702" s="58">
        <v>0</v>
      </c>
      <c r="AC702" s="58">
        <v>0</v>
      </c>
      <c r="AD702" s="58">
        <v>0</v>
      </c>
      <c r="AE702" s="58">
        <v>0</v>
      </c>
      <c r="AF702" s="58">
        <v>0</v>
      </c>
      <c r="AG702" s="58">
        <v>0</v>
      </c>
      <c r="AH702" s="58">
        <v>0</v>
      </c>
      <c r="AI702" s="58">
        <v>0</v>
      </c>
      <c r="AJ702" s="58">
        <v>0</v>
      </c>
      <c r="AK702" s="58">
        <v>25287.45</v>
      </c>
      <c r="AL702" s="75">
        <f>+SUBTOTAL(9,Tabla6[[#This Row],[ENE]:[DIC]])</f>
        <v>25287.45</v>
      </c>
      <c r="AM702" s="76" t="str">
        <f t="shared" si="15"/>
        <v>OK</v>
      </c>
      <c r="AN702" s="60">
        <v>0</v>
      </c>
      <c r="AO702" s="61">
        <f>+Tabla6[[#This Row],[PRESUPUESTO VIGENTE]]-Tabla6[[#This Row],[CERTIFICACIÓN PAPP]]</f>
        <v>25287.45</v>
      </c>
      <c r="AP702" s="59">
        <v>0</v>
      </c>
    </row>
    <row r="703" spans="1:42" ht="93" customHeight="1" x14ac:dyDescent="0.25">
      <c r="A703" s="62" t="s">
        <v>78</v>
      </c>
      <c r="B703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703" s="64" t="s">
        <v>79</v>
      </c>
      <c r="D703" s="64" t="s">
        <v>80</v>
      </c>
      <c r="E703" s="64" t="s">
        <v>81</v>
      </c>
      <c r="F703" s="64" t="s">
        <v>101</v>
      </c>
      <c r="G703" s="64" t="s">
        <v>92</v>
      </c>
      <c r="H703" s="65" t="str">
        <f>VLOOKUP(Tabla6[[#This Row],[DIRECCIÓN]],DIRECCIÓN[#All],2,0)</f>
        <v>ADMINISTRACIÓN CENTRAL</v>
      </c>
      <c r="I703" s="66" t="s">
        <v>93</v>
      </c>
      <c r="J703" s="67">
        <v>1</v>
      </c>
      <c r="K703" s="68" t="str">
        <f>VLOOKUP(Tabla6[[#This Row],[DIRECCIÓN GENERAL / COORDINACIÓN / SUBDIRECCIÓN]],Tabla37[[#All],[Columna1]:[EOD]],2,0)</f>
        <v>266_0005</v>
      </c>
      <c r="L703" s="69">
        <f>VLOOKUP(Tabla6[[#This Row],[OBJETIVOS PND]],Listas!$A$1:$C$3,3,0)</f>
        <v>1</v>
      </c>
      <c r="M703" s="70">
        <f>VLOOKUP(Tabla6[[#This Row],[PG]],Listas2!$G$14:$K$16,5,0)</f>
        <v>0</v>
      </c>
      <c r="N703" s="71" t="s">
        <v>775</v>
      </c>
      <c r="O703" s="72">
        <v>900</v>
      </c>
      <c r="P703" s="73" t="str">
        <f>VLOOKUP(Tabla6[[#This Row],[GEO]],Listas!$A$48:$B$77,2,0)</f>
        <v>SAMBORONDÓN</v>
      </c>
      <c r="Q703" s="70">
        <f>VLOOKUP(Tabla6[[#This Row],[PG]],Listas2!$G$14:$K$16,3,0)</f>
        <v>1</v>
      </c>
      <c r="R703" s="73">
        <f>VLOOKUP(Tabla6[[#This Row],[PG]],Listas2!H708:'Listas2'!$G$14:$K$16,4,0)</f>
        <v>0</v>
      </c>
      <c r="S703" s="73">
        <f>VLOOKUP(Tabla6[[#This Row],[PG]],Listas2!$G$14:$K$16,2,0)</f>
        <v>0</v>
      </c>
      <c r="T703" s="66" t="s">
        <v>84</v>
      </c>
      <c r="U703" s="74">
        <v>51</v>
      </c>
      <c r="V703" s="66">
        <v>510204</v>
      </c>
      <c r="W703" s="63" t="str">
        <f>VLOOKUP(Tabla6[[#This Row],[ÍTEM PRESUPUESTARIO]],Tabla2[#All],2,0)</f>
        <v>DÉCIMO CUARTO SUELDO</v>
      </c>
      <c r="X703" s="57">
        <v>11625</v>
      </c>
      <c r="Y703" s="57">
        <f>11625+204.55+466-377.25</f>
        <v>11918.3</v>
      </c>
      <c r="Z703" s="58">
        <v>0</v>
      </c>
      <c r="AA703" s="58">
        <v>0</v>
      </c>
      <c r="AB703" s="58">
        <v>0</v>
      </c>
      <c r="AC703" s="58">
        <v>11918.3</v>
      </c>
      <c r="AD703" s="58">
        <v>0</v>
      </c>
      <c r="AE703" s="58">
        <v>0</v>
      </c>
      <c r="AF703" s="58">
        <v>0</v>
      </c>
      <c r="AG703" s="58">
        <v>0</v>
      </c>
      <c r="AH703" s="58">
        <v>0</v>
      </c>
      <c r="AI703" s="58">
        <v>0</v>
      </c>
      <c r="AJ703" s="58">
        <v>0</v>
      </c>
      <c r="AK703" s="58">
        <v>0</v>
      </c>
      <c r="AL703" s="75">
        <f>+SUBTOTAL(9,Tabla6[[#This Row],[ENE]:[DIC]])</f>
        <v>11918.3</v>
      </c>
      <c r="AM703" s="76" t="str">
        <f t="shared" si="15"/>
        <v>OK</v>
      </c>
      <c r="AN703" s="60">
        <v>0</v>
      </c>
      <c r="AO703" s="61">
        <f>+Tabla6[[#This Row],[PRESUPUESTO VIGENTE]]-Tabla6[[#This Row],[CERTIFICACIÓN PAPP]]</f>
        <v>11918.3</v>
      </c>
      <c r="AP703" s="59">
        <v>0</v>
      </c>
    </row>
    <row r="704" spans="1:42" ht="93" customHeight="1" x14ac:dyDescent="0.25">
      <c r="A704" s="62" t="s">
        <v>78</v>
      </c>
      <c r="B704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704" s="64" t="s">
        <v>79</v>
      </c>
      <c r="D704" s="64" t="s">
        <v>80</v>
      </c>
      <c r="E704" s="64" t="s">
        <v>81</v>
      </c>
      <c r="F704" s="64" t="s">
        <v>101</v>
      </c>
      <c r="G704" s="64" t="s">
        <v>92</v>
      </c>
      <c r="H704" s="65" t="str">
        <f>VLOOKUP(Tabla6[[#This Row],[DIRECCIÓN]],DIRECCIÓN[#All],2,0)</f>
        <v>ADMINISTRACIÓN CENTRAL</v>
      </c>
      <c r="I704" s="66" t="s">
        <v>93</v>
      </c>
      <c r="J704" s="67">
        <v>1</v>
      </c>
      <c r="K704" s="68" t="str">
        <f>VLOOKUP(Tabla6[[#This Row],[DIRECCIÓN GENERAL / COORDINACIÓN / SUBDIRECCIÓN]],Tabla37[[#All],[Columna1]:[EOD]],2,0)</f>
        <v>266_0005</v>
      </c>
      <c r="L704" s="69">
        <f>VLOOKUP(Tabla6[[#This Row],[OBJETIVOS PND]],Listas!$A$1:$C$3,3,0)</f>
        <v>1</v>
      </c>
      <c r="M704" s="70">
        <f>VLOOKUP(Tabla6[[#This Row],[PG]],Listas2!$G$14:$K$16,5,0)</f>
        <v>0</v>
      </c>
      <c r="N704" s="71" t="s">
        <v>775</v>
      </c>
      <c r="O704" s="72">
        <v>900</v>
      </c>
      <c r="P704" s="73" t="str">
        <f>VLOOKUP(Tabla6[[#This Row],[GEO]],Listas!$A$48:$B$77,2,0)</f>
        <v>SAMBORONDÓN</v>
      </c>
      <c r="Q704" s="70">
        <f>VLOOKUP(Tabla6[[#This Row],[PG]],Listas2!$G$14:$K$16,3,0)</f>
        <v>1</v>
      </c>
      <c r="R704" s="73">
        <f>VLOOKUP(Tabla6[[#This Row],[PG]],Listas2!H709:'Listas2'!$G$14:$K$16,4,0)</f>
        <v>0</v>
      </c>
      <c r="S704" s="73">
        <f>VLOOKUP(Tabla6[[#This Row],[PG]],Listas2!$G$14:$K$16,2,0)</f>
        <v>0</v>
      </c>
      <c r="T704" s="66" t="s">
        <v>84</v>
      </c>
      <c r="U704" s="74">
        <v>51</v>
      </c>
      <c r="V704" s="66">
        <v>510509</v>
      </c>
      <c r="W704" s="63" t="str">
        <f>VLOOKUP(Tabla6[[#This Row],[ÍTEM PRESUPUESTARIO]],Tabla2[#All],2,0)</f>
        <v>HORAS EXTRAORDINARIAS Y SUPLEMENTARIAS</v>
      </c>
      <c r="X704" s="57">
        <v>2000</v>
      </c>
      <c r="Y704" s="57">
        <f>2000+78+1500+700-834</f>
        <v>3444</v>
      </c>
      <c r="Z704" s="58">
        <v>166</v>
      </c>
      <c r="AA704" s="58">
        <v>166</v>
      </c>
      <c r="AB704" s="58">
        <v>166</v>
      </c>
      <c r="AC704" s="58">
        <v>166</v>
      </c>
      <c r="AD704" s="58">
        <v>167</v>
      </c>
      <c r="AE704" s="58">
        <v>167</v>
      </c>
      <c r="AF704" s="58">
        <v>167</v>
      </c>
      <c r="AG704" s="58">
        <v>167</v>
      </c>
      <c r="AH704" s="58">
        <v>567</v>
      </c>
      <c r="AI704" s="58">
        <v>824</v>
      </c>
      <c r="AJ704" s="58">
        <v>325</v>
      </c>
      <c r="AK704" s="58">
        <v>396</v>
      </c>
      <c r="AL704" s="75">
        <f>+SUBTOTAL(9,Tabla6[[#This Row],[ENE]:[DIC]])</f>
        <v>3444</v>
      </c>
      <c r="AM704" s="76" t="str">
        <f t="shared" si="15"/>
        <v>OK</v>
      </c>
      <c r="AN704" s="60">
        <v>0</v>
      </c>
      <c r="AO704" s="61">
        <f>+Tabla6[[#This Row],[PRESUPUESTO VIGENTE]]-Tabla6[[#This Row],[CERTIFICACIÓN PAPP]]</f>
        <v>3444</v>
      </c>
      <c r="AP704" s="59">
        <v>0</v>
      </c>
    </row>
    <row r="705" spans="1:42" ht="93" customHeight="1" x14ac:dyDescent="0.25">
      <c r="A705" s="62" t="s">
        <v>78</v>
      </c>
      <c r="B705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705" s="64" t="s">
        <v>79</v>
      </c>
      <c r="D705" s="64" t="s">
        <v>80</v>
      </c>
      <c r="E705" s="64" t="s">
        <v>81</v>
      </c>
      <c r="F705" s="64" t="s">
        <v>101</v>
      </c>
      <c r="G705" s="64" t="s">
        <v>92</v>
      </c>
      <c r="H705" s="65" t="str">
        <f>VLOOKUP(Tabla6[[#This Row],[DIRECCIÓN]],DIRECCIÓN[#All],2,0)</f>
        <v>ADMINISTRACIÓN CENTRAL</v>
      </c>
      <c r="I705" s="66" t="s">
        <v>93</v>
      </c>
      <c r="J705" s="67">
        <v>1</v>
      </c>
      <c r="K705" s="68" t="str">
        <f>VLOOKUP(Tabla6[[#This Row],[DIRECCIÓN GENERAL / COORDINACIÓN / SUBDIRECCIÓN]],Tabla37[[#All],[Columna1]:[EOD]],2,0)</f>
        <v>266_0005</v>
      </c>
      <c r="L705" s="69">
        <f>VLOOKUP(Tabla6[[#This Row],[OBJETIVOS PND]],Listas!$A$1:$C$3,3,0)</f>
        <v>1</v>
      </c>
      <c r="M705" s="70">
        <f>VLOOKUP(Tabla6[[#This Row],[PG]],Listas2!$G$14:$K$16,5,0)</f>
        <v>0</v>
      </c>
      <c r="N705" s="71" t="s">
        <v>775</v>
      </c>
      <c r="O705" s="72">
        <v>900</v>
      </c>
      <c r="P705" s="73" t="str">
        <f>VLOOKUP(Tabla6[[#This Row],[GEO]],Listas!$A$48:$B$77,2,0)</f>
        <v>SAMBORONDÓN</v>
      </c>
      <c r="Q705" s="70">
        <f>VLOOKUP(Tabla6[[#This Row],[PG]],Listas2!$G$14:$K$16,3,0)</f>
        <v>1</v>
      </c>
      <c r="R705" s="73">
        <f>VLOOKUP(Tabla6[[#This Row],[PG]],Listas2!H710:'Listas2'!$G$14:$K$16,4,0)</f>
        <v>0</v>
      </c>
      <c r="S705" s="73">
        <f>VLOOKUP(Tabla6[[#This Row],[PG]],Listas2!$G$14:$K$16,2,0)</f>
        <v>0</v>
      </c>
      <c r="T705" s="66" t="s">
        <v>84</v>
      </c>
      <c r="U705" s="74">
        <v>51</v>
      </c>
      <c r="V705" s="66">
        <v>510510</v>
      </c>
      <c r="W705" s="63" t="str">
        <f>VLOOKUP(Tabla6[[#This Row],[ÍTEM PRESUPUESTARIO]],Tabla2[#All],2,0)</f>
        <v>SERVICIOS PERSONALES POR CONTRATO</v>
      </c>
      <c r="X705" s="57">
        <v>17648</v>
      </c>
      <c r="Y705" s="57">
        <f>17648-13035.5-212.5-40-4360</f>
        <v>0</v>
      </c>
      <c r="Z705" s="58">
        <v>0</v>
      </c>
      <c r="AA705" s="58">
        <v>0</v>
      </c>
      <c r="AB705" s="58">
        <v>0</v>
      </c>
      <c r="AC705" s="58">
        <v>0</v>
      </c>
      <c r="AD705" s="58">
        <v>0</v>
      </c>
      <c r="AE705" s="58">
        <v>0</v>
      </c>
      <c r="AF705" s="58">
        <v>0</v>
      </c>
      <c r="AG705" s="58">
        <v>0</v>
      </c>
      <c r="AH705" s="58">
        <v>0</v>
      </c>
      <c r="AI705" s="58">
        <v>0</v>
      </c>
      <c r="AJ705" s="58">
        <v>0</v>
      </c>
      <c r="AK705" s="58">
        <v>0</v>
      </c>
      <c r="AL705" s="75">
        <f>+SUBTOTAL(9,Tabla6[[#This Row],[ENE]:[DIC]])</f>
        <v>0</v>
      </c>
      <c r="AM705" s="76" t="str">
        <f t="shared" si="15"/>
        <v>OK</v>
      </c>
      <c r="AN705" s="60">
        <v>0</v>
      </c>
      <c r="AO705" s="61">
        <f>+Tabla6[[#This Row],[PRESUPUESTO VIGENTE]]-Tabla6[[#This Row],[CERTIFICACIÓN PAPP]]</f>
        <v>0</v>
      </c>
      <c r="AP705" s="59">
        <v>0</v>
      </c>
    </row>
    <row r="706" spans="1:42" ht="93" customHeight="1" x14ac:dyDescent="0.25">
      <c r="A706" s="62" t="s">
        <v>78</v>
      </c>
      <c r="B706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706" s="64" t="s">
        <v>79</v>
      </c>
      <c r="D706" s="64" t="s">
        <v>80</v>
      </c>
      <c r="E706" s="64" t="s">
        <v>81</v>
      </c>
      <c r="F706" s="64" t="s">
        <v>101</v>
      </c>
      <c r="G706" s="64" t="s">
        <v>92</v>
      </c>
      <c r="H706" s="65" t="str">
        <f>VLOOKUP(Tabla6[[#This Row],[DIRECCIÓN]],DIRECCIÓN[#All],2,0)</f>
        <v>ADMINISTRACIÓN CENTRAL</v>
      </c>
      <c r="I706" s="66" t="s">
        <v>960</v>
      </c>
      <c r="J706" s="67">
        <v>1</v>
      </c>
      <c r="K706" s="68" t="str">
        <f>VLOOKUP(Tabla6[[#This Row],[DIRECCIÓN GENERAL / COORDINACIÓN / SUBDIRECCIÓN]],Tabla37[[#All],[Columna1]:[EOD]],2,0)</f>
        <v>266_0005</v>
      </c>
      <c r="L706" s="69">
        <f>VLOOKUP(Tabla6[[#This Row],[OBJETIVOS PND]],Listas!$A$1:$C$3,3,0)</f>
        <v>1</v>
      </c>
      <c r="M706" s="70">
        <f>VLOOKUP(Tabla6[[#This Row],[PG]],Listas2!$G$14:$K$16,5,0)</f>
        <v>0</v>
      </c>
      <c r="N706" s="71" t="s">
        <v>775</v>
      </c>
      <c r="O706" s="72">
        <v>900</v>
      </c>
      <c r="P706" s="73" t="str">
        <f>VLOOKUP(Tabla6[[#This Row],[GEO]],Listas!$A$48:$B$77,2,0)</f>
        <v>SAMBORONDÓN</v>
      </c>
      <c r="Q706" s="70">
        <f>VLOOKUP(Tabla6[[#This Row],[PG]],Listas2!$G$14:$K$16,3,0)</f>
        <v>1</v>
      </c>
      <c r="R706" s="73">
        <f>VLOOKUP(Tabla6[[#This Row],[PG]],Listas2!H711:'Listas2'!$G$14:$K$16,4,0)</f>
        <v>0</v>
      </c>
      <c r="S706" s="73">
        <f>VLOOKUP(Tabla6[[#This Row],[PG]],Listas2!$G$14:$K$16,2,0)</f>
        <v>0</v>
      </c>
      <c r="T706" s="66" t="s">
        <v>84</v>
      </c>
      <c r="U706" s="74">
        <v>51</v>
      </c>
      <c r="V706" s="66">
        <v>510512</v>
      </c>
      <c r="W706" s="63" t="str">
        <f>VLOOKUP(Tabla6[[#This Row],[ÍTEM PRESUPUESTARIO]],Tabla2[#All],2,0)</f>
        <v xml:space="preserve">SUBROGACIÓN </v>
      </c>
      <c r="X706" s="57">
        <v>500</v>
      </c>
      <c r="Y706" s="57">
        <f>500+350-850</f>
        <v>0</v>
      </c>
      <c r="Z706" s="58">
        <v>0</v>
      </c>
      <c r="AA706" s="58">
        <v>0</v>
      </c>
      <c r="AB706" s="58">
        <v>0</v>
      </c>
      <c r="AC706" s="58">
        <v>0</v>
      </c>
      <c r="AD706" s="58">
        <v>0</v>
      </c>
      <c r="AE706" s="58">
        <v>0</v>
      </c>
      <c r="AF706" s="58">
        <v>0</v>
      </c>
      <c r="AG706" s="58">
        <v>0</v>
      </c>
      <c r="AH706" s="58">
        <v>0</v>
      </c>
      <c r="AI706" s="58">
        <v>0</v>
      </c>
      <c r="AJ706" s="58">
        <v>0</v>
      </c>
      <c r="AK706" s="58">
        <v>0</v>
      </c>
      <c r="AL706" s="75">
        <f>+SUBTOTAL(9,Tabla6[[#This Row],[ENE]:[DIC]])</f>
        <v>0</v>
      </c>
      <c r="AM706" s="76" t="str">
        <f t="shared" si="15"/>
        <v>OK</v>
      </c>
      <c r="AN706" s="60">
        <v>0</v>
      </c>
      <c r="AO706" s="61">
        <f>+Tabla6[[#This Row],[PRESUPUESTO VIGENTE]]-Tabla6[[#This Row],[CERTIFICACIÓN PAPP]]</f>
        <v>0</v>
      </c>
      <c r="AP706" s="59">
        <v>0</v>
      </c>
    </row>
    <row r="707" spans="1:42" ht="93" customHeight="1" x14ac:dyDescent="0.25">
      <c r="A707" s="62" t="s">
        <v>78</v>
      </c>
      <c r="B707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707" s="64" t="s">
        <v>79</v>
      </c>
      <c r="D707" s="64" t="s">
        <v>80</v>
      </c>
      <c r="E707" s="64" t="s">
        <v>81</v>
      </c>
      <c r="F707" s="64" t="s">
        <v>101</v>
      </c>
      <c r="G707" s="64" t="s">
        <v>92</v>
      </c>
      <c r="H707" s="65" t="str">
        <f>VLOOKUP(Tabla6[[#This Row],[DIRECCIÓN]],DIRECCIÓN[#All],2,0)</f>
        <v>ADMINISTRACIÓN CENTRAL</v>
      </c>
      <c r="I707" s="66" t="s">
        <v>93</v>
      </c>
      <c r="J707" s="67">
        <v>1</v>
      </c>
      <c r="K707" s="68" t="str">
        <f>VLOOKUP(Tabla6[[#This Row],[DIRECCIÓN GENERAL / COORDINACIÓN / SUBDIRECCIÓN]],Tabla37[[#All],[Columna1]:[EOD]],2,0)</f>
        <v>266_0005</v>
      </c>
      <c r="L707" s="69">
        <f>VLOOKUP(Tabla6[[#This Row],[OBJETIVOS PND]],Listas!$A$1:$C$3,3,0)</f>
        <v>1</v>
      </c>
      <c r="M707" s="70">
        <f>VLOOKUP(Tabla6[[#This Row],[PG]],Listas2!$G$14:$K$16,5,0)</f>
        <v>0</v>
      </c>
      <c r="N707" s="71" t="s">
        <v>775</v>
      </c>
      <c r="O707" s="72">
        <v>900</v>
      </c>
      <c r="P707" s="73" t="str">
        <f>VLOOKUP(Tabla6[[#This Row],[GEO]],Listas!$A$48:$B$77,2,0)</f>
        <v>SAMBORONDÓN</v>
      </c>
      <c r="Q707" s="70">
        <f>VLOOKUP(Tabla6[[#This Row],[PG]],Listas2!$G$14:$K$16,3,0)</f>
        <v>1</v>
      </c>
      <c r="R707" s="73">
        <f>VLOOKUP(Tabla6[[#This Row],[PG]],Listas2!H712:'Listas2'!$G$14:$K$16,4,0)</f>
        <v>0</v>
      </c>
      <c r="S707" s="73">
        <f>VLOOKUP(Tabla6[[#This Row],[PG]],Listas2!$G$14:$K$16,2,0)</f>
        <v>0</v>
      </c>
      <c r="T707" s="66" t="s">
        <v>84</v>
      </c>
      <c r="U707" s="74">
        <v>51</v>
      </c>
      <c r="V707" s="66">
        <v>510513</v>
      </c>
      <c r="W707" s="63" t="str">
        <f>VLOOKUP(Tabla6[[#This Row],[ÍTEM PRESUPUESTARIO]],Tabla2[#All],2,0)</f>
        <v>ENCARGOS</v>
      </c>
      <c r="X707" s="57">
        <v>500</v>
      </c>
      <c r="Y707" s="57">
        <f>500+2853-1691.4-157.55+90.22</f>
        <v>1594.27</v>
      </c>
      <c r="Z707" s="58">
        <v>279.42</v>
      </c>
      <c r="AA707" s="58">
        <v>279.42</v>
      </c>
      <c r="AB707" s="58">
        <v>110.28</v>
      </c>
      <c r="AC707" s="58">
        <v>97.78</v>
      </c>
      <c r="AD707" s="58">
        <v>97.78</v>
      </c>
      <c r="AE707" s="58">
        <v>97.78</v>
      </c>
      <c r="AF707" s="58">
        <v>97.78</v>
      </c>
      <c r="AG707" s="58">
        <v>97.78</v>
      </c>
      <c r="AH707" s="58">
        <v>97.78</v>
      </c>
      <c r="AI707" s="58">
        <v>97.78</v>
      </c>
      <c r="AJ707" s="58">
        <v>97.78</v>
      </c>
      <c r="AK707" s="58">
        <v>142.91</v>
      </c>
      <c r="AL707" s="75">
        <f>+SUBTOTAL(9,Tabla6[[#This Row],[ENE]:[DIC]])</f>
        <v>1594.27</v>
      </c>
      <c r="AM707" s="76" t="str">
        <f t="shared" si="15"/>
        <v>OK</v>
      </c>
      <c r="AN707" s="60">
        <v>0</v>
      </c>
      <c r="AO707" s="61">
        <f>+Tabla6[[#This Row],[PRESUPUESTO VIGENTE]]-Tabla6[[#This Row],[CERTIFICACIÓN PAPP]]</f>
        <v>1594.27</v>
      </c>
      <c r="AP707" s="59">
        <v>0</v>
      </c>
    </row>
    <row r="708" spans="1:42" ht="93" customHeight="1" x14ac:dyDescent="0.25">
      <c r="A708" s="62" t="s">
        <v>78</v>
      </c>
      <c r="B708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708" s="64" t="s">
        <v>79</v>
      </c>
      <c r="D708" s="64" t="s">
        <v>80</v>
      </c>
      <c r="E708" s="64" t="s">
        <v>81</v>
      </c>
      <c r="F708" s="64" t="s">
        <v>101</v>
      </c>
      <c r="G708" s="64" t="s">
        <v>92</v>
      </c>
      <c r="H708" s="65" t="str">
        <f>VLOOKUP(Tabla6[[#This Row],[DIRECCIÓN]],DIRECCIÓN[#All],2,0)</f>
        <v>ADMINISTRACIÓN CENTRAL</v>
      </c>
      <c r="I708" s="66" t="s">
        <v>93</v>
      </c>
      <c r="J708" s="67">
        <v>1</v>
      </c>
      <c r="K708" s="68" t="str">
        <f>VLOOKUP(Tabla6[[#This Row],[DIRECCIÓN GENERAL / COORDINACIÓN / SUBDIRECCIÓN]],Tabla37[[#All],[Columna1]:[EOD]],2,0)</f>
        <v>266_0005</v>
      </c>
      <c r="L708" s="69">
        <f>VLOOKUP(Tabla6[[#This Row],[OBJETIVOS PND]],Listas!$A$1:$C$3,3,0)</f>
        <v>1</v>
      </c>
      <c r="M708" s="70">
        <f>VLOOKUP(Tabla6[[#This Row],[PG]],Listas2!$G$14:$K$16,5,0)</f>
        <v>0</v>
      </c>
      <c r="N708" s="71" t="s">
        <v>775</v>
      </c>
      <c r="O708" s="72">
        <v>900</v>
      </c>
      <c r="P708" s="73" t="str">
        <f>VLOOKUP(Tabla6[[#This Row],[GEO]],Listas!$A$48:$B$77,2,0)</f>
        <v>SAMBORONDÓN</v>
      </c>
      <c r="Q708" s="70">
        <f>VLOOKUP(Tabla6[[#This Row],[PG]],Listas2!$G$14:$K$16,3,0)</f>
        <v>1</v>
      </c>
      <c r="R708" s="73">
        <f>VLOOKUP(Tabla6[[#This Row],[PG]],Listas2!H713:'Listas2'!$G$14:$K$16,4,0)</f>
        <v>0</v>
      </c>
      <c r="S708" s="73">
        <f>VLOOKUP(Tabla6[[#This Row],[PG]],Listas2!$G$14:$K$16,2,0)</f>
        <v>0</v>
      </c>
      <c r="T708" s="66" t="s">
        <v>84</v>
      </c>
      <c r="U708" s="74">
        <v>51</v>
      </c>
      <c r="V708" s="66">
        <v>510601</v>
      </c>
      <c r="W708" s="63" t="str">
        <f>VLOOKUP(Tabla6[[#This Row],[ÍTEM PRESUPUESTARIO]],Tabla2[#All],2,0)</f>
        <v>APORTE PATRONAL</v>
      </c>
      <c r="X708" s="57">
        <v>32396</v>
      </c>
      <c r="Y708" s="57">
        <f>32396-1041.19-1200+1100-403.44</f>
        <v>30851.370000000003</v>
      </c>
      <c r="Z708" s="58">
        <v>2699</v>
      </c>
      <c r="AA708" s="58">
        <v>2699</v>
      </c>
      <c r="AB708" s="58">
        <v>2699</v>
      </c>
      <c r="AC708" s="58">
        <v>2699</v>
      </c>
      <c r="AD708" s="58">
        <v>2700</v>
      </c>
      <c r="AE708" s="58">
        <v>2700</v>
      </c>
      <c r="AF708" s="58">
        <v>2700</v>
      </c>
      <c r="AG708" s="58">
        <v>2700</v>
      </c>
      <c r="AH708" s="58">
        <v>2700</v>
      </c>
      <c r="AI708" s="58">
        <v>2700</v>
      </c>
      <c r="AJ708" s="58">
        <v>2500</v>
      </c>
      <c r="AK708" s="58">
        <v>1355.37</v>
      </c>
      <c r="AL708" s="75">
        <f>+SUBTOTAL(9,Tabla6[[#This Row],[ENE]:[DIC]])</f>
        <v>30851.37</v>
      </c>
      <c r="AM708" s="76" t="str">
        <f t="shared" si="15"/>
        <v>OK</v>
      </c>
      <c r="AN708" s="60">
        <v>0</v>
      </c>
      <c r="AO708" s="61">
        <f>+Tabla6[[#This Row],[PRESUPUESTO VIGENTE]]-Tabla6[[#This Row],[CERTIFICACIÓN PAPP]]</f>
        <v>30851.370000000003</v>
      </c>
      <c r="AP708" s="59">
        <v>0</v>
      </c>
    </row>
    <row r="709" spans="1:42" ht="93" customHeight="1" x14ac:dyDescent="0.25">
      <c r="A709" s="62" t="s">
        <v>78</v>
      </c>
      <c r="B709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709" s="64" t="s">
        <v>79</v>
      </c>
      <c r="D709" s="64" t="s">
        <v>80</v>
      </c>
      <c r="E709" s="64" t="s">
        <v>81</v>
      </c>
      <c r="F709" s="64" t="s">
        <v>101</v>
      </c>
      <c r="G709" s="64" t="s">
        <v>92</v>
      </c>
      <c r="H709" s="65" t="str">
        <f>VLOOKUP(Tabla6[[#This Row],[DIRECCIÓN]],DIRECCIÓN[#All],2,0)</f>
        <v>ADMINISTRACIÓN CENTRAL</v>
      </c>
      <c r="I709" s="66" t="s">
        <v>93</v>
      </c>
      <c r="J709" s="67">
        <v>1</v>
      </c>
      <c r="K709" s="68" t="str">
        <f>VLOOKUP(Tabla6[[#This Row],[DIRECCIÓN GENERAL / COORDINACIÓN / SUBDIRECCIÓN]],Tabla37[[#All],[Columna1]:[EOD]],2,0)</f>
        <v>266_0005</v>
      </c>
      <c r="L709" s="69">
        <f>VLOOKUP(Tabla6[[#This Row],[OBJETIVOS PND]],Listas!$A$1:$C$3,3,0)</f>
        <v>1</v>
      </c>
      <c r="M709" s="70">
        <f>VLOOKUP(Tabla6[[#This Row],[PG]],Listas2!$G$14:$K$16,5,0)</f>
        <v>0</v>
      </c>
      <c r="N709" s="71" t="s">
        <v>775</v>
      </c>
      <c r="O709" s="72">
        <v>900</v>
      </c>
      <c r="P709" s="73" t="str">
        <f>VLOOKUP(Tabla6[[#This Row],[GEO]],Listas!$A$48:$B$77,2,0)</f>
        <v>SAMBORONDÓN</v>
      </c>
      <c r="Q709" s="70">
        <f>VLOOKUP(Tabla6[[#This Row],[PG]],Listas2!$G$14:$K$16,3,0)</f>
        <v>1</v>
      </c>
      <c r="R709" s="73">
        <f>VLOOKUP(Tabla6[[#This Row],[PG]],Listas2!H714:'Listas2'!$G$14:$K$16,4,0)</f>
        <v>0</v>
      </c>
      <c r="S709" s="73">
        <f>VLOOKUP(Tabla6[[#This Row],[PG]],Listas2!$G$14:$K$16,2,0)</f>
        <v>0</v>
      </c>
      <c r="T709" s="66" t="s">
        <v>84</v>
      </c>
      <c r="U709" s="74">
        <v>51</v>
      </c>
      <c r="V709" s="66">
        <v>510602</v>
      </c>
      <c r="W709" s="63" t="str">
        <f>VLOOKUP(Tabla6[[#This Row],[ÍTEM PRESUPUESTARIO]],Tabla2[#All],2,0)</f>
        <v>FONDO DE RESERVA</v>
      </c>
      <c r="X709" s="57">
        <v>27150</v>
      </c>
      <c r="Y709" s="57">
        <f>27150-1287.51-967.65-900-1227.21</f>
        <v>22767.63</v>
      </c>
      <c r="Z709" s="58">
        <v>2263</v>
      </c>
      <c r="AA709" s="58">
        <v>2263</v>
      </c>
      <c r="AB709" s="58">
        <v>2263</v>
      </c>
      <c r="AC709" s="58">
        <v>2263</v>
      </c>
      <c r="AD709" s="58">
        <v>2263</v>
      </c>
      <c r="AE709" s="58">
        <v>2263</v>
      </c>
      <c r="AF709" s="58">
        <v>2262</v>
      </c>
      <c r="AG709" s="58">
        <v>2262</v>
      </c>
      <c r="AH709" s="58">
        <v>2262</v>
      </c>
      <c r="AI709" s="58">
        <v>1580</v>
      </c>
      <c r="AJ709" s="58">
        <v>452</v>
      </c>
      <c r="AK709" s="58">
        <v>371.63</v>
      </c>
      <c r="AL709" s="75">
        <f>+SUBTOTAL(9,Tabla6[[#This Row],[ENE]:[DIC]])</f>
        <v>22767.63</v>
      </c>
      <c r="AM709" s="76" t="str">
        <f t="shared" si="15"/>
        <v>OK</v>
      </c>
      <c r="AN709" s="60">
        <v>0</v>
      </c>
      <c r="AO709" s="61">
        <f>+Tabla6[[#This Row],[PRESUPUESTO VIGENTE]]-Tabla6[[#This Row],[CERTIFICACIÓN PAPP]]</f>
        <v>22767.63</v>
      </c>
      <c r="AP709" s="59">
        <v>0</v>
      </c>
    </row>
    <row r="710" spans="1:42" ht="93" customHeight="1" x14ac:dyDescent="0.25">
      <c r="A710" s="62" t="s">
        <v>78</v>
      </c>
      <c r="B710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710" s="64" t="s">
        <v>79</v>
      </c>
      <c r="D710" s="64" t="s">
        <v>80</v>
      </c>
      <c r="E710" s="64" t="s">
        <v>81</v>
      </c>
      <c r="F710" s="64" t="s">
        <v>101</v>
      </c>
      <c r="G710" s="64" t="s">
        <v>92</v>
      </c>
      <c r="H710" s="65" t="str">
        <f>VLOOKUP(Tabla6[[#This Row],[DIRECCIÓN]],DIRECCIÓN[#All],2,0)</f>
        <v>ADMINISTRACIÓN CENTRAL</v>
      </c>
      <c r="I710" s="66" t="s">
        <v>102</v>
      </c>
      <c r="J710" s="67">
        <v>1</v>
      </c>
      <c r="K710" s="68" t="str">
        <f>VLOOKUP(Tabla6[[#This Row],[DIRECCIÓN GENERAL / COORDINACIÓN / SUBDIRECCIÓN]],Tabla37[[#All],[Columna1]:[EOD]],2,0)</f>
        <v>266_0005</v>
      </c>
      <c r="L710" s="69">
        <f>VLOOKUP(Tabla6[[#This Row],[OBJETIVOS PND]],Listas!$A$1:$C$3,3,0)</f>
        <v>1</v>
      </c>
      <c r="M710" s="70">
        <f>VLOOKUP(Tabla6[[#This Row],[PG]],Listas2!$G$14:$K$16,5,0)</f>
        <v>0</v>
      </c>
      <c r="N710" s="71">
        <v>1</v>
      </c>
      <c r="O710" s="72">
        <v>900</v>
      </c>
      <c r="P710" s="73" t="str">
        <f>VLOOKUP(Tabla6[[#This Row],[GEO]],Listas!$A$48:$B$77,2,0)</f>
        <v>SAMBORONDÓN</v>
      </c>
      <c r="Q710" s="70">
        <f>VLOOKUP(Tabla6[[#This Row],[PG]],Listas2!$G$14:$K$16,3,0)</f>
        <v>1</v>
      </c>
      <c r="R710" s="73">
        <f>VLOOKUP(Tabla6[[#This Row],[PG]],Listas2!H715:'Listas2'!$G$14:$K$16,4,0)</f>
        <v>0</v>
      </c>
      <c r="S710" s="73">
        <f>VLOOKUP(Tabla6[[#This Row],[PG]],Listas2!$G$14:$K$16,2,0)</f>
        <v>0</v>
      </c>
      <c r="T710" s="66" t="s">
        <v>84</v>
      </c>
      <c r="U710" s="74">
        <v>51</v>
      </c>
      <c r="V710" s="66">
        <v>510703</v>
      </c>
      <c r="W710" s="63" t="str">
        <f>VLOOKUP(Tabla6[[#This Row],[ÍTEM PRESUPUESTARIO]],Tabla2[#All],2,0)</f>
        <v>DESPIDO INTEMPESTIVO</v>
      </c>
      <c r="X710" s="57">
        <v>0</v>
      </c>
      <c r="Y710" s="57">
        <f>7330-7068.55-261.45</f>
        <v>0</v>
      </c>
      <c r="Z710" s="58">
        <v>0</v>
      </c>
      <c r="AA710" s="58">
        <v>0</v>
      </c>
      <c r="AB710" s="58">
        <v>0</v>
      </c>
      <c r="AC710" s="58">
        <v>0</v>
      </c>
      <c r="AD710" s="58">
        <v>0</v>
      </c>
      <c r="AE710" s="58">
        <v>0</v>
      </c>
      <c r="AF710" s="58">
        <v>0</v>
      </c>
      <c r="AG710" s="58">
        <v>0</v>
      </c>
      <c r="AH710" s="58">
        <v>0</v>
      </c>
      <c r="AI710" s="58">
        <v>0</v>
      </c>
      <c r="AJ710" s="58">
        <v>0</v>
      </c>
      <c r="AK710" s="58">
        <v>0</v>
      </c>
      <c r="AL710" s="75">
        <f>+SUBTOTAL(9,Tabla6[[#This Row],[ENE]:[DIC]])</f>
        <v>0</v>
      </c>
      <c r="AM710" s="76" t="str">
        <f t="shared" si="15"/>
        <v>OK</v>
      </c>
      <c r="AN710" s="60">
        <v>0</v>
      </c>
      <c r="AO710" s="61">
        <f>+Tabla6[[#This Row],[PRESUPUESTO VIGENTE]]-Tabla6[[#This Row],[CERTIFICACIÓN PAPP]]</f>
        <v>0</v>
      </c>
      <c r="AP710" s="59">
        <v>0</v>
      </c>
    </row>
    <row r="711" spans="1:42" ht="93" customHeight="1" x14ac:dyDescent="0.25">
      <c r="A711" s="62" t="s">
        <v>78</v>
      </c>
      <c r="B711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711" s="64" t="s">
        <v>79</v>
      </c>
      <c r="D711" s="64" t="s">
        <v>80</v>
      </c>
      <c r="E711" s="64" t="s">
        <v>81</v>
      </c>
      <c r="F711" s="64" t="s">
        <v>101</v>
      </c>
      <c r="G711" s="64" t="s">
        <v>92</v>
      </c>
      <c r="H711" s="65" t="str">
        <f>VLOOKUP(Tabla6[[#This Row],[DIRECCIÓN]],DIRECCIÓN[#All],2,0)</f>
        <v>ADMINISTRACIÓN CENTRAL</v>
      </c>
      <c r="I711" s="66" t="s">
        <v>103</v>
      </c>
      <c r="J711" s="67">
        <v>1</v>
      </c>
      <c r="K711" s="68" t="str">
        <f>VLOOKUP(Tabla6[[#This Row],[DIRECCIÓN GENERAL / COORDINACIÓN / SUBDIRECCIÓN]],Tabla37[[#All],[Columna1]:[EOD]],2,0)</f>
        <v>266_0005</v>
      </c>
      <c r="L711" s="69">
        <f>VLOOKUP(Tabla6[[#This Row],[OBJETIVOS PND]],Listas!$A$1:$C$3,3,0)</f>
        <v>1</v>
      </c>
      <c r="M711" s="70">
        <f>VLOOKUP(Tabla6[[#This Row],[PG]],Listas2!$G$14:$K$16,5,0)</f>
        <v>0</v>
      </c>
      <c r="N711" s="71">
        <v>1</v>
      </c>
      <c r="O711" s="72">
        <v>900</v>
      </c>
      <c r="P711" s="73" t="str">
        <f>VLOOKUP(Tabla6[[#This Row],[GEO]],Listas!$A$48:$B$77,2,0)</f>
        <v>SAMBORONDÓN</v>
      </c>
      <c r="Q711" s="70">
        <f>VLOOKUP(Tabla6[[#This Row],[PG]],Listas2!$G$14:$K$16,3,0)</f>
        <v>1</v>
      </c>
      <c r="R711" s="73">
        <f>VLOOKUP(Tabla6[[#This Row],[PG]],Listas2!H716:'Listas2'!$G$14:$K$16,4,0)</f>
        <v>0</v>
      </c>
      <c r="S711" s="73">
        <f>VLOOKUP(Tabla6[[#This Row],[PG]],Listas2!$G$14:$K$16,2,0)</f>
        <v>0</v>
      </c>
      <c r="T711" s="66" t="s">
        <v>84</v>
      </c>
      <c r="U711" s="74">
        <v>51</v>
      </c>
      <c r="V711" s="66">
        <v>510704</v>
      </c>
      <c r="W711" s="63" t="str">
        <f>VLOOKUP(Tabla6[[#This Row],[ÍTEM PRESUPUESTARIO]],Tabla2[#All],2,0)</f>
        <v>COMPENSACIÓN POR DESAHUCIO</v>
      </c>
      <c r="X711" s="57">
        <v>0</v>
      </c>
      <c r="Y711" s="57">
        <f>2964-0.75</f>
        <v>2963.25</v>
      </c>
      <c r="Z711" s="58">
        <v>247</v>
      </c>
      <c r="AA711" s="58">
        <v>247</v>
      </c>
      <c r="AB711" s="58">
        <v>247</v>
      </c>
      <c r="AC711" s="58">
        <v>247</v>
      </c>
      <c r="AD711" s="58">
        <v>247</v>
      </c>
      <c r="AE711" s="58">
        <v>247</v>
      </c>
      <c r="AF711" s="58">
        <v>247</v>
      </c>
      <c r="AG711" s="58">
        <v>247</v>
      </c>
      <c r="AH711" s="58">
        <v>247</v>
      </c>
      <c r="AI711" s="58">
        <v>247</v>
      </c>
      <c r="AJ711" s="58">
        <v>247</v>
      </c>
      <c r="AK711" s="58">
        <v>246.25</v>
      </c>
      <c r="AL711" s="75">
        <f>+SUBTOTAL(9,Tabla6[[#This Row],[ENE]:[DIC]])</f>
        <v>2963.25</v>
      </c>
      <c r="AM711" s="76" t="str">
        <f t="shared" si="15"/>
        <v>OK</v>
      </c>
      <c r="AN711" s="60">
        <v>0</v>
      </c>
      <c r="AO711" s="61">
        <f>+Tabla6[[#This Row],[PRESUPUESTO VIGENTE]]-Tabla6[[#This Row],[CERTIFICACIÓN PAPP]]</f>
        <v>2963.25</v>
      </c>
      <c r="AP711" s="59">
        <v>0</v>
      </c>
    </row>
    <row r="712" spans="1:42" ht="93" customHeight="1" x14ac:dyDescent="0.25">
      <c r="A712" s="62" t="s">
        <v>78</v>
      </c>
      <c r="B712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712" s="64" t="s">
        <v>79</v>
      </c>
      <c r="D712" s="64" t="s">
        <v>80</v>
      </c>
      <c r="E712" s="64" t="s">
        <v>81</v>
      </c>
      <c r="F712" s="64" t="s">
        <v>101</v>
      </c>
      <c r="G712" s="64" t="s">
        <v>92</v>
      </c>
      <c r="H712" s="65" t="str">
        <f>VLOOKUP(Tabla6[[#This Row],[DIRECCIÓN]],DIRECCIÓN[#All],2,0)</f>
        <v>ADMINISTRACIÓN CENTRAL</v>
      </c>
      <c r="I712" s="66" t="s">
        <v>961</v>
      </c>
      <c r="J712" s="67">
        <v>1</v>
      </c>
      <c r="K712" s="68" t="str">
        <f>VLOOKUP(Tabla6[[#This Row],[DIRECCIÓN GENERAL / COORDINACIÓN / SUBDIRECCIÓN]],Tabla37[[#All],[Columna1]:[EOD]],2,0)</f>
        <v>266_0005</v>
      </c>
      <c r="L712" s="69">
        <f>VLOOKUP(Tabla6[[#This Row],[OBJETIVOS PND]],Listas!$A$1:$C$3,3,0)</f>
        <v>1</v>
      </c>
      <c r="M712" s="70">
        <f>VLOOKUP(Tabla6[[#This Row],[PG]],Listas2!$G$14:$K$16,5,0)</f>
        <v>0</v>
      </c>
      <c r="N712" s="71">
        <v>1</v>
      </c>
      <c r="O712" s="72">
        <v>900</v>
      </c>
      <c r="P712" s="73" t="str">
        <f>VLOOKUP(Tabla6[[#This Row],[GEO]],Listas!$A$48:$B$77,2,0)</f>
        <v>SAMBORONDÓN</v>
      </c>
      <c r="Q712" s="70">
        <f>VLOOKUP(Tabla6[[#This Row],[PG]],Listas2!$G$14:$K$16,3,0)</f>
        <v>1</v>
      </c>
      <c r="R712" s="73">
        <f>VLOOKUP(Tabla6[[#This Row],[PG]],Listas2!H717:'Listas2'!$G$14:$K$16,4,0)</f>
        <v>0</v>
      </c>
      <c r="S712" s="73">
        <f>VLOOKUP(Tabla6[[#This Row],[PG]],Listas2!$G$14:$K$16,2,0)</f>
        <v>0</v>
      </c>
      <c r="T712" s="66" t="s">
        <v>84</v>
      </c>
      <c r="U712" s="74">
        <v>51</v>
      </c>
      <c r="V712" s="66">
        <v>510707</v>
      </c>
      <c r="W712" s="63" t="str">
        <f>VLOOKUP(Tabla6[[#This Row],[ÍTEM PRESUPUESTARIO]],Tabla2[#All],2,0)</f>
        <v>COMPENSACIÓN POR VACACIONES NO GOZADAS POR CESACIÓN DE FUNCIONES</v>
      </c>
      <c r="X712" s="57">
        <v>0</v>
      </c>
      <c r="Y712" s="57">
        <f>81+730+4950-335.76</f>
        <v>5425.24</v>
      </c>
      <c r="Z712" s="58">
        <v>6.75</v>
      </c>
      <c r="AA712" s="58">
        <v>6.75</v>
      </c>
      <c r="AB712" s="58">
        <v>6.75</v>
      </c>
      <c r="AC712" s="58">
        <v>6.75</v>
      </c>
      <c r="AD712" s="58">
        <v>6.75</v>
      </c>
      <c r="AE712" s="58">
        <v>125</v>
      </c>
      <c r="AF712" s="58">
        <v>125</v>
      </c>
      <c r="AG712" s="58">
        <v>125</v>
      </c>
      <c r="AH712" s="58">
        <v>125</v>
      </c>
      <c r="AI712" s="58">
        <v>125</v>
      </c>
      <c r="AJ712" s="58">
        <v>2752</v>
      </c>
      <c r="AK712" s="58">
        <v>2014.49</v>
      </c>
      <c r="AL712" s="75">
        <f>+SUBTOTAL(9,Tabla6[[#This Row],[ENE]:[DIC]])</f>
        <v>5425.24</v>
      </c>
      <c r="AM712" s="76" t="str">
        <f t="shared" si="15"/>
        <v>OK</v>
      </c>
      <c r="AN712" s="60">
        <v>0</v>
      </c>
      <c r="AO712" s="61">
        <f>+Tabla6[[#This Row],[PRESUPUESTO VIGENTE]]-Tabla6[[#This Row],[CERTIFICACIÓN PAPP]]</f>
        <v>5425.24</v>
      </c>
      <c r="AP712" s="59">
        <v>0</v>
      </c>
    </row>
    <row r="713" spans="1:42" ht="93" customHeight="1" x14ac:dyDescent="0.25">
      <c r="A713" s="62" t="s">
        <v>88</v>
      </c>
      <c r="B713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713" s="64" t="s">
        <v>89</v>
      </c>
      <c r="D713" s="64" t="s">
        <v>80</v>
      </c>
      <c r="E713" s="64" t="s">
        <v>81</v>
      </c>
      <c r="F713" s="64" t="s">
        <v>101</v>
      </c>
      <c r="G713" s="64" t="s">
        <v>9</v>
      </c>
      <c r="H713" s="65" t="str">
        <f>VLOOKUP(Tabla6[[#This Row],[DIRECCIÓN]],DIRECCIÓN[#All],2,0)</f>
        <v>OPERACIONES</v>
      </c>
      <c r="I713" s="66" t="s">
        <v>93</v>
      </c>
      <c r="J713" s="67">
        <v>1</v>
      </c>
      <c r="K713" s="68" t="str">
        <f>VLOOKUP(Tabla6[[#This Row],[DIRECCIÓN GENERAL / COORDINACIÓN / SUBDIRECCIÓN]],Tabla37[[#All],[Columna1]:[EOD]],2,0)</f>
        <v>266_0005</v>
      </c>
      <c r="L713" s="69">
        <f>VLOOKUP(Tabla6[[#This Row],[OBJETIVOS PND]],Listas!$A$1:$C$3,3,0)</f>
        <v>55</v>
      </c>
      <c r="M713" s="70">
        <f>VLOOKUP(Tabla6[[#This Row],[PG]],Listas2!$G$14:$K$16,5,0)</f>
        <v>0</v>
      </c>
      <c r="N713" s="71" t="s">
        <v>776</v>
      </c>
      <c r="O713" s="72">
        <v>900</v>
      </c>
      <c r="P713" s="73" t="str">
        <f>VLOOKUP(Tabla6[[#This Row],[GEO]],Listas!$A$48:$B$77,2,0)</f>
        <v>SAMBORONDÓN</v>
      </c>
      <c r="Q713" s="70">
        <f>VLOOKUP(Tabla6[[#This Row],[PG]],Listas2!$G$14:$K$16,3,0)</f>
        <v>1</v>
      </c>
      <c r="R713" s="73">
        <f>VLOOKUP(Tabla6[[#This Row],[PG]],Listas2!H718:'Listas2'!$G$14:$K$16,4,0)</f>
        <v>0</v>
      </c>
      <c r="S713" s="73">
        <f>VLOOKUP(Tabla6[[#This Row],[PG]],Listas2!$G$14:$K$16,2,0)</f>
        <v>0</v>
      </c>
      <c r="T713" s="66" t="s">
        <v>84</v>
      </c>
      <c r="U713" s="74">
        <v>51</v>
      </c>
      <c r="V713" s="66">
        <v>510105</v>
      </c>
      <c r="W713" s="63" t="str">
        <f>VLOOKUP(Tabla6[[#This Row],[ÍTEM PRESUPUESTARIO]],Tabla2[#All],2,0)</f>
        <v>REMUNERACIONES UNIFICADAS</v>
      </c>
      <c r="X713" s="57">
        <v>1645920</v>
      </c>
      <c r="Y713" s="57">
        <f>1645920-2194-5-1540-20684.75</f>
        <v>1621496.25</v>
      </c>
      <c r="Z713" s="58">
        <v>137160</v>
      </c>
      <c r="AA713" s="58">
        <v>137160</v>
      </c>
      <c r="AB713" s="58">
        <v>137160</v>
      </c>
      <c r="AC713" s="58">
        <v>137160</v>
      </c>
      <c r="AD713" s="58">
        <v>137160</v>
      </c>
      <c r="AE713" s="58">
        <v>137160</v>
      </c>
      <c r="AF713" s="58">
        <v>137160</v>
      </c>
      <c r="AG713" s="58">
        <v>137160</v>
      </c>
      <c r="AH713" s="58">
        <v>137160</v>
      </c>
      <c r="AI713" s="58">
        <v>137160</v>
      </c>
      <c r="AJ713" s="58">
        <v>137160</v>
      </c>
      <c r="AK713" s="58">
        <v>112736.25</v>
      </c>
      <c r="AL713" s="75">
        <f>+SUBTOTAL(9,Tabla6[[#This Row],[ENE]:[DIC]])</f>
        <v>1621496.25</v>
      </c>
      <c r="AM713" s="76" t="str">
        <f t="shared" si="15"/>
        <v>OK</v>
      </c>
      <c r="AN713" s="60">
        <v>0</v>
      </c>
      <c r="AO713" s="61">
        <f>+Tabla6[[#This Row],[PRESUPUESTO VIGENTE]]-Tabla6[[#This Row],[CERTIFICACIÓN PAPP]]</f>
        <v>1621496.25</v>
      </c>
      <c r="AP713" s="59">
        <v>0</v>
      </c>
    </row>
    <row r="714" spans="1:42" ht="93" customHeight="1" x14ac:dyDescent="0.25">
      <c r="A714" s="62" t="s">
        <v>88</v>
      </c>
      <c r="B714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714" s="64" t="s">
        <v>89</v>
      </c>
      <c r="D714" s="64" t="s">
        <v>80</v>
      </c>
      <c r="E714" s="64" t="s">
        <v>81</v>
      </c>
      <c r="F714" s="64" t="s">
        <v>101</v>
      </c>
      <c r="G714" s="64" t="s">
        <v>9</v>
      </c>
      <c r="H714" s="65" t="str">
        <f>VLOOKUP(Tabla6[[#This Row],[DIRECCIÓN]],DIRECCIÓN[#All],2,0)</f>
        <v>OPERACIONES</v>
      </c>
      <c r="I714" s="66" t="s">
        <v>93</v>
      </c>
      <c r="J714" s="67">
        <v>1</v>
      </c>
      <c r="K714" s="68" t="str">
        <f>VLOOKUP(Tabla6[[#This Row],[DIRECCIÓN GENERAL / COORDINACIÓN / SUBDIRECCIÓN]],Tabla37[[#All],[Columna1]:[EOD]],2,0)</f>
        <v>266_0005</v>
      </c>
      <c r="L714" s="69">
        <f>VLOOKUP(Tabla6[[#This Row],[OBJETIVOS PND]],Listas!$A$1:$C$3,3,0)</f>
        <v>55</v>
      </c>
      <c r="M714" s="70">
        <f>VLOOKUP(Tabla6[[#This Row],[PG]],Listas2!$G$14:$K$16,5,0)</f>
        <v>0</v>
      </c>
      <c r="N714" s="71" t="s">
        <v>776</v>
      </c>
      <c r="O714" s="72">
        <v>900</v>
      </c>
      <c r="P714" s="73" t="str">
        <f>VLOOKUP(Tabla6[[#This Row],[GEO]],Listas!$A$48:$B$77,2,0)</f>
        <v>SAMBORONDÓN</v>
      </c>
      <c r="Q714" s="70">
        <f>VLOOKUP(Tabla6[[#This Row],[PG]],Listas2!$G$14:$K$16,3,0)</f>
        <v>1</v>
      </c>
      <c r="R714" s="73">
        <f>VLOOKUP(Tabla6[[#This Row],[PG]],Listas2!H719:'Listas2'!$G$14:$K$16,4,0)</f>
        <v>0</v>
      </c>
      <c r="S714" s="73">
        <f>VLOOKUP(Tabla6[[#This Row],[PG]],Listas2!$G$14:$K$16,2,0)</f>
        <v>0</v>
      </c>
      <c r="T714" s="66" t="s">
        <v>84</v>
      </c>
      <c r="U714" s="74">
        <v>51</v>
      </c>
      <c r="V714" s="66">
        <v>510203</v>
      </c>
      <c r="W714" s="63" t="str">
        <f>VLOOKUP(Tabla6[[#This Row],[ÍTEM PRESUPUESTARIO]],Tabla2[#All],2,0)</f>
        <v>DÉCIMO TERCER SUELDO</v>
      </c>
      <c r="X714" s="57">
        <v>139132</v>
      </c>
      <c r="Y714" s="57">
        <f>139132-7324.25+7385.18-1248.35-2049.65</f>
        <v>135894.93</v>
      </c>
      <c r="Z714" s="58">
        <v>0</v>
      </c>
      <c r="AA714" s="58">
        <v>0</v>
      </c>
      <c r="AB714" s="58">
        <v>0</v>
      </c>
      <c r="AC714" s="58">
        <v>0</v>
      </c>
      <c r="AD714" s="58">
        <v>0</v>
      </c>
      <c r="AE714" s="58">
        <v>0</v>
      </c>
      <c r="AF714" s="58">
        <v>0</v>
      </c>
      <c r="AG714" s="58">
        <v>0</v>
      </c>
      <c r="AH714" s="58">
        <v>0</v>
      </c>
      <c r="AI714" s="58">
        <v>0</v>
      </c>
      <c r="AJ714" s="58">
        <v>0</v>
      </c>
      <c r="AK714" s="58">
        <v>135894.93</v>
      </c>
      <c r="AL714" s="75">
        <f>+SUBTOTAL(9,Tabla6[[#This Row],[ENE]:[DIC]])</f>
        <v>135894.93</v>
      </c>
      <c r="AM714" s="76" t="str">
        <f t="shared" si="15"/>
        <v>OK</v>
      </c>
      <c r="AN714" s="60">
        <v>0</v>
      </c>
      <c r="AO714" s="61">
        <f>+Tabla6[[#This Row],[PRESUPUESTO VIGENTE]]-Tabla6[[#This Row],[CERTIFICACIÓN PAPP]]</f>
        <v>135894.93</v>
      </c>
      <c r="AP714" s="59">
        <v>0</v>
      </c>
    </row>
    <row r="715" spans="1:42" ht="93" customHeight="1" x14ac:dyDescent="0.25">
      <c r="A715" s="62" t="s">
        <v>88</v>
      </c>
      <c r="B715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715" s="64" t="s">
        <v>89</v>
      </c>
      <c r="D715" s="64" t="s">
        <v>80</v>
      </c>
      <c r="E715" s="64" t="s">
        <v>81</v>
      </c>
      <c r="F715" s="64" t="s">
        <v>101</v>
      </c>
      <c r="G715" s="64" t="s">
        <v>9</v>
      </c>
      <c r="H715" s="65" t="str">
        <f>VLOOKUP(Tabla6[[#This Row],[DIRECCIÓN]],DIRECCIÓN[#All],2,0)</f>
        <v>OPERACIONES</v>
      </c>
      <c r="I715" s="66" t="s">
        <v>93</v>
      </c>
      <c r="J715" s="67">
        <v>1</v>
      </c>
      <c r="K715" s="68" t="str">
        <f>VLOOKUP(Tabla6[[#This Row],[DIRECCIÓN GENERAL / COORDINACIÓN / SUBDIRECCIÓN]],Tabla37[[#All],[Columna1]:[EOD]],2,0)</f>
        <v>266_0005</v>
      </c>
      <c r="L715" s="69">
        <f>VLOOKUP(Tabla6[[#This Row],[OBJETIVOS PND]],Listas!$A$1:$C$3,3,0)</f>
        <v>55</v>
      </c>
      <c r="M715" s="70">
        <f>VLOOKUP(Tabla6[[#This Row],[PG]],Listas2!$G$14:$K$16,5,0)</f>
        <v>0</v>
      </c>
      <c r="N715" s="71" t="s">
        <v>776</v>
      </c>
      <c r="O715" s="72">
        <v>900</v>
      </c>
      <c r="P715" s="73" t="str">
        <f>VLOOKUP(Tabla6[[#This Row],[GEO]],Listas!$A$48:$B$77,2,0)</f>
        <v>SAMBORONDÓN</v>
      </c>
      <c r="Q715" s="70">
        <f>VLOOKUP(Tabla6[[#This Row],[PG]],Listas2!$G$14:$K$16,3,0)</f>
        <v>1</v>
      </c>
      <c r="R715" s="73">
        <f>VLOOKUP(Tabla6[[#This Row],[PG]],Listas2!H720:'Listas2'!$G$14:$K$16,4,0)</f>
        <v>0</v>
      </c>
      <c r="S715" s="73">
        <f>VLOOKUP(Tabla6[[#This Row],[PG]],Listas2!$G$14:$K$16,2,0)</f>
        <v>0</v>
      </c>
      <c r="T715" s="66" t="s">
        <v>84</v>
      </c>
      <c r="U715" s="74">
        <v>51</v>
      </c>
      <c r="V715" s="66">
        <v>510204</v>
      </c>
      <c r="W715" s="63" t="str">
        <f>VLOOKUP(Tabla6[[#This Row],[ÍTEM PRESUPUESTARIO]],Tabla2[#All],2,0)</f>
        <v>DÉCIMO CUARTO SUELDO</v>
      </c>
      <c r="X715" s="57">
        <v>79650</v>
      </c>
      <c r="Y715" s="57">
        <f>79650-465.56+2593-121.58</f>
        <v>81655.86</v>
      </c>
      <c r="Z715" s="58">
        <v>0</v>
      </c>
      <c r="AA715" s="58">
        <v>0</v>
      </c>
      <c r="AB715" s="58">
        <v>0</v>
      </c>
      <c r="AC715" s="58">
        <v>81655.86</v>
      </c>
      <c r="AD715" s="58">
        <v>0</v>
      </c>
      <c r="AE715" s="58">
        <v>0</v>
      </c>
      <c r="AF715" s="58">
        <v>0</v>
      </c>
      <c r="AG715" s="58">
        <v>0</v>
      </c>
      <c r="AH715" s="58">
        <v>0</v>
      </c>
      <c r="AI715" s="58">
        <v>0</v>
      </c>
      <c r="AJ715" s="58">
        <v>0</v>
      </c>
      <c r="AK715" s="58">
        <v>0</v>
      </c>
      <c r="AL715" s="75">
        <f>+SUBTOTAL(9,Tabla6[[#This Row],[ENE]:[DIC]])</f>
        <v>81655.86</v>
      </c>
      <c r="AM715" s="76" t="str">
        <f t="shared" si="15"/>
        <v>OK</v>
      </c>
      <c r="AN715" s="60">
        <v>0</v>
      </c>
      <c r="AO715" s="61">
        <f>+Tabla6[[#This Row],[PRESUPUESTO VIGENTE]]-Tabla6[[#This Row],[CERTIFICACIÓN PAPP]]</f>
        <v>81655.86</v>
      </c>
      <c r="AP715" s="59">
        <v>0</v>
      </c>
    </row>
    <row r="716" spans="1:42" ht="93" customHeight="1" x14ac:dyDescent="0.25">
      <c r="A716" s="62" t="s">
        <v>88</v>
      </c>
      <c r="B716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716" s="64" t="s">
        <v>89</v>
      </c>
      <c r="D716" s="64" t="s">
        <v>80</v>
      </c>
      <c r="E716" s="64" t="s">
        <v>81</v>
      </c>
      <c r="F716" s="64" t="s">
        <v>101</v>
      </c>
      <c r="G716" s="64" t="s">
        <v>9</v>
      </c>
      <c r="H716" s="65" t="str">
        <f>VLOOKUP(Tabla6[[#This Row],[DIRECCIÓN]],DIRECCIÓN[#All],2,0)</f>
        <v>OPERACIONES</v>
      </c>
      <c r="I716" s="66" t="s">
        <v>93</v>
      </c>
      <c r="J716" s="67">
        <v>1</v>
      </c>
      <c r="K716" s="68" t="str">
        <f>VLOOKUP(Tabla6[[#This Row],[DIRECCIÓN GENERAL / COORDINACIÓN / SUBDIRECCIÓN]],Tabla37[[#All],[Columna1]:[EOD]],2,0)</f>
        <v>266_0005</v>
      </c>
      <c r="L716" s="69">
        <f>VLOOKUP(Tabla6[[#This Row],[OBJETIVOS PND]],Listas!$A$1:$C$3,3,0)</f>
        <v>55</v>
      </c>
      <c r="M716" s="70">
        <f>VLOOKUP(Tabla6[[#This Row],[PG]],Listas2!$G$14:$K$16,5,0)</f>
        <v>0</v>
      </c>
      <c r="N716" s="71" t="s">
        <v>776</v>
      </c>
      <c r="O716" s="72">
        <v>900</v>
      </c>
      <c r="P716" s="73" t="str">
        <f>VLOOKUP(Tabla6[[#This Row],[GEO]],Listas!$A$48:$B$77,2,0)</f>
        <v>SAMBORONDÓN</v>
      </c>
      <c r="Q716" s="70">
        <f>VLOOKUP(Tabla6[[#This Row],[PG]],Listas2!$G$14:$K$16,3,0)</f>
        <v>1</v>
      </c>
      <c r="R716" s="73">
        <f>VLOOKUP(Tabla6[[#This Row],[PG]],Listas2!H721:'Listas2'!$G$14:$K$16,4,0)</f>
        <v>0</v>
      </c>
      <c r="S716" s="73">
        <f>VLOOKUP(Tabla6[[#This Row],[PG]],Listas2!$G$14:$K$16,2,0)</f>
        <v>0</v>
      </c>
      <c r="T716" s="66" t="s">
        <v>84</v>
      </c>
      <c r="U716" s="74">
        <v>51</v>
      </c>
      <c r="V716" s="66">
        <v>510510</v>
      </c>
      <c r="W716" s="63" t="str">
        <f>VLOOKUP(Tabla6[[#This Row],[ÍTEM PRESUPUESTARIO]],Tabla2[#All],2,0)</f>
        <v>SERVICIOS PERSONALES POR CONTRATO</v>
      </c>
      <c r="X716" s="57">
        <v>23664</v>
      </c>
      <c r="Y716" s="57">
        <f>23664+10-10</f>
        <v>23664</v>
      </c>
      <c r="Z716" s="58">
        <v>1972</v>
      </c>
      <c r="AA716" s="58">
        <v>1972</v>
      </c>
      <c r="AB716" s="58">
        <v>1972</v>
      </c>
      <c r="AC716" s="58">
        <v>1972</v>
      </c>
      <c r="AD716" s="58">
        <v>1972</v>
      </c>
      <c r="AE716" s="58">
        <v>1972</v>
      </c>
      <c r="AF716" s="58">
        <v>1972</v>
      </c>
      <c r="AG716" s="58">
        <v>1972</v>
      </c>
      <c r="AH716" s="58">
        <v>1972</v>
      </c>
      <c r="AI716" s="58">
        <v>1972</v>
      </c>
      <c r="AJ716" s="58">
        <v>1972</v>
      </c>
      <c r="AK716" s="58">
        <v>1972</v>
      </c>
      <c r="AL716" s="75">
        <f>+SUBTOTAL(9,Tabla6[[#This Row],[ENE]:[DIC]])</f>
        <v>23664</v>
      </c>
      <c r="AM716" s="76" t="str">
        <f t="shared" si="15"/>
        <v>OK</v>
      </c>
      <c r="AN716" s="60">
        <v>0</v>
      </c>
      <c r="AO716" s="61">
        <f>+Tabla6[[#This Row],[PRESUPUESTO VIGENTE]]-Tabla6[[#This Row],[CERTIFICACIÓN PAPP]]</f>
        <v>23664</v>
      </c>
      <c r="AP716" s="59">
        <v>0</v>
      </c>
    </row>
    <row r="717" spans="1:42" ht="93" customHeight="1" x14ac:dyDescent="0.25">
      <c r="A717" s="62" t="s">
        <v>88</v>
      </c>
      <c r="B717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717" s="64" t="s">
        <v>89</v>
      </c>
      <c r="D717" s="64" t="s">
        <v>80</v>
      </c>
      <c r="E717" s="64" t="s">
        <v>81</v>
      </c>
      <c r="F717" s="64" t="s">
        <v>101</v>
      </c>
      <c r="G717" s="64" t="s">
        <v>9</v>
      </c>
      <c r="H717" s="65" t="str">
        <f>VLOOKUP(Tabla6[[#This Row],[DIRECCIÓN]],DIRECCIÓN[#All],2,0)</f>
        <v>OPERACIONES</v>
      </c>
      <c r="I717" s="66" t="s">
        <v>960</v>
      </c>
      <c r="J717" s="67">
        <v>1</v>
      </c>
      <c r="K717" s="68" t="str">
        <f>VLOOKUP(Tabla6[[#This Row],[DIRECCIÓN GENERAL / COORDINACIÓN / SUBDIRECCIÓN]],Tabla37[[#All],[Columna1]:[EOD]],2,0)</f>
        <v>266_0005</v>
      </c>
      <c r="L717" s="69">
        <f>VLOOKUP(Tabla6[[#This Row],[OBJETIVOS PND]],Listas!$A$1:$C$3,3,0)</f>
        <v>55</v>
      </c>
      <c r="M717" s="70">
        <f>VLOOKUP(Tabla6[[#This Row],[PG]],Listas2!$G$14:$K$16,5,0)</f>
        <v>0</v>
      </c>
      <c r="N717" s="71">
        <v>2</v>
      </c>
      <c r="O717" s="72">
        <v>900</v>
      </c>
      <c r="P717" s="73" t="str">
        <f>VLOOKUP(Tabla6[[#This Row],[GEO]],Listas!$A$48:$B$77,2,0)</f>
        <v>SAMBORONDÓN</v>
      </c>
      <c r="Q717" s="70">
        <f>VLOOKUP(Tabla6[[#This Row],[PG]],Listas2!$G$14:$K$16,3,0)</f>
        <v>1</v>
      </c>
      <c r="R717" s="73">
        <f>VLOOKUP(Tabla6[[#This Row],[PG]],Listas2!H722:'Listas2'!$G$14:$K$16,4,0)</f>
        <v>0</v>
      </c>
      <c r="S717" s="73">
        <f>VLOOKUP(Tabla6[[#This Row],[PG]],Listas2!$G$14:$K$16,2,0)</f>
        <v>0</v>
      </c>
      <c r="T717" s="66" t="s">
        <v>84</v>
      </c>
      <c r="U717" s="74">
        <v>51</v>
      </c>
      <c r="V717" s="66">
        <v>510512</v>
      </c>
      <c r="W717" s="63" t="str">
        <f>VLOOKUP(Tabla6[[#This Row],[ÍTEM PRESUPUESTARIO]],Tabla2[#All],2,0)</f>
        <v xml:space="preserve">SUBROGACIÓN </v>
      </c>
      <c r="X717" s="57">
        <v>0</v>
      </c>
      <c r="Y717" s="57">
        <f>93+150-220+177-84.67</f>
        <v>115.33</v>
      </c>
      <c r="Z717" s="58">
        <v>0</v>
      </c>
      <c r="AA717" s="58">
        <v>0</v>
      </c>
      <c r="AB717" s="58">
        <v>0</v>
      </c>
      <c r="AC717" s="58">
        <v>23</v>
      </c>
      <c r="AD717" s="58">
        <v>0</v>
      </c>
      <c r="AE717" s="58">
        <v>0</v>
      </c>
      <c r="AF717" s="58">
        <v>0</v>
      </c>
      <c r="AG717" s="58">
        <v>0</v>
      </c>
      <c r="AH717" s="58">
        <v>0</v>
      </c>
      <c r="AI717" s="58">
        <v>0</v>
      </c>
      <c r="AJ717" s="58">
        <v>92.33</v>
      </c>
      <c r="AK717" s="58">
        <v>0</v>
      </c>
      <c r="AL717" s="75">
        <f>+SUBTOTAL(9,Tabla6[[#This Row],[ENE]:[DIC]])</f>
        <v>115.33</v>
      </c>
      <c r="AM717" s="76" t="str">
        <f t="shared" si="15"/>
        <v>OK</v>
      </c>
      <c r="AN717" s="60">
        <v>0</v>
      </c>
      <c r="AO717" s="61">
        <f>+Tabla6[[#This Row],[PRESUPUESTO VIGENTE]]-Tabla6[[#This Row],[CERTIFICACIÓN PAPP]]</f>
        <v>115.33</v>
      </c>
      <c r="AP717" s="59">
        <v>0</v>
      </c>
    </row>
    <row r="718" spans="1:42" ht="93" customHeight="1" x14ac:dyDescent="0.25">
      <c r="A718" s="62" t="s">
        <v>88</v>
      </c>
      <c r="B718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718" s="64" t="s">
        <v>89</v>
      </c>
      <c r="D718" s="64" t="s">
        <v>80</v>
      </c>
      <c r="E718" s="64" t="s">
        <v>81</v>
      </c>
      <c r="F718" s="64" t="s">
        <v>101</v>
      </c>
      <c r="G718" s="64" t="s">
        <v>9</v>
      </c>
      <c r="H718" s="65" t="str">
        <f>VLOOKUP(Tabla6[[#This Row],[DIRECCIÓN]],DIRECCIÓN[#All],2,0)</f>
        <v>OPERACIONES</v>
      </c>
      <c r="I718" s="66" t="s">
        <v>104</v>
      </c>
      <c r="J718" s="67">
        <v>1</v>
      </c>
      <c r="K718" s="68" t="str">
        <f>VLOOKUP(Tabla6[[#This Row],[DIRECCIÓN GENERAL / COORDINACIÓN / SUBDIRECCIÓN]],Tabla37[[#All],[Columna1]:[EOD]],2,0)</f>
        <v>266_0005</v>
      </c>
      <c r="L718" s="69">
        <f>VLOOKUP(Tabla6[[#This Row],[OBJETIVOS PND]],Listas!$A$1:$C$3,3,0)</f>
        <v>55</v>
      </c>
      <c r="M718" s="70">
        <f>VLOOKUP(Tabla6[[#This Row],[PG]],Listas2!$G$14:$K$16,5,0)</f>
        <v>0</v>
      </c>
      <c r="N718" s="71">
        <v>2</v>
      </c>
      <c r="O718" s="72">
        <v>900</v>
      </c>
      <c r="P718" s="73" t="str">
        <f>VLOOKUP(Tabla6[[#This Row],[GEO]],Listas!$A$48:$B$77,2,0)</f>
        <v>SAMBORONDÓN</v>
      </c>
      <c r="Q718" s="70">
        <f>VLOOKUP(Tabla6[[#This Row],[PG]],Listas2!$G$14:$K$16,3,0)</f>
        <v>1</v>
      </c>
      <c r="R718" s="73">
        <f>VLOOKUP(Tabla6[[#This Row],[PG]],Listas2!H723:'Listas2'!$G$14:$K$16,4,0)</f>
        <v>0</v>
      </c>
      <c r="S718" s="73">
        <f>VLOOKUP(Tabla6[[#This Row],[PG]],Listas2!$G$14:$K$16,2,0)</f>
        <v>0</v>
      </c>
      <c r="T718" s="66" t="s">
        <v>84</v>
      </c>
      <c r="U718" s="74">
        <v>51</v>
      </c>
      <c r="V718" s="66">
        <v>510513</v>
      </c>
      <c r="W718" s="63" t="str">
        <f>VLOOKUP(Tabla6[[#This Row],[ÍTEM PRESUPUESTARIO]],Tabla2[#All],2,0)</f>
        <v>ENCARGOS</v>
      </c>
      <c r="X718" s="57">
        <v>0</v>
      </c>
      <c r="Y718" s="57">
        <f>692+692+693-1+814+2400-1200-853.2</f>
        <v>3236.8</v>
      </c>
      <c r="Z718" s="58">
        <v>57.66</v>
      </c>
      <c r="AA718" s="58">
        <v>57.66</v>
      </c>
      <c r="AB718" s="58">
        <v>125</v>
      </c>
      <c r="AC718" s="58">
        <v>124</v>
      </c>
      <c r="AD718" s="58">
        <v>125</v>
      </c>
      <c r="AE718" s="58">
        <v>725</v>
      </c>
      <c r="AF718" s="58">
        <v>240</v>
      </c>
      <c r="AG718" s="58">
        <v>725</v>
      </c>
      <c r="AH718" s="58">
        <v>725</v>
      </c>
      <c r="AI718" s="58">
        <v>110</v>
      </c>
      <c r="AJ718" s="58">
        <v>110</v>
      </c>
      <c r="AK718" s="58">
        <v>112.48</v>
      </c>
      <c r="AL718" s="75">
        <f>+SUBTOTAL(9,Tabla6[[#This Row],[ENE]:[DIC]])</f>
        <v>3236.7999999999997</v>
      </c>
      <c r="AM718" s="76" t="str">
        <f t="shared" si="15"/>
        <v>OK</v>
      </c>
      <c r="AN718" s="60">
        <v>0</v>
      </c>
      <c r="AO718" s="61">
        <f>+Tabla6[[#This Row],[PRESUPUESTO VIGENTE]]-Tabla6[[#This Row],[CERTIFICACIÓN PAPP]]</f>
        <v>3236.8</v>
      </c>
      <c r="AP718" s="59">
        <v>0</v>
      </c>
    </row>
    <row r="719" spans="1:42" ht="93" customHeight="1" x14ac:dyDescent="0.25">
      <c r="A719" s="62" t="s">
        <v>88</v>
      </c>
      <c r="B719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719" s="64" t="s">
        <v>89</v>
      </c>
      <c r="D719" s="64" t="s">
        <v>80</v>
      </c>
      <c r="E719" s="64" t="s">
        <v>81</v>
      </c>
      <c r="F719" s="64" t="s">
        <v>101</v>
      </c>
      <c r="G719" s="64" t="s">
        <v>9</v>
      </c>
      <c r="H719" s="65" t="str">
        <f>VLOOKUP(Tabla6[[#This Row],[DIRECCIÓN]],DIRECCIÓN[#All],2,0)</f>
        <v>OPERACIONES</v>
      </c>
      <c r="I719" s="66" t="s">
        <v>93</v>
      </c>
      <c r="J719" s="67">
        <v>1</v>
      </c>
      <c r="K719" s="68" t="str">
        <f>VLOOKUP(Tabla6[[#This Row],[DIRECCIÓN GENERAL / COORDINACIÓN / SUBDIRECCIÓN]],Tabla37[[#All],[Columna1]:[EOD]],2,0)</f>
        <v>266_0005</v>
      </c>
      <c r="L719" s="69">
        <f>VLOOKUP(Tabla6[[#This Row],[OBJETIVOS PND]],Listas!$A$1:$C$3,3,0)</f>
        <v>55</v>
      </c>
      <c r="M719" s="70">
        <f>VLOOKUP(Tabla6[[#This Row],[PG]],Listas2!$G$14:$K$16,5,0)</f>
        <v>0</v>
      </c>
      <c r="N719" s="71" t="s">
        <v>776</v>
      </c>
      <c r="O719" s="72">
        <v>900</v>
      </c>
      <c r="P719" s="73" t="str">
        <f>VLOOKUP(Tabla6[[#This Row],[GEO]],Listas!$A$48:$B$77,2,0)</f>
        <v>SAMBORONDÓN</v>
      </c>
      <c r="Q719" s="70">
        <f>VLOOKUP(Tabla6[[#This Row],[PG]],Listas2!$G$14:$K$16,3,0)</f>
        <v>1</v>
      </c>
      <c r="R719" s="73">
        <f>VLOOKUP(Tabla6[[#This Row],[PG]],Listas2!H724:'Listas2'!$G$14:$K$16,4,0)</f>
        <v>0</v>
      </c>
      <c r="S719" s="73">
        <f>VLOOKUP(Tabla6[[#This Row],[PG]],Listas2!$G$14:$K$16,2,0)</f>
        <v>0</v>
      </c>
      <c r="T719" s="66" t="s">
        <v>84</v>
      </c>
      <c r="U719" s="74">
        <v>51</v>
      </c>
      <c r="V719" s="66">
        <v>510601</v>
      </c>
      <c r="W719" s="63" t="str">
        <f>VLOOKUP(Tabla6[[#This Row],[ÍTEM PRESUPUESTARIO]],Tabla2[#All],2,0)</f>
        <v>APORTE PATRONAL</v>
      </c>
      <c r="X719" s="57">
        <v>161115</v>
      </c>
      <c r="Y719" s="57">
        <f>161115-210.6-4170+3150-12194.02+11502.4</f>
        <v>159192.78</v>
      </c>
      <c r="Z719" s="58">
        <v>13426</v>
      </c>
      <c r="AA719" s="58">
        <v>13426</v>
      </c>
      <c r="AB719" s="58">
        <v>13426</v>
      </c>
      <c r="AC719" s="58">
        <v>13426</v>
      </c>
      <c r="AD719" s="58">
        <v>13426</v>
      </c>
      <c r="AE719" s="58">
        <v>13426</v>
      </c>
      <c r="AF719" s="58">
        <v>13426</v>
      </c>
      <c r="AG719" s="58">
        <v>13426</v>
      </c>
      <c r="AH719" s="58">
        <v>13426</v>
      </c>
      <c r="AI719" s="58">
        <v>13426</v>
      </c>
      <c r="AJ719" s="58">
        <v>13426</v>
      </c>
      <c r="AK719" s="58">
        <v>11506.78</v>
      </c>
      <c r="AL719" s="75">
        <f>+SUBTOTAL(9,Tabla6[[#This Row],[ENE]:[DIC]])</f>
        <v>159192.78</v>
      </c>
      <c r="AM719" s="76" t="str">
        <f t="shared" si="15"/>
        <v>OK</v>
      </c>
      <c r="AN719" s="60">
        <v>0</v>
      </c>
      <c r="AO719" s="61">
        <f>+Tabla6[[#This Row],[PRESUPUESTO VIGENTE]]-Tabla6[[#This Row],[CERTIFICACIÓN PAPP]]</f>
        <v>159192.78</v>
      </c>
      <c r="AP719" s="59">
        <v>0</v>
      </c>
    </row>
    <row r="720" spans="1:42" ht="93" customHeight="1" x14ac:dyDescent="0.25">
      <c r="A720" s="62" t="s">
        <v>88</v>
      </c>
      <c r="B720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720" s="64" t="s">
        <v>89</v>
      </c>
      <c r="D720" s="64" t="s">
        <v>80</v>
      </c>
      <c r="E720" s="64" t="s">
        <v>81</v>
      </c>
      <c r="F720" s="64" t="s">
        <v>101</v>
      </c>
      <c r="G720" s="64" t="s">
        <v>9</v>
      </c>
      <c r="H720" s="65" t="str">
        <f>VLOOKUP(Tabla6[[#This Row],[DIRECCIÓN]],DIRECCIÓN[#All],2,0)</f>
        <v>OPERACIONES</v>
      </c>
      <c r="I720" s="66" t="s">
        <v>93</v>
      </c>
      <c r="J720" s="67">
        <v>1</v>
      </c>
      <c r="K720" s="68" t="str">
        <f>VLOOKUP(Tabla6[[#This Row],[DIRECCIÓN GENERAL / COORDINACIÓN / SUBDIRECCIÓN]],Tabla37[[#All],[Columna1]:[EOD]],2,0)</f>
        <v>266_0005</v>
      </c>
      <c r="L720" s="69">
        <f>VLOOKUP(Tabla6[[#This Row],[OBJETIVOS PND]],Listas!$A$1:$C$3,3,0)</f>
        <v>55</v>
      </c>
      <c r="M720" s="70">
        <f>VLOOKUP(Tabla6[[#This Row],[PG]],Listas2!$G$14:$K$16,5,0)</f>
        <v>0</v>
      </c>
      <c r="N720" s="71" t="s">
        <v>776</v>
      </c>
      <c r="O720" s="72">
        <v>900</v>
      </c>
      <c r="P720" s="73" t="str">
        <f>VLOOKUP(Tabla6[[#This Row],[GEO]],Listas!$A$48:$B$77,2,0)</f>
        <v>SAMBORONDÓN</v>
      </c>
      <c r="Q720" s="70">
        <f>VLOOKUP(Tabla6[[#This Row],[PG]],Listas2!$G$14:$K$16,3,0)</f>
        <v>1</v>
      </c>
      <c r="R720" s="73">
        <f>VLOOKUP(Tabla6[[#This Row],[PG]],Listas2!H725:'Listas2'!$G$14:$K$16,4,0)</f>
        <v>0</v>
      </c>
      <c r="S720" s="73">
        <f>VLOOKUP(Tabla6[[#This Row],[PG]],Listas2!$G$14:$K$16,2,0)</f>
        <v>0</v>
      </c>
      <c r="T720" s="66" t="s">
        <v>84</v>
      </c>
      <c r="U720" s="74">
        <v>51</v>
      </c>
      <c r="V720" s="66">
        <v>510602</v>
      </c>
      <c r="W720" s="63" t="str">
        <f>VLOOKUP(Tabla6[[#This Row],[ÍTEM PRESUPUESTARIO]],Tabla2[#All],2,0)</f>
        <v>FONDO DE RESERVA</v>
      </c>
      <c r="X720" s="57">
        <v>69485</v>
      </c>
      <c r="Y720" s="57">
        <f>69485+64729-2030.27-4000+226-2422.45</f>
        <v>125987.28000000001</v>
      </c>
      <c r="Z720" s="58">
        <v>11184.5</v>
      </c>
      <c r="AA720" s="58">
        <v>11184.5</v>
      </c>
      <c r="AB720" s="58">
        <v>11184.5</v>
      </c>
      <c r="AC720" s="58">
        <v>11184.5</v>
      </c>
      <c r="AD720" s="58">
        <v>11184.5</v>
      </c>
      <c r="AE720" s="58">
        <v>11184.5</v>
      </c>
      <c r="AF720" s="58">
        <v>11184.5</v>
      </c>
      <c r="AG720" s="58">
        <v>11184.5</v>
      </c>
      <c r="AH720" s="58">
        <v>11184.5</v>
      </c>
      <c r="AI720" s="58">
        <v>11184.5</v>
      </c>
      <c r="AJ720" s="58">
        <v>11184.5</v>
      </c>
      <c r="AK720" s="58">
        <v>2957.78</v>
      </c>
      <c r="AL720" s="75">
        <f>+SUBTOTAL(9,Tabla6[[#This Row],[ENE]:[DIC]])</f>
        <v>125987.28</v>
      </c>
      <c r="AM720" s="76" t="str">
        <f t="shared" si="15"/>
        <v>OK</v>
      </c>
      <c r="AN720" s="60">
        <v>0</v>
      </c>
      <c r="AO720" s="61">
        <f>+Tabla6[[#This Row],[PRESUPUESTO VIGENTE]]-Tabla6[[#This Row],[CERTIFICACIÓN PAPP]]</f>
        <v>125987.28000000001</v>
      </c>
      <c r="AP720" s="59">
        <v>0</v>
      </c>
    </row>
    <row r="721" spans="1:42" ht="93" customHeight="1" x14ac:dyDescent="0.25">
      <c r="A721" s="62" t="s">
        <v>88</v>
      </c>
      <c r="B721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721" s="64" t="s">
        <v>89</v>
      </c>
      <c r="D721" s="64" t="s">
        <v>80</v>
      </c>
      <c r="E721" s="64" t="s">
        <v>81</v>
      </c>
      <c r="F721" s="64" t="s">
        <v>101</v>
      </c>
      <c r="G721" s="64" t="s">
        <v>9</v>
      </c>
      <c r="H721" s="65" t="str">
        <f>VLOOKUP(Tabla6[[#This Row],[DIRECCIÓN]],DIRECCIÓN[#All],2,0)</f>
        <v>OPERACIONES</v>
      </c>
      <c r="I721" s="66" t="s">
        <v>961</v>
      </c>
      <c r="J721" s="67">
        <v>1</v>
      </c>
      <c r="K721" s="68" t="str">
        <f>VLOOKUP(Tabla6[[#This Row],[DIRECCIÓN GENERAL / COORDINACIÓN / SUBDIRECCIÓN]],Tabla37[[#All],[Columna1]:[EOD]],2,0)</f>
        <v>266_0005</v>
      </c>
      <c r="L721" s="69">
        <f>VLOOKUP(Tabla6[[#This Row],[OBJETIVOS PND]],Listas!$A$1:$C$3,3,0)</f>
        <v>55</v>
      </c>
      <c r="M721" s="70">
        <f>VLOOKUP(Tabla6[[#This Row],[PG]],Listas2!$G$14:$K$16,5,0)</f>
        <v>0</v>
      </c>
      <c r="N721" s="71">
        <v>2</v>
      </c>
      <c r="O721" s="72">
        <v>900</v>
      </c>
      <c r="P721" s="73" t="str">
        <f>VLOOKUP(Tabla6[[#This Row],[GEO]],Listas!$A$48:$B$77,2,0)</f>
        <v>SAMBORONDÓN</v>
      </c>
      <c r="Q721" s="70">
        <f>VLOOKUP(Tabla6[[#This Row],[PG]],Listas2!$G$14:$K$16,3,0)</f>
        <v>1</v>
      </c>
      <c r="R721" s="73">
        <f>VLOOKUP(Tabla6[[#This Row],[PG]],Listas2!H726:'Listas2'!$G$14:$K$16,4,0)</f>
        <v>0</v>
      </c>
      <c r="S721" s="73">
        <f>VLOOKUP(Tabla6[[#This Row],[PG]],Listas2!$G$14:$K$16,2,0)</f>
        <v>0</v>
      </c>
      <c r="T721" s="66" t="s">
        <v>84</v>
      </c>
      <c r="U721" s="74">
        <v>51</v>
      </c>
      <c r="V721" s="66">
        <v>510707</v>
      </c>
      <c r="W721" s="63" t="str">
        <f>VLOOKUP(Tabla6[[#This Row],[ÍTEM PRESUPUESTARIO]],Tabla2[#All],2,0)</f>
        <v>COMPENSACIÓN POR VACACIONES NO GOZADAS POR CESACIÓN DE FUNCIONES</v>
      </c>
      <c r="X721" s="57">
        <v>0</v>
      </c>
      <c r="Y721" s="57">
        <f>420+1130+900+1100-191.01</f>
        <v>3358.99</v>
      </c>
      <c r="Z721" s="58">
        <v>0</v>
      </c>
      <c r="AA721" s="58">
        <v>0</v>
      </c>
      <c r="AB721" s="58">
        <v>0</v>
      </c>
      <c r="AC721" s="58">
        <v>0</v>
      </c>
      <c r="AD721" s="58">
        <v>52.5</v>
      </c>
      <c r="AE721" s="58">
        <v>302.5</v>
      </c>
      <c r="AF721" s="58">
        <v>302.5</v>
      </c>
      <c r="AG721" s="58">
        <v>302.5</v>
      </c>
      <c r="AH721" s="58">
        <v>585</v>
      </c>
      <c r="AI721" s="58">
        <v>585</v>
      </c>
      <c r="AJ721" s="58">
        <v>585</v>
      </c>
      <c r="AK721" s="58">
        <v>643.99</v>
      </c>
      <c r="AL721" s="75">
        <f>+SUBTOTAL(9,Tabla6[[#This Row],[ENE]:[DIC]])</f>
        <v>3358.99</v>
      </c>
      <c r="AM721" s="76" t="str">
        <f t="shared" si="15"/>
        <v>OK</v>
      </c>
      <c r="AN721" s="60">
        <v>0</v>
      </c>
      <c r="AO721" s="61">
        <f>+Tabla6[[#This Row],[PRESUPUESTO VIGENTE]]-Tabla6[[#This Row],[CERTIFICACIÓN PAPP]]</f>
        <v>3358.99</v>
      </c>
      <c r="AP721" s="59">
        <v>0</v>
      </c>
    </row>
    <row r="722" spans="1:42" ht="93" customHeight="1" x14ac:dyDescent="0.25">
      <c r="A722" s="62" t="s">
        <v>88</v>
      </c>
      <c r="B722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722" s="64" t="s">
        <v>89</v>
      </c>
      <c r="D722" s="64" t="s">
        <v>80</v>
      </c>
      <c r="E722" s="64" t="s">
        <v>81</v>
      </c>
      <c r="F722" s="64" t="s">
        <v>101</v>
      </c>
      <c r="G722" s="64" t="s">
        <v>10</v>
      </c>
      <c r="H722" s="65" t="str">
        <f>VLOOKUP(Tabla6[[#This Row],[DIRECCIÓN]],DIRECCIÓN[#All],2,0)</f>
        <v>TECNOLOGÍA</v>
      </c>
      <c r="I722" s="66" t="s">
        <v>93</v>
      </c>
      <c r="J722" s="67">
        <v>1</v>
      </c>
      <c r="K722" s="68" t="str">
        <f>VLOOKUP(Tabla6[[#This Row],[DIRECCIÓN GENERAL / COORDINACIÓN / SUBDIRECCIÓN]],Tabla37[[#All],[Columna1]:[EOD]],2,0)</f>
        <v>266_0005</v>
      </c>
      <c r="L722" s="69">
        <f>VLOOKUP(Tabla6[[#This Row],[OBJETIVOS PND]],Listas!$A$1:$C$3,3,0)</f>
        <v>55</v>
      </c>
      <c r="M722" s="70">
        <f>VLOOKUP(Tabla6[[#This Row],[PG]],Listas2!$G$14:$K$16,5,0)</f>
        <v>0</v>
      </c>
      <c r="N722" s="71" t="s">
        <v>777</v>
      </c>
      <c r="O722" s="72">
        <v>900</v>
      </c>
      <c r="P722" s="73" t="str">
        <f>VLOOKUP(Tabla6[[#This Row],[GEO]],Listas!$A$48:$B$77,2,0)</f>
        <v>SAMBORONDÓN</v>
      </c>
      <c r="Q722" s="70">
        <f>VLOOKUP(Tabla6[[#This Row],[PG]],Listas2!$G$14:$K$16,3,0)</f>
        <v>1</v>
      </c>
      <c r="R722" s="73">
        <f>VLOOKUP(Tabla6[[#This Row],[PG]],Listas2!H727:'Listas2'!$G$14:$K$16,4,0)</f>
        <v>0</v>
      </c>
      <c r="S722" s="73">
        <f>VLOOKUP(Tabla6[[#This Row],[PG]],Listas2!$G$14:$K$16,2,0)</f>
        <v>0</v>
      </c>
      <c r="T722" s="66" t="s">
        <v>84</v>
      </c>
      <c r="U722" s="74">
        <v>51</v>
      </c>
      <c r="V722" s="66">
        <v>510105</v>
      </c>
      <c r="W722" s="63" t="str">
        <f>VLOOKUP(Tabla6[[#This Row],[ÍTEM PRESUPUESTARIO]],Tabla2[#All],2,0)</f>
        <v>REMUNERACIONES UNIFICADAS</v>
      </c>
      <c r="X722" s="57">
        <v>106704</v>
      </c>
      <c r="Y722" s="57">
        <f>106704-2363-41-4700</f>
        <v>99600</v>
      </c>
      <c r="Z722" s="58">
        <v>8892</v>
      </c>
      <c r="AA722" s="58">
        <v>8892</v>
      </c>
      <c r="AB722" s="58">
        <v>8892</v>
      </c>
      <c r="AC722" s="58">
        <v>8892</v>
      </c>
      <c r="AD722" s="58">
        <v>8892</v>
      </c>
      <c r="AE722" s="58">
        <v>8892</v>
      </c>
      <c r="AF722" s="58">
        <v>8892</v>
      </c>
      <c r="AG722" s="58">
        <v>8892</v>
      </c>
      <c r="AH722" s="58">
        <v>8892</v>
      </c>
      <c r="AI722" s="58">
        <v>8892</v>
      </c>
      <c r="AJ722" s="58">
        <v>8892</v>
      </c>
      <c r="AK722" s="58">
        <v>1788</v>
      </c>
      <c r="AL722" s="75">
        <f>+SUBTOTAL(9,Tabla6[[#This Row],[ENE]:[DIC]])</f>
        <v>99600</v>
      </c>
      <c r="AM722" s="76" t="str">
        <f t="shared" si="15"/>
        <v>OK</v>
      </c>
      <c r="AN722" s="60">
        <v>0</v>
      </c>
      <c r="AO722" s="61">
        <f>+Tabla6[[#This Row],[PRESUPUESTO VIGENTE]]-Tabla6[[#This Row],[CERTIFICACIÓN PAPP]]</f>
        <v>99600</v>
      </c>
      <c r="AP722" s="59">
        <v>0</v>
      </c>
    </row>
    <row r="723" spans="1:42" ht="93" customHeight="1" x14ac:dyDescent="0.25">
      <c r="A723" s="62" t="s">
        <v>88</v>
      </c>
      <c r="B723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723" s="64" t="s">
        <v>89</v>
      </c>
      <c r="D723" s="64" t="s">
        <v>80</v>
      </c>
      <c r="E723" s="64" t="s">
        <v>81</v>
      </c>
      <c r="F723" s="64" t="s">
        <v>101</v>
      </c>
      <c r="G723" s="64" t="s">
        <v>10</v>
      </c>
      <c r="H723" s="65" t="str">
        <f>VLOOKUP(Tabla6[[#This Row],[DIRECCIÓN]],DIRECCIÓN[#All],2,0)</f>
        <v>TECNOLOGÍA</v>
      </c>
      <c r="I723" s="66" t="s">
        <v>93</v>
      </c>
      <c r="J723" s="67">
        <v>1</v>
      </c>
      <c r="K723" s="68" t="str">
        <f>VLOOKUP(Tabla6[[#This Row],[DIRECCIÓN GENERAL / COORDINACIÓN / SUBDIRECCIÓN]],Tabla37[[#All],[Columna1]:[EOD]],2,0)</f>
        <v>266_0005</v>
      </c>
      <c r="L723" s="69">
        <f>VLOOKUP(Tabla6[[#This Row],[OBJETIVOS PND]],Listas!$A$1:$C$3,3,0)</f>
        <v>55</v>
      </c>
      <c r="M723" s="70">
        <f>VLOOKUP(Tabla6[[#This Row],[PG]],Listas2!$G$14:$K$16,5,0)</f>
        <v>0</v>
      </c>
      <c r="N723" s="71" t="s">
        <v>777</v>
      </c>
      <c r="O723" s="72">
        <v>900</v>
      </c>
      <c r="P723" s="73" t="str">
        <f>VLOOKUP(Tabla6[[#This Row],[GEO]],Listas!$A$48:$B$77,2,0)</f>
        <v>SAMBORONDÓN</v>
      </c>
      <c r="Q723" s="70">
        <f>VLOOKUP(Tabla6[[#This Row],[PG]],Listas2!$G$14:$K$16,3,0)</f>
        <v>1</v>
      </c>
      <c r="R723" s="73">
        <f>VLOOKUP(Tabla6[[#This Row],[PG]],Listas2!H728:'Listas2'!$G$14:$K$16,4,0)</f>
        <v>0</v>
      </c>
      <c r="S723" s="73">
        <f>VLOOKUP(Tabla6[[#This Row],[PG]],Listas2!$G$14:$K$16,2,0)</f>
        <v>0</v>
      </c>
      <c r="T723" s="66" t="s">
        <v>84</v>
      </c>
      <c r="U723" s="74">
        <v>51</v>
      </c>
      <c r="V723" s="66">
        <v>510203</v>
      </c>
      <c r="W723" s="63" t="str">
        <f>VLOOKUP(Tabla6[[#This Row],[ÍTEM PRESUPUESTARIO]],Tabla2[#All],2,0)</f>
        <v>DÉCIMO TERCER SUELDO</v>
      </c>
      <c r="X723" s="57">
        <v>10104</v>
      </c>
      <c r="Y723" s="57">
        <f>10104-70.25-521.75+500-268.22</f>
        <v>9743.7800000000007</v>
      </c>
      <c r="Z723" s="58">
        <v>0</v>
      </c>
      <c r="AA723" s="58">
        <v>0</v>
      </c>
      <c r="AB723" s="58">
        <v>0</v>
      </c>
      <c r="AC723" s="58">
        <v>0</v>
      </c>
      <c r="AD723" s="58">
        <v>0</v>
      </c>
      <c r="AE723" s="58">
        <v>0</v>
      </c>
      <c r="AF723" s="58">
        <v>0</v>
      </c>
      <c r="AG723" s="58">
        <v>0</v>
      </c>
      <c r="AH723" s="58">
        <v>0</v>
      </c>
      <c r="AI723" s="58">
        <v>0</v>
      </c>
      <c r="AJ723" s="58">
        <v>0</v>
      </c>
      <c r="AK723" s="58">
        <v>9743.7800000000007</v>
      </c>
      <c r="AL723" s="75">
        <f>+SUBTOTAL(9,Tabla6[[#This Row],[ENE]:[DIC]])</f>
        <v>9743.7800000000007</v>
      </c>
      <c r="AM723" s="76" t="str">
        <f t="shared" si="15"/>
        <v>OK</v>
      </c>
      <c r="AN723" s="60">
        <v>0</v>
      </c>
      <c r="AO723" s="61">
        <f>+Tabla6[[#This Row],[PRESUPUESTO VIGENTE]]-Tabla6[[#This Row],[CERTIFICACIÓN PAPP]]</f>
        <v>9743.7800000000007</v>
      </c>
      <c r="AP723" s="59">
        <v>0</v>
      </c>
    </row>
    <row r="724" spans="1:42" ht="93" customHeight="1" x14ac:dyDescent="0.25">
      <c r="A724" s="62" t="s">
        <v>88</v>
      </c>
      <c r="B724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724" s="64" t="s">
        <v>89</v>
      </c>
      <c r="D724" s="64" t="s">
        <v>80</v>
      </c>
      <c r="E724" s="64" t="s">
        <v>81</v>
      </c>
      <c r="F724" s="64" t="s">
        <v>101</v>
      </c>
      <c r="G724" s="64" t="s">
        <v>10</v>
      </c>
      <c r="H724" s="65" t="str">
        <f>VLOOKUP(Tabla6[[#This Row],[DIRECCIÓN]],DIRECCIÓN[#All],2,0)</f>
        <v>TECNOLOGÍA</v>
      </c>
      <c r="I724" s="66" t="s">
        <v>93</v>
      </c>
      <c r="J724" s="67">
        <v>1</v>
      </c>
      <c r="K724" s="68" t="str">
        <f>VLOOKUP(Tabla6[[#This Row],[DIRECCIÓN GENERAL / COORDINACIÓN / SUBDIRECCIÓN]],Tabla37[[#All],[Columna1]:[EOD]],2,0)</f>
        <v>266_0005</v>
      </c>
      <c r="L724" s="69">
        <f>VLOOKUP(Tabla6[[#This Row],[OBJETIVOS PND]],Listas!$A$1:$C$3,3,0)</f>
        <v>55</v>
      </c>
      <c r="M724" s="70">
        <f>VLOOKUP(Tabla6[[#This Row],[PG]],Listas2!$G$14:$K$16,5,0)</f>
        <v>0</v>
      </c>
      <c r="N724" s="71" t="s">
        <v>777</v>
      </c>
      <c r="O724" s="72">
        <v>900</v>
      </c>
      <c r="P724" s="73" t="str">
        <f>VLOOKUP(Tabla6[[#This Row],[GEO]],Listas!$A$48:$B$77,2,0)</f>
        <v>SAMBORONDÓN</v>
      </c>
      <c r="Q724" s="70">
        <f>VLOOKUP(Tabla6[[#This Row],[PG]],Listas2!$G$14:$K$16,3,0)</f>
        <v>1</v>
      </c>
      <c r="R724" s="73">
        <f>VLOOKUP(Tabla6[[#This Row],[PG]],Listas2!H729:'Listas2'!$G$14:$K$16,4,0)</f>
        <v>0</v>
      </c>
      <c r="S724" s="73">
        <f>VLOOKUP(Tabla6[[#This Row],[PG]],Listas2!$G$14:$K$16,2,0)</f>
        <v>0</v>
      </c>
      <c r="T724" s="66" t="s">
        <v>84</v>
      </c>
      <c r="U724" s="74">
        <v>51</v>
      </c>
      <c r="V724" s="66">
        <v>510204</v>
      </c>
      <c r="W724" s="63" t="str">
        <f>VLOOKUP(Tabla6[[#This Row],[ÍTEM PRESUPUESTARIO]],Tabla2[#All],2,0)</f>
        <v>DÉCIMO CUARTO SUELDO</v>
      </c>
      <c r="X724" s="57">
        <v>3150</v>
      </c>
      <c r="Y724" s="57">
        <f>3150-466.7-337.5</f>
        <v>2345.8000000000002</v>
      </c>
      <c r="Z724" s="58">
        <v>0</v>
      </c>
      <c r="AA724" s="58">
        <v>0</v>
      </c>
      <c r="AB724" s="58">
        <v>0</v>
      </c>
      <c r="AC724" s="58">
        <v>2345.8000000000002</v>
      </c>
      <c r="AD724" s="58">
        <v>0</v>
      </c>
      <c r="AE724" s="58">
        <v>0</v>
      </c>
      <c r="AF724" s="58">
        <v>0</v>
      </c>
      <c r="AG724" s="58">
        <v>0</v>
      </c>
      <c r="AH724" s="58">
        <v>0</v>
      </c>
      <c r="AI724" s="58">
        <v>0</v>
      </c>
      <c r="AJ724" s="58">
        <v>0</v>
      </c>
      <c r="AK724" s="58">
        <v>0</v>
      </c>
      <c r="AL724" s="75">
        <f>+SUBTOTAL(9,Tabla6[[#This Row],[ENE]:[DIC]])</f>
        <v>2345.8000000000002</v>
      </c>
      <c r="AM724" s="76" t="str">
        <f t="shared" si="15"/>
        <v>OK</v>
      </c>
      <c r="AN724" s="60">
        <v>0</v>
      </c>
      <c r="AO724" s="61">
        <f>+Tabla6[[#This Row],[PRESUPUESTO VIGENTE]]-Tabla6[[#This Row],[CERTIFICACIÓN PAPP]]</f>
        <v>2345.8000000000002</v>
      </c>
      <c r="AP724" s="59">
        <v>0</v>
      </c>
    </row>
    <row r="725" spans="1:42" ht="93" customHeight="1" x14ac:dyDescent="0.25">
      <c r="A725" s="62" t="s">
        <v>88</v>
      </c>
      <c r="B725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725" s="64" t="s">
        <v>89</v>
      </c>
      <c r="D725" s="64" t="s">
        <v>80</v>
      </c>
      <c r="E725" s="64" t="s">
        <v>81</v>
      </c>
      <c r="F725" s="64" t="s">
        <v>101</v>
      </c>
      <c r="G725" s="64" t="s">
        <v>10</v>
      </c>
      <c r="H725" s="65" t="str">
        <f>VLOOKUP(Tabla6[[#This Row],[DIRECCIÓN]],DIRECCIÓN[#All],2,0)</f>
        <v>TECNOLOGÍA</v>
      </c>
      <c r="I725" s="66" t="s">
        <v>93</v>
      </c>
      <c r="J725" s="67">
        <v>1</v>
      </c>
      <c r="K725" s="68" t="str">
        <f>VLOOKUP(Tabla6[[#This Row],[DIRECCIÓN GENERAL / COORDINACIÓN / SUBDIRECCIÓN]],Tabla37[[#All],[Columna1]:[EOD]],2,0)</f>
        <v>266_0005</v>
      </c>
      <c r="L725" s="69">
        <f>VLOOKUP(Tabla6[[#This Row],[OBJETIVOS PND]],Listas!$A$1:$C$3,3,0)</f>
        <v>55</v>
      </c>
      <c r="M725" s="70">
        <f>VLOOKUP(Tabla6[[#This Row],[PG]],Listas2!$G$14:$K$16,5,0)</f>
        <v>0</v>
      </c>
      <c r="N725" s="71" t="s">
        <v>777</v>
      </c>
      <c r="O725" s="72">
        <v>900</v>
      </c>
      <c r="P725" s="73" t="str">
        <f>VLOOKUP(Tabla6[[#This Row],[GEO]],Listas!$A$48:$B$77,2,0)</f>
        <v>SAMBORONDÓN</v>
      </c>
      <c r="Q725" s="70">
        <f>VLOOKUP(Tabla6[[#This Row],[PG]],Listas2!$G$14:$K$16,3,0)</f>
        <v>1</v>
      </c>
      <c r="R725" s="73">
        <f>VLOOKUP(Tabla6[[#This Row],[PG]],Listas2!H730:'Listas2'!$G$14:$K$16,4,0)</f>
        <v>0</v>
      </c>
      <c r="S725" s="73">
        <f>VLOOKUP(Tabla6[[#This Row],[PG]],Listas2!$G$14:$K$16,2,0)</f>
        <v>0</v>
      </c>
      <c r="T725" s="66" t="s">
        <v>84</v>
      </c>
      <c r="U725" s="74">
        <v>51</v>
      </c>
      <c r="V725" s="66">
        <v>510510</v>
      </c>
      <c r="W725" s="63" t="str">
        <f>VLOOKUP(Tabla6[[#This Row],[ÍTEM PRESUPUESTARIO]],Tabla2[#All],2,0)</f>
        <v>SERVICIOS PERSONALES POR CONTRATO</v>
      </c>
      <c r="X725" s="57">
        <v>14544</v>
      </c>
      <c r="Y725" s="57">
        <f>14544+10-10</f>
        <v>14544</v>
      </c>
      <c r="Z725" s="58">
        <v>1212</v>
      </c>
      <c r="AA725" s="58">
        <v>1212</v>
      </c>
      <c r="AB725" s="58">
        <v>1212</v>
      </c>
      <c r="AC725" s="58">
        <v>1212</v>
      </c>
      <c r="AD725" s="58">
        <v>1212</v>
      </c>
      <c r="AE725" s="58">
        <v>1212</v>
      </c>
      <c r="AF725" s="58">
        <v>1212</v>
      </c>
      <c r="AG725" s="58">
        <v>1212</v>
      </c>
      <c r="AH725" s="58">
        <v>1212</v>
      </c>
      <c r="AI725" s="58">
        <v>1212</v>
      </c>
      <c r="AJ725" s="58">
        <v>1212</v>
      </c>
      <c r="AK725" s="58">
        <v>1212</v>
      </c>
      <c r="AL725" s="75">
        <f>+SUBTOTAL(9,Tabla6[[#This Row],[ENE]:[DIC]])</f>
        <v>14544</v>
      </c>
      <c r="AM725" s="76" t="str">
        <f t="shared" si="15"/>
        <v>OK</v>
      </c>
      <c r="AN725" s="60">
        <v>0</v>
      </c>
      <c r="AO725" s="61">
        <f>+Tabla6[[#This Row],[PRESUPUESTO VIGENTE]]-Tabla6[[#This Row],[CERTIFICACIÓN PAPP]]</f>
        <v>14544</v>
      </c>
      <c r="AP725" s="59">
        <v>0</v>
      </c>
    </row>
    <row r="726" spans="1:42" ht="93" customHeight="1" x14ac:dyDescent="0.25">
      <c r="A726" s="62" t="s">
        <v>88</v>
      </c>
      <c r="B726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726" s="64" t="s">
        <v>89</v>
      </c>
      <c r="D726" s="64" t="s">
        <v>80</v>
      </c>
      <c r="E726" s="64" t="s">
        <v>81</v>
      </c>
      <c r="F726" s="64" t="s">
        <v>101</v>
      </c>
      <c r="G726" s="64" t="s">
        <v>10</v>
      </c>
      <c r="H726" s="65" t="str">
        <f>VLOOKUP(Tabla6[[#This Row],[DIRECCIÓN]],DIRECCIÓN[#All],2,0)</f>
        <v>TECNOLOGÍA</v>
      </c>
      <c r="I726" s="66" t="s">
        <v>960</v>
      </c>
      <c r="J726" s="67">
        <v>1</v>
      </c>
      <c r="K726" s="68" t="str">
        <f>VLOOKUP(Tabla6[[#This Row],[DIRECCIÓN GENERAL / COORDINACIÓN / SUBDIRECCIÓN]],Tabla37[[#All],[Columna1]:[EOD]],2,0)</f>
        <v>266_0005</v>
      </c>
      <c r="L726" s="69">
        <f>VLOOKUP(Tabla6[[#This Row],[OBJETIVOS PND]],Listas!$A$1:$C$3,3,0)</f>
        <v>55</v>
      </c>
      <c r="M726" s="70">
        <f>VLOOKUP(Tabla6[[#This Row],[PG]],Listas2!$G$14:$K$16,5,0)</f>
        <v>0</v>
      </c>
      <c r="N726" s="71">
        <v>3</v>
      </c>
      <c r="O726" s="72">
        <v>900</v>
      </c>
      <c r="P726" s="73" t="str">
        <f>VLOOKUP(Tabla6[[#This Row],[GEO]],Listas!$A$48:$B$77,2,0)</f>
        <v>SAMBORONDÓN</v>
      </c>
      <c r="Q726" s="70">
        <f>VLOOKUP(Tabla6[[#This Row],[PG]],Listas2!$G$14:$K$16,3,0)</f>
        <v>1</v>
      </c>
      <c r="R726" s="73">
        <f>VLOOKUP(Tabla6[[#This Row],[PG]],Listas2!H731:'Listas2'!$G$14:$K$16,4,0)</f>
        <v>0</v>
      </c>
      <c r="S726" s="73">
        <f>VLOOKUP(Tabla6[[#This Row],[PG]],Listas2!$G$14:$K$16,2,0)</f>
        <v>0</v>
      </c>
      <c r="T726" s="66" t="s">
        <v>84</v>
      </c>
      <c r="U726" s="74">
        <v>51</v>
      </c>
      <c r="V726" s="66">
        <v>510512</v>
      </c>
      <c r="W726" s="63" t="str">
        <f>VLOOKUP(Tabla6[[#This Row],[ÍTEM PRESUPUESTARIO]],Tabla2[#All],2,0)</f>
        <v xml:space="preserve">SUBROGACIÓN </v>
      </c>
      <c r="X726" s="57">
        <v>0</v>
      </c>
      <c r="Y726" s="57">
        <f>70+56-3.87</f>
        <v>122.13</v>
      </c>
      <c r="Z726" s="58">
        <v>0</v>
      </c>
      <c r="AA726" s="58">
        <v>0</v>
      </c>
      <c r="AB726" s="58">
        <v>0</v>
      </c>
      <c r="AC726" s="58">
        <v>0</v>
      </c>
      <c r="AD726" s="58">
        <v>0</v>
      </c>
      <c r="AE726" s="58">
        <v>70</v>
      </c>
      <c r="AF726" s="58">
        <v>0</v>
      </c>
      <c r="AG726" s="58">
        <v>0</v>
      </c>
      <c r="AH726" s="58">
        <v>52.13</v>
      </c>
      <c r="AI726" s="58">
        <v>0</v>
      </c>
      <c r="AJ726" s="58">
        <v>0</v>
      </c>
      <c r="AK726" s="58">
        <v>0</v>
      </c>
      <c r="AL726" s="75">
        <f>+SUBTOTAL(9,Tabla6[[#This Row],[ENE]:[DIC]])</f>
        <v>122.13</v>
      </c>
      <c r="AM726" s="76" t="str">
        <f t="shared" si="15"/>
        <v>OK</v>
      </c>
      <c r="AN726" s="60">
        <v>0</v>
      </c>
      <c r="AO726" s="61">
        <f>+Tabla6[[#This Row],[PRESUPUESTO VIGENTE]]-Tabla6[[#This Row],[CERTIFICACIÓN PAPP]]</f>
        <v>122.13</v>
      </c>
      <c r="AP726" s="59">
        <v>0</v>
      </c>
    </row>
    <row r="727" spans="1:42" ht="93" customHeight="1" x14ac:dyDescent="0.25">
      <c r="A727" s="62" t="s">
        <v>88</v>
      </c>
      <c r="B727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727" s="64" t="s">
        <v>89</v>
      </c>
      <c r="D727" s="64" t="s">
        <v>80</v>
      </c>
      <c r="E727" s="64" t="s">
        <v>81</v>
      </c>
      <c r="F727" s="64" t="s">
        <v>101</v>
      </c>
      <c r="G727" s="64" t="s">
        <v>10</v>
      </c>
      <c r="H727" s="65" t="str">
        <f>VLOOKUP(Tabla6[[#This Row],[DIRECCIÓN]],DIRECCIÓN[#All],2,0)</f>
        <v>TECNOLOGÍA</v>
      </c>
      <c r="I727" s="66" t="s">
        <v>93</v>
      </c>
      <c r="J727" s="67">
        <v>1</v>
      </c>
      <c r="K727" s="68" t="str">
        <f>VLOOKUP(Tabla6[[#This Row],[DIRECCIÓN GENERAL / COORDINACIÓN / SUBDIRECCIÓN]],Tabla37[[#All],[Columna1]:[EOD]],2,0)</f>
        <v>266_0005</v>
      </c>
      <c r="L727" s="69">
        <f>VLOOKUP(Tabla6[[#This Row],[OBJETIVOS PND]],Listas!$A$1:$C$3,3,0)</f>
        <v>55</v>
      </c>
      <c r="M727" s="70">
        <f>VLOOKUP(Tabla6[[#This Row],[PG]],Listas2!$G$14:$K$16,5,0)</f>
        <v>0</v>
      </c>
      <c r="N727" s="71">
        <v>3</v>
      </c>
      <c r="O727" s="72">
        <v>900</v>
      </c>
      <c r="P727" s="73" t="str">
        <f>VLOOKUP(Tabla6[[#This Row],[GEO]],Listas!$A$48:$B$77,2,0)</f>
        <v>SAMBORONDÓN</v>
      </c>
      <c r="Q727" s="70">
        <f>VLOOKUP(Tabla6[[#This Row],[PG]],Listas2!$G$14:$K$16,3,0)</f>
        <v>1</v>
      </c>
      <c r="R727" s="73">
        <f>VLOOKUP(Tabla6[[#This Row],[PG]],Listas2!H732:'Listas2'!$G$14:$K$16,4,0)</f>
        <v>0</v>
      </c>
      <c r="S727" s="73">
        <f>VLOOKUP(Tabla6[[#This Row],[PG]],Listas2!$G$14:$K$16,2,0)</f>
        <v>0</v>
      </c>
      <c r="T727" s="66" t="s">
        <v>84</v>
      </c>
      <c r="U727" s="74">
        <v>51</v>
      </c>
      <c r="V727" s="66">
        <v>510513</v>
      </c>
      <c r="W727" s="63" t="str">
        <f>VLOOKUP(Tabla6[[#This Row],[ÍTEM PRESUPUESTARIO]],Tabla2[#All],2,0)</f>
        <v>ENCARGOS</v>
      </c>
      <c r="X727" s="57">
        <v>0</v>
      </c>
      <c r="Y727" s="57">
        <f>2076+145.03</f>
        <v>2221.0300000000002</v>
      </c>
      <c r="Z727" s="58">
        <v>0</v>
      </c>
      <c r="AA727" s="58">
        <v>0</v>
      </c>
      <c r="AB727" s="58">
        <v>0</v>
      </c>
      <c r="AC727" s="58">
        <v>0</v>
      </c>
      <c r="AD727" s="58">
        <v>0</v>
      </c>
      <c r="AE727" s="58">
        <v>0</v>
      </c>
      <c r="AF727" s="58">
        <v>0</v>
      </c>
      <c r="AG727" s="58">
        <v>0</v>
      </c>
      <c r="AH727" s="58">
        <v>0</v>
      </c>
      <c r="AI727" s="58">
        <v>0</v>
      </c>
      <c r="AJ727" s="58">
        <v>0</v>
      </c>
      <c r="AK727" s="58">
        <v>2221.0300000000002</v>
      </c>
      <c r="AL727" s="75">
        <f>+SUBTOTAL(9,Tabla6[[#This Row],[ENE]:[DIC]])</f>
        <v>2221.0300000000002</v>
      </c>
      <c r="AM727" s="76" t="str">
        <f t="shared" si="15"/>
        <v>OK</v>
      </c>
      <c r="AN727" s="60">
        <v>0</v>
      </c>
      <c r="AO727" s="61">
        <f>+Tabla6[[#This Row],[PRESUPUESTO VIGENTE]]-Tabla6[[#This Row],[CERTIFICACIÓN PAPP]]</f>
        <v>2221.0300000000002</v>
      </c>
      <c r="AP727" s="59">
        <v>0</v>
      </c>
    </row>
    <row r="728" spans="1:42" ht="93" customHeight="1" x14ac:dyDescent="0.25">
      <c r="A728" s="62" t="s">
        <v>88</v>
      </c>
      <c r="B728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728" s="64" t="s">
        <v>89</v>
      </c>
      <c r="D728" s="64" t="s">
        <v>80</v>
      </c>
      <c r="E728" s="64" t="s">
        <v>81</v>
      </c>
      <c r="F728" s="64" t="s">
        <v>101</v>
      </c>
      <c r="G728" s="64" t="s">
        <v>10</v>
      </c>
      <c r="H728" s="65" t="str">
        <f>VLOOKUP(Tabla6[[#This Row],[DIRECCIÓN]],DIRECCIÓN[#All],2,0)</f>
        <v>TECNOLOGÍA</v>
      </c>
      <c r="I728" s="66" t="s">
        <v>93</v>
      </c>
      <c r="J728" s="67">
        <v>1</v>
      </c>
      <c r="K728" s="68" t="str">
        <f>VLOOKUP(Tabla6[[#This Row],[DIRECCIÓN GENERAL / COORDINACIÓN / SUBDIRECCIÓN]],Tabla37[[#All],[Columna1]:[EOD]],2,0)</f>
        <v>266_0005</v>
      </c>
      <c r="L728" s="69">
        <f>VLOOKUP(Tabla6[[#This Row],[OBJETIVOS PND]],Listas!$A$1:$C$3,3,0)</f>
        <v>55</v>
      </c>
      <c r="M728" s="70">
        <f>VLOOKUP(Tabla6[[#This Row],[PG]],Listas2!$G$14:$K$16,5,0)</f>
        <v>0</v>
      </c>
      <c r="N728" s="71" t="s">
        <v>777</v>
      </c>
      <c r="O728" s="72">
        <v>900</v>
      </c>
      <c r="P728" s="73" t="str">
        <f>VLOOKUP(Tabla6[[#This Row],[GEO]],Listas!$A$48:$B$77,2,0)</f>
        <v>SAMBORONDÓN</v>
      </c>
      <c r="Q728" s="70">
        <f>VLOOKUP(Tabla6[[#This Row],[PG]],Listas2!$G$14:$K$16,3,0)</f>
        <v>1</v>
      </c>
      <c r="R728" s="73">
        <f>VLOOKUP(Tabla6[[#This Row],[PG]],Listas2!H733:'Listas2'!$G$14:$K$16,4,0)</f>
        <v>0</v>
      </c>
      <c r="S728" s="73">
        <f>VLOOKUP(Tabla6[[#This Row],[PG]],Listas2!$G$14:$K$16,2,0)</f>
        <v>0</v>
      </c>
      <c r="T728" s="66" t="s">
        <v>84</v>
      </c>
      <c r="U728" s="74">
        <v>51</v>
      </c>
      <c r="V728" s="66">
        <v>510601</v>
      </c>
      <c r="W728" s="63" t="str">
        <f>VLOOKUP(Tabla6[[#This Row],[ÍTEM PRESUPUESTARIO]],Tabla2[#All],2,0)</f>
        <v>APORTE PATRONAL</v>
      </c>
      <c r="X728" s="57">
        <v>11701</v>
      </c>
      <c r="Y728" s="57">
        <f>11701-552.53-1700+1773+61.9</f>
        <v>11283.369999999999</v>
      </c>
      <c r="Z728" s="58">
        <v>975</v>
      </c>
      <c r="AA728" s="58">
        <v>975</v>
      </c>
      <c r="AB728" s="58">
        <v>975</v>
      </c>
      <c r="AC728" s="58">
        <v>975</v>
      </c>
      <c r="AD728" s="58">
        <v>975</v>
      </c>
      <c r="AE728" s="58">
        <v>975</v>
      </c>
      <c r="AF728" s="58">
        <v>975</v>
      </c>
      <c r="AG728" s="58">
        <v>975</v>
      </c>
      <c r="AH728" s="58">
        <v>975</v>
      </c>
      <c r="AI728" s="58">
        <v>150</v>
      </c>
      <c r="AJ728" s="58">
        <v>150</v>
      </c>
      <c r="AK728" s="58">
        <v>2208.37</v>
      </c>
      <c r="AL728" s="75">
        <f>+SUBTOTAL(9,Tabla6[[#This Row],[ENE]:[DIC]])</f>
        <v>11283.369999999999</v>
      </c>
      <c r="AM728" s="76" t="str">
        <f t="shared" si="15"/>
        <v>OK</v>
      </c>
      <c r="AN728" s="60">
        <v>0</v>
      </c>
      <c r="AO728" s="61">
        <f>+Tabla6[[#This Row],[PRESUPUESTO VIGENTE]]-Tabla6[[#This Row],[CERTIFICACIÓN PAPP]]</f>
        <v>11283.369999999999</v>
      </c>
      <c r="AP728" s="59">
        <v>0</v>
      </c>
    </row>
    <row r="729" spans="1:42" ht="93" customHeight="1" x14ac:dyDescent="0.25">
      <c r="A729" s="62" t="s">
        <v>88</v>
      </c>
      <c r="B729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729" s="64" t="s">
        <v>89</v>
      </c>
      <c r="D729" s="64" t="s">
        <v>80</v>
      </c>
      <c r="E729" s="64" t="s">
        <v>81</v>
      </c>
      <c r="F729" s="64" t="s">
        <v>101</v>
      </c>
      <c r="G729" s="64" t="s">
        <v>10</v>
      </c>
      <c r="H729" s="65" t="str">
        <f>VLOOKUP(Tabla6[[#This Row],[DIRECCIÓN]],DIRECCIÓN[#All],2,0)</f>
        <v>TECNOLOGÍA</v>
      </c>
      <c r="I729" s="66" t="s">
        <v>93</v>
      </c>
      <c r="J729" s="67">
        <v>1</v>
      </c>
      <c r="K729" s="68" t="str">
        <f>VLOOKUP(Tabla6[[#This Row],[DIRECCIÓN GENERAL / COORDINACIÓN / SUBDIRECCIÓN]],Tabla37[[#All],[Columna1]:[EOD]],2,0)</f>
        <v>266_0005</v>
      </c>
      <c r="L729" s="69">
        <f>VLOOKUP(Tabla6[[#This Row],[OBJETIVOS PND]],Listas!$A$1:$C$3,3,0)</f>
        <v>55</v>
      </c>
      <c r="M729" s="70">
        <f>VLOOKUP(Tabla6[[#This Row],[PG]],Listas2!$G$14:$K$16,5,0)</f>
        <v>0</v>
      </c>
      <c r="N729" s="71" t="s">
        <v>777</v>
      </c>
      <c r="O729" s="72">
        <v>900</v>
      </c>
      <c r="P729" s="73" t="str">
        <f>VLOOKUP(Tabla6[[#This Row],[GEO]],Listas!$A$48:$B$77,2,0)</f>
        <v>SAMBORONDÓN</v>
      </c>
      <c r="Q729" s="70">
        <f>VLOOKUP(Tabla6[[#This Row],[PG]],Listas2!$G$14:$K$16,3,0)</f>
        <v>1</v>
      </c>
      <c r="R729" s="73">
        <f>VLOOKUP(Tabla6[[#This Row],[PG]],Listas2!H734:'Listas2'!$G$14:$K$16,4,0)</f>
        <v>0</v>
      </c>
      <c r="S729" s="73">
        <f>VLOOKUP(Tabla6[[#This Row],[PG]],Listas2!$G$14:$K$16,2,0)</f>
        <v>0</v>
      </c>
      <c r="T729" s="66" t="s">
        <v>84</v>
      </c>
      <c r="U729" s="74">
        <v>51</v>
      </c>
      <c r="V729" s="66">
        <v>510602</v>
      </c>
      <c r="W729" s="63" t="str">
        <f>VLOOKUP(Tabla6[[#This Row],[ÍTEM PRESUPUESTARIO]],Tabla2[#All],2,0)</f>
        <v>FONDO DE RESERVA</v>
      </c>
      <c r="X729" s="57">
        <v>10100</v>
      </c>
      <c r="Y729" s="57">
        <f>10100+278-751.17-1200+1323-9.87</f>
        <v>9739.9599999999991</v>
      </c>
      <c r="Z729" s="58">
        <v>841</v>
      </c>
      <c r="AA729" s="58">
        <v>841</v>
      </c>
      <c r="AB729" s="58">
        <v>841</v>
      </c>
      <c r="AC729" s="58">
        <v>841</v>
      </c>
      <c r="AD729" s="58">
        <v>842</v>
      </c>
      <c r="AE729" s="58">
        <v>842</v>
      </c>
      <c r="AF729" s="58">
        <v>842</v>
      </c>
      <c r="AG729" s="58">
        <v>442</v>
      </c>
      <c r="AH729" s="58">
        <v>442</v>
      </c>
      <c r="AI729" s="58">
        <v>442</v>
      </c>
      <c r="AJ729" s="58">
        <v>842</v>
      </c>
      <c r="AK729" s="58">
        <v>1681.96</v>
      </c>
      <c r="AL729" s="75">
        <f>+SUBTOTAL(9,Tabla6[[#This Row],[ENE]:[DIC]])</f>
        <v>9739.9599999999991</v>
      </c>
      <c r="AM729" s="76" t="str">
        <f t="shared" si="15"/>
        <v>OK</v>
      </c>
      <c r="AN729" s="60">
        <v>0</v>
      </c>
      <c r="AO729" s="61">
        <f>+Tabla6[[#This Row],[PRESUPUESTO VIGENTE]]-Tabla6[[#This Row],[CERTIFICACIÓN PAPP]]</f>
        <v>9739.9599999999991</v>
      </c>
      <c r="AP729" s="59">
        <v>0</v>
      </c>
    </row>
    <row r="730" spans="1:42" ht="93" customHeight="1" x14ac:dyDescent="0.25">
      <c r="A730" s="62" t="s">
        <v>78</v>
      </c>
      <c r="B730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730" s="64" t="s">
        <v>79</v>
      </c>
      <c r="D730" s="64" t="s">
        <v>80</v>
      </c>
      <c r="E730" s="64" t="s">
        <v>81</v>
      </c>
      <c r="F730" s="64" t="s">
        <v>101</v>
      </c>
      <c r="G730" s="64" t="s">
        <v>92</v>
      </c>
      <c r="H730" s="65" t="str">
        <f>VLOOKUP(Tabla6[[#This Row],[DIRECCIÓN]],DIRECCIÓN[#All],2,0)</f>
        <v>ADMINISTRACIÓN CENTRAL</v>
      </c>
      <c r="I730" s="66" t="s">
        <v>962</v>
      </c>
      <c r="J730" s="67">
        <v>1</v>
      </c>
      <c r="K730" s="68" t="str">
        <f>VLOOKUP(Tabla6[[#This Row],[DIRECCIÓN GENERAL / COORDINACIÓN / SUBDIRECCIÓN]],Tabla37[[#All],[Columna1]:[EOD]],2,0)</f>
        <v>266_0005</v>
      </c>
      <c r="L730" s="69">
        <f>VLOOKUP(Tabla6[[#This Row],[OBJETIVOS PND]],Listas!$A$1:$C$3,3,0)</f>
        <v>1</v>
      </c>
      <c r="M730" s="70">
        <f>VLOOKUP(Tabla6[[#This Row],[PG]],Listas2!$G$14:$K$16,5,0)</f>
        <v>0</v>
      </c>
      <c r="N730" s="71">
        <v>1</v>
      </c>
      <c r="O730" s="72">
        <v>916</v>
      </c>
      <c r="P730" s="73" t="str">
        <f>VLOOKUP(Tabla6[[#This Row],[GEO]],Listas!$A$48:$B$77,2,0)</f>
        <v>SAMBORONDÓN</v>
      </c>
      <c r="Q730" s="70">
        <f>VLOOKUP(Tabla6[[#This Row],[PG]],Listas2!$G$14:$K$16,3,0)</f>
        <v>1</v>
      </c>
      <c r="R730" s="73">
        <f>VLOOKUP(Tabla6[[#This Row],[PG]],Listas2!H735:'Listas2'!$G$14:$K$16,4,0)</f>
        <v>0</v>
      </c>
      <c r="S730" s="73">
        <f>VLOOKUP(Tabla6[[#This Row],[PG]],Listas2!$G$14:$K$16,2,0)</f>
        <v>0</v>
      </c>
      <c r="T730" s="66" t="s">
        <v>84</v>
      </c>
      <c r="U730" s="74">
        <v>53</v>
      </c>
      <c r="V730" s="66">
        <v>530101</v>
      </c>
      <c r="W730" s="63" t="str">
        <f>VLOOKUP(Tabla6[[#This Row],[ÍTEM PRESUPUESTARIO]],Tabla2[#All],2,0)</f>
        <v>AGUA POTABLE</v>
      </c>
      <c r="X730" s="57">
        <v>3120</v>
      </c>
      <c r="Y730" s="57">
        <f>3120</f>
        <v>3120</v>
      </c>
      <c r="Z730" s="58">
        <v>0</v>
      </c>
      <c r="AA730" s="58">
        <v>284</v>
      </c>
      <c r="AB730" s="58">
        <v>284</v>
      </c>
      <c r="AC730" s="58">
        <v>284</v>
      </c>
      <c r="AD730" s="58">
        <v>284</v>
      </c>
      <c r="AE730" s="58">
        <v>284</v>
      </c>
      <c r="AF730" s="58">
        <v>284</v>
      </c>
      <c r="AG730" s="58">
        <v>284</v>
      </c>
      <c r="AH730" s="58">
        <v>284</v>
      </c>
      <c r="AI730" s="58">
        <v>284</v>
      </c>
      <c r="AJ730" s="58">
        <v>284</v>
      </c>
      <c r="AK730" s="58">
        <v>280</v>
      </c>
      <c r="AL730" s="75">
        <f>+SUBTOTAL(9,Tabla6[[#This Row],[ENE]:[DIC]])</f>
        <v>3120</v>
      </c>
      <c r="AM730" s="76" t="str">
        <f t="shared" si="15"/>
        <v>OK</v>
      </c>
      <c r="AN730" s="60">
        <f>1450+1200-509.23-38.23+1393.66-376.2</f>
        <v>3120</v>
      </c>
      <c r="AO730" s="61">
        <f>+Tabla6[[#This Row],[PRESUPUESTO VIGENTE]]-Tabla6[[#This Row],[CERTIFICACIÓN PAPP]]</f>
        <v>0</v>
      </c>
      <c r="AP730" s="59">
        <v>0</v>
      </c>
    </row>
    <row r="731" spans="1:42" ht="93" customHeight="1" x14ac:dyDescent="0.25">
      <c r="A731" s="62" t="s">
        <v>78</v>
      </c>
      <c r="B731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731" s="64" t="s">
        <v>79</v>
      </c>
      <c r="D731" s="64" t="s">
        <v>80</v>
      </c>
      <c r="E731" s="64" t="s">
        <v>81</v>
      </c>
      <c r="F731" s="64" t="s">
        <v>101</v>
      </c>
      <c r="G731" s="64" t="s">
        <v>92</v>
      </c>
      <c r="H731" s="65" t="str">
        <f>VLOOKUP(Tabla6[[#This Row],[DIRECCIÓN]],DIRECCIÓN[#All],2,0)</f>
        <v>ADMINISTRACIÓN CENTRAL</v>
      </c>
      <c r="I731" s="66" t="s">
        <v>963</v>
      </c>
      <c r="J731" s="67">
        <v>1</v>
      </c>
      <c r="K731" s="68" t="str">
        <f>VLOOKUP(Tabla6[[#This Row],[DIRECCIÓN GENERAL / COORDINACIÓN / SUBDIRECCIÓN]],Tabla37[[#All],[Columna1]:[EOD]],2,0)</f>
        <v>266_0005</v>
      </c>
      <c r="L731" s="69">
        <f>VLOOKUP(Tabla6[[#This Row],[OBJETIVOS PND]],Listas!$A$1:$C$3,3,0)</f>
        <v>1</v>
      </c>
      <c r="M731" s="70">
        <f>VLOOKUP(Tabla6[[#This Row],[PG]],Listas2!$G$14:$K$16,5,0)</f>
        <v>0</v>
      </c>
      <c r="N731" s="71">
        <v>1</v>
      </c>
      <c r="O731" s="72">
        <v>916</v>
      </c>
      <c r="P731" s="73" t="str">
        <f>VLOOKUP(Tabla6[[#This Row],[GEO]],Listas!$A$48:$B$77,2,0)</f>
        <v>SAMBORONDÓN</v>
      </c>
      <c r="Q731" s="70">
        <f>VLOOKUP(Tabla6[[#This Row],[PG]],Listas2!$G$14:$K$16,3,0)</f>
        <v>1</v>
      </c>
      <c r="R731" s="73">
        <f>VLOOKUP(Tabla6[[#This Row],[PG]],Listas2!H736:'Listas2'!$G$14:$K$16,4,0)</f>
        <v>0</v>
      </c>
      <c r="S731" s="73">
        <f>VLOOKUP(Tabla6[[#This Row],[PG]],Listas2!$G$14:$K$16,2,0)</f>
        <v>0</v>
      </c>
      <c r="T731" s="66" t="s">
        <v>84</v>
      </c>
      <c r="U731" s="74">
        <v>53</v>
      </c>
      <c r="V731" s="66">
        <v>530104</v>
      </c>
      <c r="W731" s="63" t="str">
        <f>VLOOKUP(Tabla6[[#This Row],[ÍTEM PRESUPUESTARIO]],Tabla2[#All],2,0)</f>
        <v>ENERGÍA ELÉCTRICA</v>
      </c>
      <c r="X731" s="57">
        <v>145000</v>
      </c>
      <c r="Y731" s="57">
        <f>145000-15300+20000</f>
        <v>149700</v>
      </c>
      <c r="Z731" s="58">
        <v>0</v>
      </c>
      <c r="AA731" s="58">
        <v>20637</v>
      </c>
      <c r="AB731" s="58">
        <v>20637</v>
      </c>
      <c r="AC731" s="58">
        <v>20637</v>
      </c>
      <c r="AD731" s="58">
        <v>10637</v>
      </c>
      <c r="AE731" s="58">
        <v>10637</v>
      </c>
      <c r="AF731" s="58">
        <v>10637</v>
      </c>
      <c r="AG731" s="58">
        <v>10637</v>
      </c>
      <c r="AH731" s="58">
        <v>10637</v>
      </c>
      <c r="AI731" s="58">
        <v>10637</v>
      </c>
      <c r="AJ731" s="58">
        <v>10637</v>
      </c>
      <c r="AK731" s="58">
        <v>13330</v>
      </c>
      <c r="AL731" s="75">
        <f>+SUBTOTAL(9,Tabla6[[#This Row],[ENE]:[DIC]])</f>
        <v>149700</v>
      </c>
      <c r="AM731" s="76" t="str">
        <f t="shared" si="15"/>
        <v>OK</v>
      </c>
      <c r="AN731" s="60">
        <f>61500-59.98+50000-17945.61-11703.22+12074.59+51134.22-39214.81+23914.81+15300-15300-17141.26+37141.26</f>
        <v>149700</v>
      </c>
      <c r="AO731" s="61">
        <f>+Tabla6[[#This Row],[PRESUPUESTO VIGENTE]]-Tabla6[[#This Row],[CERTIFICACIÓN PAPP]]</f>
        <v>0</v>
      </c>
      <c r="AP731" s="59">
        <v>0</v>
      </c>
    </row>
    <row r="732" spans="1:42" ht="93" customHeight="1" x14ac:dyDescent="0.25">
      <c r="A732" s="62" t="s">
        <v>78</v>
      </c>
      <c r="B732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732" s="64" t="s">
        <v>79</v>
      </c>
      <c r="D732" s="64" t="s">
        <v>80</v>
      </c>
      <c r="E732" s="64" t="s">
        <v>81</v>
      </c>
      <c r="F732" s="64" t="s">
        <v>101</v>
      </c>
      <c r="G732" s="64" t="s">
        <v>92</v>
      </c>
      <c r="H732" s="65" t="str">
        <f>VLOOKUP(Tabla6[[#This Row],[DIRECCIÓN]],DIRECCIÓN[#All],2,0)</f>
        <v>ADMINISTRACIÓN CENTRAL</v>
      </c>
      <c r="I732" s="66" t="s">
        <v>964</v>
      </c>
      <c r="J732" s="67">
        <v>1</v>
      </c>
      <c r="K732" s="68" t="str">
        <f>VLOOKUP(Tabla6[[#This Row],[DIRECCIÓN GENERAL / COORDINACIÓN / SUBDIRECCIÓN]],Tabla37[[#All],[Columna1]:[EOD]],2,0)</f>
        <v>266_0005</v>
      </c>
      <c r="L732" s="69">
        <f>VLOOKUP(Tabla6[[#This Row],[OBJETIVOS PND]],Listas!$A$1:$C$3,3,0)</f>
        <v>1</v>
      </c>
      <c r="M732" s="70">
        <f>VLOOKUP(Tabla6[[#This Row],[PG]],Listas2!$G$14:$K$16,5,0)</f>
        <v>0</v>
      </c>
      <c r="N732" s="71">
        <v>1</v>
      </c>
      <c r="O732" s="72">
        <v>916</v>
      </c>
      <c r="P732" s="73" t="str">
        <f>VLOOKUP(Tabla6[[#This Row],[GEO]],Listas!$A$48:$B$77,2,0)</f>
        <v>SAMBORONDÓN</v>
      </c>
      <c r="Q732" s="70">
        <f>VLOOKUP(Tabla6[[#This Row],[PG]],Listas2!$G$14:$K$16,3,0)</f>
        <v>1</v>
      </c>
      <c r="R732" s="73">
        <f>VLOOKUP(Tabla6[[#This Row],[PG]],Listas2!H737:'Listas2'!$G$14:$K$16,4,0)</f>
        <v>0</v>
      </c>
      <c r="S732" s="73">
        <f>VLOOKUP(Tabla6[[#This Row],[PG]],Listas2!$G$14:$K$16,2,0)</f>
        <v>0</v>
      </c>
      <c r="T732" s="66" t="s">
        <v>84</v>
      </c>
      <c r="U732" s="74">
        <v>53</v>
      </c>
      <c r="V732" s="66">
        <v>530106</v>
      </c>
      <c r="W732" s="63" t="str">
        <f>VLOOKUP(Tabla6[[#This Row],[ÍTEM PRESUPUESTARIO]],Tabla2[#All],2,0)</f>
        <v>SERVICIO DE CORREO</v>
      </c>
      <c r="X732" s="57">
        <v>2464</v>
      </c>
      <c r="Y732" s="57">
        <f>2464-653.7</f>
        <v>1810.3</v>
      </c>
      <c r="Z732" s="58">
        <v>0</v>
      </c>
      <c r="AA732" s="58">
        <v>0</v>
      </c>
      <c r="AB732" s="58">
        <v>0</v>
      </c>
      <c r="AC732" s="58">
        <v>0</v>
      </c>
      <c r="AD732" s="58">
        <v>175</v>
      </c>
      <c r="AE732" s="58">
        <v>175</v>
      </c>
      <c r="AF732" s="58">
        <v>175</v>
      </c>
      <c r="AG732" s="58">
        <v>175</v>
      </c>
      <c r="AH732" s="58">
        <v>175</v>
      </c>
      <c r="AI732" s="58">
        <v>175</v>
      </c>
      <c r="AJ732" s="58">
        <v>175</v>
      </c>
      <c r="AK732" s="58">
        <v>585.29999999999995</v>
      </c>
      <c r="AL732" s="75">
        <f>+SUBTOTAL(9,Tabla6[[#This Row],[ENE]:[DIC]])</f>
        <v>1810.3</v>
      </c>
      <c r="AM732" s="76" t="str">
        <f t="shared" si="15"/>
        <v>OK</v>
      </c>
      <c r="AN732" s="60">
        <v>1810.3</v>
      </c>
      <c r="AO732" s="61">
        <f>+Tabla6[[#This Row],[PRESUPUESTO VIGENTE]]-Tabla6[[#This Row],[CERTIFICACIÓN PAPP]]</f>
        <v>0</v>
      </c>
      <c r="AP732" s="59" t="s">
        <v>87</v>
      </c>
    </row>
    <row r="733" spans="1:42" ht="93" customHeight="1" x14ac:dyDescent="0.25">
      <c r="A733" s="62" t="s">
        <v>78</v>
      </c>
      <c r="B733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733" s="64" t="s">
        <v>79</v>
      </c>
      <c r="D733" s="64" t="s">
        <v>80</v>
      </c>
      <c r="E733" s="64" t="s">
        <v>81</v>
      </c>
      <c r="F733" s="64" t="s">
        <v>101</v>
      </c>
      <c r="G733" s="64" t="s">
        <v>92</v>
      </c>
      <c r="H733" s="65" t="str">
        <f>VLOOKUP(Tabla6[[#This Row],[DIRECCIÓN]],DIRECCIÓN[#All],2,0)</f>
        <v>ADMINISTRACIÓN CENTRAL</v>
      </c>
      <c r="I733" s="66" t="s">
        <v>965</v>
      </c>
      <c r="J733" s="67">
        <v>1</v>
      </c>
      <c r="K733" s="68" t="str">
        <f>VLOOKUP(Tabla6[[#This Row],[DIRECCIÓN GENERAL / COORDINACIÓN / SUBDIRECCIÓN]],Tabla37[[#All],[Columna1]:[EOD]],2,0)</f>
        <v>266_0005</v>
      </c>
      <c r="L733" s="69">
        <f>VLOOKUP(Tabla6[[#This Row],[OBJETIVOS PND]],Listas!$A$1:$C$3,3,0)</f>
        <v>1</v>
      </c>
      <c r="M733" s="70">
        <f>VLOOKUP(Tabla6[[#This Row],[PG]],Listas2!$G$14:$K$16,5,0)</f>
        <v>0</v>
      </c>
      <c r="N733" s="71">
        <v>1</v>
      </c>
      <c r="O733" s="72">
        <v>916</v>
      </c>
      <c r="P733" s="73" t="str">
        <f>VLOOKUP(Tabla6[[#This Row],[GEO]],Listas!$A$48:$B$77,2,0)</f>
        <v>SAMBORONDÓN</v>
      </c>
      <c r="Q733" s="70">
        <f>VLOOKUP(Tabla6[[#This Row],[PG]],Listas2!$G$14:$K$16,3,0)</f>
        <v>1</v>
      </c>
      <c r="R733" s="73">
        <f>VLOOKUP(Tabla6[[#This Row],[PG]],Listas2!H738:'Listas2'!$G$14:$K$16,4,0)</f>
        <v>0</v>
      </c>
      <c r="S733" s="73">
        <f>VLOOKUP(Tabla6[[#This Row],[PG]],Listas2!$G$14:$K$16,2,0)</f>
        <v>0</v>
      </c>
      <c r="T733" s="66" t="s">
        <v>84</v>
      </c>
      <c r="U733" s="74">
        <v>53</v>
      </c>
      <c r="V733" s="66">
        <v>530201</v>
      </c>
      <c r="W733" s="63" t="str">
        <f>VLOOKUP(Tabla6[[#This Row],[ÍTEM PRESUPUESTARIO]],Tabla2[#All],2,0)</f>
        <v>TRANSPORTE DE PERSONAL</v>
      </c>
      <c r="X733" s="57">
        <v>175000</v>
      </c>
      <c r="Y733" s="57">
        <f>175000+11838.87-9341.94+47000-23500+18477.9-437.64-742.06-1723.78</f>
        <v>216571.34999999998</v>
      </c>
      <c r="Z733" s="58">
        <v>0</v>
      </c>
      <c r="AA733" s="58">
        <v>27748.87</v>
      </c>
      <c r="AB733" s="58">
        <v>19721.88</v>
      </c>
      <c r="AC733" s="58">
        <v>19721.88</v>
      </c>
      <c r="AD733" s="58">
        <v>19721.88</v>
      </c>
      <c r="AE733" s="58">
        <v>19721.88</v>
      </c>
      <c r="AF733" s="58">
        <v>19721.88</v>
      </c>
      <c r="AG733" s="58">
        <v>19721.88</v>
      </c>
      <c r="AH733" s="58">
        <v>19721.88</v>
      </c>
      <c r="AI733" s="58">
        <v>19721.88</v>
      </c>
      <c r="AJ733" s="58">
        <v>16975.46</v>
      </c>
      <c r="AK733" s="58">
        <v>14071.98</v>
      </c>
      <c r="AL733" s="75">
        <f>+SUBTOTAL(9,Tabla6[[#This Row],[ENE]:[DIC]])</f>
        <v>216571.35000000003</v>
      </c>
      <c r="AM733" s="76" t="str">
        <f t="shared" si="15"/>
        <v>OK</v>
      </c>
      <c r="AN733" s="60">
        <f>186838.87-9341.94+14199.75+26598.45-1329.35-394.43</f>
        <v>216571.35</v>
      </c>
      <c r="AO733" s="61">
        <f>+Tabla6[[#This Row],[PRESUPUESTO VIGENTE]]-Tabla6[[#This Row],[CERTIFICACIÓN PAPP]]</f>
        <v>0</v>
      </c>
      <c r="AP733" s="59">
        <v>0</v>
      </c>
    </row>
    <row r="734" spans="1:42" ht="93" customHeight="1" x14ac:dyDescent="0.25">
      <c r="A734" s="62" t="s">
        <v>78</v>
      </c>
      <c r="B734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734" s="64" t="s">
        <v>79</v>
      </c>
      <c r="D734" s="64" t="s">
        <v>80</v>
      </c>
      <c r="E734" s="64" t="s">
        <v>81</v>
      </c>
      <c r="F734" s="64" t="s">
        <v>101</v>
      </c>
      <c r="G734" s="64" t="s">
        <v>92</v>
      </c>
      <c r="H734" s="65" t="str">
        <f>VLOOKUP(Tabla6[[#This Row],[DIRECCIÓN]],DIRECCIÓN[#All],2,0)</f>
        <v>ADMINISTRACIÓN CENTRAL</v>
      </c>
      <c r="I734" s="66" t="s">
        <v>966</v>
      </c>
      <c r="J734" s="67">
        <v>1</v>
      </c>
      <c r="K734" s="68" t="str">
        <f>VLOOKUP(Tabla6[[#This Row],[DIRECCIÓN GENERAL / COORDINACIÓN / SUBDIRECCIÓN]],Tabla37[[#All],[Columna1]:[EOD]],2,0)</f>
        <v>266_0005</v>
      </c>
      <c r="L734" s="69">
        <f>VLOOKUP(Tabla6[[#This Row],[OBJETIVOS PND]],Listas!$A$1:$C$3,3,0)</f>
        <v>1</v>
      </c>
      <c r="M734" s="70">
        <f>VLOOKUP(Tabla6[[#This Row],[PG]],Listas2!$G$14:$K$16,5,0)</f>
        <v>0</v>
      </c>
      <c r="N734" s="71">
        <v>1</v>
      </c>
      <c r="O734" s="72">
        <v>916</v>
      </c>
      <c r="P734" s="73" t="str">
        <f>VLOOKUP(Tabla6[[#This Row],[GEO]],Listas!$A$48:$B$77,2,0)</f>
        <v>SAMBORONDÓN</v>
      </c>
      <c r="Q734" s="70">
        <f>VLOOKUP(Tabla6[[#This Row],[PG]],Listas2!$G$14:$K$16,3,0)</f>
        <v>1</v>
      </c>
      <c r="R734" s="73">
        <f>VLOOKUP(Tabla6[[#This Row],[PG]],Listas2!H739:'Listas2'!$G$14:$K$16,4,0)</f>
        <v>0</v>
      </c>
      <c r="S734" s="73">
        <f>VLOOKUP(Tabla6[[#This Row],[PG]],Listas2!$G$14:$K$16,2,0)</f>
        <v>0</v>
      </c>
      <c r="T734" s="66" t="s">
        <v>84</v>
      </c>
      <c r="U734" s="74">
        <v>53</v>
      </c>
      <c r="V734" s="66">
        <v>530203</v>
      </c>
      <c r="W734" s="63" t="str">
        <f>VLOOKUP(Tabla6[[#This Row],[ÍTEM PRESUPUESTARIO]],Tabla2[#All],2,0)</f>
        <v>ALMACENAMIENTO, EMBALAJE, DESEMBALAJE, ENVASE, DESENVASE Y RECARGA DE EXTINTORES</v>
      </c>
      <c r="X734" s="57">
        <v>3125</v>
      </c>
      <c r="Y734" s="57">
        <f>3125-3125</f>
        <v>0</v>
      </c>
      <c r="Z734" s="58">
        <v>0</v>
      </c>
      <c r="AA734" s="58">
        <v>0</v>
      </c>
      <c r="AB734" s="58">
        <v>0</v>
      </c>
      <c r="AC734" s="58">
        <v>0</v>
      </c>
      <c r="AD734" s="58">
        <v>0</v>
      </c>
      <c r="AE734" s="58">
        <v>0</v>
      </c>
      <c r="AF734" s="58">
        <v>0</v>
      </c>
      <c r="AG734" s="58">
        <v>0</v>
      </c>
      <c r="AH734" s="58">
        <v>0</v>
      </c>
      <c r="AI734" s="58">
        <v>0</v>
      </c>
      <c r="AJ734" s="58">
        <v>0</v>
      </c>
      <c r="AK734" s="58">
        <v>0</v>
      </c>
      <c r="AL734" s="75">
        <f>+SUBTOTAL(9,Tabla6[[#This Row],[ENE]:[DIC]])</f>
        <v>0</v>
      </c>
      <c r="AM734" s="76" t="str">
        <f t="shared" si="15"/>
        <v>OK</v>
      </c>
      <c r="AN734" s="60">
        <v>0</v>
      </c>
      <c r="AO734" s="61">
        <f>+Tabla6[[#This Row],[PRESUPUESTO VIGENTE]]-Tabla6[[#This Row],[CERTIFICACIÓN PAPP]]</f>
        <v>0</v>
      </c>
      <c r="AP734" s="59">
        <v>0</v>
      </c>
    </row>
    <row r="735" spans="1:42" ht="93" customHeight="1" x14ac:dyDescent="0.25">
      <c r="A735" s="62" t="s">
        <v>78</v>
      </c>
      <c r="B735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735" s="64" t="s">
        <v>79</v>
      </c>
      <c r="D735" s="64" t="s">
        <v>80</v>
      </c>
      <c r="E735" s="64" t="s">
        <v>81</v>
      </c>
      <c r="F735" s="64" t="s">
        <v>101</v>
      </c>
      <c r="G735" s="64" t="s">
        <v>92</v>
      </c>
      <c r="H735" s="65" t="str">
        <f>VLOOKUP(Tabla6[[#This Row],[DIRECCIÓN]],DIRECCIÓN[#All],2,0)</f>
        <v>ADMINISTRACIÓN CENTRAL</v>
      </c>
      <c r="I735" s="66" t="s">
        <v>967</v>
      </c>
      <c r="J735" s="67">
        <v>2</v>
      </c>
      <c r="K735" s="68" t="str">
        <f>VLOOKUP(Tabla6[[#This Row],[DIRECCIÓN GENERAL / COORDINACIÓN / SUBDIRECCIÓN]],Tabla37[[#All],[Columna1]:[EOD]],2,0)</f>
        <v>266_0005</v>
      </c>
      <c r="L735" s="69">
        <f>VLOOKUP(Tabla6[[#This Row],[OBJETIVOS PND]],Listas!$A$1:$C$3,3,0)</f>
        <v>1</v>
      </c>
      <c r="M735" s="70">
        <f>VLOOKUP(Tabla6[[#This Row],[PG]],Listas2!$G$14:$K$16,5,0)</f>
        <v>0</v>
      </c>
      <c r="N735" s="71">
        <v>1</v>
      </c>
      <c r="O735" s="72">
        <v>916</v>
      </c>
      <c r="P735" s="73" t="str">
        <f>VLOOKUP(Tabla6[[#This Row],[GEO]],Listas!$A$48:$B$77,2,0)</f>
        <v>SAMBORONDÓN</v>
      </c>
      <c r="Q735" s="70">
        <f>VLOOKUP(Tabla6[[#This Row],[PG]],Listas2!$G$14:$K$16,3,0)</f>
        <v>1</v>
      </c>
      <c r="R735" s="73">
        <f>VLOOKUP(Tabla6[[#This Row],[PG]],Listas2!H740:'Listas2'!$G$14:$K$16,4,0)</f>
        <v>0</v>
      </c>
      <c r="S735" s="73">
        <f>VLOOKUP(Tabla6[[#This Row],[PG]],Listas2!$G$14:$K$16,2,0)</f>
        <v>0</v>
      </c>
      <c r="T735" s="66" t="s">
        <v>84</v>
      </c>
      <c r="U735" s="74">
        <v>53</v>
      </c>
      <c r="V735" s="66">
        <v>530204</v>
      </c>
      <c r="W735" s="63" t="str">
        <f>VLOOKUP(Tabla6[[#This Row],[ÍTEM PRESUPUESTARIO]],Tabla2[#All],2,0)</f>
        <v>EDICIÓN, IMPRESIÓN, REPRODUCCIÓN, PUBLICACIONES, SUSCRIPCIONES, FOTOCOPIADO, TRADUCCIÓN, EMPASTADO, ENMARCACIÓN, SERIGRAFÍA, FOTOGRAFÍA, CARNETIZACIÓN, FILMACIÓN E IMÁGENES SATELITALES</v>
      </c>
      <c r="X735" s="57">
        <v>0</v>
      </c>
      <c r="Y735" s="57">
        <f>7000-2959</f>
        <v>4041</v>
      </c>
      <c r="Z735" s="58">
        <v>0</v>
      </c>
      <c r="AA735" s="58">
        <v>0</v>
      </c>
      <c r="AB735" s="58">
        <v>0</v>
      </c>
      <c r="AC735" s="58">
        <v>0</v>
      </c>
      <c r="AD735" s="58">
        <v>4041</v>
      </c>
      <c r="AE735" s="58">
        <v>0</v>
      </c>
      <c r="AF735" s="58">
        <v>0</v>
      </c>
      <c r="AG735" s="58">
        <v>0</v>
      </c>
      <c r="AH735" s="58">
        <v>0</v>
      </c>
      <c r="AI735" s="58">
        <v>0</v>
      </c>
      <c r="AJ735" s="58">
        <v>0</v>
      </c>
      <c r="AK735" s="58">
        <v>0</v>
      </c>
      <c r="AL735" s="75">
        <f>+SUBTOTAL(9,Tabla6[[#This Row],[ENE]:[DIC]])</f>
        <v>4041</v>
      </c>
      <c r="AM735" s="76" t="str">
        <f t="shared" si="15"/>
        <v>OK</v>
      </c>
      <c r="AN735" s="60">
        <v>4041</v>
      </c>
      <c r="AO735" s="61">
        <f>+Tabla6[[#This Row],[PRESUPUESTO VIGENTE]]-Tabla6[[#This Row],[CERTIFICACIÓN PAPP]]</f>
        <v>0</v>
      </c>
      <c r="AP735" s="59">
        <v>0</v>
      </c>
    </row>
    <row r="736" spans="1:42" ht="93" customHeight="1" x14ac:dyDescent="0.25">
      <c r="A736" s="62" t="s">
        <v>78</v>
      </c>
      <c r="B736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736" s="64" t="s">
        <v>79</v>
      </c>
      <c r="D736" s="64" t="s">
        <v>80</v>
      </c>
      <c r="E736" s="64" t="s">
        <v>81</v>
      </c>
      <c r="F736" s="64" t="s">
        <v>101</v>
      </c>
      <c r="G736" s="64" t="s">
        <v>92</v>
      </c>
      <c r="H736" s="65" t="str">
        <f>VLOOKUP(Tabla6[[#This Row],[DIRECCIÓN]],DIRECCIÓN[#All],2,0)</f>
        <v>ADMINISTRACIÓN CENTRAL</v>
      </c>
      <c r="I736" s="66" t="s">
        <v>968</v>
      </c>
      <c r="J736" s="67">
        <v>1</v>
      </c>
      <c r="K736" s="68" t="str">
        <f>VLOOKUP(Tabla6[[#This Row],[DIRECCIÓN GENERAL / COORDINACIÓN / SUBDIRECCIÓN]],Tabla37[[#All],[Columna1]:[EOD]],2,0)</f>
        <v>266_0005</v>
      </c>
      <c r="L736" s="69">
        <f>VLOOKUP(Tabla6[[#This Row],[OBJETIVOS PND]],Listas!$A$1:$C$3,3,0)</f>
        <v>1</v>
      </c>
      <c r="M736" s="70">
        <f>VLOOKUP(Tabla6[[#This Row],[PG]],Listas2!$G$14:$K$16,5,0)</f>
        <v>0</v>
      </c>
      <c r="N736" s="71">
        <v>1</v>
      </c>
      <c r="O736" s="72">
        <v>916</v>
      </c>
      <c r="P736" s="73" t="str">
        <f>VLOOKUP(Tabla6[[#This Row],[GEO]],Listas!$A$48:$B$77,2,0)</f>
        <v>SAMBORONDÓN</v>
      </c>
      <c r="Q736" s="70">
        <f>VLOOKUP(Tabla6[[#This Row],[PG]],Listas2!$G$14:$K$16,3,0)</f>
        <v>1</v>
      </c>
      <c r="R736" s="73">
        <f>VLOOKUP(Tabla6[[#This Row],[PG]],Listas2!H741:'Listas2'!$G$14:$K$16,4,0)</f>
        <v>0</v>
      </c>
      <c r="S736" s="73">
        <f>VLOOKUP(Tabla6[[#This Row],[PG]],Listas2!$G$14:$K$16,2,0)</f>
        <v>0</v>
      </c>
      <c r="T736" s="66" t="s">
        <v>84</v>
      </c>
      <c r="U736" s="74">
        <v>53</v>
      </c>
      <c r="V736" s="66">
        <v>530207</v>
      </c>
      <c r="W736" s="63" t="str">
        <f>VLOOKUP(Tabla6[[#This Row],[ÍTEM PRESUPUESTARIO]],Tabla2[#All],2,0)</f>
        <v>DIFUSIÓN, INFORMACIÓN Y PUBLICIDAD</v>
      </c>
      <c r="X736" s="57">
        <v>6250</v>
      </c>
      <c r="Y736" s="57">
        <f>6250-2000-2009.74</f>
        <v>2240.2600000000002</v>
      </c>
      <c r="Z736" s="58">
        <v>0</v>
      </c>
      <c r="AA736" s="58">
        <v>0</v>
      </c>
      <c r="AB736" s="58">
        <v>0</v>
      </c>
      <c r="AC736" s="58">
        <v>0</v>
      </c>
      <c r="AD736" s="58">
        <v>2240.2600000000002</v>
      </c>
      <c r="AE736" s="58">
        <v>0</v>
      </c>
      <c r="AF736" s="58">
        <v>0</v>
      </c>
      <c r="AG736" s="58">
        <v>0</v>
      </c>
      <c r="AH736" s="58">
        <v>0</v>
      </c>
      <c r="AI736" s="58">
        <v>0</v>
      </c>
      <c r="AJ736" s="58">
        <v>0</v>
      </c>
      <c r="AK736" s="58">
        <v>0</v>
      </c>
      <c r="AL736" s="75">
        <f>+SUBTOTAL(9,Tabla6[[#This Row],[ENE]:[DIC]])</f>
        <v>2240.2600000000002</v>
      </c>
      <c r="AM736" s="76" t="str">
        <f t="shared" si="15"/>
        <v>OK</v>
      </c>
      <c r="AN736" s="60">
        <v>2240.2600000000002</v>
      </c>
      <c r="AO736" s="61">
        <f>+Tabla6[[#This Row],[PRESUPUESTO VIGENTE]]-Tabla6[[#This Row],[CERTIFICACIÓN PAPP]]</f>
        <v>0</v>
      </c>
      <c r="AP736" s="59" t="s">
        <v>87</v>
      </c>
    </row>
    <row r="737" spans="1:42" ht="93" customHeight="1" x14ac:dyDescent="0.25">
      <c r="A737" s="62" t="s">
        <v>78</v>
      </c>
      <c r="B737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737" s="64" t="s">
        <v>79</v>
      </c>
      <c r="D737" s="64" t="s">
        <v>80</v>
      </c>
      <c r="E737" s="64" t="s">
        <v>81</v>
      </c>
      <c r="F737" s="64" t="s">
        <v>101</v>
      </c>
      <c r="G737" s="64" t="s">
        <v>92</v>
      </c>
      <c r="H737" s="65" t="str">
        <f>VLOOKUP(Tabla6[[#This Row],[DIRECCIÓN]],DIRECCIÓN[#All],2,0)</f>
        <v>ADMINISTRACIÓN CENTRAL</v>
      </c>
      <c r="I737" s="66" t="s">
        <v>969</v>
      </c>
      <c r="J737" s="67">
        <v>1</v>
      </c>
      <c r="K737" s="68" t="str">
        <f>VLOOKUP(Tabla6[[#This Row],[DIRECCIÓN GENERAL / COORDINACIÓN / SUBDIRECCIÓN]],Tabla37[[#All],[Columna1]:[EOD]],2,0)</f>
        <v>266_0005</v>
      </c>
      <c r="L737" s="69">
        <f>VLOOKUP(Tabla6[[#This Row],[OBJETIVOS PND]],Listas!$A$1:$C$3,3,0)</f>
        <v>1</v>
      </c>
      <c r="M737" s="70">
        <f>VLOOKUP(Tabla6[[#This Row],[PG]],Listas2!$G$14:$K$16,5,0)</f>
        <v>0</v>
      </c>
      <c r="N737" s="71">
        <v>1</v>
      </c>
      <c r="O737" s="72">
        <v>916</v>
      </c>
      <c r="P737" s="73" t="str">
        <f>VLOOKUP(Tabla6[[#This Row],[GEO]],Listas!$A$48:$B$77,2,0)</f>
        <v>SAMBORONDÓN</v>
      </c>
      <c r="Q737" s="70">
        <f>VLOOKUP(Tabla6[[#This Row],[PG]],Listas2!$G$14:$K$16,3,0)</f>
        <v>1</v>
      </c>
      <c r="R737" s="73">
        <f>VLOOKUP(Tabla6[[#This Row],[PG]],Listas2!H742:'Listas2'!$G$14:$K$16,4,0)</f>
        <v>0</v>
      </c>
      <c r="S737" s="73">
        <f>VLOOKUP(Tabla6[[#This Row],[PG]],Listas2!$G$14:$K$16,2,0)</f>
        <v>0</v>
      </c>
      <c r="T737" s="66" t="s">
        <v>84</v>
      </c>
      <c r="U737" s="74">
        <v>53</v>
      </c>
      <c r="V737" s="66">
        <v>530207</v>
      </c>
      <c r="W737" s="63" t="str">
        <f>VLOOKUP(Tabla6[[#This Row],[ÍTEM PRESUPUESTARIO]],Tabla2[#All],2,0)</f>
        <v>DIFUSIÓN, INFORMACIÓN Y PUBLICIDAD</v>
      </c>
      <c r="X737" s="57">
        <v>6250</v>
      </c>
      <c r="Y737" s="57">
        <f>6250+5500+2000-596.06-3953.94</f>
        <v>9200</v>
      </c>
      <c r="Z737" s="58">
        <v>0</v>
      </c>
      <c r="AA737" s="58">
        <v>0</v>
      </c>
      <c r="AB737" s="58">
        <v>0</v>
      </c>
      <c r="AC737" s="58">
        <v>0</v>
      </c>
      <c r="AD737" s="58">
        <v>0</v>
      </c>
      <c r="AE737" s="58">
        <v>9200</v>
      </c>
      <c r="AF737" s="58">
        <v>0</v>
      </c>
      <c r="AG737" s="58">
        <v>0</v>
      </c>
      <c r="AH737" s="58">
        <v>0</v>
      </c>
      <c r="AI737" s="58">
        <v>0</v>
      </c>
      <c r="AJ737" s="58">
        <v>0</v>
      </c>
      <c r="AK737" s="58">
        <v>0</v>
      </c>
      <c r="AL737" s="75">
        <f>+SUBTOTAL(9,Tabla6[[#This Row],[ENE]:[DIC]])</f>
        <v>9200</v>
      </c>
      <c r="AM737" s="76" t="str">
        <f t="shared" si="15"/>
        <v>OK</v>
      </c>
      <c r="AN737" s="60">
        <f>11081.99-11081.99+13153.94-3953.94</f>
        <v>9200</v>
      </c>
      <c r="AO737" s="61">
        <f>+Tabla6[[#This Row],[PRESUPUESTO VIGENTE]]-Tabla6[[#This Row],[CERTIFICACIÓN PAPP]]</f>
        <v>0</v>
      </c>
      <c r="AP737" s="59" t="s">
        <v>87</v>
      </c>
    </row>
    <row r="738" spans="1:42" ht="93" customHeight="1" x14ac:dyDescent="0.25">
      <c r="A738" s="62" t="s">
        <v>78</v>
      </c>
      <c r="B738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738" s="64" t="s">
        <v>79</v>
      </c>
      <c r="D738" s="64" t="s">
        <v>80</v>
      </c>
      <c r="E738" s="64" t="s">
        <v>81</v>
      </c>
      <c r="F738" s="64" t="s">
        <v>101</v>
      </c>
      <c r="G738" s="64" t="s">
        <v>92</v>
      </c>
      <c r="H738" s="65" t="str">
        <f>VLOOKUP(Tabla6[[#This Row],[DIRECCIÓN]],DIRECCIÓN[#All],2,0)</f>
        <v>ADMINISTRACIÓN CENTRAL</v>
      </c>
      <c r="I738" s="66" t="s">
        <v>970</v>
      </c>
      <c r="J738" s="67">
        <v>1</v>
      </c>
      <c r="K738" s="68" t="str">
        <f>VLOOKUP(Tabla6[[#This Row],[DIRECCIÓN GENERAL / COORDINACIÓN / SUBDIRECCIÓN]],Tabla37[[#All],[Columna1]:[EOD]],2,0)</f>
        <v>266_0005</v>
      </c>
      <c r="L738" s="69">
        <f>VLOOKUP(Tabla6[[#This Row],[OBJETIVOS PND]],Listas!$A$1:$C$3,3,0)</f>
        <v>1</v>
      </c>
      <c r="M738" s="70">
        <f>VLOOKUP(Tabla6[[#This Row],[PG]],Listas2!$G$14:$K$16,5,0)</f>
        <v>0</v>
      </c>
      <c r="N738" s="71">
        <v>1</v>
      </c>
      <c r="O738" s="72">
        <v>916</v>
      </c>
      <c r="P738" s="73" t="str">
        <f>VLOOKUP(Tabla6[[#This Row],[GEO]],Listas!$A$48:$B$77,2,0)</f>
        <v>SAMBORONDÓN</v>
      </c>
      <c r="Q738" s="70">
        <f>VLOOKUP(Tabla6[[#This Row],[PG]],Listas2!$G$14:$K$16,3,0)</f>
        <v>1</v>
      </c>
      <c r="R738" s="73">
        <f>VLOOKUP(Tabla6[[#This Row],[PG]],Listas2!H743:'Listas2'!$G$14:$K$16,4,0)</f>
        <v>0</v>
      </c>
      <c r="S738" s="73">
        <f>VLOOKUP(Tabla6[[#This Row],[PG]],Listas2!$G$14:$K$16,2,0)</f>
        <v>0</v>
      </c>
      <c r="T738" s="66" t="s">
        <v>84</v>
      </c>
      <c r="U738" s="74">
        <v>53</v>
      </c>
      <c r="V738" s="66">
        <v>530208</v>
      </c>
      <c r="W738" s="63" t="str">
        <f>VLOOKUP(Tabla6[[#This Row],[ÍTEM PRESUPUESTARIO]],Tabla2[#All],2,0)</f>
        <v>SERVICIO DE SEGURIDAD Y VIGILANCIA</v>
      </c>
      <c r="X738" s="57">
        <v>79372</v>
      </c>
      <c r="Y738" s="57">
        <f>79372-36425.08-907.36-2381.81-408.11+1</f>
        <v>39250.639999999999</v>
      </c>
      <c r="Z738" s="58">
        <v>0</v>
      </c>
      <c r="AA738" s="58">
        <v>7248</v>
      </c>
      <c r="AB738" s="58">
        <v>7248</v>
      </c>
      <c r="AC738" s="58">
        <v>3400</v>
      </c>
      <c r="AD738" s="58">
        <v>3400</v>
      </c>
      <c r="AE738" s="58">
        <v>3400</v>
      </c>
      <c r="AF738" s="58">
        <v>3500</v>
      </c>
      <c r="AG738" s="58">
        <v>3400</v>
      </c>
      <c r="AH738" s="58">
        <v>3400</v>
      </c>
      <c r="AI738" s="58">
        <v>1500</v>
      </c>
      <c r="AJ738" s="58">
        <v>1500</v>
      </c>
      <c r="AK738" s="58">
        <v>1254.6400000000001</v>
      </c>
      <c r="AL738" s="75">
        <f>+SUBTOTAL(9,Tabla6[[#This Row],[ENE]:[DIC]])</f>
        <v>39250.639999999999</v>
      </c>
      <c r="AM738" s="76" t="str">
        <f t="shared" si="15"/>
        <v>OK</v>
      </c>
      <c r="AN738" s="60">
        <f>85893.84-42946.92-42946.92+39249.64+1</f>
        <v>39250.639999999999</v>
      </c>
      <c r="AO738" s="61">
        <f>+Tabla6[[#This Row],[PRESUPUESTO VIGENTE]]-Tabla6[[#This Row],[CERTIFICACIÓN PAPP]]</f>
        <v>0</v>
      </c>
      <c r="AP738" s="59">
        <v>0</v>
      </c>
    </row>
    <row r="739" spans="1:42" ht="93" customHeight="1" x14ac:dyDescent="0.25">
      <c r="A739" s="62" t="s">
        <v>78</v>
      </c>
      <c r="B739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739" s="64" t="s">
        <v>79</v>
      </c>
      <c r="D739" s="64" t="s">
        <v>80</v>
      </c>
      <c r="E739" s="64" t="s">
        <v>81</v>
      </c>
      <c r="F739" s="64" t="s">
        <v>101</v>
      </c>
      <c r="G739" s="64" t="s">
        <v>92</v>
      </c>
      <c r="H739" s="65" t="str">
        <f>VLOOKUP(Tabla6[[#This Row],[DIRECCIÓN]],DIRECCIÓN[#All],2,0)</f>
        <v>ADMINISTRACIÓN CENTRAL</v>
      </c>
      <c r="I739" s="66" t="s">
        <v>971</v>
      </c>
      <c r="J739" s="67">
        <v>1</v>
      </c>
      <c r="K739" s="68" t="str">
        <f>VLOOKUP(Tabla6[[#This Row],[DIRECCIÓN GENERAL / COORDINACIÓN / SUBDIRECCIÓN]],Tabla37[[#All],[Columna1]:[EOD]],2,0)</f>
        <v>266_0005</v>
      </c>
      <c r="L739" s="69">
        <f>VLOOKUP(Tabla6[[#This Row],[OBJETIVOS PND]],Listas!$A$1:$C$3,3,0)</f>
        <v>1</v>
      </c>
      <c r="M739" s="70">
        <f>VLOOKUP(Tabla6[[#This Row],[PG]],Listas2!$G$14:$K$16,5,0)</f>
        <v>0</v>
      </c>
      <c r="N739" s="71">
        <v>1</v>
      </c>
      <c r="O739" s="72">
        <v>916</v>
      </c>
      <c r="P739" s="73" t="str">
        <f>VLOOKUP(Tabla6[[#This Row],[GEO]],Listas!$A$48:$B$77,2,0)</f>
        <v>SAMBORONDÓN</v>
      </c>
      <c r="Q739" s="70">
        <f>VLOOKUP(Tabla6[[#This Row],[PG]],Listas2!$G$14:$K$16,3,0)</f>
        <v>1</v>
      </c>
      <c r="R739" s="73">
        <f>VLOOKUP(Tabla6[[#This Row],[PG]],Listas2!H744:'Listas2'!$G$14:$K$16,4,0)</f>
        <v>0</v>
      </c>
      <c r="S739" s="73">
        <f>VLOOKUP(Tabla6[[#This Row],[PG]],Listas2!$G$14:$K$16,2,0)</f>
        <v>0</v>
      </c>
      <c r="T739" s="66" t="s">
        <v>84</v>
      </c>
      <c r="U739" s="74">
        <v>53</v>
      </c>
      <c r="V739" s="66">
        <v>530209</v>
      </c>
      <c r="W739" s="63" t="str">
        <f>VLOOKUP(Tabla6[[#This Row],[ÍTEM PRESUPUESTARIO]],Tabla2[#All],2,0)</f>
        <v>SERVICIOS DE ASEO, LAVADO DE VESTIMENTA DE TRABAJO, FUMIGACIÓN, DESINFECCIÓN, LIMPIEZA DE INSTALACIONES, MANEJO DE DESECHOS CONTAMINADOS, RECUPERACIÓN Y CLASIFICACIÓN DE MATERIALES RECICLABLES</v>
      </c>
      <c r="X739" s="57">
        <v>80621</v>
      </c>
      <c r="Y739" s="57">
        <f>80621+26000-583+1</f>
        <v>106039</v>
      </c>
      <c r="Z739" s="58">
        <v>0</v>
      </c>
      <c r="AA739" s="58">
        <v>28700</v>
      </c>
      <c r="AB739" s="58">
        <v>5192</v>
      </c>
      <c r="AC739" s="58">
        <v>8836.5</v>
      </c>
      <c r="AD739" s="58">
        <v>8836.5</v>
      </c>
      <c r="AE739" s="58">
        <v>8836.5</v>
      </c>
      <c r="AF739" s="58">
        <v>7703.25</v>
      </c>
      <c r="AG739" s="58">
        <v>7120.25</v>
      </c>
      <c r="AH739" s="58">
        <v>7703.25</v>
      </c>
      <c r="AI739" s="58">
        <v>7703.25</v>
      </c>
      <c r="AJ739" s="58">
        <v>7703.25</v>
      </c>
      <c r="AK739" s="58">
        <v>7704.25</v>
      </c>
      <c r="AL739" s="75">
        <f>+SUBTOTAL(9,Tabla6[[#This Row],[ENE]:[DIC]])</f>
        <v>106039</v>
      </c>
      <c r="AM739" s="76" t="str">
        <f t="shared" si="15"/>
        <v>OK</v>
      </c>
      <c r="AN739" s="60">
        <f>53019+53019+1</f>
        <v>106039</v>
      </c>
      <c r="AO739" s="61">
        <f>+Tabla6[[#This Row],[PRESUPUESTO VIGENTE]]-Tabla6[[#This Row],[CERTIFICACIÓN PAPP]]</f>
        <v>0</v>
      </c>
      <c r="AP739" s="59">
        <v>0</v>
      </c>
    </row>
    <row r="740" spans="1:42" ht="93" customHeight="1" x14ac:dyDescent="0.25">
      <c r="A740" s="62" t="s">
        <v>78</v>
      </c>
      <c r="B740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740" s="64" t="s">
        <v>79</v>
      </c>
      <c r="D740" s="64" t="s">
        <v>80</v>
      </c>
      <c r="E740" s="64" t="s">
        <v>81</v>
      </c>
      <c r="F740" s="64" t="s">
        <v>101</v>
      </c>
      <c r="G740" s="64" t="s">
        <v>92</v>
      </c>
      <c r="H740" s="65" t="str">
        <f>VLOOKUP(Tabla6[[#This Row],[DIRECCIÓN]],DIRECCIÓN[#All],2,0)</f>
        <v>ADMINISTRACIÓN CENTRAL</v>
      </c>
      <c r="I740" s="66" t="s">
        <v>972</v>
      </c>
      <c r="J740" s="67">
        <v>2</v>
      </c>
      <c r="K740" s="68" t="str">
        <f>VLOOKUP(Tabla6[[#This Row],[DIRECCIÓN GENERAL / COORDINACIÓN / SUBDIRECCIÓN]],Tabla37[[#All],[Columna1]:[EOD]],2,0)</f>
        <v>266_0005</v>
      </c>
      <c r="L740" s="69">
        <f>VLOOKUP(Tabla6[[#This Row],[OBJETIVOS PND]],Listas!$A$1:$C$3,3,0)</f>
        <v>1</v>
      </c>
      <c r="M740" s="70">
        <f>VLOOKUP(Tabla6[[#This Row],[PG]],Listas2!$G$14:$K$16,5,0)</f>
        <v>0</v>
      </c>
      <c r="N740" s="71">
        <v>1</v>
      </c>
      <c r="O740" s="72">
        <v>916</v>
      </c>
      <c r="P740" s="73" t="str">
        <f>VLOOKUP(Tabla6[[#This Row],[GEO]],Listas!$A$48:$B$77,2,0)</f>
        <v>SAMBORONDÓN</v>
      </c>
      <c r="Q740" s="70">
        <f>VLOOKUP(Tabla6[[#This Row],[PG]],Listas2!$G$14:$K$16,3,0)</f>
        <v>1</v>
      </c>
      <c r="R740" s="73">
        <f>VLOOKUP(Tabla6[[#This Row],[PG]],Listas2!H745:'Listas2'!$G$14:$K$16,4,0)</f>
        <v>0</v>
      </c>
      <c r="S740" s="73">
        <f>VLOOKUP(Tabla6[[#This Row],[PG]],Listas2!$G$14:$K$16,2,0)</f>
        <v>0</v>
      </c>
      <c r="T740" s="66" t="s">
        <v>84</v>
      </c>
      <c r="U740" s="74">
        <v>53</v>
      </c>
      <c r="V740" s="66">
        <v>530209</v>
      </c>
      <c r="W740" s="63" t="str">
        <f>VLOOKUP(Tabla6[[#This Row],[ÍTEM PRESUPUESTARIO]],Tabla2[#All],2,0)</f>
        <v>SERVICIOS DE ASEO, LAVADO DE VESTIMENTA DE TRABAJO, FUMIGACIÓN, DESINFECCIÓN, LIMPIEZA DE INSTALACIONES, MANEJO DE DESECHOS CONTAMINADOS, RECUPERACIÓN Y CLASIFICACIÓN DE MATERIALES RECICLABLES</v>
      </c>
      <c r="X740" s="57">
        <v>6250</v>
      </c>
      <c r="Y740" s="57">
        <f>6250-3174-100-496-800-1680</f>
        <v>0</v>
      </c>
      <c r="Z740" s="58">
        <v>0</v>
      </c>
      <c r="AA740" s="58">
        <v>0</v>
      </c>
      <c r="AB740" s="58">
        <v>0</v>
      </c>
      <c r="AC740" s="58">
        <v>0</v>
      </c>
      <c r="AD740" s="58">
        <v>0</v>
      </c>
      <c r="AE740" s="58">
        <v>0</v>
      </c>
      <c r="AF740" s="58">
        <v>0</v>
      </c>
      <c r="AG740" s="58">
        <v>0</v>
      </c>
      <c r="AH740" s="58">
        <v>0</v>
      </c>
      <c r="AI740" s="58">
        <v>0</v>
      </c>
      <c r="AJ740" s="58">
        <v>0</v>
      </c>
      <c r="AK740" s="58">
        <v>0</v>
      </c>
      <c r="AL740" s="75">
        <f>+SUBTOTAL(9,Tabla6[[#This Row],[ENE]:[DIC]])</f>
        <v>0</v>
      </c>
      <c r="AM740" s="76" t="str">
        <f t="shared" si="15"/>
        <v>OK</v>
      </c>
      <c r="AN740" s="60">
        <v>0</v>
      </c>
      <c r="AO740" s="61">
        <f>+Tabla6[[#This Row],[PRESUPUESTO VIGENTE]]-Tabla6[[#This Row],[CERTIFICACIÓN PAPP]]</f>
        <v>0</v>
      </c>
      <c r="AP740" s="59">
        <v>0</v>
      </c>
    </row>
    <row r="741" spans="1:42" ht="93" customHeight="1" x14ac:dyDescent="0.25">
      <c r="A741" s="62" t="s">
        <v>78</v>
      </c>
      <c r="B741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741" s="64" t="s">
        <v>79</v>
      </c>
      <c r="D741" s="64" t="s">
        <v>80</v>
      </c>
      <c r="E741" s="64" t="s">
        <v>81</v>
      </c>
      <c r="F741" s="64" t="s">
        <v>101</v>
      </c>
      <c r="G741" s="64" t="s">
        <v>92</v>
      </c>
      <c r="H741" s="65" t="str">
        <f>VLOOKUP(Tabla6[[#This Row],[DIRECCIÓN]],DIRECCIÓN[#All],2,0)</f>
        <v>ADMINISTRACIÓN CENTRAL</v>
      </c>
      <c r="I741" s="66" t="s">
        <v>973</v>
      </c>
      <c r="J741" s="67">
        <v>1</v>
      </c>
      <c r="K741" s="68" t="str">
        <f>VLOOKUP(Tabla6[[#This Row],[DIRECCIÓN GENERAL / COORDINACIÓN / SUBDIRECCIÓN]],Tabla37[[#All],[Columna1]:[EOD]],2,0)</f>
        <v>266_0005</v>
      </c>
      <c r="L741" s="69">
        <f>VLOOKUP(Tabla6[[#This Row],[OBJETIVOS PND]],Listas!$A$1:$C$3,3,0)</f>
        <v>1</v>
      </c>
      <c r="M741" s="70">
        <f>VLOOKUP(Tabla6[[#This Row],[PG]],Listas2!$G$14:$K$16,5,0)</f>
        <v>0</v>
      </c>
      <c r="N741" s="71">
        <v>1</v>
      </c>
      <c r="O741" s="72">
        <v>916</v>
      </c>
      <c r="P741" s="73" t="str">
        <f>VLOOKUP(Tabla6[[#This Row],[GEO]],Listas!$A$48:$B$77,2,0)</f>
        <v>SAMBORONDÓN</v>
      </c>
      <c r="Q741" s="70">
        <f>VLOOKUP(Tabla6[[#This Row],[PG]],Listas2!$G$14:$K$16,3,0)</f>
        <v>1</v>
      </c>
      <c r="R741" s="73">
        <f>VLOOKUP(Tabla6[[#This Row],[PG]],Listas2!H746:'Listas2'!$G$14:$K$16,4,0)</f>
        <v>0</v>
      </c>
      <c r="S741" s="73">
        <f>VLOOKUP(Tabla6[[#This Row],[PG]],Listas2!$G$14:$K$16,2,0)</f>
        <v>0</v>
      </c>
      <c r="T741" s="66" t="s">
        <v>84</v>
      </c>
      <c r="U741" s="74">
        <v>53</v>
      </c>
      <c r="V741" s="66">
        <v>530210</v>
      </c>
      <c r="W741" s="63" t="str">
        <f>VLOOKUP(Tabla6[[#This Row],[ÍTEM PRESUPUESTARIO]],Tabla2[#All],2,0)</f>
        <v>SERVICIO DE GUARDERÍA</v>
      </c>
      <c r="X741" s="57">
        <v>0</v>
      </c>
      <c r="Y741" s="57">
        <f>5730.3-3870.3</f>
        <v>1860</v>
      </c>
      <c r="Z741" s="58">
        <v>0</v>
      </c>
      <c r="AA741" s="58">
        <v>0</v>
      </c>
      <c r="AB741" s="58">
        <v>0</v>
      </c>
      <c r="AC741" s="58">
        <v>0</v>
      </c>
      <c r="AD741" s="58">
        <v>0</v>
      </c>
      <c r="AE741" s="58">
        <v>0</v>
      </c>
      <c r="AF741" s="58">
        <v>0</v>
      </c>
      <c r="AG741" s="58">
        <v>0</v>
      </c>
      <c r="AH741" s="58">
        <v>0</v>
      </c>
      <c r="AI741" s="58">
        <v>1860</v>
      </c>
      <c r="AJ741" s="58">
        <v>0</v>
      </c>
      <c r="AK741" s="58">
        <v>0</v>
      </c>
      <c r="AL741" s="75">
        <f>+SUBTOTAL(9,Tabla6[[#This Row],[ENE]:[DIC]])</f>
        <v>1860</v>
      </c>
      <c r="AM741" s="76" t="str">
        <f t="shared" si="15"/>
        <v>OK</v>
      </c>
      <c r="AN741" s="60">
        <f>5730.3-5451.3+1581.3-0.3</f>
        <v>1860</v>
      </c>
      <c r="AO741" s="61">
        <f>+Tabla6[[#This Row],[PRESUPUESTO VIGENTE]]-Tabla6[[#This Row],[CERTIFICACIÓN PAPP]]</f>
        <v>0</v>
      </c>
      <c r="AP741" s="59">
        <v>0</v>
      </c>
    </row>
    <row r="742" spans="1:42" ht="93" customHeight="1" x14ac:dyDescent="0.25">
      <c r="A742" s="62" t="s">
        <v>78</v>
      </c>
      <c r="B742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742" s="64" t="s">
        <v>79</v>
      </c>
      <c r="D742" s="64" t="s">
        <v>80</v>
      </c>
      <c r="E742" s="64" t="s">
        <v>81</v>
      </c>
      <c r="F742" s="64" t="s">
        <v>101</v>
      </c>
      <c r="G742" s="64" t="s">
        <v>92</v>
      </c>
      <c r="H742" s="65" t="str">
        <f>VLOOKUP(Tabla6[[#This Row],[DIRECCIÓN]],DIRECCIÓN[#All],2,0)</f>
        <v>ADMINISTRACIÓN CENTRAL</v>
      </c>
      <c r="I742" s="66" t="s">
        <v>974</v>
      </c>
      <c r="J742" s="67">
        <v>1</v>
      </c>
      <c r="K742" s="68" t="str">
        <f>VLOOKUP(Tabla6[[#This Row],[DIRECCIÓN GENERAL / COORDINACIÓN / SUBDIRECCIÓN]],Tabla37[[#All],[Columna1]:[EOD]],2,0)</f>
        <v>266_0005</v>
      </c>
      <c r="L742" s="69">
        <f>VLOOKUP(Tabla6[[#This Row],[OBJETIVOS PND]],Listas!$A$1:$C$3,3,0)</f>
        <v>1</v>
      </c>
      <c r="M742" s="70">
        <f>VLOOKUP(Tabla6[[#This Row],[PG]],Listas2!$G$14:$K$16,5,0)</f>
        <v>0</v>
      </c>
      <c r="N742" s="71">
        <v>1</v>
      </c>
      <c r="O742" s="72">
        <v>916</v>
      </c>
      <c r="P742" s="73" t="str">
        <f>VLOOKUP(Tabla6[[#This Row],[GEO]],Listas!$A$48:$B$77,2,0)</f>
        <v>SAMBORONDÓN</v>
      </c>
      <c r="Q742" s="70">
        <f>VLOOKUP(Tabla6[[#This Row],[PG]],Listas2!$G$14:$K$16,3,0)</f>
        <v>1</v>
      </c>
      <c r="R742" s="73">
        <f>VLOOKUP(Tabla6[[#This Row],[PG]],Listas2!H747:'Listas2'!$G$14:$K$16,4,0)</f>
        <v>0</v>
      </c>
      <c r="S742" s="73">
        <f>VLOOKUP(Tabla6[[#This Row],[PG]],Listas2!$G$14:$K$16,2,0)</f>
        <v>0</v>
      </c>
      <c r="T742" s="66" t="s">
        <v>84</v>
      </c>
      <c r="U742" s="74">
        <v>53</v>
      </c>
      <c r="V742" s="66">
        <v>530246</v>
      </c>
      <c r="W742" s="63" t="str">
        <f>VLOOKUP(Tabla6[[#This Row],[ÍTEM PRESUPUESTARIO]],Tabla2[#All],2,0)</f>
        <v>SERVICIOS DE IDENTIFICACIÓN, MARCACIÓN, AUTENTIFICACIÓN, RASTREO, MONITOREO, SEGUIMIENTO Y/O TRAZABILIDAD</v>
      </c>
      <c r="X742" s="57">
        <v>2679</v>
      </c>
      <c r="Y742" s="57">
        <f>2679-1284</f>
        <v>1395</v>
      </c>
      <c r="Z742" s="58">
        <v>0</v>
      </c>
      <c r="AA742" s="58">
        <v>0</v>
      </c>
      <c r="AB742" s="58">
        <v>0</v>
      </c>
      <c r="AC742" s="58">
        <v>0</v>
      </c>
      <c r="AD742" s="58">
        <v>1395</v>
      </c>
      <c r="AE742" s="58">
        <v>0</v>
      </c>
      <c r="AF742" s="58">
        <v>0</v>
      </c>
      <c r="AG742" s="58">
        <v>0</v>
      </c>
      <c r="AH742" s="58">
        <v>0</v>
      </c>
      <c r="AI742" s="58">
        <v>0</v>
      </c>
      <c r="AJ742" s="58">
        <v>0</v>
      </c>
      <c r="AK742" s="58">
        <v>0</v>
      </c>
      <c r="AL742" s="75">
        <f>+SUBTOTAL(9,Tabla6[[#This Row],[ENE]:[DIC]])</f>
        <v>1395</v>
      </c>
      <c r="AM742" s="76" t="str">
        <f t="shared" si="15"/>
        <v>OK</v>
      </c>
      <c r="AN742" s="60">
        <v>1395</v>
      </c>
      <c r="AO742" s="61">
        <f>+Tabla6[[#This Row],[PRESUPUESTO VIGENTE]]-Tabla6[[#This Row],[CERTIFICACIÓN PAPP]]</f>
        <v>0</v>
      </c>
      <c r="AP742" s="59" t="s">
        <v>87</v>
      </c>
    </row>
    <row r="743" spans="1:42" ht="93" customHeight="1" x14ac:dyDescent="0.25">
      <c r="A743" s="62" t="s">
        <v>78</v>
      </c>
      <c r="B743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743" s="64" t="s">
        <v>79</v>
      </c>
      <c r="D743" s="64" t="s">
        <v>80</v>
      </c>
      <c r="E743" s="64" t="s">
        <v>81</v>
      </c>
      <c r="F743" s="64" t="s">
        <v>101</v>
      </c>
      <c r="G743" s="64" t="s">
        <v>92</v>
      </c>
      <c r="H743" s="65" t="str">
        <f>VLOOKUP(Tabla6[[#This Row],[DIRECCIÓN]],DIRECCIÓN[#All],2,0)</f>
        <v>ADMINISTRACIÓN CENTRAL</v>
      </c>
      <c r="I743" s="66" t="s">
        <v>975</v>
      </c>
      <c r="J743" s="67">
        <v>2</v>
      </c>
      <c r="K743" s="68" t="str">
        <f>VLOOKUP(Tabla6[[#This Row],[DIRECCIÓN GENERAL / COORDINACIÓN / SUBDIRECCIÓN]],Tabla37[[#All],[Columna1]:[EOD]],2,0)</f>
        <v>266_0005</v>
      </c>
      <c r="L743" s="69">
        <f>VLOOKUP(Tabla6[[#This Row],[OBJETIVOS PND]],Listas!$A$1:$C$3,3,0)</f>
        <v>1</v>
      </c>
      <c r="M743" s="70">
        <f>VLOOKUP(Tabla6[[#This Row],[PG]],Listas2!$G$14:$K$16,5,0)</f>
        <v>0</v>
      </c>
      <c r="N743" s="71">
        <v>1</v>
      </c>
      <c r="O743" s="72">
        <v>916</v>
      </c>
      <c r="P743" s="73" t="str">
        <f>VLOOKUP(Tabla6[[#This Row],[GEO]],Listas!$A$48:$B$77,2,0)</f>
        <v>SAMBORONDÓN</v>
      </c>
      <c r="Q743" s="70">
        <f>VLOOKUP(Tabla6[[#This Row],[PG]],Listas2!$G$14:$K$16,3,0)</f>
        <v>1</v>
      </c>
      <c r="R743" s="73">
        <f>VLOOKUP(Tabla6[[#This Row],[PG]],Listas2!H748:'Listas2'!$G$14:$K$16,4,0)</f>
        <v>0</v>
      </c>
      <c r="S743" s="73">
        <f>VLOOKUP(Tabla6[[#This Row],[PG]],Listas2!$G$14:$K$16,2,0)</f>
        <v>0</v>
      </c>
      <c r="T743" s="66" t="s">
        <v>84</v>
      </c>
      <c r="U743" s="74">
        <v>53</v>
      </c>
      <c r="V743" s="66">
        <v>530246</v>
      </c>
      <c r="W743" s="63" t="str">
        <f>VLOOKUP(Tabla6[[#This Row],[ÍTEM PRESUPUESTARIO]],Tabla2[#All],2,0)</f>
        <v>SERVICIOS DE IDENTIFICACIÓN, MARCACIÓN, AUTENTIFICACIÓN, RASTREO, MONITOREO, SEGUIMIENTO Y/O TRAZABILIDAD</v>
      </c>
      <c r="X743" s="57">
        <v>0</v>
      </c>
      <c r="Y743" s="57">
        <f>6300-5.04</f>
        <v>6294.96</v>
      </c>
      <c r="Z743" s="58">
        <v>0</v>
      </c>
      <c r="AA743" s="58">
        <v>0</v>
      </c>
      <c r="AB743" s="58">
        <v>0</v>
      </c>
      <c r="AC743" s="58">
        <v>0</v>
      </c>
      <c r="AD743" s="58">
        <v>0</v>
      </c>
      <c r="AE743" s="58">
        <v>0</v>
      </c>
      <c r="AF743" s="58">
        <v>0</v>
      </c>
      <c r="AG743" s="58">
        <v>6294.96</v>
      </c>
      <c r="AH743" s="58">
        <v>0</v>
      </c>
      <c r="AI743" s="58">
        <v>0</v>
      </c>
      <c r="AJ743" s="58">
        <v>0</v>
      </c>
      <c r="AK743" s="58">
        <v>0</v>
      </c>
      <c r="AL743" s="75">
        <f>+SUBTOTAL(9,Tabla6[[#This Row],[ENE]:[DIC]])</f>
        <v>6294.96</v>
      </c>
      <c r="AM743" s="76" t="str">
        <f t="shared" si="15"/>
        <v>OK</v>
      </c>
      <c r="AN743" s="60">
        <v>6294.96</v>
      </c>
      <c r="AO743" s="61">
        <f>+Tabla6[[#This Row],[PRESUPUESTO VIGENTE]]-Tabla6[[#This Row],[CERTIFICACIÓN PAPP]]</f>
        <v>0</v>
      </c>
      <c r="AP743" s="59" t="s">
        <v>87</v>
      </c>
    </row>
    <row r="744" spans="1:42" ht="93" customHeight="1" x14ac:dyDescent="0.25">
      <c r="A744" s="62" t="s">
        <v>78</v>
      </c>
      <c r="B744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744" s="64" t="s">
        <v>79</v>
      </c>
      <c r="D744" s="64" t="s">
        <v>80</v>
      </c>
      <c r="E744" s="64" t="s">
        <v>81</v>
      </c>
      <c r="F744" s="64" t="s">
        <v>101</v>
      </c>
      <c r="G744" s="64" t="s">
        <v>92</v>
      </c>
      <c r="H744" s="65" t="str">
        <f>VLOOKUP(Tabla6[[#This Row],[DIRECCIÓN]],DIRECCIÓN[#All],2,0)</f>
        <v>ADMINISTRACIÓN CENTRAL</v>
      </c>
      <c r="I744" s="66" t="s">
        <v>976</v>
      </c>
      <c r="J744" s="67">
        <v>1</v>
      </c>
      <c r="K744" s="68" t="str">
        <f>VLOOKUP(Tabla6[[#This Row],[DIRECCIÓN GENERAL / COORDINACIÓN / SUBDIRECCIÓN]],Tabla37[[#All],[Columna1]:[EOD]],2,0)</f>
        <v>266_0005</v>
      </c>
      <c r="L744" s="69">
        <f>VLOOKUP(Tabla6[[#This Row],[OBJETIVOS PND]],Listas!$A$1:$C$3,3,0)</f>
        <v>1</v>
      </c>
      <c r="M744" s="70">
        <f>VLOOKUP(Tabla6[[#This Row],[PG]],Listas2!$G$14:$K$16,5,0)</f>
        <v>0</v>
      </c>
      <c r="N744" s="71">
        <v>1</v>
      </c>
      <c r="O744" s="72">
        <v>916</v>
      </c>
      <c r="P744" s="73" t="str">
        <f>VLOOKUP(Tabla6[[#This Row],[GEO]],Listas!$A$48:$B$77,2,0)</f>
        <v>SAMBORONDÓN</v>
      </c>
      <c r="Q744" s="70">
        <f>VLOOKUP(Tabla6[[#This Row],[PG]],Listas2!$G$14:$K$16,3,0)</f>
        <v>1</v>
      </c>
      <c r="R744" s="73">
        <f>VLOOKUP(Tabla6[[#This Row],[PG]],Listas2!H749:'Listas2'!$G$14:$K$16,4,0)</f>
        <v>0</v>
      </c>
      <c r="S744" s="73">
        <f>VLOOKUP(Tabla6[[#This Row],[PG]],Listas2!$G$14:$K$16,2,0)</f>
        <v>0</v>
      </c>
      <c r="T744" s="66" t="s">
        <v>84</v>
      </c>
      <c r="U744" s="74">
        <v>53</v>
      </c>
      <c r="V744" s="66">
        <v>530255</v>
      </c>
      <c r="W744" s="63" t="str">
        <f>VLOOKUP(Tabla6[[#This Row],[ÍTEM PRESUPUESTARIO]],Tabla2[#All],2,0)</f>
        <v>COMBUSTIBLES</v>
      </c>
      <c r="X744" s="57">
        <v>0</v>
      </c>
      <c r="Y744" s="57">
        <f>5536+1520.64-755.82-4.39</f>
        <v>6296.43</v>
      </c>
      <c r="Z744" s="58">
        <v>0</v>
      </c>
      <c r="AA744" s="58">
        <v>0</v>
      </c>
      <c r="AB744" s="58">
        <v>0</v>
      </c>
      <c r="AC744" s="58">
        <v>0</v>
      </c>
      <c r="AD744" s="58">
        <v>0</v>
      </c>
      <c r="AE744" s="58">
        <v>6296.43</v>
      </c>
      <c r="AF744" s="58">
        <v>0</v>
      </c>
      <c r="AG744" s="58">
        <v>0</v>
      </c>
      <c r="AH744" s="58">
        <v>0</v>
      </c>
      <c r="AI744" s="58">
        <v>0</v>
      </c>
      <c r="AJ744" s="58">
        <v>0</v>
      </c>
      <c r="AK744" s="58">
        <v>0</v>
      </c>
      <c r="AL744" s="75">
        <f>+SUBTOTAL(9,Tabla6[[#This Row],[ENE]:[DIC]])</f>
        <v>6296.43</v>
      </c>
      <c r="AM744" s="76" t="str">
        <f t="shared" si="15"/>
        <v>OK</v>
      </c>
      <c r="AN744" s="60">
        <f>7052.25-7052.25+6296.43</f>
        <v>6296.43</v>
      </c>
      <c r="AO744" s="61">
        <f>+Tabla6[[#This Row],[PRESUPUESTO VIGENTE]]-Tabla6[[#This Row],[CERTIFICACIÓN PAPP]]</f>
        <v>0</v>
      </c>
      <c r="AP744" s="59">
        <v>0</v>
      </c>
    </row>
    <row r="745" spans="1:42" ht="93" customHeight="1" x14ac:dyDescent="0.25">
      <c r="A745" s="62" t="s">
        <v>78</v>
      </c>
      <c r="B745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745" s="64" t="s">
        <v>79</v>
      </c>
      <c r="D745" s="64" t="s">
        <v>80</v>
      </c>
      <c r="E745" s="64" t="s">
        <v>81</v>
      </c>
      <c r="F745" s="64" t="s">
        <v>101</v>
      </c>
      <c r="G745" s="64" t="s">
        <v>92</v>
      </c>
      <c r="H745" s="65" t="str">
        <f>VLOOKUP(Tabla6[[#This Row],[DIRECCIÓN]],DIRECCIÓN[#All],2,0)</f>
        <v>ADMINISTRACIÓN CENTRAL</v>
      </c>
      <c r="I745" s="66" t="s">
        <v>977</v>
      </c>
      <c r="J745" s="67">
        <v>1</v>
      </c>
      <c r="K745" s="68" t="str">
        <f>VLOOKUP(Tabla6[[#This Row],[DIRECCIÓN GENERAL / COORDINACIÓN / SUBDIRECCIÓN]],Tabla37[[#All],[Columna1]:[EOD]],2,0)</f>
        <v>266_0005</v>
      </c>
      <c r="L745" s="69">
        <f>VLOOKUP(Tabla6[[#This Row],[OBJETIVOS PND]],Listas!$A$1:$C$3,3,0)</f>
        <v>1</v>
      </c>
      <c r="M745" s="70">
        <f>VLOOKUP(Tabla6[[#This Row],[PG]],Listas2!$G$14:$K$16,5,0)</f>
        <v>0</v>
      </c>
      <c r="N745" s="71">
        <v>1</v>
      </c>
      <c r="O745" s="72">
        <v>916</v>
      </c>
      <c r="P745" s="73" t="str">
        <f>VLOOKUP(Tabla6[[#This Row],[GEO]],Listas!$A$48:$B$77,2,0)</f>
        <v>SAMBORONDÓN</v>
      </c>
      <c r="Q745" s="70">
        <f>VLOOKUP(Tabla6[[#This Row],[PG]],Listas2!$G$14:$K$16,3,0)</f>
        <v>1</v>
      </c>
      <c r="R745" s="73">
        <f>VLOOKUP(Tabla6[[#This Row],[PG]],Listas2!H750:'Listas2'!$G$14:$K$16,4,0)</f>
        <v>0</v>
      </c>
      <c r="S745" s="73">
        <f>VLOOKUP(Tabla6[[#This Row],[PG]],Listas2!$G$14:$K$16,2,0)</f>
        <v>0</v>
      </c>
      <c r="T745" s="66" t="s">
        <v>84</v>
      </c>
      <c r="U745" s="74">
        <v>53</v>
      </c>
      <c r="V745" s="66">
        <v>530301</v>
      </c>
      <c r="W745" s="63" t="str">
        <f>VLOOKUP(Tabla6[[#This Row],[ÍTEM PRESUPUESTARIO]],Tabla2[#All],2,0)</f>
        <v>PASAJES AL INTERIOR</v>
      </c>
      <c r="X745" s="57">
        <v>100</v>
      </c>
      <c r="Y745" s="57">
        <f>100+500+400+5000-2672.1+3072.1-5234.04</f>
        <v>1165.96</v>
      </c>
      <c r="Z745" s="58">
        <v>0</v>
      </c>
      <c r="AA745" s="58">
        <v>0</v>
      </c>
      <c r="AB745" s="58">
        <v>0</v>
      </c>
      <c r="AC745" s="58">
        <v>0</v>
      </c>
      <c r="AD745" s="58">
        <v>0</v>
      </c>
      <c r="AE745" s="58">
        <v>0</v>
      </c>
      <c r="AF745" s="58">
        <v>0</v>
      </c>
      <c r="AG745" s="58">
        <v>1165.96</v>
      </c>
      <c r="AH745" s="58">
        <v>0</v>
      </c>
      <c r="AI745" s="58">
        <v>0</v>
      </c>
      <c r="AJ745" s="58">
        <v>0</v>
      </c>
      <c r="AK745" s="58">
        <v>0</v>
      </c>
      <c r="AL745" s="75">
        <f>+SUBTOTAL(9,Tabla6[[#This Row],[ENE]:[DIC]])</f>
        <v>1165.96</v>
      </c>
      <c r="AM745" s="76" t="str">
        <f t="shared" si="15"/>
        <v>OK</v>
      </c>
      <c r="AN745" s="60">
        <f>100+900+5400-657.68-4576.16-0.2</f>
        <v>1165.9599999999998</v>
      </c>
      <c r="AO745" s="61">
        <f>+Tabla6[[#This Row],[PRESUPUESTO VIGENTE]]-Tabla6[[#This Row],[CERTIFICACIÓN PAPP]]</f>
        <v>0</v>
      </c>
      <c r="AP745" s="59">
        <v>0</v>
      </c>
    </row>
    <row r="746" spans="1:42" ht="93" customHeight="1" x14ac:dyDescent="0.25">
      <c r="A746" s="62" t="s">
        <v>78</v>
      </c>
      <c r="B746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746" s="64" t="s">
        <v>79</v>
      </c>
      <c r="D746" s="64" t="s">
        <v>80</v>
      </c>
      <c r="E746" s="64" t="s">
        <v>81</v>
      </c>
      <c r="F746" s="64" t="s">
        <v>101</v>
      </c>
      <c r="G746" s="64" t="s">
        <v>92</v>
      </c>
      <c r="H746" s="65" t="str">
        <f>VLOOKUP(Tabla6[[#This Row],[DIRECCIÓN]],DIRECCIÓN[#All],2,0)</f>
        <v>ADMINISTRACIÓN CENTRAL</v>
      </c>
      <c r="I746" s="66" t="s">
        <v>978</v>
      </c>
      <c r="J746" s="67">
        <v>2</v>
      </c>
      <c r="K746" s="68" t="str">
        <f>VLOOKUP(Tabla6[[#This Row],[DIRECCIÓN GENERAL / COORDINACIÓN / SUBDIRECCIÓN]],Tabla37[[#All],[Columna1]:[EOD]],2,0)</f>
        <v>266_0005</v>
      </c>
      <c r="L746" s="69">
        <f>VLOOKUP(Tabla6[[#This Row],[OBJETIVOS PND]],Listas!$A$1:$C$3,3,0)</f>
        <v>1</v>
      </c>
      <c r="M746" s="70">
        <f>VLOOKUP(Tabla6[[#This Row],[PG]],Listas2!$G$14:$K$16,5,0)</f>
        <v>0</v>
      </c>
      <c r="N746" s="71">
        <v>1</v>
      </c>
      <c r="O746" s="72">
        <v>916</v>
      </c>
      <c r="P746" s="73" t="str">
        <f>VLOOKUP(Tabla6[[#This Row],[GEO]],Listas!$A$48:$B$77,2,0)</f>
        <v>SAMBORONDÓN</v>
      </c>
      <c r="Q746" s="70">
        <f>VLOOKUP(Tabla6[[#This Row],[PG]],Listas2!$G$14:$K$16,3,0)</f>
        <v>1</v>
      </c>
      <c r="R746" s="73">
        <f>VLOOKUP(Tabla6[[#This Row],[PG]],Listas2!H751:'Listas2'!$G$14:$K$16,4,0)</f>
        <v>0</v>
      </c>
      <c r="S746" s="73">
        <f>VLOOKUP(Tabla6[[#This Row],[PG]],Listas2!$G$14:$K$16,2,0)</f>
        <v>0</v>
      </c>
      <c r="T746" s="66" t="s">
        <v>84</v>
      </c>
      <c r="U746" s="74">
        <v>53</v>
      </c>
      <c r="V746" s="66">
        <v>530301</v>
      </c>
      <c r="W746" s="63" t="str">
        <f>VLOOKUP(Tabla6[[#This Row],[ÍTEM PRESUPUESTARIO]],Tabla2[#All],2,0)</f>
        <v>PASAJES AL INTERIOR</v>
      </c>
      <c r="X746" s="57">
        <v>4000</v>
      </c>
      <c r="Y746" s="57">
        <f>4000+3056-400-1411.4</f>
        <v>5244.6</v>
      </c>
      <c r="Z746" s="58">
        <v>0</v>
      </c>
      <c r="AA746" s="58">
        <v>0</v>
      </c>
      <c r="AB746" s="58">
        <v>0</v>
      </c>
      <c r="AC746" s="58">
        <v>0</v>
      </c>
      <c r="AD746" s="58">
        <v>464</v>
      </c>
      <c r="AE746" s="58">
        <v>0</v>
      </c>
      <c r="AF746" s="58">
        <v>864</v>
      </c>
      <c r="AG746" s="58">
        <v>0</v>
      </c>
      <c r="AH746" s="58">
        <v>864</v>
      </c>
      <c r="AI746" s="58">
        <v>0</v>
      </c>
      <c r="AJ746" s="58">
        <v>519.79999999999995</v>
      </c>
      <c r="AK746" s="58">
        <v>2532.8000000000002</v>
      </c>
      <c r="AL746" s="75">
        <f>+SUBTOTAL(9,Tabla6[[#This Row],[ENE]:[DIC]])</f>
        <v>5244.6</v>
      </c>
      <c r="AM746" s="76" t="str">
        <f t="shared" si="15"/>
        <v>OK</v>
      </c>
      <c r="AN746" s="60">
        <f>7035-1623.2+900-723-344.2</f>
        <v>5244.6</v>
      </c>
      <c r="AO746" s="61">
        <f>+Tabla6[[#This Row],[PRESUPUESTO VIGENTE]]-Tabla6[[#This Row],[CERTIFICACIÓN PAPP]]</f>
        <v>0</v>
      </c>
      <c r="AP746" s="59" t="s">
        <v>87</v>
      </c>
    </row>
    <row r="747" spans="1:42" ht="93" customHeight="1" x14ac:dyDescent="0.25">
      <c r="A747" s="62" t="s">
        <v>78</v>
      </c>
      <c r="B747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747" s="64" t="s">
        <v>79</v>
      </c>
      <c r="D747" s="64" t="s">
        <v>80</v>
      </c>
      <c r="E747" s="64" t="s">
        <v>81</v>
      </c>
      <c r="F747" s="64" t="s">
        <v>101</v>
      </c>
      <c r="G747" s="64" t="s">
        <v>92</v>
      </c>
      <c r="H747" s="65" t="str">
        <f>VLOOKUP(Tabla6[[#This Row],[DIRECCIÓN]],DIRECCIÓN[#All],2,0)</f>
        <v>ADMINISTRACIÓN CENTRAL</v>
      </c>
      <c r="I747" s="66" t="s">
        <v>979</v>
      </c>
      <c r="J747" s="67">
        <v>1</v>
      </c>
      <c r="K747" s="68" t="str">
        <f>VLOOKUP(Tabla6[[#This Row],[DIRECCIÓN GENERAL / COORDINACIÓN / SUBDIRECCIÓN]],Tabla37[[#All],[Columna1]:[EOD]],2,0)</f>
        <v>266_0005</v>
      </c>
      <c r="L747" s="69">
        <f>VLOOKUP(Tabla6[[#This Row],[OBJETIVOS PND]],Listas!$A$1:$C$3,3,0)</f>
        <v>1</v>
      </c>
      <c r="M747" s="70">
        <f>VLOOKUP(Tabla6[[#This Row],[PG]],Listas2!$G$14:$K$16,5,0)</f>
        <v>0</v>
      </c>
      <c r="N747" s="71">
        <v>1</v>
      </c>
      <c r="O747" s="72">
        <v>916</v>
      </c>
      <c r="P747" s="73" t="str">
        <f>VLOOKUP(Tabla6[[#This Row],[GEO]],Listas!$A$48:$B$77,2,0)</f>
        <v>SAMBORONDÓN</v>
      </c>
      <c r="Q747" s="70">
        <f>VLOOKUP(Tabla6[[#This Row],[PG]],Listas2!$G$14:$K$16,3,0)</f>
        <v>1</v>
      </c>
      <c r="R747" s="73">
        <f>VLOOKUP(Tabla6[[#This Row],[PG]],Listas2!H752:'Listas2'!$G$14:$K$16,4,0)</f>
        <v>0</v>
      </c>
      <c r="S747" s="73">
        <f>VLOOKUP(Tabla6[[#This Row],[PG]],Listas2!$G$14:$K$16,2,0)</f>
        <v>0</v>
      </c>
      <c r="T747" s="66" t="s">
        <v>84</v>
      </c>
      <c r="U747" s="74">
        <v>53</v>
      </c>
      <c r="V747" s="66">
        <v>530303</v>
      </c>
      <c r="W747" s="63" t="str">
        <f>VLOOKUP(Tabla6[[#This Row],[ÍTEM PRESUPUESTARIO]],Tabla2[#All],2,0)</f>
        <v>VIÁTICOS Y SUBSISTENCIAS EN EL INTERIOR</v>
      </c>
      <c r="X747" s="57">
        <v>5500</v>
      </c>
      <c r="Y747" s="57">
        <f>5500+6019.17+7000-3630.9</f>
        <v>14888.269999999999</v>
      </c>
      <c r="Z747" s="58">
        <v>0</v>
      </c>
      <c r="AA747" s="58">
        <v>0</v>
      </c>
      <c r="AB747" s="58">
        <v>1833</v>
      </c>
      <c r="AC747" s="58">
        <v>0</v>
      </c>
      <c r="AD747" s="58">
        <v>0</v>
      </c>
      <c r="AE747" s="58">
        <v>0</v>
      </c>
      <c r="AF747" s="58">
        <v>7852.17</v>
      </c>
      <c r="AG747" s="58">
        <v>0</v>
      </c>
      <c r="AH747" s="58">
        <v>0</v>
      </c>
      <c r="AI747" s="58">
        <v>0</v>
      </c>
      <c r="AJ747" s="58">
        <v>5203.1000000000004</v>
      </c>
      <c r="AK747" s="58">
        <v>0</v>
      </c>
      <c r="AL747" s="75">
        <f>+SUBTOTAL(9,Tabla6[[#This Row],[ENE]:[DIC]])</f>
        <v>14888.27</v>
      </c>
      <c r="AM747" s="76" t="str">
        <f t="shared" si="15"/>
        <v>OK</v>
      </c>
      <c r="AN747" s="60">
        <f>5500+6019.17-1680+7652.62+1027.38-7309.33+6349.33-5949.33+6349.33+560-3630-0.9</f>
        <v>14888.270000000002</v>
      </c>
      <c r="AO747" s="61">
        <f>+Tabla6[[#This Row],[PRESUPUESTO VIGENTE]]-Tabla6[[#This Row],[CERTIFICACIÓN PAPP]]</f>
        <v>0</v>
      </c>
      <c r="AP747" s="59">
        <v>0</v>
      </c>
    </row>
    <row r="748" spans="1:42" ht="93" customHeight="1" x14ac:dyDescent="0.25">
      <c r="A748" s="62" t="s">
        <v>78</v>
      </c>
      <c r="B748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748" s="64" t="s">
        <v>79</v>
      </c>
      <c r="D748" s="64" t="s">
        <v>80</v>
      </c>
      <c r="E748" s="64" t="s">
        <v>81</v>
      </c>
      <c r="F748" s="64" t="s">
        <v>101</v>
      </c>
      <c r="G748" s="64" t="s">
        <v>92</v>
      </c>
      <c r="H748" s="65" t="str">
        <f>VLOOKUP(Tabla6[[#This Row],[DIRECCIÓN]],DIRECCIÓN[#All],2,0)</f>
        <v>ADMINISTRACIÓN CENTRAL</v>
      </c>
      <c r="I748" s="66" t="s">
        <v>980</v>
      </c>
      <c r="J748" s="67">
        <v>1</v>
      </c>
      <c r="K748" s="68" t="str">
        <f>VLOOKUP(Tabla6[[#This Row],[DIRECCIÓN GENERAL / COORDINACIÓN / SUBDIRECCIÓN]],Tabla37[[#All],[Columna1]:[EOD]],2,0)</f>
        <v>266_0005</v>
      </c>
      <c r="L748" s="69">
        <f>VLOOKUP(Tabla6[[#This Row],[OBJETIVOS PND]],Listas!$A$1:$C$3,3,0)</f>
        <v>1</v>
      </c>
      <c r="M748" s="70">
        <f>VLOOKUP(Tabla6[[#This Row],[PG]],Listas2!$G$14:$K$16,5,0)</f>
        <v>0</v>
      </c>
      <c r="N748" s="71">
        <v>1</v>
      </c>
      <c r="O748" s="72">
        <v>916</v>
      </c>
      <c r="P748" s="73" t="str">
        <f>VLOOKUP(Tabla6[[#This Row],[GEO]],Listas!$A$48:$B$77,2,0)</f>
        <v>SAMBORONDÓN</v>
      </c>
      <c r="Q748" s="70">
        <f>VLOOKUP(Tabla6[[#This Row],[PG]],Listas2!$G$14:$K$16,3,0)</f>
        <v>1</v>
      </c>
      <c r="R748" s="73">
        <f>VLOOKUP(Tabla6[[#This Row],[PG]],Listas2!H753:'Listas2'!$G$14:$K$16,4,0)</f>
        <v>0</v>
      </c>
      <c r="S748" s="73">
        <f>VLOOKUP(Tabla6[[#This Row],[PG]],Listas2!$G$14:$K$16,2,0)</f>
        <v>0</v>
      </c>
      <c r="T748" s="66" t="s">
        <v>84</v>
      </c>
      <c r="U748" s="74">
        <v>53</v>
      </c>
      <c r="V748" s="66">
        <v>530402</v>
      </c>
      <c r="W748" s="63" t="str">
        <f>VLOOKUP(Tabla6[[#This Row],[ÍTEM PRESUPUESTARIO]],Tabla2[#All],2,0)</f>
        <v>EDIFICIOS, LOCALES, RESIDENCIAS Y CABLEADO ESTRUCTURADO (INSTALACIÓN, MANTENIMIENTO Y REPARACIÓN)</v>
      </c>
      <c r="X748" s="57">
        <v>100621</v>
      </c>
      <c r="Y748" s="57">
        <f>100621+36000+1762.9-43663.9</f>
        <v>94720</v>
      </c>
      <c r="Z748" s="58">
        <v>0</v>
      </c>
      <c r="AA748" s="58">
        <v>0</v>
      </c>
      <c r="AB748" s="58">
        <v>0</v>
      </c>
      <c r="AC748" s="58">
        <v>0</v>
      </c>
      <c r="AD748" s="58">
        <v>0</v>
      </c>
      <c r="AE748" s="58">
        <v>23210.9</v>
      </c>
      <c r="AF748" s="58">
        <v>0</v>
      </c>
      <c r="AG748" s="58">
        <v>23210.9</v>
      </c>
      <c r="AH748" s="58">
        <v>0</v>
      </c>
      <c r="AI748" s="58">
        <v>23210.9</v>
      </c>
      <c r="AJ748" s="58">
        <v>0</v>
      </c>
      <c r="AK748" s="58">
        <v>25087.3</v>
      </c>
      <c r="AL748" s="75">
        <f>+SUBTOTAL(9,Tabla6[[#This Row],[ENE]:[DIC]])</f>
        <v>94720.000000000015</v>
      </c>
      <c r="AM748" s="76" t="str">
        <f t="shared" si="15"/>
        <v>OK</v>
      </c>
      <c r="AN748" s="60">
        <f>11600+126783.9-43663.9-94700.13+94700.13</f>
        <v>94720</v>
      </c>
      <c r="AO748" s="61">
        <f>+Tabla6[[#This Row],[PRESUPUESTO VIGENTE]]-Tabla6[[#This Row],[CERTIFICACIÓN PAPP]]</f>
        <v>0</v>
      </c>
      <c r="AP748" s="59" t="s">
        <v>87</v>
      </c>
    </row>
    <row r="749" spans="1:42" ht="93" customHeight="1" x14ac:dyDescent="0.25">
      <c r="A749" s="62" t="s">
        <v>78</v>
      </c>
      <c r="B749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749" s="64" t="s">
        <v>79</v>
      </c>
      <c r="D749" s="64" t="s">
        <v>80</v>
      </c>
      <c r="E749" s="64" t="s">
        <v>81</v>
      </c>
      <c r="F749" s="64" t="s">
        <v>101</v>
      </c>
      <c r="G749" s="64" t="s">
        <v>92</v>
      </c>
      <c r="H749" s="65" t="str">
        <f>VLOOKUP(Tabla6[[#This Row],[DIRECCIÓN]],DIRECCIÓN[#All],2,0)</f>
        <v>ADMINISTRACIÓN CENTRAL</v>
      </c>
      <c r="I749" s="66" t="s">
        <v>981</v>
      </c>
      <c r="J749" s="67">
        <v>1</v>
      </c>
      <c r="K749" s="68" t="str">
        <f>VLOOKUP(Tabla6[[#This Row],[DIRECCIÓN GENERAL / COORDINACIÓN / SUBDIRECCIÓN]],Tabla37[[#All],[Columna1]:[EOD]],2,0)</f>
        <v>266_0005</v>
      </c>
      <c r="L749" s="69">
        <f>VLOOKUP(Tabla6[[#This Row],[OBJETIVOS PND]],Listas!$A$1:$C$3,3,0)</f>
        <v>1</v>
      </c>
      <c r="M749" s="70">
        <f>VLOOKUP(Tabla6[[#This Row],[PG]],Listas2!$G$14:$K$16,5,0)</f>
        <v>0</v>
      </c>
      <c r="N749" s="71">
        <v>1</v>
      </c>
      <c r="O749" s="72">
        <v>916</v>
      </c>
      <c r="P749" s="73" t="str">
        <f>VLOOKUP(Tabla6[[#This Row],[GEO]],Listas!$A$48:$B$77,2,0)</f>
        <v>SAMBORONDÓN</v>
      </c>
      <c r="Q749" s="70">
        <f>VLOOKUP(Tabla6[[#This Row],[PG]],Listas2!$G$14:$K$16,3,0)</f>
        <v>1</v>
      </c>
      <c r="R749" s="73">
        <f>VLOOKUP(Tabla6[[#This Row],[PG]],Listas2!H754:'Listas2'!$G$14:$K$16,4,0)</f>
        <v>0</v>
      </c>
      <c r="S749" s="73">
        <f>VLOOKUP(Tabla6[[#This Row],[PG]],Listas2!$G$14:$K$16,2,0)</f>
        <v>0</v>
      </c>
      <c r="T749" s="66" t="s">
        <v>84</v>
      </c>
      <c r="U749" s="74">
        <v>53</v>
      </c>
      <c r="V749" s="66">
        <v>530402</v>
      </c>
      <c r="W749" s="63" t="str">
        <f>VLOOKUP(Tabla6[[#This Row],[ÍTEM PRESUPUESTARIO]],Tabla2[#All],2,0)</f>
        <v>EDIFICIOS, LOCALES, RESIDENCIAS Y CABLEADO ESTRUCTURADO (INSTALACIÓN, MANTENIMIENTO Y REPARACIÓN)</v>
      </c>
      <c r="X749" s="57">
        <v>0</v>
      </c>
      <c r="Y749" s="57">
        <f>94730.79-15.4-15.41-955+182.52</f>
        <v>93927.5</v>
      </c>
      <c r="Z749" s="58">
        <v>0</v>
      </c>
      <c r="AA749" s="58">
        <v>0</v>
      </c>
      <c r="AB749" s="58">
        <v>0</v>
      </c>
      <c r="AC749" s="58">
        <v>0</v>
      </c>
      <c r="AD749" s="58">
        <v>0</v>
      </c>
      <c r="AE749" s="58">
        <v>0</v>
      </c>
      <c r="AF749" s="58">
        <v>0</v>
      </c>
      <c r="AG749" s="58">
        <v>0</v>
      </c>
      <c r="AH749" s="58">
        <v>0</v>
      </c>
      <c r="AI749" s="58">
        <v>0</v>
      </c>
      <c r="AJ749" s="58">
        <v>93927.5</v>
      </c>
      <c r="AK749" s="58">
        <v>0</v>
      </c>
      <c r="AL749" s="75">
        <f>+SUBTOTAL(9,Tabla6[[#This Row],[ENE]:[DIC]])</f>
        <v>93927.5</v>
      </c>
      <c r="AM749" s="76" t="str">
        <f t="shared" si="15"/>
        <v>OK</v>
      </c>
      <c r="AN749" s="60">
        <f>94700.13-0.15-2304.08+178.77+1170.31+182.52</f>
        <v>93927.500000000015</v>
      </c>
      <c r="AO749" s="61">
        <f>+Tabla6[[#This Row],[PRESUPUESTO VIGENTE]]-Tabla6[[#This Row],[CERTIFICACIÓN PAPP]]</f>
        <v>0</v>
      </c>
      <c r="AP749" s="59">
        <v>0</v>
      </c>
    </row>
    <row r="750" spans="1:42" ht="93" customHeight="1" x14ac:dyDescent="0.25">
      <c r="A750" s="62" t="s">
        <v>78</v>
      </c>
      <c r="B750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750" s="64" t="s">
        <v>79</v>
      </c>
      <c r="D750" s="64" t="s">
        <v>80</v>
      </c>
      <c r="E750" s="64" t="s">
        <v>81</v>
      </c>
      <c r="F750" s="64" t="s">
        <v>101</v>
      </c>
      <c r="G750" s="64" t="s">
        <v>92</v>
      </c>
      <c r="H750" s="65" t="str">
        <f>VLOOKUP(Tabla6[[#This Row],[DIRECCIÓN]],DIRECCIÓN[#All],2,0)</f>
        <v>ADMINISTRACIÓN CENTRAL</v>
      </c>
      <c r="I750" s="66" t="s">
        <v>982</v>
      </c>
      <c r="J750" s="67">
        <v>1</v>
      </c>
      <c r="K750" s="68" t="str">
        <f>VLOOKUP(Tabla6[[#This Row],[DIRECCIÓN GENERAL / COORDINACIÓN / SUBDIRECCIÓN]],Tabla37[[#All],[Columna1]:[EOD]],2,0)</f>
        <v>266_0005</v>
      </c>
      <c r="L750" s="69">
        <f>VLOOKUP(Tabla6[[#This Row],[OBJETIVOS PND]],Listas!$A$1:$C$3,3,0)</f>
        <v>1</v>
      </c>
      <c r="M750" s="70">
        <f>VLOOKUP(Tabla6[[#This Row],[PG]],Listas2!$G$14:$K$16,5,0)</f>
        <v>0</v>
      </c>
      <c r="N750" s="71">
        <v>1</v>
      </c>
      <c r="O750" s="72">
        <v>916</v>
      </c>
      <c r="P750" s="73" t="str">
        <f>VLOOKUP(Tabla6[[#This Row],[GEO]],Listas!$A$48:$B$77,2,0)</f>
        <v>SAMBORONDÓN</v>
      </c>
      <c r="Q750" s="70">
        <f>VLOOKUP(Tabla6[[#This Row],[PG]],Listas2!$G$14:$K$16,3,0)</f>
        <v>1</v>
      </c>
      <c r="R750" s="73">
        <f>VLOOKUP(Tabla6[[#This Row],[PG]],Listas2!H755:'Listas2'!$G$14:$K$16,4,0)</f>
        <v>0</v>
      </c>
      <c r="S750" s="73">
        <f>VLOOKUP(Tabla6[[#This Row],[PG]],Listas2!$G$14:$K$16,2,0)</f>
        <v>0</v>
      </c>
      <c r="T750" s="66" t="s">
        <v>84</v>
      </c>
      <c r="U750" s="74">
        <v>53</v>
      </c>
      <c r="V750" s="66">
        <v>530402</v>
      </c>
      <c r="W750" s="63" t="str">
        <f>VLOOKUP(Tabla6[[#This Row],[ÍTEM PRESUPUESTARIO]],Tabla2[#All],2,0)</f>
        <v>EDIFICIOS, LOCALES, RESIDENCIAS Y CABLEADO ESTRUCTURADO (INSTALACIÓN, MANTENIMIENTO Y REPARACIÓN)</v>
      </c>
      <c r="X750" s="57">
        <v>0</v>
      </c>
      <c r="Y750" s="57">
        <f>42229.84-16000</f>
        <v>26229.839999999997</v>
      </c>
      <c r="Z750" s="58">
        <v>0</v>
      </c>
      <c r="AA750" s="58">
        <v>0</v>
      </c>
      <c r="AB750" s="58">
        <v>0</v>
      </c>
      <c r="AC750" s="58">
        <v>0</v>
      </c>
      <c r="AD750" s="58">
        <v>0</v>
      </c>
      <c r="AE750" s="58">
        <v>0</v>
      </c>
      <c r="AF750" s="58">
        <v>0</v>
      </c>
      <c r="AG750" s="58">
        <v>0</v>
      </c>
      <c r="AH750" s="58">
        <v>0</v>
      </c>
      <c r="AI750" s="58">
        <v>0</v>
      </c>
      <c r="AJ750" s="58">
        <v>0</v>
      </c>
      <c r="AK750" s="58">
        <v>26229.84</v>
      </c>
      <c r="AL750" s="75">
        <f>+SUBTOTAL(9,Tabla6[[#This Row],[ENE]:[DIC]])</f>
        <v>26229.84</v>
      </c>
      <c r="AM750" s="76" t="str">
        <f t="shared" si="15"/>
        <v>OK</v>
      </c>
      <c r="AN750" s="60">
        <f>42229.69-14829.69-1170.16</f>
        <v>26229.84</v>
      </c>
      <c r="AO750" s="61">
        <f>+Tabla6[[#This Row],[PRESUPUESTO VIGENTE]]-Tabla6[[#This Row],[CERTIFICACIÓN PAPP]]</f>
        <v>0</v>
      </c>
      <c r="AP750" s="59">
        <v>0</v>
      </c>
    </row>
    <row r="751" spans="1:42" ht="93" customHeight="1" x14ac:dyDescent="0.25">
      <c r="A751" s="62" t="s">
        <v>78</v>
      </c>
      <c r="B751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751" s="64" t="s">
        <v>79</v>
      </c>
      <c r="D751" s="64" t="s">
        <v>80</v>
      </c>
      <c r="E751" s="64" t="s">
        <v>81</v>
      </c>
      <c r="F751" s="64" t="s">
        <v>101</v>
      </c>
      <c r="G751" s="64" t="s">
        <v>92</v>
      </c>
      <c r="H751" s="65" t="str">
        <f>VLOOKUP(Tabla6[[#This Row],[DIRECCIÓN]],DIRECCIÓN[#All],2,0)</f>
        <v>ADMINISTRACIÓN CENTRAL</v>
      </c>
      <c r="I751" s="66" t="s">
        <v>983</v>
      </c>
      <c r="J751" s="67">
        <v>1</v>
      </c>
      <c r="K751" s="68" t="str">
        <f>VLOOKUP(Tabla6[[#This Row],[DIRECCIÓN GENERAL / COORDINACIÓN / SUBDIRECCIÓN]],Tabla37[[#All],[Columna1]:[EOD]],2,0)</f>
        <v>266_0005</v>
      </c>
      <c r="L751" s="69">
        <f>VLOOKUP(Tabla6[[#This Row],[OBJETIVOS PND]],Listas!$A$1:$C$3,3,0)</f>
        <v>1</v>
      </c>
      <c r="M751" s="70">
        <f>VLOOKUP(Tabla6[[#This Row],[PG]],Listas2!$G$14:$K$16,5,0)</f>
        <v>0</v>
      </c>
      <c r="N751" s="71">
        <v>1</v>
      </c>
      <c r="O751" s="72">
        <v>916</v>
      </c>
      <c r="P751" s="73" t="str">
        <f>VLOOKUP(Tabla6[[#This Row],[GEO]],Listas!$A$48:$B$77,2,0)</f>
        <v>SAMBORONDÓN</v>
      </c>
      <c r="Q751" s="70">
        <f>VLOOKUP(Tabla6[[#This Row],[PG]],Listas2!$G$14:$K$16,3,0)</f>
        <v>1</v>
      </c>
      <c r="R751" s="73">
        <f>VLOOKUP(Tabla6[[#This Row],[PG]],Listas2!H756:'Listas2'!$G$14:$K$16,4,0)</f>
        <v>0</v>
      </c>
      <c r="S751" s="73">
        <f>VLOOKUP(Tabla6[[#This Row],[PG]],Listas2!$G$14:$K$16,2,0)</f>
        <v>0</v>
      </c>
      <c r="T751" s="66" t="s">
        <v>84</v>
      </c>
      <c r="U751" s="74">
        <v>53</v>
      </c>
      <c r="V751" s="66">
        <v>530402</v>
      </c>
      <c r="W751" s="63" t="str">
        <f>VLOOKUP(Tabla6[[#This Row],[ÍTEM PRESUPUESTARIO]],Tabla2[#All],2,0)</f>
        <v>EDIFICIOS, LOCALES, RESIDENCIAS Y CABLEADO ESTRUCTURADO (INSTALACIÓN, MANTENIMIENTO Y REPARACIÓN)</v>
      </c>
      <c r="X751" s="57">
        <v>0</v>
      </c>
      <c r="Y751" s="57">
        <f>4018+195.28-118</f>
        <v>4095.2799999999997</v>
      </c>
      <c r="Z751" s="58">
        <v>0</v>
      </c>
      <c r="AA751" s="58">
        <v>0</v>
      </c>
      <c r="AB751" s="58">
        <v>0</v>
      </c>
      <c r="AC751" s="58">
        <v>0</v>
      </c>
      <c r="AD751" s="58">
        <v>0</v>
      </c>
      <c r="AE751" s="58">
        <v>0</v>
      </c>
      <c r="AF751" s="58">
        <v>0</v>
      </c>
      <c r="AG751" s="58">
        <v>4095.28</v>
      </c>
      <c r="AH751" s="58">
        <v>0</v>
      </c>
      <c r="AI751" s="58">
        <v>0</v>
      </c>
      <c r="AJ751" s="58">
        <v>0</v>
      </c>
      <c r="AK751" s="58">
        <v>0</v>
      </c>
      <c r="AL751" s="75">
        <f>+SUBTOTAL(9,Tabla6[[#This Row],[ENE]:[DIC]])</f>
        <v>4095.28</v>
      </c>
      <c r="AM751" s="76" t="str">
        <f t="shared" si="15"/>
        <v>OK</v>
      </c>
      <c r="AN751" s="60">
        <f>3900+195.28</f>
        <v>4095.28</v>
      </c>
      <c r="AO751" s="61">
        <f>+Tabla6[[#This Row],[PRESUPUESTO VIGENTE]]-Tabla6[[#This Row],[CERTIFICACIÓN PAPP]]</f>
        <v>0</v>
      </c>
      <c r="AP751" s="59">
        <v>0</v>
      </c>
    </row>
    <row r="752" spans="1:42" ht="93" customHeight="1" x14ac:dyDescent="0.25">
      <c r="A752" s="62" t="s">
        <v>78</v>
      </c>
      <c r="B752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752" s="64" t="s">
        <v>79</v>
      </c>
      <c r="D752" s="64" t="s">
        <v>80</v>
      </c>
      <c r="E752" s="64" t="s">
        <v>81</v>
      </c>
      <c r="F752" s="64" t="s">
        <v>101</v>
      </c>
      <c r="G752" s="64" t="s">
        <v>92</v>
      </c>
      <c r="H752" s="65" t="str">
        <f>VLOOKUP(Tabla6[[#This Row],[DIRECCIÓN]],DIRECCIÓN[#All],2,0)</f>
        <v>ADMINISTRACIÓN CENTRAL</v>
      </c>
      <c r="I752" s="66" t="s">
        <v>984</v>
      </c>
      <c r="J752" s="67">
        <v>1</v>
      </c>
      <c r="K752" s="68" t="str">
        <f>VLOOKUP(Tabla6[[#This Row],[DIRECCIÓN GENERAL / COORDINACIÓN / SUBDIRECCIÓN]],Tabla37[[#All],[Columna1]:[EOD]],2,0)</f>
        <v>266_0005</v>
      </c>
      <c r="L752" s="69">
        <f>VLOOKUP(Tabla6[[#This Row],[OBJETIVOS PND]],Listas!$A$1:$C$3,3,0)</f>
        <v>1</v>
      </c>
      <c r="M752" s="70">
        <f>VLOOKUP(Tabla6[[#This Row],[PG]],Listas2!$G$14:$K$16,5,0)</f>
        <v>0</v>
      </c>
      <c r="N752" s="71">
        <v>1</v>
      </c>
      <c r="O752" s="72">
        <v>916</v>
      </c>
      <c r="P752" s="73" t="str">
        <f>VLOOKUP(Tabla6[[#This Row],[GEO]],Listas!$A$48:$B$77,2,0)</f>
        <v>SAMBORONDÓN</v>
      </c>
      <c r="Q752" s="70">
        <f>VLOOKUP(Tabla6[[#This Row],[PG]],Listas2!$G$14:$K$16,3,0)</f>
        <v>1</v>
      </c>
      <c r="R752" s="73">
        <f>VLOOKUP(Tabla6[[#This Row],[PG]],Listas2!H757:'Listas2'!$G$14:$K$16,4,0)</f>
        <v>0</v>
      </c>
      <c r="S752" s="73">
        <f>VLOOKUP(Tabla6[[#This Row],[PG]],Listas2!$G$14:$K$16,2,0)</f>
        <v>0</v>
      </c>
      <c r="T752" s="66" t="s">
        <v>84</v>
      </c>
      <c r="U752" s="74">
        <v>53</v>
      </c>
      <c r="V752" s="66">
        <v>530402</v>
      </c>
      <c r="W752" s="63" t="str">
        <f>VLOOKUP(Tabla6[[#This Row],[ÍTEM PRESUPUESTARIO]],Tabla2[#All],2,0)</f>
        <v>EDIFICIOS, LOCALES, RESIDENCIAS Y CABLEADO ESTRUCTURADO (INSTALACIÓN, MANTENIMIENTO Y REPARACIÓN)</v>
      </c>
      <c r="X752" s="57">
        <v>0</v>
      </c>
      <c r="Y752" s="57">
        <f>6300-201</f>
        <v>6099</v>
      </c>
      <c r="Z752" s="58">
        <v>0</v>
      </c>
      <c r="AA752" s="58">
        <v>0</v>
      </c>
      <c r="AB752" s="58">
        <v>0</v>
      </c>
      <c r="AC752" s="58">
        <v>0</v>
      </c>
      <c r="AD752" s="58">
        <v>6099</v>
      </c>
      <c r="AE752" s="58">
        <v>0</v>
      </c>
      <c r="AF752" s="58">
        <v>0</v>
      </c>
      <c r="AG752" s="58">
        <v>0</v>
      </c>
      <c r="AH752" s="58">
        <v>0</v>
      </c>
      <c r="AI752" s="58">
        <v>0</v>
      </c>
      <c r="AJ752" s="58">
        <v>0</v>
      </c>
      <c r="AK752" s="58">
        <v>0</v>
      </c>
      <c r="AL752" s="75">
        <f>+SUBTOTAL(9,Tabla6[[#This Row],[ENE]:[DIC]])</f>
        <v>6099</v>
      </c>
      <c r="AM752" s="76" t="str">
        <f t="shared" si="15"/>
        <v>OK</v>
      </c>
      <c r="AN752" s="60">
        <f>6099</f>
        <v>6099</v>
      </c>
      <c r="AO752" s="61">
        <f>+Tabla6[[#This Row],[PRESUPUESTO VIGENTE]]-Tabla6[[#This Row],[CERTIFICACIÓN PAPP]]</f>
        <v>0</v>
      </c>
      <c r="AP752" s="59">
        <v>0</v>
      </c>
    </row>
    <row r="753" spans="1:42" ht="93" customHeight="1" x14ac:dyDescent="0.25">
      <c r="A753" s="62" t="s">
        <v>78</v>
      </c>
      <c r="B753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753" s="64" t="s">
        <v>79</v>
      </c>
      <c r="D753" s="64" t="s">
        <v>80</v>
      </c>
      <c r="E753" s="64" t="s">
        <v>81</v>
      </c>
      <c r="F753" s="64" t="s">
        <v>101</v>
      </c>
      <c r="G753" s="64" t="s">
        <v>92</v>
      </c>
      <c r="H753" s="65" t="str">
        <f>VLOOKUP(Tabla6[[#This Row],[DIRECCIÓN]],DIRECCIÓN[#All],2,0)</f>
        <v>ADMINISTRACIÓN CENTRAL</v>
      </c>
      <c r="I753" s="66" t="s">
        <v>985</v>
      </c>
      <c r="J753" s="67">
        <v>1</v>
      </c>
      <c r="K753" s="68" t="str">
        <f>VLOOKUP(Tabla6[[#This Row],[DIRECCIÓN GENERAL / COORDINACIÓN / SUBDIRECCIÓN]],Tabla37[[#All],[Columna1]:[EOD]],2,0)</f>
        <v>266_0005</v>
      </c>
      <c r="L753" s="69">
        <f>VLOOKUP(Tabla6[[#This Row],[OBJETIVOS PND]],Listas!$A$1:$C$3,3,0)</f>
        <v>1</v>
      </c>
      <c r="M753" s="70">
        <f>VLOOKUP(Tabla6[[#This Row],[PG]],Listas2!$G$14:$K$16,5,0)</f>
        <v>0</v>
      </c>
      <c r="N753" s="71">
        <v>1</v>
      </c>
      <c r="O753" s="72">
        <v>916</v>
      </c>
      <c r="P753" s="73" t="str">
        <f>VLOOKUP(Tabla6[[#This Row],[GEO]],Listas!$A$48:$B$77,2,0)</f>
        <v>SAMBORONDÓN</v>
      </c>
      <c r="Q753" s="70">
        <f>VLOOKUP(Tabla6[[#This Row],[PG]],Listas2!$G$14:$K$16,3,0)</f>
        <v>1</v>
      </c>
      <c r="R753" s="73">
        <f>VLOOKUP(Tabla6[[#This Row],[PG]],Listas2!H758:'Listas2'!$G$14:$K$16,4,0)</f>
        <v>0</v>
      </c>
      <c r="S753" s="73">
        <f>VLOOKUP(Tabla6[[#This Row],[PG]],Listas2!$G$14:$K$16,2,0)</f>
        <v>0</v>
      </c>
      <c r="T753" s="66" t="s">
        <v>84</v>
      </c>
      <c r="U753" s="74">
        <v>53</v>
      </c>
      <c r="V753" s="66">
        <v>530402</v>
      </c>
      <c r="W753" s="63" t="str">
        <f>VLOOKUP(Tabla6[[#This Row],[ÍTEM PRESUPUESTARIO]],Tabla2[#All],2,0)</f>
        <v>EDIFICIOS, LOCALES, RESIDENCIAS Y CABLEADO ESTRUCTURADO (INSTALACIÓN, MANTENIMIENTO Y REPARACIÓN)</v>
      </c>
      <c r="X753" s="57">
        <v>6000</v>
      </c>
      <c r="Y753" s="57">
        <f>6000-234.93-1570.07</f>
        <v>4195</v>
      </c>
      <c r="Z753" s="58">
        <v>0</v>
      </c>
      <c r="AA753" s="58">
        <v>0</v>
      </c>
      <c r="AB753" s="58">
        <v>600</v>
      </c>
      <c r="AC753" s="58">
        <v>302.39999999999998</v>
      </c>
      <c r="AD753" s="58">
        <v>302.39999999999998</v>
      </c>
      <c r="AE753" s="58">
        <v>330</v>
      </c>
      <c r="AF753" s="58">
        <v>350</v>
      </c>
      <c r="AG753" s="58">
        <v>340</v>
      </c>
      <c r="AH753" s="58">
        <v>350</v>
      </c>
      <c r="AI753" s="58">
        <v>350</v>
      </c>
      <c r="AJ753" s="58">
        <v>640</v>
      </c>
      <c r="AK753" s="58">
        <v>630.20000000000005</v>
      </c>
      <c r="AL753" s="75">
        <f>+SUBTOTAL(9,Tabla6[[#This Row],[ENE]:[DIC]])</f>
        <v>4195</v>
      </c>
      <c r="AM753" s="76" t="str">
        <f t="shared" si="15"/>
        <v>OK</v>
      </c>
      <c r="AN753" s="60">
        <f>5765.07-1570.07</f>
        <v>4195</v>
      </c>
      <c r="AO753" s="61">
        <f>+Tabla6[[#This Row],[PRESUPUESTO VIGENTE]]-Tabla6[[#This Row],[CERTIFICACIÓN PAPP]]</f>
        <v>0</v>
      </c>
      <c r="AP753" s="59">
        <v>0</v>
      </c>
    </row>
    <row r="754" spans="1:42" ht="93" customHeight="1" x14ac:dyDescent="0.25">
      <c r="A754" s="62" t="s">
        <v>78</v>
      </c>
      <c r="B754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754" s="64" t="s">
        <v>79</v>
      </c>
      <c r="D754" s="64" t="s">
        <v>80</v>
      </c>
      <c r="E754" s="64" t="s">
        <v>81</v>
      </c>
      <c r="F754" s="64" t="s">
        <v>101</v>
      </c>
      <c r="G754" s="64" t="s">
        <v>92</v>
      </c>
      <c r="H754" s="65" t="str">
        <f>VLOOKUP(Tabla6[[#This Row],[DIRECCIÓN]],DIRECCIÓN[#All],2,0)</f>
        <v>ADMINISTRACIÓN CENTRAL</v>
      </c>
      <c r="I754" s="66" t="s">
        <v>986</v>
      </c>
      <c r="J754" s="67">
        <v>1</v>
      </c>
      <c r="K754" s="68" t="str">
        <f>VLOOKUP(Tabla6[[#This Row],[DIRECCIÓN GENERAL / COORDINACIÓN / SUBDIRECCIÓN]],Tabla37[[#All],[Columna1]:[EOD]],2,0)</f>
        <v>266_0005</v>
      </c>
      <c r="L754" s="69">
        <f>VLOOKUP(Tabla6[[#This Row],[OBJETIVOS PND]],Listas!$A$1:$C$3,3,0)</f>
        <v>1</v>
      </c>
      <c r="M754" s="70">
        <f>VLOOKUP(Tabla6[[#This Row],[PG]],Listas2!$G$14:$K$16,5,0)</f>
        <v>0</v>
      </c>
      <c r="N754" s="71">
        <v>1</v>
      </c>
      <c r="O754" s="72">
        <v>916</v>
      </c>
      <c r="P754" s="73" t="str">
        <f>VLOOKUP(Tabla6[[#This Row],[GEO]],Listas!$A$48:$B$77,2,0)</f>
        <v>SAMBORONDÓN</v>
      </c>
      <c r="Q754" s="70">
        <f>VLOOKUP(Tabla6[[#This Row],[PG]],Listas2!$G$14:$K$16,3,0)</f>
        <v>1</v>
      </c>
      <c r="R754" s="73">
        <f>VLOOKUP(Tabla6[[#This Row],[PG]],Listas2!H759:'Listas2'!$G$14:$K$16,4,0)</f>
        <v>0</v>
      </c>
      <c r="S754" s="73">
        <f>VLOOKUP(Tabla6[[#This Row],[PG]],Listas2!$G$14:$K$16,2,0)</f>
        <v>0</v>
      </c>
      <c r="T754" s="66" t="s">
        <v>84</v>
      </c>
      <c r="U754" s="74">
        <v>53</v>
      </c>
      <c r="V754" s="66">
        <v>530402</v>
      </c>
      <c r="W754" s="63" t="str">
        <f>VLOOKUP(Tabla6[[#This Row],[ÍTEM PRESUPUESTARIO]],Tabla2[#All],2,0)</f>
        <v>EDIFICIOS, LOCALES, RESIDENCIAS Y CABLEADO ESTRUCTURADO (INSTALACIÓN, MANTENIMIENTO Y REPARACIÓN)</v>
      </c>
      <c r="X754" s="57">
        <v>3126</v>
      </c>
      <c r="Y754" s="57">
        <f>3126+3174-1762.9-0.1</f>
        <v>4537</v>
      </c>
      <c r="Z754" s="58">
        <v>0</v>
      </c>
      <c r="AA754" s="58">
        <v>0</v>
      </c>
      <c r="AB754" s="58">
        <v>0</v>
      </c>
      <c r="AC754" s="58">
        <v>0</v>
      </c>
      <c r="AD754" s="58">
        <v>0</v>
      </c>
      <c r="AE754" s="58">
        <v>4537</v>
      </c>
      <c r="AF754" s="58">
        <v>0</v>
      </c>
      <c r="AG754" s="58">
        <v>0</v>
      </c>
      <c r="AH754" s="58">
        <v>0</v>
      </c>
      <c r="AI754" s="58">
        <v>0</v>
      </c>
      <c r="AJ754" s="58">
        <v>0</v>
      </c>
      <c r="AK754" s="58">
        <v>0</v>
      </c>
      <c r="AL754" s="75">
        <f>+SUBTOTAL(9,Tabla6[[#This Row],[ENE]:[DIC]])</f>
        <v>4537</v>
      </c>
      <c r="AM754" s="76" t="str">
        <f t="shared" si="15"/>
        <v>OK</v>
      </c>
      <c r="AN754" s="60">
        <v>4537</v>
      </c>
      <c r="AO754" s="61">
        <f>+Tabla6[[#This Row],[PRESUPUESTO VIGENTE]]-Tabla6[[#This Row],[CERTIFICACIÓN PAPP]]</f>
        <v>0</v>
      </c>
      <c r="AP754" s="59" t="s">
        <v>87</v>
      </c>
    </row>
    <row r="755" spans="1:42" ht="93" customHeight="1" x14ac:dyDescent="0.25">
      <c r="A755" s="62" t="s">
        <v>78</v>
      </c>
      <c r="B755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755" s="64" t="s">
        <v>79</v>
      </c>
      <c r="D755" s="64" t="s">
        <v>80</v>
      </c>
      <c r="E755" s="64" t="s">
        <v>81</v>
      </c>
      <c r="F755" s="64" t="s">
        <v>101</v>
      </c>
      <c r="G755" s="64" t="s">
        <v>92</v>
      </c>
      <c r="H755" s="65" t="str">
        <f>VLOOKUP(Tabla6[[#This Row],[DIRECCIÓN]],DIRECCIÓN[#All],2,0)</f>
        <v>ADMINISTRACIÓN CENTRAL</v>
      </c>
      <c r="I755" s="66" t="s">
        <v>987</v>
      </c>
      <c r="J755" s="67">
        <v>1</v>
      </c>
      <c r="K755" s="68" t="str">
        <f>VLOOKUP(Tabla6[[#This Row],[DIRECCIÓN GENERAL / COORDINACIÓN / SUBDIRECCIÓN]],Tabla37[[#All],[Columna1]:[EOD]],2,0)</f>
        <v>266_0005</v>
      </c>
      <c r="L755" s="69">
        <f>VLOOKUP(Tabla6[[#This Row],[OBJETIVOS PND]],Listas!$A$1:$C$3,3,0)</f>
        <v>1</v>
      </c>
      <c r="M755" s="70">
        <f>VLOOKUP(Tabla6[[#This Row],[PG]],Listas2!$G$14:$K$16,5,0)</f>
        <v>0</v>
      </c>
      <c r="N755" s="71">
        <v>1</v>
      </c>
      <c r="O755" s="72">
        <v>916</v>
      </c>
      <c r="P755" s="73" t="str">
        <f>VLOOKUP(Tabla6[[#This Row],[GEO]],Listas!$A$48:$B$77,2,0)</f>
        <v>SAMBORONDÓN</v>
      </c>
      <c r="Q755" s="70">
        <f>VLOOKUP(Tabla6[[#This Row],[PG]],Listas2!$G$14:$K$16,3,0)</f>
        <v>1</v>
      </c>
      <c r="R755" s="73">
        <f>VLOOKUP(Tabla6[[#This Row],[PG]],Listas2!H760:'Listas2'!$G$14:$K$16,4,0)</f>
        <v>0</v>
      </c>
      <c r="S755" s="73">
        <f>VLOOKUP(Tabla6[[#This Row],[PG]],Listas2!$G$14:$K$16,2,0)</f>
        <v>0</v>
      </c>
      <c r="T755" s="66" t="s">
        <v>84</v>
      </c>
      <c r="U755" s="74">
        <v>53</v>
      </c>
      <c r="V755" s="66">
        <v>530404</v>
      </c>
      <c r="W755" s="63" t="str">
        <f>VLOOKUP(Tabla6[[#This Row],[ÍTEM PRESUPUESTARIO]],Tabla2[#All],2,0)</f>
        <v>MAQUINARIAS Y EQUIPOS (INSTALACIÓN, MANTENIMIENTO Y REPARACIÓN)</v>
      </c>
      <c r="X755" s="57">
        <v>89286</v>
      </c>
      <c r="Y755" s="57">
        <f>89286+30800-26000-21171.39</f>
        <v>72914.61</v>
      </c>
      <c r="Z755" s="58">
        <v>0</v>
      </c>
      <c r="AA755" s="58">
        <v>0</v>
      </c>
      <c r="AB755" s="58">
        <v>0</v>
      </c>
      <c r="AC755" s="58">
        <v>0</v>
      </c>
      <c r="AD755" s="58">
        <v>0</v>
      </c>
      <c r="AE755" s="58">
        <v>0</v>
      </c>
      <c r="AF755" s="58">
        <v>20014.330000000002</v>
      </c>
      <c r="AG755" s="58">
        <v>0</v>
      </c>
      <c r="AH755" s="58">
        <v>20014.330000000002</v>
      </c>
      <c r="AI755" s="58">
        <v>0</v>
      </c>
      <c r="AJ755" s="58">
        <v>20014.34</v>
      </c>
      <c r="AK755" s="58">
        <v>12871.61</v>
      </c>
      <c r="AL755" s="75">
        <f>+SUBTOTAL(9,Tabla6[[#This Row],[ENE]:[DIC]])</f>
        <v>72914.61</v>
      </c>
      <c r="AM755" s="76" t="str">
        <f t="shared" si="15"/>
        <v>OK</v>
      </c>
      <c r="AN755" s="60">
        <f>111211.93-68211.93+29914.61</f>
        <v>72914.61</v>
      </c>
      <c r="AO755" s="61">
        <f>+Tabla6[[#This Row],[PRESUPUESTO VIGENTE]]-Tabla6[[#This Row],[CERTIFICACIÓN PAPP]]</f>
        <v>0</v>
      </c>
      <c r="AP755" s="59" t="s">
        <v>87</v>
      </c>
    </row>
    <row r="756" spans="1:42" ht="93" customHeight="1" x14ac:dyDescent="0.25">
      <c r="A756" s="62" t="s">
        <v>78</v>
      </c>
      <c r="B756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756" s="64" t="s">
        <v>79</v>
      </c>
      <c r="D756" s="64" t="s">
        <v>80</v>
      </c>
      <c r="E756" s="64" t="s">
        <v>81</v>
      </c>
      <c r="F756" s="64" t="s">
        <v>101</v>
      </c>
      <c r="G756" s="64" t="s">
        <v>92</v>
      </c>
      <c r="H756" s="65" t="str">
        <f>VLOOKUP(Tabla6[[#This Row],[DIRECCIÓN]],DIRECCIÓN[#All],2,0)</f>
        <v>ADMINISTRACIÓN CENTRAL</v>
      </c>
      <c r="I756" s="66" t="s">
        <v>988</v>
      </c>
      <c r="J756" s="67">
        <v>2</v>
      </c>
      <c r="K756" s="68" t="str">
        <f>VLOOKUP(Tabla6[[#This Row],[DIRECCIÓN GENERAL / COORDINACIÓN / SUBDIRECCIÓN]],Tabla37[[#All],[Columna1]:[EOD]],2,0)</f>
        <v>266_0005</v>
      </c>
      <c r="L756" s="69">
        <f>VLOOKUP(Tabla6[[#This Row],[OBJETIVOS PND]],Listas!$A$1:$C$3,3,0)</f>
        <v>1</v>
      </c>
      <c r="M756" s="70">
        <f>VLOOKUP(Tabla6[[#This Row],[PG]],Listas2!$G$14:$K$16,5,0)</f>
        <v>0</v>
      </c>
      <c r="N756" s="71">
        <v>1</v>
      </c>
      <c r="O756" s="72">
        <v>916</v>
      </c>
      <c r="P756" s="73" t="str">
        <f>VLOOKUP(Tabla6[[#This Row],[GEO]],Listas!$A$48:$B$77,2,0)</f>
        <v>SAMBORONDÓN</v>
      </c>
      <c r="Q756" s="70">
        <f>VLOOKUP(Tabla6[[#This Row],[PG]],Listas2!$G$14:$K$16,3,0)</f>
        <v>1</v>
      </c>
      <c r="R756" s="73">
        <f>VLOOKUP(Tabla6[[#This Row],[PG]],Listas2!H761:'Listas2'!$G$14:$K$16,4,0)</f>
        <v>0</v>
      </c>
      <c r="S756" s="73">
        <f>VLOOKUP(Tabla6[[#This Row],[PG]],Listas2!$G$14:$K$16,2,0)</f>
        <v>0</v>
      </c>
      <c r="T756" s="66" t="s">
        <v>84</v>
      </c>
      <c r="U756" s="74">
        <v>53</v>
      </c>
      <c r="V756" s="66">
        <v>530404</v>
      </c>
      <c r="W756" s="63" t="str">
        <f>VLOOKUP(Tabla6[[#This Row],[ÍTEM PRESUPUESTARIO]],Tabla2[#All],2,0)</f>
        <v>MAQUINARIAS Y EQUIPOS (INSTALACIÓN, MANTENIMIENTO Y REPARACIÓN)</v>
      </c>
      <c r="X756" s="57">
        <v>4000</v>
      </c>
      <c r="Y756" s="57">
        <v>4000</v>
      </c>
      <c r="Z756" s="58">
        <v>0</v>
      </c>
      <c r="AA756" s="58">
        <v>0</v>
      </c>
      <c r="AB756" s="58">
        <v>0</v>
      </c>
      <c r="AC756" s="58">
        <v>0</v>
      </c>
      <c r="AD756" s="58">
        <v>0</v>
      </c>
      <c r="AE756" s="58">
        <v>4000</v>
      </c>
      <c r="AF756" s="58">
        <v>0</v>
      </c>
      <c r="AG756" s="58">
        <v>0</v>
      </c>
      <c r="AH756" s="58">
        <v>0</v>
      </c>
      <c r="AI756" s="58">
        <v>0</v>
      </c>
      <c r="AJ756" s="58">
        <v>0</v>
      </c>
      <c r="AK756" s="58">
        <v>0</v>
      </c>
      <c r="AL756" s="75">
        <f>+SUBTOTAL(9,Tabla6[[#This Row],[ENE]:[DIC]])</f>
        <v>4000</v>
      </c>
      <c r="AM756" s="76" t="str">
        <f t="shared" si="15"/>
        <v>OK</v>
      </c>
      <c r="AN756" s="60">
        <f>3914.61+85.39</f>
        <v>4000</v>
      </c>
      <c r="AO756" s="61">
        <f>+Tabla6[[#This Row],[PRESUPUESTO VIGENTE]]-Tabla6[[#This Row],[CERTIFICACIÓN PAPP]]</f>
        <v>0</v>
      </c>
      <c r="AP756" s="59">
        <v>0</v>
      </c>
    </row>
    <row r="757" spans="1:42" ht="93" customHeight="1" x14ac:dyDescent="0.25">
      <c r="A757" s="62" t="s">
        <v>78</v>
      </c>
      <c r="B757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757" s="64" t="s">
        <v>79</v>
      </c>
      <c r="D757" s="64" t="s">
        <v>80</v>
      </c>
      <c r="E757" s="64" t="s">
        <v>81</v>
      </c>
      <c r="F757" s="64" t="s">
        <v>101</v>
      </c>
      <c r="G757" s="64" t="s">
        <v>92</v>
      </c>
      <c r="H757" s="65" t="str">
        <f>VLOOKUP(Tabla6[[#This Row],[DIRECCIÓN]],DIRECCIÓN[#All],2,0)</f>
        <v>ADMINISTRACIÓN CENTRAL</v>
      </c>
      <c r="I757" s="66" t="s">
        <v>989</v>
      </c>
      <c r="J757" s="67">
        <v>1</v>
      </c>
      <c r="K757" s="68" t="str">
        <f>VLOOKUP(Tabla6[[#This Row],[DIRECCIÓN GENERAL / COORDINACIÓN / SUBDIRECCIÓN]],Tabla37[[#All],[Columna1]:[EOD]],2,0)</f>
        <v>266_0005</v>
      </c>
      <c r="L757" s="69">
        <f>VLOOKUP(Tabla6[[#This Row],[OBJETIVOS PND]],Listas!$A$1:$C$3,3,0)</f>
        <v>1</v>
      </c>
      <c r="M757" s="70">
        <f>VLOOKUP(Tabla6[[#This Row],[PG]],Listas2!$G$14:$K$16,5,0)</f>
        <v>0</v>
      </c>
      <c r="N757" s="71">
        <v>1</v>
      </c>
      <c r="O757" s="72">
        <v>916</v>
      </c>
      <c r="P757" s="73" t="str">
        <f>VLOOKUP(Tabla6[[#This Row],[GEO]],Listas!$A$48:$B$77,2,0)</f>
        <v>SAMBORONDÓN</v>
      </c>
      <c r="Q757" s="70">
        <f>VLOOKUP(Tabla6[[#This Row],[PG]],Listas2!$G$14:$K$16,3,0)</f>
        <v>1</v>
      </c>
      <c r="R757" s="73">
        <f>VLOOKUP(Tabla6[[#This Row],[PG]],Listas2!H762:'Listas2'!$G$14:$K$16,4,0)</f>
        <v>0</v>
      </c>
      <c r="S757" s="73">
        <f>VLOOKUP(Tabla6[[#This Row],[PG]],Listas2!$G$14:$K$16,2,0)</f>
        <v>0</v>
      </c>
      <c r="T757" s="66" t="s">
        <v>84</v>
      </c>
      <c r="U757" s="74">
        <v>53</v>
      </c>
      <c r="V757" s="66">
        <v>530405</v>
      </c>
      <c r="W757" s="63" t="str">
        <f>VLOOKUP(Tabla6[[#This Row],[ÍTEM PRESUPUESTARIO]],Tabla2[#All],2,0)</f>
        <v>VEHÍCULOS (SERVICIO PARA MANTENIMIENTO Y REPARACIÓN)</v>
      </c>
      <c r="X757" s="57">
        <v>7590</v>
      </c>
      <c r="Y757" s="57">
        <f>7590-1290</f>
        <v>6300</v>
      </c>
      <c r="Z757" s="58">
        <v>0</v>
      </c>
      <c r="AA757" s="58">
        <v>0</v>
      </c>
      <c r="AB757" s="58">
        <v>0</v>
      </c>
      <c r="AC757" s="58">
        <v>1265</v>
      </c>
      <c r="AD757" s="58">
        <v>0</v>
      </c>
      <c r="AE757" s="58">
        <v>1265</v>
      </c>
      <c r="AF757" s="58">
        <v>1265</v>
      </c>
      <c r="AG757" s="58">
        <v>0</v>
      </c>
      <c r="AH757" s="58">
        <v>1265</v>
      </c>
      <c r="AI757" s="58">
        <v>0</v>
      </c>
      <c r="AJ757" s="58">
        <v>1240</v>
      </c>
      <c r="AK757" s="58">
        <v>0</v>
      </c>
      <c r="AL757" s="75">
        <f>+SUBTOTAL(9,Tabla6[[#This Row],[ENE]:[DIC]])</f>
        <v>6300</v>
      </c>
      <c r="AM757" s="76" t="str">
        <f t="shared" si="15"/>
        <v>OK</v>
      </c>
      <c r="AN757" s="60">
        <v>6300</v>
      </c>
      <c r="AO757" s="61">
        <f>+Tabla6[[#This Row],[PRESUPUESTO VIGENTE]]-Tabla6[[#This Row],[CERTIFICACIÓN PAPP]]</f>
        <v>0</v>
      </c>
      <c r="AP757" s="59">
        <v>0</v>
      </c>
    </row>
    <row r="758" spans="1:42" ht="93" customHeight="1" x14ac:dyDescent="0.25">
      <c r="A758" s="62" t="s">
        <v>78</v>
      </c>
      <c r="B758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758" s="64" t="s">
        <v>79</v>
      </c>
      <c r="D758" s="64" t="s">
        <v>80</v>
      </c>
      <c r="E758" s="64" t="s">
        <v>81</v>
      </c>
      <c r="F758" s="64" t="s">
        <v>101</v>
      </c>
      <c r="G758" s="64" t="s">
        <v>92</v>
      </c>
      <c r="H758" s="65" t="str">
        <f>VLOOKUP(Tabla6[[#This Row],[DIRECCIÓN]],DIRECCIÓN[#All],2,0)</f>
        <v>ADMINISTRACIÓN CENTRAL</v>
      </c>
      <c r="I758" s="66" t="s">
        <v>990</v>
      </c>
      <c r="J758" s="67">
        <v>1</v>
      </c>
      <c r="K758" s="68" t="str">
        <f>VLOOKUP(Tabla6[[#This Row],[DIRECCIÓN GENERAL / COORDINACIÓN / SUBDIRECCIÓN]],Tabla37[[#All],[Columna1]:[EOD]],2,0)</f>
        <v>266_0005</v>
      </c>
      <c r="L758" s="69">
        <f>VLOOKUP(Tabla6[[#This Row],[OBJETIVOS PND]],Listas!$A$1:$C$3,3,0)</f>
        <v>1</v>
      </c>
      <c r="M758" s="70">
        <f>VLOOKUP(Tabla6[[#This Row],[PG]],Listas2!$G$14:$K$16,5,0)</f>
        <v>0</v>
      </c>
      <c r="N758" s="71">
        <v>1</v>
      </c>
      <c r="O758" s="72">
        <v>916</v>
      </c>
      <c r="P758" s="73" t="str">
        <f>VLOOKUP(Tabla6[[#This Row],[GEO]],Listas!$A$48:$B$77,2,0)</f>
        <v>SAMBORONDÓN</v>
      </c>
      <c r="Q758" s="70">
        <f>VLOOKUP(Tabla6[[#This Row],[PG]],Listas2!$G$14:$K$16,3,0)</f>
        <v>1</v>
      </c>
      <c r="R758" s="73">
        <f>VLOOKUP(Tabla6[[#This Row],[PG]],Listas2!H763:'Listas2'!$G$14:$K$16,4,0)</f>
        <v>0</v>
      </c>
      <c r="S758" s="73">
        <f>VLOOKUP(Tabla6[[#This Row],[PG]],Listas2!$G$14:$K$16,2,0)</f>
        <v>0</v>
      </c>
      <c r="T758" s="66" t="s">
        <v>84</v>
      </c>
      <c r="U758" s="74">
        <v>53</v>
      </c>
      <c r="V758" s="66">
        <v>530405</v>
      </c>
      <c r="W758" s="63" t="str">
        <f>VLOOKUP(Tabla6[[#This Row],[ÍTEM PRESUPUESTARIO]],Tabla2[#All],2,0)</f>
        <v>VEHÍCULOS (SERVICIO PARA MANTENIMIENTO Y REPARACIÓN)</v>
      </c>
      <c r="X758" s="57">
        <v>0</v>
      </c>
      <c r="Y758" s="57">
        <f>6212.25-112.25</f>
        <v>6100</v>
      </c>
      <c r="Z758" s="58">
        <v>0</v>
      </c>
      <c r="AA758" s="58">
        <v>0</v>
      </c>
      <c r="AB758" s="58">
        <v>0</v>
      </c>
      <c r="AC758" s="58">
        <v>0</v>
      </c>
      <c r="AD758" s="58">
        <v>0</v>
      </c>
      <c r="AE758" s="58">
        <v>0</v>
      </c>
      <c r="AF758" s="58">
        <v>0</v>
      </c>
      <c r="AG758" s="58">
        <v>0</v>
      </c>
      <c r="AH758" s="58">
        <v>6100</v>
      </c>
      <c r="AI758" s="58">
        <v>0</v>
      </c>
      <c r="AJ758" s="58">
        <v>0</v>
      </c>
      <c r="AK758" s="58">
        <v>0</v>
      </c>
      <c r="AL758" s="75">
        <f>+SUBTOTAL(9,Tabla6[[#This Row],[ENE]:[DIC]])</f>
        <v>6100</v>
      </c>
      <c r="AM758" s="76" t="str">
        <f t="shared" si="15"/>
        <v>OK</v>
      </c>
      <c r="AN758" s="60">
        <f>6212.25-112.25</f>
        <v>6100</v>
      </c>
      <c r="AO758" s="61">
        <f>+Tabla6[[#This Row],[PRESUPUESTO VIGENTE]]-Tabla6[[#This Row],[CERTIFICACIÓN PAPP]]</f>
        <v>0</v>
      </c>
      <c r="AP758" s="59">
        <v>0</v>
      </c>
    </row>
    <row r="759" spans="1:42" ht="93" customHeight="1" x14ac:dyDescent="0.25">
      <c r="A759" s="62" t="s">
        <v>78</v>
      </c>
      <c r="B759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759" s="64" t="s">
        <v>79</v>
      </c>
      <c r="D759" s="64" t="s">
        <v>80</v>
      </c>
      <c r="E759" s="64" t="s">
        <v>81</v>
      </c>
      <c r="F759" s="64" t="s">
        <v>101</v>
      </c>
      <c r="G759" s="64" t="s">
        <v>92</v>
      </c>
      <c r="H759" s="65" t="str">
        <f>VLOOKUP(Tabla6[[#This Row],[DIRECCIÓN]],DIRECCIÓN[#All],2,0)</f>
        <v>ADMINISTRACIÓN CENTRAL</v>
      </c>
      <c r="I759" s="66" t="s">
        <v>991</v>
      </c>
      <c r="J759" s="67">
        <v>2</v>
      </c>
      <c r="K759" s="68" t="str">
        <f>VLOOKUP(Tabla6[[#This Row],[DIRECCIÓN GENERAL / COORDINACIÓN / SUBDIRECCIÓN]],Tabla37[[#All],[Columna1]:[EOD]],2,0)</f>
        <v>266_0005</v>
      </c>
      <c r="L759" s="69">
        <f>VLOOKUP(Tabla6[[#This Row],[OBJETIVOS PND]],Listas!$A$1:$C$3,3,0)</f>
        <v>1</v>
      </c>
      <c r="M759" s="70">
        <f>VLOOKUP(Tabla6[[#This Row],[PG]],Listas2!$G$14:$K$16,5,0)</f>
        <v>0</v>
      </c>
      <c r="N759" s="71">
        <v>1</v>
      </c>
      <c r="O759" s="72">
        <v>916</v>
      </c>
      <c r="P759" s="73" t="str">
        <f>VLOOKUP(Tabla6[[#This Row],[GEO]],Listas!$A$48:$B$77,2,0)</f>
        <v>SAMBORONDÓN</v>
      </c>
      <c r="Q759" s="70">
        <f>VLOOKUP(Tabla6[[#This Row],[PG]],Listas2!$G$14:$K$16,3,0)</f>
        <v>1</v>
      </c>
      <c r="R759" s="73">
        <f>VLOOKUP(Tabla6[[#This Row],[PG]],Listas2!H764:'Listas2'!$G$14:$K$16,4,0)</f>
        <v>0</v>
      </c>
      <c r="S759" s="73">
        <f>VLOOKUP(Tabla6[[#This Row],[PG]],Listas2!$G$14:$K$16,2,0)</f>
        <v>0</v>
      </c>
      <c r="T759" s="66" t="s">
        <v>84</v>
      </c>
      <c r="U759" s="74">
        <v>53</v>
      </c>
      <c r="V759" s="66">
        <v>530405</v>
      </c>
      <c r="W759" s="63" t="str">
        <f>VLOOKUP(Tabla6[[#This Row],[ÍTEM PRESUPUESTARIO]],Tabla2[#All],2,0)</f>
        <v>VEHÍCULOS (SERVICIO PARA MANTENIMIENTO Y REPARACIÓN)</v>
      </c>
      <c r="X759" s="57">
        <v>0</v>
      </c>
      <c r="Y759" s="57">
        <f>42.25-42.25</f>
        <v>0</v>
      </c>
      <c r="Z759" s="58">
        <v>0</v>
      </c>
      <c r="AA759" s="58">
        <v>0</v>
      </c>
      <c r="AB759" s="58">
        <v>0</v>
      </c>
      <c r="AC759" s="58">
        <v>0</v>
      </c>
      <c r="AD759" s="58">
        <v>0</v>
      </c>
      <c r="AE759" s="58">
        <v>0</v>
      </c>
      <c r="AF759" s="58">
        <v>0</v>
      </c>
      <c r="AG759" s="58">
        <v>0</v>
      </c>
      <c r="AH759" s="58">
        <v>0</v>
      </c>
      <c r="AI759" s="58">
        <v>0</v>
      </c>
      <c r="AJ759" s="58">
        <v>0</v>
      </c>
      <c r="AK759" s="58">
        <v>0</v>
      </c>
      <c r="AL759" s="75">
        <f>+SUBTOTAL(9,Tabla6[[#This Row],[ENE]:[DIC]])</f>
        <v>0</v>
      </c>
      <c r="AM759" s="76" t="str">
        <f t="shared" si="15"/>
        <v>OK</v>
      </c>
      <c r="AN759" s="60">
        <v>0</v>
      </c>
      <c r="AO759" s="61">
        <f>+Tabla6[[#This Row],[PRESUPUESTO VIGENTE]]-Tabla6[[#This Row],[CERTIFICACIÓN PAPP]]</f>
        <v>0</v>
      </c>
      <c r="AP759" s="59">
        <v>0</v>
      </c>
    </row>
    <row r="760" spans="1:42" ht="93" customHeight="1" x14ac:dyDescent="0.25">
      <c r="A760" s="62" t="s">
        <v>78</v>
      </c>
      <c r="B760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760" s="64" t="s">
        <v>79</v>
      </c>
      <c r="D760" s="64" t="s">
        <v>80</v>
      </c>
      <c r="E760" s="64" t="s">
        <v>81</v>
      </c>
      <c r="F760" s="64" t="s">
        <v>101</v>
      </c>
      <c r="G760" s="64" t="s">
        <v>92</v>
      </c>
      <c r="H760" s="65" t="str">
        <f>VLOOKUP(Tabla6[[#This Row],[DIRECCIÓN]],DIRECCIÓN[#All],2,0)</f>
        <v>ADMINISTRACIÓN CENTRAL</v>
      </c>
      <c r="I760" s="66" t="s">
        <v>992</v>
      </c>
      <c r="J760" s="67">
        <v>1</v>
      </c>
      <c r="K760" s="68" t="str">
        <f>VLOOKUP(Tabla6[[#This Row],[DIRECCIÓN GENERAL / COORDINACIÓN / SUBDIRECCIÓN]],Tabla37[[#All],[Columna1]:[EOD]],2,0)</f>
        <v>266_0005</v>
      </c>
      <c r="L760" s="69">
        <f>VLOOKUP(Tabla6[[#This Row],[OBJETIVOS PND]],Listas!$A$1:$C$3,3,0)</f>
        <v>1</v>
      </c>
      <c r="M760" s="70">
        <f>VLOOKUP(Tabla6[[#This Row],[PG]],Listas2!$G$14:$K$16,5,0)</f>
        <v>0</v>
      </c>
      <c r="N760" s="71">
        <v>1</v>
      </c>
      <c r="O760" s="72">
        <v>916</v>
      </c>
      <c r="P760" s="73" t="str">
        <f>VLOOKUP(Tabla6[[#This Row],[GEO]],Listas!$A$48:$B$77,2,0)</f>
        <v>SAMBORONDÓN</v>
      </c>
      <c r="Q760" s="70">
        <f>VLOOKUP(Tabla6[[#This Row],[PG]],Listas2!$G$14:$K$16,3,0)</f>
        <v>1</v>
      </c>
      <c r="R760" s="73">
        <f>VLOOKUP(Tabla6[[#This Row],[PG]],Listas2!H765:'Listas2'!$G$14:$K$16,4,0)</f>
        <v>0</v>
      </c>
      <c r="S760" s="73">
        <f>VLOOKUP(Tabla6[[#This Row],[PG]],Listas2!$G$14:$K$16,2,0)</f>
        <v>0</v>
      </c>
      <c r="T760" s="66" t="s">
        <v>84</v>
      </c>
      <c r="U760" s="74">
        <v>53</v>
      </c>
      <c r="V760" s="66">
        <v>530405</v>
      </c>
      <c r="W760" s="63" t="str">
        <f>VLOOKUP(Tabla6[[#This Row],[ÍTEM PRESUPUESTARIO]],Tabla2[#All],2,0)</f>
        <v>VEHÍCULOS (SERVICIO PARA MANTENIMIENTO Y REPARACIÓN)</v>
      </c>
      <c r="X760" s="57">
        <v>400</v>
      </c>
      <c r="Y760" s="57">
        <f>400-256.12-143.88</f>
        <v>0</v>
      </c>
      <c r="Z760" s="58">
        <v>0</v>
      </c>
      <c r="AA760" s="58">
        <v>0</v>
      </c>
      <c r="AB760" s="58">
        <v>0</v>
      </c>
      <c r="AC760" s="58">
        <v>0</v>
      </c>
      <c r="AD760" s="58">
        <v>0</v>
      </c>
      <c r="AE760" s="58">
        <v>0</v>
      </c>
      <c r="AF760" s="58">
        <v>0</v>
      </c>
      <c r="AG760" s="58">
        <v>0</v>
      </c>
      <c r="AH760" s="58">
        <v>0</v>
      </c>
      <c r="AI760" s="58">
        <v>0</v>
      </c>
      <c r="AJ760" s="58">
        <v>0</v>
      </c>
      <c r="AK760" s="58">
        <v>0</v>
      </c>
      <c r="AL760" s="75">
        <f>+SUBTOTAL(9,Tabla6[[#This Row],[ENE]:[DIC]])</f>
        <v>0</v>
      </c>
      <c r="AM760" s="76" t="str">
        <f t="shared" si="15"/>
        <v>OK</v>
      </c>
      <c r="AN760" s="60">
        <v>0</v>
      </c>
      <c r="AO760" s="61">
        <f>+Tabla6[[#This Row],[PRESUPUESTO VIGENTE]]-Tabla6[[#This Row],[CERTIFICACIÓN PAPP]]</f>
        <v>0</v>
      </c>
      <c r="AP760" s="59">
        <v>0</v>
      </c>
    </row>
    <row r="761" spans="1:42" ht="93" customHeight="1" x14ac:dyDescent="0.25">
      <c r="A761" s="62" t="s">
        <v>78</v>
      </c>
      <c r="B761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761" s="64" t="s">
        <v>79</v>
      </c>
      <c r="D761" s="64" t="s">
        <v>80</v>
      </c>
      <c r="E761" s="64" t="s">
        <v>81</v>
      </c>
      <c r="F761" s="64" t="s">
        <v>101</v>
      </c>
      <c r="G761" s="64" t="s">
        <v>92</v>
      </c>
      <c r="H761" s="65" t="str">
        <f>VLOOKUP(Tabla6[[#This Row],[DIRECCIÓN]],DIRECCIÓN[#All],2,0)</f>
        <v>ADMINISTRACIÓN CENTRAL</v>
      </c>
      <c r="I761" s="66" t="s">
        <v>991</v>
      </c>
      <c r="J761" s="67">
        <v>2</v>
      </c>
      <c r="K761" s="68" t="str">
        <f>VLOOKUP(Tabla6[[#This Row],[DIRECCIÓN GENERAL / COORDINACIÓN / SUBDIRECCIÓN]],Tabla37[[#All],[Columna1]:[EOD]],2,0)</f>
        <v>266_0005</v>
      </c>
      <c r="L761" s="69">
        <f>VLOOKUP(Tabla6[[#This Row],[OBJETIVOS PND]],Listas!$A$1:$C$3,3,0)</f>
        <v>1</v>
      </c>
      <c r="M761" s="70">
        <f>VLOOKUP(Tabla6[[#This Row],[PG]],Listas2!$G$14:$K$16,5,0)</f>
        <v>0</v>
      </c>
      <c r="N761" s="71">
        <v>1</v>
      </c>
      <c r="O761" s="72">
        <v>916</v>
      </c>
      <c r="P761" s="73" t="str">
        <f>VLOOKUP(Tabla6[[#This Row],[GEO]],Listas!$A$48:$B$77,2,0)</f>
        <v>SAMBORONDÓN</v>
      </c>
      <c r="Q761" s="70">
        <f>VLOOKUP(Tabla6[[#This Row],[PG]],Listas2!$G$14:$K$16,3,0)</f>
        <v>1</v>
      </c>
      <c r="R761" s="73">
        <f>VLOOKUP(Tabla6[[#This Row],[PG]],Listas2!H766:'Listas2'!$G$14:$K$16,4,0)</f>
        <v>0</v>
      </c>
      <c r="S761" s="73">
        <f>VLOOKUP(Tabla6[[#This Row],[PG]],Listas2!$G$14:$K$16,2,0)</f>
        <v>0</v>
      </c>
      <c r="T761" s="66" t="s">
        <v>84</v>
      </c>
      <c r="U761" s="74">
        <v>53</v>
      </c>
      <c r="V761" s="66">
        <v>530502</v>
      </c>
      <c r="W761" s="63" t="str">
        <f>VLOOKUP(Tabla6[[#This Row],[ÍTEM PRESUPUESTARIO]],Tabla2[#All],2,0)</f>
        <v>EDIFICIOS, LOCALES Y RESIDENCIAS, PARQUEADEROS, CASILLEROS JUDICIALES Y BANCARIOS (ARRENDAMIENTO)</v>
      </c>
      <c r="X761" s="57">
        <v>0</v>
      </c>
      <c r="Y761" s="57">
        <f>284.72+622.64-67.25</f>
        <v>840.11</v>
      </c>
      <c r="Z761" s="58">
        <v>0</v>
      </c>
      <c r="AA761" s="58">
        <v>0</v>
      </c>
      <c r="AB761" s="58">
        <v>0</v>
      </c>
      <c r="AC761" s="58">
        <v>284.72000000000003</v>
      </c>
      <c r="AD761" s="58">
        <v>555.39</v>
      </c>
      <c r="AE761" s="58">
        <v>0</v>
      </c>
      <c r="AF761" s="58">
        <v>0</v>
      </c>
      <c r="AG761" s="58">
        <v>0</v>
      </c>
      <c r="AH761" s="58">
        <v>0</v>
      </c>
      <c r="AI761" s="58">
        <v>0</v>
      </c>
      <c r="AJ761" s="58">
        <v>0</v>
      </c>
      <c r="AK761" s="58">
        <v>0</v>
      </c>
      <c r="AL761" s="75">
        <f>+SUBTOTAL(9,Tabla6[[#This Row],[ENE]:[DIC]])</f>
        <v>840.11</v>
      </c>
      <c r="AM761" s="76" t="str">
        <f t="shared" si="15"/>
        <v>OK</v>
      </c>
      <c r="AN761" s="60">
        <f>134.37+339.72+366.02</f>
        <v>840.11</v>
      </c>
      <c r="AO761" s="61">
        <f>+Tabla6[[#This Row],[PRESUPUESTO VIGENTE]]-Tabla6[[#This Row],[CERTIFICACIÓN PAPP]]</f>
        <v>0</v>
      </c>
      <c r="AP761" s="59">
        <v>0</v>
      </c>
    </row>
    <row r="762" spans="1:42" ht="93" customHeight="1" x14ac:dyDescent="0.25">
      <c r="A762" s="62" t="s">
        <v>78</v>
      </c>
      <c r="B762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762" s="64" t="s">
        <v>79</v>
      </c>
      <c r="D762" s="64" t="s">
        <v>80</v>
      </c>
      <c r="E762" s="64" t="s">
        <v>81</v>
      </c>
      <c r="F762" s="64" t="s">
        <v>101</v>
      </c>
      <c r="G762" s="64" t="s">
        <v>92</v>
      </c>
      <c r="H762" s="65" t="str">
        <f>VLOOKUP(Tabla6[[#This Row],[DIRECCIÓN]],DIRECCIÓN[#All],2,0)</f>
        <v>ADMINISTRACIÓN CENTRAL</v>
      </c>
      <c r="I762" s="66" t="s">
        <v>993</v>
      </c>
      <c r="J762" s="67">
        <v>1</v>
      </c>
      <c r="K762" s="68" t="str">
        <f>VLOOKUP(Tabla6[[#This Row],[DIRECCIÓN GENERAL / COORDINACIÓN / SUBDIRECCIÓN]],Tabla37[[#All],[Columna1]:[EOD]],2,0)</f>
        <v>266_0005</v>
      </c>
      <c r="L762" s="69">
        <f>VLOOKUP(Tabla6[[#This Row],[OBJETIVOS PND]],Listas!$A$1:$C$3,3,0)</f>
        <v>1</v>
      </c>
      <c r="M762" s="70">
        <f>VLOOKUP(Tabla6[[#This Row],[PG]],Listas2!$G$14:$K$16,5,0)</f>
        <v>0</v>
      </c>
      <c r="N762" s="71">
        <v>1</v>
      </c>
      <c r="O762" s="72">
        <v>916</v>
      </c>
      <c r="P762" s="73" t="str">
        <f>VLOOKUP(Tabla6[[#This Row],[GEO]],Listas!$A$48:$B$77,2,0)</f>
        <v>SAMBORONDÓN</v>
      </c>
      <c r="Q762" s="70">
        <f>VLOOKUP(Tabla6[[#This Row],[PG]],Listas2!$G$14:$K$16,3,0)</f>
        <v>1</v>
      </c>
      <c r="R762" s="73">
        <f>VLOOKUP(Tabla6[[#This Row],[PG]],Listas2!H767:'Listas2'!$G$14:$K$16,4,0)</f>
        <v>0</v>
      </c>
      <c r="S762" s="73">
        <f>VLOOKUP(Tabla6[[#This Row],[PG]],Listas2!$G$14:$K$16,2,0)</f>
        <v>0</v>
      </c>
      <c r="T762" s="66" t="s">
        <v>84</v>
      </c>
      <c r="U762" s="74">
        <v>53</v>
      </c>
      <c r="V762" s="66">
        <v>530702</v>
      </c>
      <c r="W762" s="63" t="str">
        <f>VLOOKUP(Tabla6[[#This Row],[ÍTEM PRESUPUESTARIO]],Tabla2[#All],2,0)</f>
        <v>ARRENDAMIENTO Y LICENCIAS DE USO DE PAQUETES INFORMÁTICOS</v>
      </c>
      <c r="X762" s="57">
        <v>0</v>
      </c>
      <c r="Y762" s="57">
        <f>700-350+350-322</f>
        <v>378</v>
      </c>
      <c r="Z762" s="58">
        <v>0</v>
      </c>
      <c r="AA762" s="58">
        <v>0</v>
      </c>
      <c r="AB762" s="58">
        <v>0</v>
      </c>
      <c r="AC762" s="58">
        <v>0</v>
      </c>
      <c r="AD762" s="58">
        <v>0</v>
      </c>
      <c r="AE762" s="58">
        <v>0</v>
      </c>
      <c r="AF762" s="58">
        <v>0</v>
      </c>
      <c r="AG762" s="58">
        <v>0</v>
      </c>
      <c r="AH762" s="58">
        <v>0</v>
      </c>
      <c r="AI762" s="58">
        <v>0</v>
      </c>
      <c r="AJ762" s="58">
        <v>378</v>
      </c>
      <c r="AK762" s="58">
        <v>0</v>
      </c>
      <c r="AL762" s="75">
        <f>+SUBTOTAL(9,Tabla6[[#This Row],[ENE]:[DIC]])</f>
        <v>378</v>
      </c>
      <c r="AM762" s="76" t="str">
        <f t="shared" si="15"/>
        <v>OK</v>
      </c>
      <c r="AN762" s="60">
        <v>378</v>
      </c>
      <c r="AO762" s="61">
        <f>+Tabla6[[#This Row],[PRESUPUESTO VIGENTE]]-Tabla6[[#This Row],[CERTIFICACIÓN PAPP]]</f>
        <v>0</v>
      </c>
      <c r="AP762" s="59" t="s">
        <v>87</v>
      </c>
    </row>
    <row r="763" spans="1:42" ht="93" customHeight="1" x14ac:dyDescent="0.25">
      <c r="A763" s="62" t="s">
        <v>78</v>
      </c>
      <c r="B763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763" s="64" t="s">
        <v>79</v>
      </c>
      <c r="D763" s="64" t="s">
        <v>80</v>
      </c>
      <c r="E763" s="64" t="s">
        <v>81</v>
      </c>
      <c r="F763" s="64" t="s">
        <v>101</v>
      </c>
      <c r="G763" s="64" t="s">
        <v>92</v>
      </c>
      <c r="H763" s="65" t="str">
        <f>VLOOKUP(Tabla6[[#This Row],[DIRECCIÓN]],DIRECCIÓN[#All],2,0)</f>
        <v>ADMINISTRACIÓN CENTRAL</v>
      </c>
      <c r="I763" s="66" t="s">
        <v>994</v>
      </c>
      <c r="J763" s="67">
        <v>1</v>
      </c>
      <c r="K763" s="68" t="str">
        <f>VLOOKUP(Tabla6[[#This Row],[DIRECCIÓN GENERAL / COORDINACIÓN / SUBDIRECCIÓN]],Tabla37[[#All],[Columna1]:[EOD]],2,0)</f>
        <v>266_0005</v>
      </c>
      <c r="L763" s="69">
        <f>VLOOKUP(Tabla6[[#This Row],[OBJETIVOS PND]],Listas!$A$1:$C$3,3,0)</f>
        <v>1</v>
      </c>
      <c r="M763" s="70">
        <f>VLOOKUP(Tabla6[[#This Row],[PG]],Listas2!$G$14:$K$16,5,0)</f>
        <v>0</v>
      </c>
      <c r="N763" s="71">
        <v>1</v>
      </c>
      <c r="O763" s="72">
        <v>916</v>
      </c>
      <c r="P763" s="73" t="str">
        <f>VLOOKUP(Tabla6[[#This Row],[GEO]],Listas!$A$48:$B$77,2,0)</f>
        <v>SAMBORONDÓN</v>
      </c>
      <c r="Q763" s="70">
        <f>VLOOKUP(Tabla6[[#This Row],[PG]],Listas2!$G$14:$K$16,3,0)</f>
        <v>1</v>
      </c>
      <c r="R763" s="73">
        <f>VLOOKUP(Tabla6[[#This Row],[PG]],Listas2!H768:'Listas2'!$G$14:$K$16,4,0)</f>
        <v>0</v>
      </c>
      <c r="S763" s="73">
        <f>VLOOKUP(Tabla6[[#This Row],[PG]],Listas2!$G$14:$K$16,2,0)</f>
        <v>0</v>
      </c>
      <c r="T763" s="66" t="s">
        <v>84</v>
      </c>
      <c r="U763" s="74">
        <v>53</v>
      </c>
      <c r="V763" s="66">
        <v>530802</v>
      </c>
      <c r="W763" s="63" t="str">
        <f>VLOOKUP(Tabla6[[#This Row],[ÍTEM PRESUPUESTARIO]],Tabla2[#All],2,0)</f>
        <v>VESTUARIO, LENCERÍA, PRENDAS DE PROTECCIÓN Y ACCESORIOS PARA UNIFORMES DEL PERSONAL DE PROTECCIÓN, VIGILANCIA Y SEGURIDAD</v>
      </c>
      <c r="X763" s="57">
        <v>0</v>
      </c>
      <c r="Y763" s="57">
        <f>4000-2000+2000-4000</f>
        <v>0</v>
      </c>
      <c r="Z763" s="58">
        <v>0</v>
      </c>
      <c r="AA763" s="58">
        <v>0</v>
      </c>
      <c r="AB763" s="58">
        <v>0</v>
      </c>
      <c r="AC763" s="58">
        <v>0</v>
      </c>
      <c r="AD763" s="58">
        <v>0</v>
      </c>
      <c r="AE763" s="58">
        <v>0</v>
      </c>
      <c r="AF763" s="58">
        <v>0</v>
      </c>
      <c r="AG763" s="58">
        <v>0</v>
      </c>
      <c r="AH763" s="58">
        <v>0</v>
      </c>
      <c r="AI763" s="58">
        <v>0</v>
      </c>
      <c r="AJ763" s="58">
        <v>0</v>
      </c>
      <c r="AK763" s="58">
        <v>0</v>
      </c>
      <c r="AL763" s="75">
        <f>+SUBTOTAL(9,Tabla6[[#This Row],[ENE]:[DIC]])</f>
        <v>0</v>
      </c>
      <c r="AM763" s="76" t="str">
        <f t="shared" si="15"/>
        <v>OK</v>
      </c>
      <c r="AN763" s="60">
        <v>0</v>
      </c>
      <c r="AO763" s="61">
        <f>+Tabla6[[#This Row],[PRESUPUESTO VIGENTE]]-Tabla6[[#This Row],[CERTIFICACIÓN PAPP]]</f>
        <v>0</v>
      </c>
      <c r="AP763" s="59">
        <v>0</v>
      </c>
    </row>
    <row r="764" spans="1:42" ht="93" customHeight="1" x14ac:dyDescent="0.25">
      <c r="A764" s="62" t="s">
        <v>78</v>
      </c>
      <c r="B764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764" s="64" t="s">
        <v>79</v>
      </c>
      <c r="D764" s="64" t="s">
        <v>80</v>
      </c>
      <c r="E764" s="64" t="s">
        <v>81</v>
      </c>
      <c r="F764" s="64" t="s">
        <v>101</v>
      </c>
      <c r="G764" s="64" t="s">
        <v>92</v>
      </c>
      <c r="H764" s="65" t="str">
        <f>VLOOKUP(Tabla6[[#This Row],[DIRECCIÓN]],DIRECCIÓN[#All],2,0)</f>
        <v>ADMINISTRACIÓN CENTRAL</v>
      </c>
      <c r="I764" s="66" t="s">
        <v>995</v>
      </c>
      <c r="J764" s="67">
        <v>1</v>
      </c>
      <c r="K764" s="68" t="str">
        <f>VLOOKUP(Tabla6[[#This Row],[DIRECCIÓN GENERAL / COORDINACIÓN / SUBDIRECCIÓN]],Tabla37[[#All],[Columna1]:[EOD]],2,0)</f>
        <v>266_0005</v>
      </c>
      <c r="L764" s="69">
        <f>VLOOKUP(Tabla6[[#This Row],[OBJETIVOS PND]],Listas!$A$1:$C$3,3,0)</f>
        <v>1</v>
      </c>
      <c r="M764" s="70">
        <f>VLOOKUP(Tabla6[[#This Row],[PG]],Listas2!$G$14:$K$16,5,0)</f>
        <v>0</v>
      </c>
      <c r="N764" s="71">
        <v>1</v>
      </c>
      <c r="O764" s="72">
        <v>916</v>
      </c>
      <c r="P764" s="73" t="str">
        <f>VLOOKUP(Tabla6[[#This Row],[GEO]],Listas!$A$48:$B$77,2,0)</f>
        <v>SAMBORONDÓN</v>
      </c>
      <c r="Q764" s="70">
        <f>VLOOKUP(Tabla6[[#This Row],[PG]],Listas2!$G$14:$K$16,3,0)</f>
        <v>1</v>
      </c>
      <c r="R764" s="73">
        <f>VLOOKUP(Tabla6[[#This Row],[PG]],Listas2!H769:'Listas2'!$G$14:$K$16,4,0)</f>
        <v>0</v>
      </c>
      <c r="S764" s="73">
        <f>VLOOKUP(Tabla6[[#This Row],[PG]],Listas2!$G$14:$K$16,2,0)</f>
        <v>0</v>
      </c>
      <c r="T764" s="66" t="s">
        <v>84</v>
      </c>
      <c r="U764" s="74">
        <v>53</v>
      </c>
      <c r="V764" s="66">
        <v>530803</v>
      </c>
      <c r="W764" s="63" t="str">
        <f>VLOOKUP(Tabla6[[#This Row],[ÍTEM PRESUPUESTARIO]],Tabla2[#All],2,0)</f>
        <v>LUBRICANTES</v>
      </c>
      <c r="X764" s="57">
        <v>5536</v>
      </c>
      <c r="Y764" s="57">
        <f>5536-5536</f>
        <v>0</v>
      </c>
      <c r="Z764" s="58">
        <v>0</v>
      </c>
      <c r="AA764" s="58">
        <v>0</v>
      </c>
      <c r="AB764" s="58">
        <v>0</v>
      </c>
      <c r="AC764" s="58">
        <v>0</v>
      </c>
      <c r="AD764" s="58">
        <v>0</v>
      </c>
      <c r="AE764" s="58">
        <v>0</v>
      </c>
      <c r="AF764" s="58">
        <v>0</v>
      </c>
      <c r="AG764" s="58">
        <v>0</v>
      </c>
      <c r="AH764" s="58">
        <v>0</v>
      </c>
      <c r="AI764" s="58">
        <v>0</v>
      </c>
      <c r="AJ764" s="58">
        <v>0</v>
      </c>
      <c r="AK764" s="58">
        <v>0</v>
      </c>
      <c r="AL764" s="75">
        <f>+SUBTOTAL(9,Tabla6[[#This Row],[ENE]:[DIC]])</f>
        <v>0</v>
      </c>
      <c r="AM764" s="76" t="str">
        <f t="shared" ref="AM764:AM827" si="16">IF(AL764=Y764,"OK",Y764-AL764)</f>
        <v>OK</v>
      </c>
      <c r="AN764" s="60">
        <v>0</v>
      </c>
      <c r="AO764" s="61">
        <f>+Tabla6[[#This Row],[PRESUPUESTO VIGENTE]]-Tabla6[[#This Row],[CERTIFICACIÓN PAPP]]</f>
        <v>0</v>
      </c>
      <c r="AP764" s="59">
        <v>0</v>
      </c>
    </row>
    <row r="765" spans="1:42" ht="93" customHeight="1" x14ac:dyDescent="0.25">
      <c r="A765" s="62" t="s">
        <v>78</v>
      </c>
      <c r="B765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765" s="64" t="s">
        <v>79</v>
      </c>
      <c r="D765" s="64" t="s">
        <v>80</v>
      </c>
      <c r="E765" s="64" t="s">
        <v>81</v>
      </c>
      <c r="F765" s="64" t="s">
        <v>101</v>
      </c>
      <c r="G765" s="64" t="s">
        <v>92</v>
      </c>
      <c r="H765" s="65" t="str">
        <f>VLOOKUP(Tabla6[[#This Row],[DIRECCIÓN]],DIRECCIÓN[#All],2,0)</f>
        <v>ADMINISTRACIÓN CENTRAL</v>
      </c>
      <c r="I765" s="66" t="s">
        <v>996</v>
      </c>
      <c r="J765" s="67">
        <v>1</v>
      </c>
      <c r="K765" s="68" t="str">
        <f>VLOOKUP(Tabla6[[#This Row],[DIRECCIÓN GENERAL / COORDINACIÓN / SUBDIRECCIÓN]],Tabla37[[#All],[Columna1]:[EOD]],2,0)</f>
        <v>266_0005</v>
      </c>
      <c r="L765" s="69">
        <f>VLOOKUP(Tabla6[[#This Row],[OBJETIVOS PND]],Listas!$A$1:$C$3,3,0)</f>
        <v>1</v>
      </c>
      <c r="M765" s="70">
        <f>VLOOKUP(Tabla6[[#This Row],[PG]],Listas2!$G$14:$K$16,5,0)</f>
        <v>0</v>
      </c>
      <c r="N765" s="71">
        <v>1</v>
      </c>
      <c r="O765" s="72">
        <v>916</v>
      </c>
      <c r="P765" s="73" t="str">
        <f>VLOOKUP(Tabla6[[#This Row],[GEO]],Listas!$A$48:$B$77,2,0)</f>
        <v>SAMBORONDÓN</v>
      </c>
      <c r="Q765" s="70">
        <f>VLOOKUP(Tabla6[[#This Row],[PG]],Listas2!$G$14:$K$16,3,0)</f>
        <v>1</v>
      </c>
      <c r="R765" s="73">
        <f>VLOOKUP(Tabla6[[#This Row],[PG]],Listas2!H770:'Listas2'!$G$14:$K$16,4,0)</f>
        <v>0</v>
      </c>
      <c r="S765" s="73">
        <f>VLOOKUP(Tabla6[[#This Row],[PG]],Listas2!$G$14:$K$16,2,0)</f>
        <v>0</v>
      </c>
      <c r="T765" s="66" t="s">
        <v>84</v>
      </c>
      <c r="U765" s="74">
        <v>53</v>
      </c>
      <c r="V765" s="66">
        <v>530804</v>
      </c>
      <c r="W765" s="63" t="str">
        <f>VLOOKUP(Tabla6[[#This Row],[ÍTEM PRESUPUESTARIO]],Tabla2[#All],2,0)</f>
        <v>MATERIALES DE OFICINA</v>
      </c>
      <c r="X765" s="57">
        <v>1786</v>
      </c>
      <c r="Y765" s="57">
        <f>1786-90.66-13.65-578.85</f>
        <v>1102.8399999999997</v>
      </c>
      <c r="Z765" s="58">
        <v>0</v>
      </c>
      <c r="AA765" s="58">
        <v>0</v>
      </c>
      <c r="AB765" s="58">
        <v>0</v>
      </c>
      <c r="AC765" s="58">
        <v>0</v>
      </c>
      <c r="AD765" s="58">
        <v>0</v>
      </c>
      <c r="AE765" s="58">
        <v>1102.8399999999999</v>
      </c>
      <c r="AF765" s="58">
        <v>0</v>
      </c>
      <c r="AG765" s="58">
        <v>0</v>
      </c>
      <c r="AH765" s="58">
        <v>0</v>
      </c>
      <c r="AI765" s="58">
        <v>0</v>
      </c>
      <c r="AJ765" s="58">
        <v>0</v>
      </c>
      <c r="AK765" s="58">
        <v>0</v>
      </c>
      <c r="AL765" s="75">
        <f>+SUBTOTAL(9,Tabla6[[#This Row],[ENE]:[DIC]])</f>
        <v>1102.8399999999999</v>
      </c>
      <c r="AM765" s="76" t="str">
        <f t="shared" si="16"/>
        <v>OK</v>
      </c>
      <c r="AN765" s="60">
        <f>1681.69-578.85</f>
        <v>1102.8400000000001</v>
      </c>
      <c r="AO765" s="61">
        <f>+Tabla6[[#This Row],[PRESUPUESTO VIGENTE]]-Tabla6[[#This Row],[CERTIFICACIÓN PAPP]]</f>
        <v>0</v>
      </c>
      <c r="AP765" s="59" t="s">
        <v>87</v>
      </c>
    </row>
    <row r="766" spans="1:42" ht="93" customHeight="1" x14ac:dyDescent="0.25">
      <c r="A766" s="62" t="s">
        <v>78</v>
      </c>
      <c r="B766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766" s="64" t="s">
        <v>79</v>
      </c>
      <c r="D766" s="64" t="s">
        <v>80</v>
      </c>
      <c r="E766" s="64" t="s">
        <v>81</v>
      </c>
      <c r="F766" s="64" t="s">
        <v>101</v>
      </c>
      <c r="G766" s="64" t="s">
        <v>92</v>
      </c>
      <c r="H766" s="65" t="str">
        <f>VLOOKUP(Tabla6[[#This Row],[DIRECCIÓN]],DIRECCIÓN[#All],2,0)</f>
        <v>ADMINISTRACIÓN CENTRAL</v>
      </c>
      <c r="I766" s="66" t="s">
        <v>997</v>
      </c>
      <c r="J766" s="67">
        <v>1</v>
      </c>
      <c r="K766" s="68" t="str">
        <f>VLOOKUP(Tabla6[[#This Row],[DIRECCIÓN GENERAL / COORDINACIÓN / SUBDIRECCIÓN]],Tabla37[[#All],[Columna1]:[EOD]],2,0)</f>
        <v>266_0005</v>
      </c>
      <c r="L766" s="69">
        <f>VLOOKUP(Tabla6[[#This Row],[OBJETIVOS PND]],Listas!$A$1:$C$3,3,0)</f>
        <v>1</v>
      </c>
      <c r="M766" s="70">
        <f>VLOOKUP(Tabla6[[#This Row],[PG]],Listas2!$G$14:$K$16,5,0)</f>
        <v>0</v>
      </c>
      <c r="N766" s="71">
        <v>1</v>
      </c>
      <c r="O766" s="72">
        <v>916</v>
      </c>
      <c r="P766" s="73" t="str">
        <f>VLOOKUP(Tabla6[[#This Row],[GEO]],Listas!$A$48:$B$77,2,0)</f>
        <v>SAMBORONDÓN</v>
      </c>
      <c r="Q766" s="70">
        <f>VLOOKUP(Tabla6[[#This Row],[PG]],Listas2!$G$14:$K$16,3,0)</f>
        <v>1</v>
      </c>
      <c r="R766" s="73">
        <f>VLOOKUP(Tabla6[[#This Row],[PG]],Listas2!H771:'Listas2'!$G$14:$K$16,4,0)</f>
        <v>0</v>
      </c>
      <c r="S766" s="73">
        <f>VLOOKUP(Tabla6[[#This Row],[PG]],Listas2!$G$14:$K$16,2,0)</f>
        <v>0</v>
      </c>
      <c r="T766" s="66" t="s">
        <v>84</v>
      </c>
      <c r="U766" s="74">
        <v>53</v>
      </c>
      <c r="V766" s="66">
        <v>530804</v>
      </c>
      <c r="W766" s="63" t="str">
        <f>VLOOKUP(Tabla6[[#This Row],[ÍTEM PRESUPUESTARIO]],Tabla2[#All],2,0)</f>
        <v>MATERIALES DE OFICINA</v>
      </c>
      <c r="X766" s="57">
        <v>0</v>
      </c>
      <c r="Y766" s="57">
        <f>800-69.74</f>
        <v>730.26</v>
      </c>
      <c r="Z766" s="58">
        <v>0</v>
      </c>
      <c r="AA766" s="58">
        <v>0</v>
      </c>
      <c r="AB766" s="58">
        <v>0</v>
      </c>
      <c r="AC766" s="58">
        <v>0</v>
      </c>
      <c r="AD766" s="58">
        <v>730.26</v>
      </c>
      <c r="AE766" s="58">
        <v>0</v>
      </c>
      <c r="AF766" s="58">
        <v>0</v>
      </c>
      <c r="AG766" s="58">
        <v>0</v>
      </c>
      <c r="AH766" s="58">
        <v>0</v>
      </c>
      <c r="AI766" s="58">
        <v>0</v>
      </c>
      <c r="AJ766" s="58">
        <v>0</v>
      </c>
      <c r="AK766" s="58">
        <v>0</v>
      </c>
      <c r="AL766" s="75">
        <f>+SUBTOTAL(9,Tabla6[[#This Row],[ENE]:[DIC]])</f>
        <v>730.26</v>
      </c>
      <c r="AM766" s="76" t="str">
        <f t="shared" si="16"/>
        <v>OK</v>
      </c>
      <c r="AN766" s="60">
        <v>730.26</v>
      </c>
      <c r="AO766" s="61">
        <f>+Tabla6[[#This Row],[PRESUPUESTO VIGENTE]]-Tabla6[[#This Row],[CERTIFICACIÓN PAPP]]</f>
        <v>0</v>
      </c>
      <c r="AP766" s="59">
        <v>0</v>
      </c>
    </row>
    <row r="767" spans="1:42" ht="93" customHeight="1" x14ac:dyDescent="0.25">
      <c r="A767" s="62" t="s">
        <v>78</v>
      </c>
      <c r="B767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767" s="64" t="s">
        <v>79</v>
      </c>
      <c r="D767" s="64" t="s">
        <v>80</v>
      </c>
      <c r="E767" s="64" t="s">
        <v>81</v>
      </c>
      <c r="F767" s="64" t="s">
        <v>101</v>
      </c>
      <c r="G767" s="64" t="s">
        <v>92</v>
      </c>
      <c r="H767" s="65" t="str">
        <f>VLOOKUP(Tabla6[[#This Row],[DIRECCIÓN]],DIRECCIÓN[#All],2,0)</f>
        <v>ADMINISTRACIÓN CENTRAL</v>
      </c>
      <c r="I767" s="66" t="s">
        <v>998</v>
      </c>
      <c r="J767" s="67">
        <v>1</v>
      </c>
      <c r="K767" s="68" t="str">
        <f>VLOOKUP(Tabla6[[#This Row],[DIRECCIÓN GENERAL / COORDINACIÓN / SUBDIRECCIÓN]],Tabla37[[#All],[Columna1]:[EOD]],2,0)</f>
        <v>266_0005</v>
      </c>
      <c r="L767" s="69">
        <f>VLOOKUP(Tabla6[[#This Row],[OBJETIVOS PND]],Listas!$A$1:$C$3,3,0)</f>
        <v>1</v>
      </c>
      <c r="M767" s="70">
        <f>VLOOKUP(Tabla6[[#This Row],[PG]],Listas2!$G$14:$K$16,5,0)</f>
        <v>0</v>
      </c>
      <c r="N767" s="71">
        <v>1</v>
      </c>
      <c r="O767" s="72">
        <v>916</v>
      </c>
      <c r="P767" s="73" t="str">
        <f>VLOOKUP(Tabla6[[#This Row],[GEO]],Listas!$A$48:$B$77,2,0)</f>
        <v>SAMBORONDÓN</v>
      </c>
      <c r="Q767" s="70">
        <f>VLOOKUP(Tabla6[[#This Row],[PG]],Listas2!$G$14:$K$16,3,0)</f>
        <v>1</v>
      </c>
      <c r="R767" s="73">
        <f>VLOOKUP(Tabla6[[#This Row],[PG]],Listas2!H772:'Listas2'!$G$14:$K$16,4,0)</f>
        <v>0</v>
      </c>
      <c r="S767" s="73">
        <f>VLOOKUP(Tabla6[[#This Row],[PG]],Listas2!$G$14:$K$16,2,0)</f>
        <v>0</v>
      </c>
      <c r="T767" s="66" t="s">
        <v>84</v>
      </c>
      <c r="U767" s="74">
        <v>53</v>
      </c>
      <c r="V767" s="66">
        <v>530804</v>
      </c>
      <c r="W767" s="63" t="str">
        <f>VLOOKUP(Tabla6[[#This Row],[ÍTEM PRESUPUESTARIO]],Tabla2[#All],2,0)</f>
        <v>MATERIALES DE OFICINA</v>
      </c>
      <c r="X767" s="57">
        <v>5804</v>
      </c>
      <c r="Y767" s="57">
        <f>5804+496+90.66+3000-1393.78-125.62</f>
        <v>7871.26</v>
      </c>
      <c r="Z767" s="58">
        <v>0</v>
      </c>
      <c r="AA767" s="58">
        <v>0</v>
      </c>
      <c r="AB767" s="58">
        <v>6265.04</v>
      </c>
      <c r="AC767" s="58">
        <v>0</v>
      </c>
      <c r="AD767" s="58">
        <v>0</v>
      </c>
      <c r="AE767" s="58">
        <v>1606.22</v>
      </c>
      <c r="AF767" s="58">
        <v>0</v>
      </c>
      <c r="AG767" s="58">
        <v>0</v>
      </c>
      <c r="AH767" s="58">
        <v>0</v>
      </c>
      <c r="AI767" s="58">
        <v>0</v>
      </c>
      <c r="AJ767" s="58">
        <v>0</v>
      </c>
      <c r="AK767" s="58">
        <v>0</v>
      </c>
      <c r="AL767" s="75">
        <f>+SUBTOTAL(9,Tabla6[[#This Row],[ENE]:[DIC]])</f>
        <v>7871.26</v>
      </c>
      <c r="AM767" s="76" t="str">
        <f t="shared" si="16"/>
        <v>OK</v>
      </c>
      <c r="AN767" s="60">
        <f>6390.66+1606.22-125.62</f>
        <v>7871.26</v>
      </c>
      <c r="AO767" s="61">
        <f>+Tabla6[[#This Row],[PRESUPUESTO VIGENTE]]-Tabla6[[#This Row],[CERTIFICACIÓN PAPP]]</f>
        <v>0</v>
      </c>
      <c r="AP767" s="59">
        <v>0</v>
      </c>
    </row>
    <row r="768" spans="1:42" ht="93" customHeight="1" x14ac:dyDescent="0.25">
      <c r="A768" s="62" t="s">
        <v>78</v>
      </c>
      <c r="B768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768" s="64" t="s">
        <v>79</v>
      </c>
      <c r="D768" s="64" t="s">
        <v>80</v>
      </c>
      <c r="E768" s="64" t="s">
        <v>81</v>
      </c>
      <c r="F768" s="64" t="s">
        <v>101</v>
      </c>
      <c r="G768" s="64" t="s">
        <v>92</v>
      </c>
      <c r="H768" s="65" t="str">
        <f>VLOOKUP(Tabla6[[#This Row],[DIRECCIÓN]],DIRECCIÓN[#All],2,0)</f>
        <v>ADMINISTRACIÓN CENTRAL</v>
      </c>
      <c r="I768" s="66" t="s">
        <v>999</v>
      </c>
      <c r="J768" s="67">
        <v>2</v>
      </c>
      <c r="K768" s="68" t="str">
        <f>VLOOKUP(Tabla6[[#This Row],[DIRECCIÓN GENERAL / COORDINACIÓN / SUBDIRECCIÓN]],Tabla37[[#All],[Columna1]:[EOD]],2,0)</f>
        <v>266_0005</v>
      </c>
      <c r="L768" s="69">
        <f>VLOOKUP(Tabla6[[#This Row],[OBJETIVOS PND]],Listas!$A$1:$C$3,3,0)</f>
        <v>1</v>
      </c>
      <c r="M768" s="70">
        <f>VLOOKUP(Tabla6[[#This Row],[PG]],Listas2!$G$14:$K$16,5,0)</f>
        <v>0</v>
      </c>
      <c r="N768" s="71">
        <v>1</v>
      </c>
      <c r="O768" s="72">
        <v>916</v>
      </c>
      <c r="P768" s="73" t="str">
        <f>VLOOKUP(Tabla6[[#This Row],[GEO]],Listas!$A$48:$B$77,2,0)</f>
        <v>SAMBORONDÓN</v>
      </c>
      <c r="Q768" s="70">
        <f>VLOOKUP(Tabla6[[#This Row],[PG]],Listas2!$G$14:$K$16,3,0)</f>
        <v>1</v>
      </c>
      <c r="R768" s="73">
        <f>VLOOKUP(Tabla6[[#This Row],[PG]],Listas2!H773:'Listas2'!$G$14:$K$16,4,0)</f>
        <v>0</v>
      </c>
      <c r="S768" s="73">
        <f>VLOOKUP(Tabla6[[#This Row],[PG]],Listas2!$G$14:$K$16,2,0)</f>
        <v>0</v>
      </c>
      <c r="T768" s="66" t="s">
        <v>84</v>
      </c>
      <c r="U768" s="74">
        <v>53</v>
      </c>
      <c r="V768" s="66">
        <v>530805</v>
      </c>
      <c r="W768" s="63" t="str">
        <f>VLOOKUP(Tabla6[[#This Row],[ÍTEM PRESUPUESTARIO]],Tabla2[#All],2,0)</f>
        <v>MATERIALES DE ASEO</v>
      </c>
      <c r="X768" s="57">
        <v>0</v>
      </c>
      <c r="Y768" s="57">
        <f>300-4.62-4.62</f>
        <v>290.76</v>
      </c>
      <c r="Z768" s="58">
        <v>0</v>
      </c>
      <c r="AA768" s="58">
        <v>0</v>
      </c>
      <c r="AB768" s="58">
        <v>0</v>
      </c>
      <c r="AC768" s="58">
        <v>0</v>
      </c>
      <c r="AD768" s="58">
        <v>0</v>
      </c>
      <c r="AE768" s="58">
        <v>0</v>
      </c>
      <c r="AF768" s="58">
        <v>0</v>
      </c>
      <c r="AG768" s="58">
        <v>0</v>
      </c>
      <c r="AH768" s="58">
        <v>0</v>
      </c>
      <c r="AI768" s="58">
        <v>0</v>
      </c>
      <c r="AJ768" s="58">
        <v>290.76</v>
      </c>
      <c r="AK768" s="58">
        <v>0</v>
      </c>
      <c r="AL768" s="75">
        <f>+SUBTOTAL(9,Tabla6[[#This Row],[ENE]:[DIC]])</f>
        <v>290.76</v>
      </c>
      <c r="AM768" s="76" t="str">
        <f t="shared" si="16"/>
        <v>OK</v>
      </c>
      <c r="AN768" s="60">
        <v>290.76</v>
      </c>
      <c r="AO768" s="61">
        <f>+Tabla6[[#This Row],[PRESUPUESTO VIGENTE]]-Tabla6[[#This Row],[CERTIFICACIÓN PAPP]]</f>
        <v>0</v>
      </c>
      <c r="AP768" s="59">
        <v>0</v>
      </c>
    </row>
    <row r="769" spans="1:42" ht="93" customHeight="1" x14ac:dyDescent="0.25">
      <c r="A769" s="62" t="s">
        <v>78</v>
      </c>
      <c r="B769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769" s="64" t="s">
        <v>79</v>
      </c>
      <c r="D769" s="64" t="s">
        <v>80</v>
      </c>
      <c r="E769" s="64" t="s">
        <v>81</v>
      </c>
      <c r="F769" s="64" t="s">
        <v>101</v>
      </c>
      <c r="G769" s="64" t="s">
        <v>92</v>
      </c>
      <c r="H769" s="65" t="str">
        <f>VLOOKUP(Tabla6[[#This Row],[DIRECCIÓN]],DIRECCIÓN[#All],2,0)</f>
        <v>ADMINISTRACIÓN CENTRAL</v>
      </c>
      <c r="I769" s="66" t="s">
        <v>1000</v>
      </c>
      <c r="J769" s="67">
        <v>1</v>
      </c>
      <c r="K769" s="68" t="str">
        <f>VLOOKUP(Tabla6[[#This Row],[DIRECCIÓN GENERAL / COORDINACIÓN / SUBDIRECCIÓN]],Tabla37[[#All],[Columna1]:[EOD]],2,0)</f>
        <v>266_0005</v>
      </c>
      <c r="L769" s="69">
        <f>VLOOKUP(Tabla6[[#This Row],[OBJETIVOS PND]],Listas!$A$1:$C$3,3,0)</f>
        <v>1</v>
      </c>
      <c r="M769" s="70">
        <f>VLOOKUP(Tabla6[[#This Row],[PG]],Listas2!$G$14:$K$16,5,0)</f>
        <v>0</v>
      </c>
      <c r="N769" s="71">
        <v>1</v>
      </c>
      <c r="O769" s="72">
        <v>916</v>
      </c>
      <c r="P769" s="73" t="str">
        <f>VLOOKUP(Tabla6[[#This Row],[GEO]],Listas!$A$48:$B$77,2,0)</f>
        <v>SAMBORONDÓN</v>
      </c>
      <c r="Q769" s="70">
        <f>VLOOKUP(Tabla6[[#This Row],[PG]],Listas2!$G$14:$K$16,3,0)</f>
        <v>1</v>
      </c>
      <c r="R769" s="73">
        <f>VLOOKUP(Tabla6[[#This Row],[PG]],Listas2!H774:'Listas2'!$G$14:$K$16,4,0)</f>
        <v>0</v>
      </c>
      <c r="S769" s="73">
        <f>VLOOKUP(Tabla6[[#This Row],[PG]],Listas2!$G$14:$K$16,2,0)</f>
        <v>0</v>
      </c>
      <c r="T769" s="66" t="s">
        <v>84</v>
      </c>
      <c r="U769" s="74">
        <v>53</v>
      </c>
      <c r="V769" s="66">
        <v>530811</v>
      </c>
      <c r="W769" s="63" t="str">
        <f>VLOOKUP(Tabla6[[#This Row],[ÍTEM PRESUPUESTARIO]],Tabla2[#All],2,0)</f>
        <v>INSUMOS, MATERIALES Y SUMINISTROS PARA CONSTRUCCIÓN, ELECTRICIDAD, PLOMERÍA, CARPINTERÍA, SEÑALIZACIÓN VIAL, NAVEGACIÓN, CONTRA INCENDIOS Y PLACAS</v>
      </c>
      <c r="X769" s="57">
        <v>7143</v>
      </c>
      <c r="Y769" s="57">
        <f>7143-1308.36</f>
        <v>5834.64</v>
      </c>
      <c r="Z769" s="58">
        <v>0</v>
      </c>
      <c r="AA769" s="58">
        <v>0</v>
      </c>
      <c r="AB769" s="58">
        <v>0</v>
      </c>
      <c r="AC769" s="58">
        <v>0</v>
      </c>
      <c r="AD769" s="58">
        <v>0</v>
      </c>
      <c r="AE769" s="58">
        <v>0</v>
      </c>
      <c r="AF769" s="58">
        <v>5834.64</v>
      </c>
      <c r="AG769" s="58">
        <v>0</v>
      </c>
      <c r="AH769" s="58">
        <v>0</v>
      </c>
      <c r="AI769" s="58">
        <v>0</v>
      </c>
      <c r="AJ769" s="58">
        <v>0</v>
      </c>
      <c r="AK769" s="58">
        <v>0</v>
      </c>
      <c r="AL769" s="75">
        <f>+SUBTOTAL(9,Tabla6[[#This Row],[ENE]:[DIC]])</f>
        <v>5834.64</v>
      </c>
      <c r="AM769" s="76" t="str">
        <f t="shared" si="16"/>
        <v>OK</v>
      </c>
      <c r="AN769" s="60">
        <v>5834.64</v>
      </c>
      <c r="AO769" s="61">
        <f>+Tabla6[[#This Row],[PRESUPUESTO VIGENTE]]-Tabla6[[#This Row],[CERTIFICACIÓN PAPP]]</f>
        <v>0</v>
      </c>
      <c r="AP769" s="59">
        <v>0</v>
      </c>
    </row>
    <row r="770" spans="1:42" ht="93" customHeight="1" x14ac:dyDescent="0.25">
      <c r="A770" s="62" t="s">
        <v>78</v>
      </c>
      <c r="B770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770" s="64" t="s">
        <v>79</v>
      </c>
      <c r="D770" s="64" t="s">
        <v>80</v>
      </c>
      <c r="E770" s="64" t="s">
        <v>81</v>
      </c>
      <c r="F770" s="64" t="s">
        <v>101</v>
      </c>
      <c r="G770" s="64" t="s">
        <v>92</v>
      </c>
      <c r="H770" s="65" t="str">
        <f>VLOOKUP(Tabla6[[#This Row],[DIRECCIÓN]],DIRECCIÓN[#All],2,0)</f>
        <v>ADMINISTRACIÓN CENTRAL</v>
      </c>
      <c r="I770" s="66" t="s">
        <v>992</v>
      </c>
      <c r="J770" s="67">
        <v>1</v>
      </c>
      <c r="K770" s="68" t="str">
        <f>VLOOKUP(Tabla6[[#This Row],[DIRECCIÓN GENERAL / COORDINACIÓN / SUBDIRECCIÓN]],Tabla37[[#All],[Columna1]:[EOD]],2,0)</f>
        <v>266_0005</v>
      </c>
      <c r="L770" s="69">
        <f>VLOOKUP(Tabla6[[#This Row],[OBJETIVOS PND]],Listas!$A$1:$C$3,3,0)</f>
        <v>1</v>
      </c>
      <c r="M770" s="70">
        <f>VLOOKUP(Tabla6[[#This Row],[PG]],Listas2!$G$14:$K$16,5,0)</f>
        <v>0</v>
      </c>
      <c r="N770" s="71">
        <v>1</v>
      </c>
      <c r="O770" s="72">
        <v>916</v>
      </c>
      <c r="P770" s="73" t="str">
        <f>VLOOKUP(Tabla6[[#This Row],[GEO]],Listas!$A$48:$B$77,2,0)</f>
        <v>SAMBORONDÓN</v>
      </c>
      <c r="Q770" s="70">
        <f>VLOOKUP(Tabla6[[#This Row],[PG]],Listas2!$G$14:$K$16,3,0)</f>
        <v>1</v>
      </c>
      <c r="R770" s="73">
        <f>VLOOKUP(Tabla6[[#This Row],[PG]],Listas2!H775:'Listas2'!$G$14:$K$16,4,0)</f>
        <v>0</v>
      </c>
      <c r="S770" s="73">
        <f>VLOOKUP(Tabla6[[#This Row],[PG]],Listas2!$G$14:$K$16,2,0)</f>
        <v>0</v>
      </c>
      <c r="T770" s="66" t="s">
        <v>84</v>
      </c>
      <c r="U770" s="74">
        <v>53</v>
      </c>
      <c r="V770" s="66">
        <v>530811</v>
      </c>
      <c r="W770" s="63" t="str">
        <f>VLOOKUP(Tabla6[[#This Row],[ÍTEM PRESUPUESTARIO]],Tabla2[#All],2,0)</f>
        <v>INSUMOS, MATERIALES Y SUMINISTROS PARA CONSTRUCCIÓN, ELECTRICIDAD, PLOMERÍA, CARPINTERÍA, SEÑALIZACIÓN VIAL, NAVEGACIÓN, CONTRA INCENDIOS Y PLACAS</v>
      </c>
      <c r="X770" s="57">
        <v>400</v>
      </c>
      <c r="Y770" s="57">
        <f>200-200</f>
        <v>0</v>
      </c>
      <c r="Z770" s="58">
        <v>0</v>
      </c>
      <c r="AA770" s="58">
        <v>0</v>
      </c>
      <c r="AB770" s="58">
        <v>0</v>
      </c>
      <c r="AC770" s="58">
        <v>0</v>
      </c>
      <c r="AD770" s="58">
        <v>0</v>
      </c>
      <c r="AE770" s="58">
        <v>0</v>
      </c>
      <c r="AF770" s="58">
        <v>0</v>
      </c>
      <c r="AG770" s="58">
        <v>0</v>
      </c>
      <c r="AH770" s="58">
        <v>0</v>
      </c>
      <c r="AI770" s="58">
        <v>0</v>
      </c>
      <c r="AJ770" s="58">
        <v>0</v>
      </c>
      <c r="AK770" s="58">
        <v>0</v>
      </c>
      <c r="AL770" s="75">
        <f>+SUBTOTAL(9,Tabla6[[#This Row],[ENE]:[DIC]])</f>
        <v>0</v>
      </c>
      <c r="AM770" s="76" t="str">
        <f t="shared" si="16"/>
        <v>OK</v>
      </c>
      <c r="AN770" s="60">
        <f>200-200</f>
        <v>0</v>
      </c>
      <c r="AO770" s="61">
        <f>+Tabla6[[#This Row],[PRESUPUESTO VIGENTE]]-Tabla6[[#This Row],[CERTIFICACIÓN PAPP]]</f>
        <v>0</v>
      </c>
      <c r="AP770" s="59">
        <v>0</v>
      </c>
    </row>
    <row r="771" spans="1:42" ht="93" customHeight="1" x14ac:dyDescent="0.25">
      <c r="A771" s="62" t="s">
        <v>78</v>
      </c>
      <c r="B771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771" s="64" t="s">
        <v>79</v>
      </c>
      <c r="D771" s="64" t="s">
        <v>80</v>
      </c>
      <c r="E771" s="64" t="s">
        <v>81</v>
      </c>
      <c r="F771" s="64" t="s">
        <v>101</v>
      </c>
      <c r="G771" s="64" t="s">
        <v>92</v>
      </c>
      <c r="H771" s="65" t="str">
        <f>VLOOKUP(Tabla6[[#This Row],[DIRECCIÓN]],DIRECCIÓN[#All],2,0)</f>
        <v>ADMINISTRACIÓN CENTRAL</v>
      </c>
      <c r="I771" s="66" t="s">
        <v>1001</v>
      </c>
      <c r="J771" s="67">
        <v>2</v>
      </c>
      <c r="K771" s="68" t="str">
        <f>VLOOKUP(Tabla6[[#This Row],[DIRECCIÓN GENERAL / COORDINACIÓN / SUBDIRECCIÓN]],Tabla37[[#All],[Columna1]:[EOD]],2,0)</f>
        <v>266_0005</v>
      </c>
      <c r="L771" s="69">
        <f>VLOOKUP(Tabla6[[#This Row],[OBJETIVOS PND]],Listas!$A$1:$C$3,3,0)</f>
        <v>1</v>
      </c>
      <c r="M771" s="70">
        <f>VLOOKUP(Tabla6[[#This Row],[PG]],Listas2!$G$14:$K$16,5,0)</f>
        <v>0</v>
      </c>
      <c r="N771" s="71">
        <v>1</v>
      </c>
      <c r="O771" s="72">
        <v>916</v>
      </c>
      <c r="P771" s="73" t="str">
        <f>VLOOKUP(Tabla6[[#This Row],[GEO]],Listas!$A$48:$B$77,2,0)</f>
        <v>SAMBORONDÓN</v>
      </c>
      <c r="Q771" s="70">
        <f>VLOOKUP(Tabla6[[#This Row],[PG]],Listas2!$G$14:$K$16,3,0)</f>
        <v>1</v>
      </c>
      <c r="R771" s="73">
        <f>VLOOKUP(Tabla6[[#This Row],[PG]],Listas2!H776:'Listas2'!$G$14:$K$16,4,0)</f>
        <v>0</v>
      </c>
      <c r="S771" s="73">
        <f>VLOOKUP(Tabla6[[#This Row],[PG]],Listas2!$G$14:$K$16,2,0)</f>
        <v>0</v>
      </c>
      <c r="T771" s="66" t="s">
        <v>84</v>
      </c>
      <c r="U771" s="74">
        <v>53</v>
      </c>
      <c r="V771" s="66">
        <v>530813</v>
      </c>
      <c r="W771" s="63" t="str">
        <f>VLOOKUP(Tabla6[[#This Row],[ÍTEM PRESUPUESTARIO]],Tabla2[#All],2,0)</f>
        <v>REPUESTOS Y ACCESORIOS</v>
      </c>
      <c r="X771" s="57">
        <v>4018</v>
      </c>
      <c r="Y771" s="57">
        <f>4018-4018</f>
        <v>0</v>
      </c>
      <c r="Z771" s="58">
        <v>0</v>
      </c>
      <c r="AA771" s="58">
        <v>0</v>
      </c>
      <c r="AB771" s="58">
        <v>0</v>
      </c>
      <c r="AC771" s="58">
        <v>0</v>
      </c>
      <c r="AD771" s="58">
        <v>0</v>
      </c>
      <c r="AE771" s="58">
        <v>0</v>
      </c>
      <c r="AF771" s="58">
        <v>0</v>
      </c>
      <c r="AG771" s="58">
        <v>0</v>
      </c>
      <c r="AH771" s="58">
        <v>0</v>
      </c>
      <c r="AI771" s="58">
        <v>0</v>
      </c>
      <c r="AJ771" s="58">
        <v>0</v>
      </c>
      <c r="AK771" s="58">
        <v>0</v>
      </c>
      <c r="AL771" s="75">
        <f>+SUBTOTAL(9,Tabla6[[#This Row],[ENE]:[DIC]])</f>
        <v>0</v>
      </c>
      <c r="AM771" s="76" t="str">
        <f t="shared" si="16"/>
        <v>OK</v>
      </c>
      <c r="AN771" s="60">
        <v>0</v>
      </c>
      <c r="AO771" s="61">
        <f>+Tabla6[[#This Row],[PRESUPUESTO VIGENTE]]-Tabla6[[#This Row],[CERTIFICACIÓN PAPP]]</f>
        <v>0</v>
      </c>
      <c r="AP771" s="59">
        <v>0</v>
      </c>
    </row>
    <row r="772" spans="1:42" ht="93" customHeight="1" x14ac:dyDescent="0.25">
      <c r="A772" s="62" t="s">
        <v>78</v>
      </c>
      <c r="B772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772" s="64" t="s">
        <v>79</v>
      </c>
      <c r="D772" s="64" t="s">
        <v>80</v>
      </c>
      <c r="E772" s="64" t="s">
        <v>81</v>
      </c>
      <c r="F772" s="64" t="s">
        <v>101</v>
      </c>
      <c r="G772" s="64" t="s">
        <v>92</v>
      </c>
      <c r="H772" s="65" t="str">
        <f>VLOOKUP(Tabla6[[#This Row],[DIRECCIÓN]],DIRECCIÓN[#All],2,0)</f>
        <v>ADMINISTRACIÓN CENTRAL</v>
      </c>
      <c r="I772" s="66" t="s">
        <v>1002</v>
      </c>
      <c r="J772" s="67">
        <v>1</v>
      </c>
      <c r="K772" s="68" t="str">
        <f>VLOOKUP(Tabla6[[#This Row],[DIRECCIÓN GENERAL / COORDINACIÓN / SUBDIRECCIÓN]],Tabla37[[#All],[Columna1]:[EOD]],2,0)</f>
        <v>266_0005</v>
      </c>
      <c r="L772" s="69">
        <f>VLOOKUP(Tabla6[[#This Row],[OBJETIVOS PND]],Listas!$A$1:$C$3,3,0)</f>
        <v>1</v>
      </c>
      <c r="M772" s="70">
        <f>VLOOKUP(Tabla6[[#This Row],[PG]],Listas2!$G$14:$K$16,5,0)</f>
        <v>0</v>
      </c>
      <c r="N772" s="71">
        <v>1</v>
      </c>
      <c r="O772" s="72">
        <v>916</v>
      </c>
      <c r="P772" s="73" t="str">
        <f>VLOOKUP(Tabla6[[#This Row],[GEO]],Listas!$A$48:$B$77,2,0)</f>
        <v>SAMBORONDÓN</v>
      </c>
      <c r="Q772" s="70">
        <f>VLOOKUP(Tabla6[[#This Row],[PG]],Listas2!$G$14:$K$16,3,0)</f>
        <v>1</v>
      </c>
      <c r="R772" s="73">
        <f>VLOOKUP(Tabla6[[#This Row],[PG]],Listas2!H777:'Listas2'!$G$14:$K$16,4,0)</f>
        <v>0</v>
      </c>
      <c r="S772" s="73">
        <f>VLOOKUP(Tabla6[[#This Row],[PG]],Listas2!$G$14:$K$16,2,0)</f>
        <v>0</v>
      </c>
      <c r="T772" s="66" t="s">
        <v>84</v>
      </c>
      <c r="U772" s="74">
        <v>53</v>
      </c>
      <c r="V772" s="66">
        <v>531411</v>
      </c>
      <c r="W772" s="63" t="str">
        <f>VLOOKUP(Tabla6[[#This Row],[ÍTEM PRESUPUESTARIO]],Tabla2[#All],2,0)</f>
        <v>PARTES Y REPUESTOS</v>
      </c>
      <c r="X772" s="57">
        <v>1875</v>
      </c>
      <c r="Y772" s="57">
        <f>1875-730.27-0.38</f>
        <v>1144.3499999999999</v>
      </c>
      <c r="Z772" s="58">
        <v>0</v>
      </c>
      <c r="AA772" s="58">
        <v>0</v>
      </c>
      <c r="AB772" s="58">
        <v>0</v>
      </c>
      <c r="AC772" s="58">
        <v>0</v>
      </c>
      <c r="AD772" s="58">
        <v>0</v>
      </c>
      <c r="AE772" s="58">
        <v>0</v>
      </c>
      <c r="AF772" s="58">
        <v>0</v>
      </c>
      <c r="AG772" s="58">
        <v>1144.3499999999999</v>
      </c>
      <c r="AH772" s="58">
        <v>0</v>
      </c>
      <c r="AI772" s="58">
        <v>0</v>
      </c>
      <c r="AJ772" s="58">
        <v>0</v>
      </c>
      <c r="AK772" s="58">
        <v>0</v>
      </c>
      <c r="AL772" s="75">
        <f>+SUBTOTAL(9,Tabla6[[#This Row],[ENE]:[DIC]])</f>
        <v>1144.3499999999999</v>
      </c>
      <c r="AM772" s="76" t="str">
        <f t="shared" si="16"/>
        <v>OK</v>
      </c>
      <c r="AN772" s="60">
        <f>1144.73-0.38</f>
        <v>1144.3499999999999</v>
      </c>
      <c r="AO772" s="61">
        <f>+Tabla6[[#This Row],[PRESUPUESTO VIGENTE]]-Tabla6[[#This Row],[CERTIFICACIÓN PAPP]]</f>
        <v>0</v>
      </c>
      <c r="AP772" s="59">
        <v>0</v>
      </c>
    </row>
    <row r="773" spans="1:42" ht="93" customHeight="1" x14ac:dyDescent="0.25">
      <c r="A773" s="62" t="s">
        <v>78</v>
      </c>
      <c r="B773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773" s="64" t="s">
        <v>79</v>
      </c>
      <c r="D773" s="64" t="s">
        <v>80</v>
      </c>
      <c r="E773" s="64" t="s">
        <v>81</v>
      </c>
      <c r="F773" s="64" t="s">
        <v>101</v>
      </c>
      <c r="G773" s="64" t="s">
        <v>92</v>
      </c>
      <c r="H773" s="65" t="str">
        <f>VLOOKUP(Tabla6[[#This Row],[DIRECCIÓN]],DIRECCIÓN[#All],2,0)</f>
        <v>ADMINISTRACIÓN CENTRAL</v>
      </c>
      <c r="I773" s="66" t="s">
        <v>1003</v>
      </c>
      <c r="J773" s="67">
        <v>1</v>
      </c>
      <c r="K773" s="68" t="str">
        <f>VLOOKUP(Tabla6[[#This Row],[DIRECCIÓN GENERAL / COORDINACIÓN / SUBDIRECCIÓN]],Tabla37[[#All],[Columna1]:[EOD]],2,0)</f>
        <v>266_0005</v>
      </c>
      <c r="L773" s="69">
        <f>VLOOKUP(Tabla6[[#This Row],[OBJETIVOS PND]],Listas!$A$1:$C$3,3,0)</f>
        <v>1</v>
      </c>
      <c r="M773" s="70">
        <f>VLOOKUP(Tabla6[[#This Row],[PG]],Listas2!$G$14:$K$16,5,0)</f>
        <v>0</v>
      </c>
      <c r="N773" s="71">
        <v>1</v>
      </c>
      <c r="O773" s="72">
        <v>916</v>
      </c>
      <c r="P773" s="73" t="str">
        <f>VLOOKUP(Tabla6[[#This Row],[GEO]],Listas!$A$48:$B$77,2,0)</f>
        <v>SAMBORONDÓN</v>
      </c>
      <c r="Q773" s="70">
        <f>VLOOKUP(Tabla6[[#This Row],[PG]],Listas2!$G$14:$K$16,3,0)</f>
        <v>1</v>
      </c>
      <c r="R773" s="73">
        <f>VLOOKUP(Tabla6[[#This Row],[PG]],Listas2!H778:'Listas2'!$G$14:$K$16,4,0)</f>
        <v>0</v>
      </c>
      <c r="S773" s="73">
        <f>VLOOKUP(Tabla6[[#This Row],[PG]],Listas2!$G$14:$K$16,2,0)</f>
        <v>0</v>
      </c>
      <c r="T773" s="66" t="s">
        <v>84</v>
      </c>
      <c r="U773" s="74">
        <v>57</v>
      </c>
      <c r="V773" s="66">
        <v>570102</v>
      </c>
      <c r="W773" s="63" t="str">
        <f>VLOOKUP(Tabla6[[#This Row],[ÍTEM PRESUPUESTARIO]],Tabla2[#All],2,0)</f>
        <v>TASAS GENERALES, IMPUESTOS, CONTRIBUCIONES, PERMISOS, LICENCIAS Y PATENTES</v>
      </c>
      <c r="X773" s="57">
        <v>150</v>
      </c>
      <c r="Y773" s="57">
        <f>150+158-172</f>
        <v>136</v>
      </c>
      <c r="Z773" s="58">
        <v>0</v>
      </c>
      <c r="AA773" s="58">
        <v>0</v>
      </c>
      <c r="AB773" s="58">
        <v>50</v>
      </c>
      <c r="AC773" s="58">
        <v>0</v>
      </c>
      <c r="AD773" s="58">
        <v>8</v>
      </c>
      <c r="AE773" s="58">
        <v>0</v>
      </c>
      <c r="AF773" s="58">
        <v>10</v>
      </c>
      <c r="AG773" s="58">
        <v>10</v>
      </c>
      <c r="AH773" s="58">
        <v>10</v>
      </c>
      <c r="AI773" s="58">
        <v>10</v>
      </c>
      <c r="AJ773" s="58">
        <v>10</v>
      </c>
      <c r="AK773" s="58">
        <v>28</v>
      </c>
      <c r="AL773" s="75">
        <f>+SUBTOTAL(9,Tabla6[[#This Row],[ENE]:[DIC]])</f>
        <v>136</v>
      </c>
      <c r="AM773" s="76" t="str">
        <f t="shared" si="16"/>
        <v>OK</v>
      </c>
      <c r="AN773" s="60">
        <f>100+8+200-200+200-6-166</f>
        <v>136</v>
      </c>
      <c r="AO773" s="61">
        <f>+Tabla6[[#This Row],[PRESUPUESTO VIGENTE]]-Tabla6[[#This Row],[CERTIFICACIÓN PAPP]]</f>
        <v>0</v>
      </c>
      <c r="AP773" s="59">
        <v>0</v>
      </c>
    </row>
    <row r="774" spans="1:42" ht="93" customHeight="1" x14ac:dyDescent="0.25">
      <c r="A774" s="62" t="s">
        <v>78</v>
      </c>
      <c r="B774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774" s="64" t="s">
        <v>79</v>
      </c>
      <c r="D774" s="64" t="s">
        <v>80</v>
      </c>
      <c r="E774" s="64" t="s">
        <v>81</v>
      </c>
      <c r="F774" s="64" t="s">
        <v>101</v>
      </c>
      <c r="G774" s="64" t="s">
        <v>92</v>
      </c>
      <c r="H774" s="65" t="str">
        <f>VLOOKUP(Tabla6[[#This Row],[DIRECCIÓN]],DIRECCIÓN[#All],2,0)</f>
        <v>ADMINISTRACIÓN CENTRAL</v>
      </c>
      <c r="I774" s="66" t="s">
        <v>1004</v>
      </c>
      <c r="J774" s="67">
        <v>1</v>
      </c>
      <c r="K774" s="68" t="str">
        <f>VLOOKUP(Tabla6[[#This Row],[DIRECCIÓN GENERAL / COORDINACIÓN / SUBDIRECCIÓN]],Tabla37[[#All],[Columna1]:[EOD]],2,0)</f>
        <v>266_0005</v>
      </c>
      <c r="L774" s="69">
        <f>VLOOKUP(Tabla6[[#This Row],[OBJETIVOS PND]],Listas!$A$1:$C$3,3,0)</f>
        <v>1</v>
      </c>
      <c r="M774" s="70">
        <f>VLOOKUP(Tabla6[[#This Row],[PG]],Listas2!$G$14:$K$16,5,0)</f>
        <v>0</v>
      </c>
      <c r="N774" s="71">
        <v>1</v>
      </c>
      <c r="O774" s="72">
        <v>916</v>
      </c>
      <c r="P774" s="73" t="str">
        <f>VLOOKUP(Tabla6[[#This Row],[GEO]],Listas!$A$48:$B$77,2,0)</f>
        <v>SAMBORONDÓN</v>
      </c>
      <c r="Q774" s="70">
        <f>VLOOKUP(Tabla6[[#This Row],[PG]],Listas2!$G$14:$K$16,3,0)</f>
        <v>1</v>
      </c>
      <c r="R774" s="73">
        <f>VLOOKUP(Tabla6[[#This Row],[PG]],Listas2!H779:'Listas2'!$G$14:$K$16,4,0)</f>
        <v>0</v>
      </c>
      <c r="S774" s="73">
        <f>VLOOKUP(Tabla6[[#This Row],[PG]],Listas2!$G$14:$K$16,2,0)</f>
        <v>0</v>
      </c>
      <c r="T774" s="66" t="s">
        <v>84</v>
      </c>
      <c r="U774" s="74">
        <v>57</v>
      </c>
      <c r="V774" s="66">
        <v>570102</v>
      </c>
      <c r="W774" s="63" t="str">
        <f>VLOOKUP(Tabla6[[#This Row],[ÍTEM PRESUPUESTARIO]],Tabla2[#All],2,0)</f>
        <v>TASAS GENERALES, IMPUESTOS, CONTRIBUCIONES, PERMISOS, LICENCIAS Y PATENTES</v>
      </c>
      <c r="X774" s="57">
        <v>0</v>
      </c>
      <c r="Y774" s="57">
        <f>370-6-0.95</f>
        <v>363.05</v>
      </c>
      <c r="Z774" s="58">
        <v>0</v>
      </c>
      <c r="AA774" s="58">
        <v>0</v>
      </c>
      <c r="AB774" s="58">
        <v>363.05</v>
      </c>
      <c r="AC774" s="58">
        <v>0</v>
      </c>
      <c r="AD774" s="58">
        <v>0</v>
      </c>
      <c r="AE774" s="58">
        <v>0</v>
      </c>
      <c r="AF774" s="58">
        <v>0</v>
      </c>
      <c r="AG774" s="58">
        <v>0</v>
      </c>
      <c r="AH774" s="58">
        <v>0</v>
      </c>
      <c r="AI774" s="58">
        <v>0</v>
      </c>
      <c r="AJ774" s="58">
        <v>0</v>
      </c>
      <c r="AK774" s="58">
        <v>0</v>
      </c>
      <c r="AL774" s="75">
        <f>+SUBTOTAL(9,Tabla6[[#This Row],[ENE]:[DIC]])</f>
        <v>363.05</v>
      </c>
      <c r="AM774" s="76" t="str">
        <f t="shared" si="16"/>
        <v>OK</v>
      </c>
      <c r="AN774" s="60">
        <f>364-0.95</f>
        <v>363.05</v>
      </c>
      <c r="AO774" s="61">
        <f>+Tabla6[[#This Row],[PRESUPUESTO VIGENTE]]-Tabla6[[#This Row],[CERTIFICACIÓN PAPP]]</f>
        <v>0</v>
      </c>
      <c r="AP774" s="59">
        <v>0</v>
      </c>
    </row>
    <row r="775" spans="1:42" ht="93" customHeight="1" x14ac:dyDescent="0.25">
      <c r="A775" s="62" t="s">
        <v>78</v>
      </c>
      <c r="B775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775" s="64" t="s">
        <v>79</v>
      </c>
      <c r="D775" s="64" t="s">
        <v>80</v>
      </c>
      <c r="E775" s="64" t="s">
        <v>81</v>
      </c>
      <c r="F775" s="64" t="s">
        <v>101</v>
      </c>
      <c r="G775" s="64" t="s">
        <v>92</v>
      </c>
      <c r="H775" s="65" t="str">
        <f>VLOOKUP(Tabla6[[#This Row],[DIRECCIÓN]],DIRECCIÓN[#All],2,0)</f>
        <v>ADMINISTRACIÓN CENTRAL</v>
      </c>
      <c r="I775" s="66" t="s">
        <v>1005</v>
      </c>
      <c r="J775" s="67">
        <v>1</v>
      </c>
      <c r="K775" s="68" t="str">
        <f>VLOOKUP(Tabla6[[#This Row],[DIRECCIÓN GENERAL / COORDINACIÓN / SUBDIRECCIÓN]],Tabla37[[#All],[Columna1]:[EOD]],2,0)</f>
        <v>266_0005</v>
      </c>
      <c r="L775" s="69">
        <f>VLOOKUP(Tabla6[[#This Row],[OBJETIVOS PND]],Listas!$A$1:$C$3,3,0)</f>
        <v>1</v>
      </c>
      <c r="M775" s="70">
        <f>VLOOKUP(Tabla6[[#This Row],[PG]],Listas2!$G$14:$K$16,5,0)</f>
        <v>0</v>
      </c>
      <c r="N775" s="71">
        <v>1</v>
      </c>
      <c r="O775" s="72">
        <v>916</v>
      </c>
      <c r="P775" s="73" t="str">
        <f>VLOOKUP(Tabla6[[#This Row],[GEO]],Listas!$A$48:$B$77,2,0)</f>
        <v>SAMBORONDÓN</v>
      </c>
      <c r="Q775" s="70">
        <f>VLOOKUP(Tabla6[[#This Row],[PG]],Listas2!$G$14:$K$16,3,0)</f>
        <v>1</v>
      </c>
      <c r="R775" s="73">
        <f>VLOOKUP(Tabla6[[#This Row],[PG]],Listas2!H780:'Listas2'!$G$14:$K$16,4,0)</f>
        <v>0</v>
      </c>
      <c r="S775" s="73">
        <f>VLOOKUP(Tabla6[[#This Row],[PG]],Listas2!$G$14:$K$16,2,0)</f>
        <v>0</v>
      </c>
      <c r="T775" s="66" t="s">
        <v>84</v>
      </c>
      <c r="U775" s="74">
        <v>57</v>
      </c>
      <c r="V775" s="66">
        <v>570102</v>
      </c>
      <c r="W775" s="63" t="str">
        <f>VLOOKUP(Tabla6[[#This Row],[ÍTEM PRESUPUESTARIO]],Tabla2[#All],2,0)</f>
        <v>TASAS GENERALES, IMPUESTOS, CONTRIBUCIONES, PERMISOS, LICENCIAS Y PATENTES</v>
      </c>
      <c r="X775" s="57">
        <v>0</v>
      </c>
      <c r="Y775" s="57">
        <f>130-5-0.45</f>
        <v>124.55</v>
      </c>
      <c r="Z775" s="58">
        <v>0</v>
      </c>
      <c r="AA775" s="58">
        <v>0</v>
      </c>
      <c r="AB775" s="58">
        <v>124.55</v>
      </c>
      <c r="AC775" s="58">
        <v>0</v>
      </c>
      <c r="AD775" s="58">
        <v>0</v>
      </c>
      <c r="AE775" s="58">
        <v>0</v>
      </c>
      <c r="AF775" s="58">
        <v>0</v>
      </c>
      <c r="AG775" s="58">
        <v>0</v>
      </c>
      <c r="AH775" s="58">
        <v>0</v>
      </c>
      <c r="AI775" s="58">
        <v>0</v>
      </c>
      <c r="AJ775" s="58">
        <v>0</v>
      </c>
      <c r="AK775" s="58">
        <v>0</v>
      </c>
      <c r="AL775" s="75">
        <f>+SUBTOTAL(9,Tabla6[[#This Row],[ENE]:[DIC]])</f>
        <v>124.55</v>
      </c>
      <c r="AM775" s="76" t="str">
        <f t="shared" si="16"/>
        <v>OK</v>
      </c>
      <c r="AN775" s="60">
        <f>125-0.45</f>
        <v>124.55</v>
      </c>
      <c r="AO775" s="61">
        <f>+Tabla6[[#This Row],[PRESUPUESTO VIGENTE]]-Tabla6[[#This Row],[CERTIFICACIÓN PAPP]]</f>
        <v>0</v>
      </c>
      <c r="AP775" s="59">
        <v>0</v>
      </c>
    </row>
    <row r="776" spans="1:42" ht="93" customHeight="1" x14ac:dyDescent="0.25">
      <c r="A776" s="62" t="s">
        <v>78</v>
      </c>
      <c r="B776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776" s="64" t="s">
        <v>79</v>
      </c>
      <c r="D776" s="64" t="s">
        <v>80</v>
      </c>
      <c r="E776" s="64" t="s">
        <v>81</v>
      </c>
      <c r="F776" s="64" t="s">
        <v>101</v>
      </c>
      <c r="G776" s="64" t="s">
        <v>92</v>
      </c>
      <c r="H776" s="65" t="str">
        <f>VLOOKUP(Tabla6[[#This Row],[DIRECCIÓN]],DIRECCIÓN[#All],2,0)</f>
        <v>ADMINISTRACIÓN CENTRAL</v>
      </c>
      <c r="I776" s="66" t="s">
        <v>1006</v>
      </c>
      <c r="J776" s="67">
        <v>1</v>
      </c>
      <c r="K776" s="68" t="str">
        <f>VLOOKUP(Tabla6[[#This Row],[DIRECCIÓN GENERAL / COORDINACIÓN / SUBDIRECCIÓN]],Tabla37[[#All],[Columna1]:[EOD]],2,0)</f>
        <v>266_0005</v>
      </c>
      <c r="L776" s="69">
        <f>VLOOKUP(Tabla6[[#This Row],[OBJETIVOS PND]],Listas!$A$1:$C$3,3,0)</f>
        <v>1</v>
      </c>
      <c r="M776" s="70">
        <f>VLOOKUP(Tabla6[[#This Row],[PG]],Listas2!$G$14:$K$16,5,0)</f>
        <v>0</v>
      </c>
      <c r="N776" s="71">
        <v>1</v>
      </c>
      <c r="O776" s="72">
        <v>916</v>
      </c>
      <c r="P776" s="73" t="str">
        <f>VLOOKUP(Tabla6[[#This Row],[GEO]],Listas!$A$48:$B$77,2,0)</f>
        <v>SAMBORONDÓN</v>
      </c>
      <c r="Q776" s="70">
        <f>VLOOKUP(Tabla6[[#This Row],[PG]],Listas2!$G$14:$K$16,3,0)</f>
        <v>1</v>
      </c>
      <c r="R776" s="73">
        <f>VLOOKUP(Tabla6[[#This Row],[PG]],Listas2!H781:'Listas2'!$G$14:$K$16,4,0)</f>
        <v>0</v>
      </c>
      <c r="S776" s="73">
        <f>VLOOKUP(Tabla6[[#This Row],[PG]],Listas2!$G$14:$K$16,2,0)</f>
        <v>0</v>
      </c>
      <c r="T776" s="66" t="s">
        <v>84</v>
      </c>
      <c r="U776" s="74">
        <v>57</v>
      </c>
      <c r="V776" s="66">
        <v>570102</v>
      </c>
      <c r="W776" s="63" t="str">
        <f>VLOOKUP(Tabla6[[#This Row],[ÍTEM PRESUPUESTARIO]],Tabla2[#All],2,0)</f>
        <v>TASAS GENERALES, IMPUESTOS, CONTRIBUCIONES, PERMISOS, LICENCIAS Y PATENTES</v>
      </c>
      <c r="X776" s="57">
        <v>0</v>
      </c>
      <c r="Y776" s="57">
        <f>250-50</f>
        <v>200</v>
      </c>
      <c r="Z776" s="58">
        <v>0</v>
      </c>
      <c r="AA776" s="58">
        <v>200</v>
      </c>
      <c r="AB776" s="58">
        <v>0</v>
      </c>
      <c r="AC776" s="58">
        <v>0</v>
      </c>
      <c r="AD776" s="58">
        <v>0</v>
      </c>
      <c r="AE776" s="58">
        <v>0</v>
      </c>
      <c r="AF776" s="58">
        <v>0</v>
      </c>
      <c r="AG776" s="58">
        <v>0</v>
      </c>
      <c r="AH776" s="58">
        <v>0</v>
      </c>
      <c r="AI776" s="58">
        <v>0</v>
      </c>
      <c r="AJ776" s="58">
        <v>0</v>
      </c>
      <c r="AK776" s="58">
        <v>0</v>
      </c>
      <c r="AL776" s="75">
        <f>+SUBTOTAL(9,Tabla6[[#This Row],[ENE]:[DIC]])</f>
        <v>200</v>
      </c>
      <c r="AM776" s="76" t="str">
        <f t="shared" si="16"/>
        <v>OK</v>
      </c>
      <c r="AN776" s="60">
        <v>200</v>
      </c>
      <c r="AO776" s="61">
        <f>+Tabla6[[#This Row],[PRESUPUESTO VIGENTE]]-Tabla6[[#This Row],[CERTIFICACIÓN PAPP]]</f>
        <v>0</v>
      </c>
      <c r="AP776" s="59">
        <v>0</v>
      </c>
    </row>
    <row r="777" spans="1:42" ht="93" customHeight="1" x14ac:dyDescent="0.25">
      <c r="A777" s="62" t="s">
        <v>78</v>
      </c>
      <c r="B777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777" s="64" t="s">
        <v>79</v>
      </c>
      <c r="D777" s="64" t="s">
        <v>80</v>
      </c>
      <c r="E777" s="64" t="s">
        <v>81</v>
      </c>
      <c r="F777" s="64" t="s">
        <v>101</v>
      </c>
      <c r="G777" s="64" t="s">
        <v>92</v>
      </c>
      <c r="H777" s="65" t="str">
        <f>VLOOKUP(Tabla6[[#This Row],[DIRECCIÓN]],DIRECCIÓN[#All],2,0)</f>
        <v>ADMINISTRACIÓN CENTRAL</v>
      </c>
      <c r="I777" s="66" t="s">
        <v>1007</v>
      </c>
      <c r="J777" s="67">
        <v>1</v>
      </c>
      <c r="K777" s="68" t="str">
        <f>VLOOKUP(Tabla6[[#This Row],[DIRECCIÓN GENERAL / COORDINACIÓN / SUBDIRECCIÓN]],Tabla37[[#All],[Columna1]:[EOD]],2,0)</f>
        <v>266_0005</v>
      </c>
      <c r="L777" s="69">
        <f>VLOOKUP(Tabla6[[#This Row],[OBJETIVOS PND]],Listas!$A$1:$C$3,3,0)</f>
        <v>1</v>
      </c>
      <c r="M777" s="70">
        <f>VLOOKUP(Tabla6[[#This Row],[PG]],Listas2!$G$14:$K$16,5,0)</f>
        <v>0</v>
      </c>
      <c r="N777" s="71">
        <v>1</v>
      </c>
      <c r="O777" s="72">
        <v>916</v>
      </c>
      <c r="P777" s="73" t="str">
        <f>VLOOKUP(Tabla6[[#This Row],[GEO]],Listas!$A$48:$B$77,2,0)</f>
        <v>SAMBORONDÓN</v>
      </c>
      <c r="Q777" s="70">
        <f>VLOOKUP(Tabla6[[#This Row],[PG]],Listas2!$G$14:$K$16,3,0)</f>
        <v>1</v>
      </c>
      <c r="R777" s="73">
        <f>VLOOKUP(Tabla6[[#This Row],[PG]],Listas2!H782:'Listas2'!$G$14:$K$16,4,0)</f>
        <v>0</v>
      </c>
      <c r="S777" s="73">
        <f>VLOOKUP(Tabla6[[#This Row],[PG]],Listas2!$G$14:$K$16,2,0)</f>
        <v>0</v>
      </c>
      <c r="T777" s="66" t="s">
        <v>84</v>
      </c>
      <c r="U777" s="74">
        <v>57</v>
      </c>
      <c r="V777" s="66">
        <v>570104</v>
      </c>
      <c r="W777" s="63" t="str">
        <f>VLOOKUP(Tabla6[[#This Row],[ÍTEM PRESUPUESTARIO]],Tabla2[#All],2,0)</f>
        <v>CONTRIBUCIONES ESPECIALES Y DE MEJORA</v>
      </c>
      <c r="X777" s="57">
        <v>400</v>
      </c>
      <c r="Y777" s="57">
        <f>400-400</f>
        <v>0</v>
      </c>
      <c r="Z777" s="58">
        <v>0</v>
      </c>
      <c r="AA777" s="58">
        <v>0</v>
      </c>
      <c r="AB777" s="58">
        <v>0</v>
      </c>
      <c r="AC777" s="58">
        <v>0</v>
      </c>
      <c r="AD777" s="58">
        <v>0</v>
      </c>
      <c r="AE777" s="58">
        <v>0</v>
      </c>
      <c r="AF777" s="58">
        <v>0</v>
      </c>
      <c r="AG777" s="58">
        <v>0</v>
      </c>
      <c r="AH777" s="58">
        <v>0</v>
      </c>
      <c r="AI777" s="58">
        <v>0</v>
      </c>
      <c r="AJ777" s="58">
        <v>0</v>
      </c>
      <c r="AK777" s="58">
        <v>0</v>
      </c>
      <c r="AL777" s="75">
        <f>+SUBTOTAL(9,Tabla6[[#This Row],[ENE]:[DIC]])</f>
        <v>0</v>
      </c>
      <c r="AM777" s="76" t="str">
        <f t="shared" si="16"/>
        <v>OK</v>
      </c>
      <c r="AN777" s="60">
        <v>0</v>
      </c>
      <c r="AO777" s="61">
        <f>+Tabla6[[#This Row],[PRESUPUESTO VIGENTE]]-Tabla6[[#This Row],[CERTIFICACIÓN PAPP]]</f>
        <v>0</v>
      </c>
      <c r="AP777" s="59">
        <v>0</v>
      </c>
    </row>
    <row r="778" spans="1:42" ht="93" customHeight="1" x14ac:dyDescent="0.25">
      <c r="A778" s="62" t="s">
        <v>78</v>
      </c>
      <c r="B778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778" s="64" t="s">
        <v>79</v>
      </c>
      <c r="D778" s="64" t="s">
        <v>80</v>
      </c>
      <c r="E778" s="64" t="s">
        <v>81</v>
      </c>
      <c r="F778" s="64" t="s">
        <v>101</v>
      </c>
      <c r="G778" s="64" t="s">
        <v>92</v>
      </c>
      <c r="H778" s="65" t="str">
        <f>VLOOKUP(Tabla6[[#This Row],[DIRECCIÓN]],DIRECCIÓN[#All],2,0)</f>
        <v>ADMINISTRACIÓN CENTRAL</v>
      </c>
      <c r="I778" s="66" t="s">
        <v>105</v>
      </c>
      <c r="J778" s="67">
        <v>1</v>
      </c>
      <c r="K778" s="68" t="str">
        <f>VLOOKUP(Tabla6[[#This Row],[DIRECCIÓN GENERAL / COORDINACIÓN / SUBDIRECCIÓN]],Tabla37[[#All],[Columna1]:[EOD]],2,0)</f>
        <v>266_0005</v>
      </c>
      <c r="L778" s="69">
        <f>VLOOKUP(Tabla6[[#This Row],[OBJETIVOS PND]],Listas!$A$1:$C$3,3,0)</f>
        <v>1</v>
      </c>
      <c r="M778" s="70">
        <f>VLOOKUP(Tabla6[[#This Row],[PG]],Listas2!$G$14:$K$16,5,0)</f>
        <v>0</v>
      </c>
      <c r="N778" s="71">
        <v>1</v>
      </c>
      <c r="O778" s="72">
        <v>916</v>
      </c>
      <c r="P778" s="73" t="str">
        <f>VLOOKUP(Tabla6[[#This Row],[GEO]],Listas!$A$48:$B$77,2,0)</f>
        <v>SAMBORONDÓN</v>
      </c>
      <c r="Q778" s="70">
        <f>VLOOKUP(Tabla6[[#This Row],[PG]],Listas2!$G$14:$K$16,3,0)</f>
        <v>1</v>
      </c>
      <c r="R778" s="73">
        <f>VLOOKUP(Tabla6[[#This Row],[PG]],Listas2!H783:'Listas2'!$G$14:$K$16,4,0)</f>
        <v>0</v>
      </c>
      <c r="S778" s="73">
        <f>VLOOKUP(Tabla6[[#This Row],[PG]],Listas2!$G$14:$K$16,2,0)</f>
        <v>0</v>
      </c>
      <c r="T778" s="66" t="s">
        <v>84</v>
      </c>
      <c r="U778" s="74">
        <v>57</v>
      </c>
      <c r="V778" s="66">
        <v>570216</v>
      </c>
      <c r="W778" s="63" t="str">
        <f>VLOOKUP(Tabla6[[#This Row],[ÍTEM PRESUPUESTARIO]],Tabla2[#All],2,0)</f>
        <v>OBLIGACIONES CON EL IESS POR RESPONSABILIDAD PATRONAL</v>
      </c>
      <c r="X778" s="57">
        <v>0</v>
      </c>
      <c r="Y778" s="57">
        <v>2500</v>
      </c>
      <c r="Z778" s="58">
        <v>0</v>
      </c>
      <c r="AA778" s="58">
        <v>0</v>
      </c>
      <c r="AB778" s="58">
        <v>0</v>
      </c>
      <c r="AC778" s="58">
        <v>2500</v>
      </c>
      <c r="AD778" s="58">
        <v>0</v>
      </c>
      <c r="AE778" s="58">
        <v>0</v>
      </c>
      <c r="AF778" s="58">
        <v>0</v>
      </c>
      <c r="AG778" s="58">
        <v>0</v>
      </c>
      <c r="AH778" s="58">
        <v>0</v>
      </c>
      <c r="AI778" s="58">
        <v>0</v>
      </c>
      <c r="AJ778" s="58">
        <v>0</v>
      </c>
      <c r="AK778" s="58">
        <v>0</v>
      </c>
      <c r="AL778" s="75">
        <f>+SUBTOTAL(9,Tabla6[[#This Row],[ENE]:[DIC]])</f>
        <v>2500</v>
      </c>
      <c r="AM778" s="76" t="str">
        <f t="shared" si="16"/>
        <v>OK</v>
      </c>
      <c r="AN778" s="60">
        <v>2500</v>
      </c>
      <c r="AO778" s="61">
        <f>+Tabla6[[#This Row],[PRESUPUESTO VIGENTE]]-Tabla6[[#This Row],[CERTIFICACIÓN PAPP]]</f>
        <v>0</v>
      </c>
      <c r="AP778" s="59">
        <v>0</v>
      </c>
    </row>
    <row r="779" spans="1:42" ht="93" customHeight="1" x14ac:dyDescent="0.25">
      <c r="A779" s="62" t="s">
        <v>78</v>
      </c>
      <c r="B779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779" s="64" t="s">
        <v>79</v>
      </c>
      <c r="D779" s="64" t="s">
        <v>80</v>
      </c>
      <c r="E779" s="64" t="s">
        <v>81</v>
      </c>
      <c r="F779" s="64" t="s">
        <v>101</v>
      </c>
      <c r="G779" s="64" t="s">
        <v>92</v>
      </c>
      <c r="H779" s="65" t="str">
        <f>VLOOKUP(Tabla6[[#This Row],[DIRECCIÓN]],DIRECCIÓN[#All],2,0)</f>
        <v>ADMINISTRACIÓN CENTRAL</v>
      </c>
      <c r="I779" s="66" t="s">
        <v>106</v>
      </c>
      <c r="J779" s="67">
        <v>1</v>
      </c>
      <c r="K779" s="68" t="str">
        <f>VLOOKUP(Tabla6[[#This Row],[DIRECCIÓN GENERAL / COORDINACIÓN / SUBDIRECCIÓN]],Tabla37[[#All],[Columna1]:[EOD]],2,0)</f>
        <v>266_0005</v>
      </c>
      <c r="L779" s="69">
        <f>VLOOKUP(Tabla6[[#This Row],[OBJETIVOS PND]],Listas!$A$1:$C$3,3,0)</f>
        <v>1</v>
      </c>
      <c r="M779" s="70">
        <f>VLOOKUP(Tabla6[[#This Row],[PG]],Listas2!$G$14:$K$16,5,0)</f>
        <v>0</v>
      </c>
      <c r="N779" s="71">
        <v>1</v>
      </c>
      <c r="O779" s="72">
        <v>916</v>
      </c>
      <c r="P779" s="73" t="str">
        <f>VLOOKUP(Tabla6[[#This Row],[GEO]],Listas!$A$48:$B$77,2,0)</f>
        <v>SAMBORONDÓN</v>
      </c>
      <c r="Q779" s="70">
        <f>VLOOKUP(Tabla6[[#This Row],[PG]],Listas2!$G$14:$K$16,3,0)</f>
        <v>1</v>
      </c>
      <c r="R779" s="73">
        <f>VLOOKUP(Tabla6[[#This Row],[PG]],Listas2!H784:'Listas2'!$G$14:$K$16,4,0)</f>
        <v>0</v>
      </c>
      <c r="S779" s="73">
        <f>VLOOKUP(Tabla6[[#This Row],[PG]],Listas2!$G$14:$K$16,2,0)</f>
        <v>0</v>
      </c>
      <c r="T779" s="66" t="s">
        <v>84</v>
      </c>
      <c r="U779" s="74">
        <v>57</v>
      </c>
      <c r="V779" s="66">
        <v>570218</v>
      </c>
      <c r="W779" s="63" t="str">
        <f>VLOOKUP(Tabla6[[#This Row],[ÍTEM PRESUPUESTARIO]],Tabla2[#All],2,0)</f>
        <v>INTERESES POR MORA PATRONAL AL IESS</v>
      </c>
      <c r="X779" s="57">
        <v>0</v>
      </c>
      <c r="Y779" s="57">
        <f>2500+3953.94</f>
        <v>6453.9400000000005</v>
      </c>
      <c r="Z779" s="58">
        <v>0</v>
      </c>
      <c r="AA779" s="58">
        <v>0</v>
      </c>
      <c r="AB779" s="58">
        <v>0</v>
      </c>
      <c r="AC779" s="58">
        <v>2500</v>
      </c>
      <c r="AD779" s="58">
        <v>0</v>
      </c>
      <c r="AE779" s="58">
        <v>0</v>
      </c>
      <c r="AF779" s="58">
        <v>0</v>
      </c>
      <c r="AG779" s="58">
        <v>0</v>
      </c>
      <c r="AH779" s="58">
        <v>0</v>
      </c>
      <c r="AI779" s="58">
        <v>0</v>
      </c>
      <c r="AJ779" s="58">
        <v>3953.94</v>
      </c>
      <c r="AK779" s="58">
        <v>0</v>
      </c>
      <c r="AL779" s="75">
        <f>+SUBTOTAL(9,Tabla6[[#This Row],[ENE]:[DIC]])</f>
        <v>6453.9400000000005</v>
      </c>
      <c r="AM779" s="76" t="str">
        <f t="shared" si="16"/>
        <v>OK</v>
      </c>
      <c r="AN779" s="60">
        <f>1500-247.59+1247.59+3953.94</f>
        <v>6453.9400000000005</v>
      </c>
      <c r="AO779" s="61">
        <f>+Tabla6[[#This Row],[PRESUPUESTO VIGENTE]]-Tabla6[[#This Row],[CERTIFICACIÓN PAPP]]</f>
        <v>0</v>
      </c>
      <c r="AP779" s="59">
        <v>0</v>
      </c>
    </row>
    <row r="780" spans="1:42" ht="93" customHeight="1" x14ac:dyDescent="0.25">
      <c r="A780" s="62" t="s">
        <v>88</v>
      </c>
      <c r="B780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780" s="64" t="s">
        <v>89</v>
      </c>
      <c r="D780" s="64" t="s">
        <v>80</v>
      </c>
      <c r="E780" s="64" t="s">
        <v>81</v>
      </c>
      <c r="F780" s="64" t="s">
        <v>101</v>
      </c>
      <c r="G780" s="64" t="s">
        <v>9</v>
      </c>
      <c r="H780" s="65" t="str">
        <f>VLOOKUP(Tabla6[[#This Row],[DIRECCIÓN]],DIRECCIÓN[#All],2,0)</f>
        <v>OPERACIONES</v>
      </c>
      <c r="I780" s="66" t="s">
        <v>1008</v>
      </c>
      <c r="J780" s="67">
        <v>1</v>
      </c>
      <c r="K780" s="68" t="str">
        <f>VLOOKUP(Tabla6[[#This Row],[DIRECCIÓN GENERAL / COORDINACIÓN / SUBDIRECCIÓN]],Tabla37[[#All],[Columna1]:[EOD]],2,0)</f>
        <v>266_0005</v>
      </c>
      <c r="L780" s="69">
        <f>VLOOKUP(Tabla6[[#This Row],[OBJETIVOS PND]],Listas!$A$1:$C$3,3,0)</f>
        <v>55</v>
      </c>
      <c r="M780" s="70">
        <f>VLOOKUP(Tabla6[[#This Row],[PG]],Listas2!$G$14:$K$16,5,0)</f>
        <v>0</v>
      </c>
      <c r="N780" s="71">
        <v>2</v>
      </c>
      <c r="O780" s="72">
        <v>916</v>
      </c>
      <c r="P780" s="73" t="str">
        <f>VLOOKUP(Tabla6[[#This Row],[GEO]],Listas!$A$48:$B$77,2,0)</f>
        <v>SAMBORONDÓN</v>
      </c>
      <c r="Q780" s="70">
        <f>VLOOKUP(Tabla6[[#This Row],[PG]],Listas2!$G$14:$K$16,3,0)</f>
        <v>1</v>
      </c>
      <c r="R780" s="73">
        <f>VLOOKUP(Tabla6[[#This Row],[PG]],Listas2!H785:'Listas2'!$G$14:$K$16,4,0)</f>
        <v>0</v>
      </c>
      <c r="S780" s="73">
        <f>VLOOKUP(Tabla6[[#This Row],[PG]],Listas2!$G$14:$K$16,2,0)</f>
        <v>0</v>
      </c>
      <c r="T780" s="66" t="s">
        <v>84</v>
      </c>
      <c r="U780" s="74">
        <v>53</v>
      </c>
      <c r="V780" s="66">
        <v>530204</v>
      </c>
      <c r="W780" s="63" t="str">
        <f>VLOOKUP(Tabla6[[#This Row],[ÍTEM PRESUPUESTARIO]],Tabla2[#All],2,0)</f>
        <v>EDICIÓN, IMPRESIÓN, REPRODUCCIÓN, PUBLICACIONES, SUSCRIPCIONES, FOTOCOPIADO, TRADUCCIÓN, EMPASTADO, ENMARCACIÓN, SERIGRAFÍA, FOTOGRAFÍA, CARNETIZACIÓN, FILMACIÓN E IMÁGENES SATELITALES</v>
      </c>
      <c r="X780" s="57">
        <v>0</v>
      </c>
      <c r="Y780" s="57">
        <f>6300-3150+3150-33.4</f>
        <v>6266.6</v>
      </c>
      <c r="Z780" s="58">
        <v>0</v>
      </c>
      <c r="AA780" s="58">
        <v>0</v>
      </c>
      <c r="AB780" s="58">
        <v>0</v>
      </c>
      <c r="AC780" s="58">
        <v>0</v>
      </c>
      <c r="AD780" s="58">
        <v>0</v>
      </c>
      <c r="AE780" s="58">
        <v>0</v>
      </c>
      <c r="AF780" s="58">
        <v>0</v>
      </c>
      <c r="AG780" s="58">
        <v>0</v>
      </c>
      <c r="AH780" s="58">
        <v>0</v>
      </c>
      <c r="AI780" s="58">
        <v>0</v>
      </c>
      <c r="AJ780" s="58">
        <v>6266.6</v>
      </c>
      <c r="AK780" s="58">
        <v>0</v>
      </c>
      <c r="AL780" s="75">
        <f>+SUBTOTAL(9,Tabla6[[#This Row],[ENE]:[DIC]])</f>
        <v>6266.6</v>
      </c>
      <c r="AM780" s="76" t="str">
        <f t="shared" si="16"/>
        <v>OK</v>
      </c>
      <c r="AN780" s="60">
        <f>6300-33.4</f>
        <v>6266.6</v>
      </c>
      <c r="AO780" s="61">
        <f>+Tabla6[[#This Row],[PRESUPUESTO VIGENTE]]-Tabla6[[#This Row],[CERTIFICACIÓN PAPP]]</f>
        <v>0</v>
      </c>
      <c r="AP780" s="59" t="s">
        <v>87</v>
      </c>
    </row>
    <row r="781" spans="1:42" ht="93" customHeight="1" x14ac:dyDescent="0.25">
      <c r="A781" s="62" t="s">
        <v>88</v>
      </c>
      <c r="B781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781" s="64" t="s">
        <v>89</v>
      </c>
      <c r="D781" s="64" t="s">
        <v>80</v>
      </c>
      <c r="E781" s="64" t="s">
        <v>81</v>
      </c>
      <c r="F781" s="64" t="s">
        <v>101</v>
      </c>
      <c r="G781" s="64" t="s">
        <v>10</v>
      </c>
      <c r="H781" s="65" t="str">
        <f>VLOOKUP(Tabla6[[#This Row],[DIRECCIÓN]],DIRECCIÓN[#All],2,0)</f>
        <v>TECNOLOGÍA</v>
      </c>
      <c r="I781" s="66" t="s">
        <v>1009</v>
      </c>
      <c r="J781" s="67">
        <v>1</v>
      </c>
      <c r="K781" s="68" t="str">
        <f>VLOOKUP(Tabla6[[#This Row],[DIRECCIÓN GENERAL / COORDINACIÓN / SUBDIRECCIÓN]],Tabla37[[#All],[Columna1]:[EOD]],2,0)</f>
        <v>266_0005</v>
      </c>
      <c r="L781" s="69">
        <f>VLOOKUP(Tabla6[[#This Row],[OBJETIVOS PND]],Listas!$A$1:$C$3,3,0)</f>
        <v>55</v>
      </c>
      <c r="M781" s="70">
        <f>VLOOKUP(Tabla6[[#This Row],[PG]],Listas2!$G$14:$K$16,5,0)</f>
        <v>0</v>
      </c>
      <c r="N781" s="71">
        <v>3</v>
      </c>
      <c r="O781" s="72">
        <v>916</v>
      </c>
      <c r="P781" s="73" t="str">
        <f>VLOOKUP(Tabla6[[#This Row],[GEO]],Listas!$A$48:$B$77,2,0)</f>
        <v>SAMBORONDÓN</v>
      </c>
      <c r="Q781" s="70">
        <f>VLOOKUP(Tabla6[[#This Row],[PG]],Listas2!$G$14:$K$16,3,0)</f>
        <v>1</v>
      </c>
      <c r="R781" s="73">
        <f>VLOOKUP(Tabla6[[#This Row],[PG]],Listas2!H786:'Listas2'!$G$14:$K$16,4,0)</f>
        <v>0</v>
      </c>
      <c r="S781" s="73">
        <f>VLOOKUP(Tabla6[[#This Row],[PG]],Listas2!$G$14:$K$16,2,0)</f>
        <v>0</v>
      </c>
      <c r="T781" s="66" t="s">
        <v>84</v>
      </c>
      <c r="U781" s="74">
        <v>53</v>
      </c>
      <c r="V781" s="66">
        <v>530105</v>
      </c>
      <c r="W781" s="63" t="str">
        <f>VLOOKUP(Tabla6[[#This Row],[ÍTEM PRESUPUESTARIO]],Tabla2[#All],2,0)</f>
        <v>TELECOMUNICACIONES</v>
      </c>
      <c r="X781" s="57">
        <v>465972</v>
      </c>
      <c r="Y781" s="57">
        <f>465972-11838.87-250-500-3056-1520.64-36000-30800-4620-6300-5000-6793.96-18000-3000-5500-7000-6000-300+300-11000-42229.84-44428.75-97-5000-7000-300-5000-700-4000-6300-24000-11300-8800-3322.79</f>
        <v>146314.14999999994</v>
      </c>
      <c r="Z781" s="58">
        <v>15300</v>
      </c>
      <c r="AA781" s="58">
        <v>31264</v>
      </c>
      <c r="AB781" s="58">
        <v>11164</v>
      </c>
      <c r="AC781" s="58">
        <v>9650</v>
      </c>
      <c r="AD781" s="58">
        <v>9650</v>
      </c>
      <c r="AE781" s="58">
        <v>9650</v>
      </c>
      <c r="AF781" s="58">
        <v>9650</v>
      </c>
      <c r="AG781" s="58">
        <v>9807.9500000000007</v>
      </c>
      <c r="AH781" s="58">
        <v>9870.9500000000007</v>
      </c>
      <c r="AI781" s="58">
        <v>10870.95</v>
      </c>
      <c r="AJ781" s="58">
        <v>8705</v>
      </c>
      <c r="AK781" s="58">
        <v>10731.3</v>
      </c>
      <c r="AL781" s="75">
        <f>+SUBTOTAL(9,Tabla6[[#This Row],[ENE]:[DIC]])</f>
        <v>146314.14999999997</v>
      </c>
      <c r="AM781" s="76" t="str">
        <f t="shared" si="16"/>
        <v>OK</v>
      </c>
      <c r="AN781" s="60">
        <f>341292.53-15561.41-21630.02+6000-31004.41-15534.66-65467.56-26115.64-5530.42-20134.26</f>
        <v>146314.15000000005</v>
      </c>
      <c r="AO781" s="61">
        <f>+Tabla6[[#This Row],[PRESUPUESTO VIGENTE]]-Tabla6[[#This Row],[CERTIFICACIÓN PAPP]]</f>
        <v>0</v>
      </c>
      <c r="AP781" s="59">
        <v>0</v>
      </c>
    </row>
    <row r="782" spans="1:42" ht="93" customHeight="1" x14ac:dyDescent="0.25">
      <c r="A782" s="62" t="s">
        <v>88</v>
      </c>
      <c r="B782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782" s="64" t="s">
        <v>89</v>
      </c>
      <c r="D782" s="64" t="s">
        <v>80</v>
      </c>
      <c r="E782" s="64" t="s">
        <v>81</v>
      </c>
      <c r="F782" s="64" t="s">
        <v>101</v>
      </c>
      <c r="G782" s="64" t="s">
        <v>10</v>
      </c>
      <c r="H782" s="65" t="str">
        <f>VLOOKUP(Tabla6[[#This Row],[DIRECCIÓN]],DIRECCIÓN[#All],2,0)</f>
        <v>TECNOLOGÍA</v>
      </c>
      <c r="I782" s="66" t="s">
        <v>1010</v>
      </c>
      <c r="J782" s="67">
        <v>1</v>
      </c>
      <c r="K782" s="68" t="str">
        <f>VLOOKUP(Tabla6[[#This Row],[DIRECCIÓN GENERAL / COORDINACIÓN / SUBDIRECCIÓN]],Tabla37[[#All],[Columna1]:[EOD]],2,0)</f>
        <v>266_0005</v>
      </c>
      <c r="L782" s="69">
        <f>VLOOKUP(Tabla6[[#This Row],[OBJETIVOS PND]],Listas!$A$1:$C$3,3,0)</f>
        <v>55</v>
      </c>
      <c r="M782" s="70">
        <f>VLOOKUP(Tabla6[[#This Row],[PG]],Listas2!$G$14:$K$16,5,0)</f>
        <v>0</v>
      </c>
      <c r="N782" s="71">
        <v>3</v>
      </c>
      <c r="O782" s="72">
        <v>916</v>
      </c>
      <c r="P782" s="73" t="str">
        <f>VLOOKUP(Tabla6[[#This Row],[GEO]],Listas!$A$48:$B$77,2,0)</f>
        <v>SAMBORONDÓN</v>
      </c>
      <c r="Q782" s="70">
        <f>VLOOKUP(Tabla6[[#This Row],[PG]],Listas2!$G$14:$K$16,3,0)</f>
        <v>1</v>
      </c>
      <c r="R782" s="73">
        <f>VLOOKUP(Tabla6[[#This Row],[PG]],Listas2!H787:'Listas2'!$G$14:$K$16,4,0)</f>
        <v>0</v>
      </c>
      <c r="S782" s="73">
        <f>VLOOKUP(Tabla6[[#This Row],[PG]],Listas2!$G$14:$K$16,2,0)</f>
        <v>0</v>
      </c>
      <c r="T782" s="66" t="s">
        <v>84</v>
      </c>
      <c r="U782" s="74">
        <v>53</v>
      </c>
      <c r="V782" s="66">
        <v>530704</v>
      </c>
      <c r="W782" s="63" t="str">
        <f>VLOOKUP(Tabla6[[#This Row],[ÍTEM PRESUPUESTARIO]],Tabla2[#All],2,0)</f>
        <v xml:space="preserve">MANTENIMIENTO Y REPARACIÓN DE EQUIPOS Y SISTEMAS INFORMÁTICOS </v>
      </c>
      <c r="X782" s="57">
        <v>0</v>
      </c>
      <c r="Y782" s="57">
        <f>24000-12000+11300-8.59</f>
        <v>23291.41</v>
      </c>
      <c r="Z782" s="58">
        <v>0</v>
      </c>
      <c r="AA782" s="58">
        <v>0</v>
      </c>
      <c r="AB782" s="58">
        <v>0</v>
      </c>
      <c r="AC782" s="58">
        <v>0</v>
      </c>
      <c r="AD782" s="58">
        <v>0</v>
      </c>
      <c r="AE782" s="58">
        <v>0</v>
      </c>
      <c r="AF782" s="58">
        <v>0</v>
      </c>
      <c r="AG782" s="58">
        <v>0</v>
      </c>
      <c r="AH782" s="58">
        <v>0</v>
      </c>
      <c r="AI782" s="58">
        <v>0</v>
      </c>
      <c r="AJ782" s="58">
        <v>0</v>
      </c>
      <c r="AK782" s="58">
        <v>23291.41</v>
      </c>
      <c r="AL782" s="75">
        <f>+SUBTOTAL(9,Tabla6[[#This Row],[ENE]:[DIC]])</f>
        <v>23291.41</v>
      </c>
      <c r="AM782" s="76" t="str">
        <f t="shared" si="16"/>
        <v>OK</v>
      </c>
      <c r="AN782" s="60">
        <v>23291.41</v>
      </c>
      <c r="AO782" s="61">
        <f>+Tabla6[[#This Row],[PRESUPUESTO VIGENTE]]-Tabla6[[#This Row],[CERTIFICACIÓN PAPP]]</f>
        <v>0</v>
      </c>
      <c r="AP782" s="59" t="s">
        <v>87</v>
      </c>
    </row>
    <row r="783" spans="1:42" ht="93" customHeight="1" x14ac:dyDescent="0.25">
      <c r="A783" s="62" t="s">
        <v>88</v>
      </c>
      <c r="B783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783" s="64" t="s">
        <v>89</v>
      </c>
      <c r="D783" s="64" t="s">
        <v>80</v>
      </c>
      <c r="E783" s="64" t="s">
        <v>81</v>
      </c>
      <c r="F783" s="64" t="s">
        <v>101</v>
      </c>
      <c r="G783" s="64" t="s">
        <v>10</v>
      </c>
      <c r="H783" s="65" t="str">
        <f>VLOOKUP(Tabla6[[#This Row],[DIRECCIÓN]],DIRECCIÓN[#All],2,0)</f>
        <v>TECNOLOGÍA</v>
      </c>
      <c r="I783" s="66" t="s">
        <v>1011</v>
      </c>
      <c r="J783" s="67">
        <v>1</v>
      </c>
      <c r="K783" s="68" t="str">
        <f>VLOOKUP(Tabla6[[#This Row],[DIRECCIÓN GENERAL / COORDINACIÓN / SUBDIRECCIÓN]],Tabla37[[#All],[Columna1]:[EOD]],2,0)</f>
        <v>266_0005</v>
      </c>
      <c r="L783" s="69">
        <f>VLOOKUP(Tabla6[[#This Row],[OBJETIVOS PND]],Listas!$A$1:$C$3,3,0)</f>
        <v>55</v>
      </c>
      <c r="M783" s="70">
        <f>VLOOKUP(Tabla6[[#This Row],[PG]],Listas2!$G$14:$K$16,5,0)</f>
        <v>0</v>
      </c>
      <c r="N783" s="71">
        <v>3</v>
      </c>
      <c r="O783" s="72">
        <v>916</v>
      </c>
      <c r="P783" s="73" t="str">
        <f>VLOOKUP(Tabla6[[#This Row],[GEO]],Listas!$A$48:$B$77,2,0)</f>
        <v>SAMBORONDÓN</v>
      </c>
      <c r="Q783" s="70">
        <f>VLOOKUP(Tabla6[[#This Row],[PG]],Listas2!$G$14:$K$16,3,0)</f>
        <v>1</v>
      </c>
      <c r="R783" s="73">
        <f>VLOOKUP(Tabla6[[#This Row],[PG]],Listas2!H788:'Listas2'!$G$14:$K$16,4,0)</f>
        <v>0</v>
      </c>
      <c r="S783" s="73">
        <f>VLOOKUP(Tabla6[[#This Row],[PG]],Listas2!$G$14:$K$16,2,0)</f>
        <v>0</v>
      </c>
      <c r="T783" s="66" t="s">
        <v>84</v>
      </c>
      <c r="U783" s="74">
        <v>53</v>
      </c>
      <c r="V783" s="66">
        <v>530704</v>
      </c>
      <c r="W783" s="63" t="str">
        <f>VLOOKUP(Tabla6[[#This Row],[ÍTEM PRESUPUESTARIO]],Tabla2[#All],2,0)</f>
        <v xml:space="preserve">MANTENIMIENTO Y REPARACIÓN DE EQUIPOS Y SISTEMAS INFORMÁTICOS </v>
      </c>
      <c r="X783" s="57">
        <f>230000-8419</f>
        <v>221581</v>
      </c>
      <c r="Y783" s="57">
        <f>230000-8419+28000-15381-4200-61.95</f>
        <v>229938.05</v>
      </c>
      <c r="Z783" s="58">
        <v>0</v>
      </c>
      <c r="AA783" s="58">
        <v>0</v>
      </c>
      <c r="AB783" s="58">
        <v>0</v>
      </c>
      <c r="AC783" s="58">
        <v>0</v>
      </c>
      <c r="AD783" s="58">
        <v>0</v>
      </c>
      <c r="AE783" s="58">
        <v>37000</v>
      </c>
      <c r="AF783" s="58">
        <v>33000</v>
      </c>
      <c r="AG783" s="58">
        <v>33000</v>
      </c>
      <c r="AH783" s="58">
        <v>33000</v>
      </c>
      <c r="AI783" s="58">
        <v>33000</v>
      </c>
      <c r="AJ783" s="58">
        <v>33000</v>
      </c>
      <c r="AK783" s="58">
        <v>27938.05</v>
      </c>
      <c r="AL783" s="75">
        <f>+SUBTOTAL(9,Tabla6[[#This Row],[ENE]:[DIC]])</f>
        <v>229938.05</v>
      </c>
      <c r="AM783" s="76" t="str">
        <f t="shared" si="16"/>
        <v>OK</v>
      </c>
      <c r="AN783" s="60">
        <f>249552.7-15352.7-4261.95</f>
        <v>229938.05</v>
      </c>
      <c r="AO783" s="61">
        <f>+Tabla6[[#This Row],[PRESUPUESTO VIGENTE]]-Tabla6[[#This Row],[CERTIFICACIÓN PAPP]]</f>
        <v>0</v>
      </c>
      <c r="AP783" s="59" t="s">
        <v>87</v>
      </c>
    </row>
    <row r="784" spans="1:42" ht="93" customHeight="1" x14ac:dyDescent="0.25">
      <c r="A784" s="62" t="s">
        <v>88</v>
      </c>
      <c r="B784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784" s="64" t="s">
        <v>89</v>
      </c>
      <c r="D784" s="64" t="s">
        <v>80</v>
      </c>
      <c r="E784" s="64" t="s">
        <v>81</v>
      </c>
      <c r="F784" s="64" t="s">
        <v>101</v>
      </c>
      <c r="G784" s="64" t="s">
        <v>10</v>
      </c>
      <c r="H784" s="65" t="str">
        <f>VLOOKUP(Tabla6[[#This Row],[DIRECCIÓN]],DIRECCIÓN[#All],2,0)</f>
        <v>TECNOLOGÍA</v>
      </c>
      <c r="I784" s="66" t="s">
        <v>1012</v>
      </c>
      <c r="J784" s="67">
        <v>2</v>
      </c>
      <c r="K784" s="68" t="str">
        <f>VLOOKUP(Tabla6[[#This Row],[DIRECCIÓN GENERAL / COORDINACIÓN / SUBDIRECCIÓN]],Tabla37[[#All],[Columna1]:[EOD]],2,0)</f>
        <v>266_0005</v>
      </c>
      <c r="L784" s="69">
        <f>VLOOKUP(Tabla6[[#This Row],[OBJETIVOS PND]],Listas!$A$1:$C$3,3,0)</f>
        <v>55</v>
      </c>
      <c r="M784" s="70">
        <f>VLOOKUP(Tabla6[[#This Row],[PG]],Listas2!$G$14:$K$16,5,0)</f>
        <v>0</v>
      </c>
      <c r="N784" s="71">
        <v>3</v>
      </c>
      <c r="O784" s="72">
        <v>916</v>
      </c>
      <c r="P784" s="73" t="str">
        <f>VLOOKUP(Tabla6[[#This Row],[GEO]],Listas!$A$48:$B$77,2,0)</f>
        <v>SAMBORONDÓN</v>
      </c>
      <c r="Q784" s="70">
        <f>VLOOKUP(Tabla6[[#This Row],[PG]],Listas2!$G$14:$K$16,3,0)</f>
        <v>1</v>
      </c>
      <c r="R784" s="73">
        <f>VLOOKUP(Tabla6[[#This Row],[PG]],Listas2!H789:'Listas2'!$G$14:$K$16,4,0)</f>
        <v>0</v>
      </c>
      <c r="S784" s="73">
        <f>VLOOKUP(Tabla6[[#This Row],[PG]],Listas2!$G$14:$K$16,2,0)</f>
        <v>0</v>
      </c>
      <c r="T784" s="66" t="s">
        <v>84</v>
      </c>
      <c r="U784" s="74">
        <v>53</v>
      </c>
      <c r="V784" s="66">
        <v>530704</v>
      </c>
      <c r="W784" s="63" t="str">
        <f>VLOOKUP(Tabla6[[#This Row],[ÍTEM PRESUPUESTARIO]],Tabla2[#All],2,0)</f>
        <v xml:space="preserve">MANTENIMIENTO Y REPARACIÓN DE EQUIPOS Y SISTEMAS INFORMÁTICOS </v>
      </c>
      <c r="X784" s="57">
        <v>0</v>
      </c>
      <c r="Y784" s="57">
        <f>29488.22+11000-451.02</f>
        <v>40037.200000000004</v>
      </c>
      <c r="Z784" s="58">
        <v>0</v>
      </c>
      <c r="AA784" s="58">
        <v>0</v>
      </c>
      <c r="AB784" s="58">
        <v>0</v>
      </c>
      <c r="AC784" s="58">
        <v>0</v>
      </c>
      <c r="AD784" s="58">
        <v>0</v>
      </c>
      <c r="AE784" s="58">
        <v>0</v>
      </c>
      <c r="AF784" s="58">
        <v>20300</v>
      </c>
      <c r="AG784" s="58">
        <v>4400</v>
      </c>
      <c r="AH784" s="58">
        <v>4300</v>
      </c>
      <c r="AI784" s="58">
        <v>4800</v>
      </c>
      <c r="AJ784" s="58">
        <v>3200</v>
      </c>
      <c r="AK784" s="58">
        <v>3037.2</v>
      </c>
      <c r="AL784" s="75">
        <f>+SUBTOTAL(9,Tabla6[[#This Row],[ENE]:[DIC]])</f>
        <v>40037.199999999997</v>
      </c>
      <c r="AM784" s="76" t="str">
        <f t="shared" si="16"/>
        <v>OK</v>
      </c>
      <c r="AN784" s="60">
        <f>40037.2-40037.2+40037.2</f>
        <v>40037.199999999997</v>
      </c>
      <c r="AO784" s="61">
        <f>+Tabla6[[#This Row],[PRESUPUESTO VIGENTE]]-Tabla6[[#This Row],[CERTIFICACIÓN PAPP]]</f>
        <v>0</v>
      </c>
      <c r="AP784" s="59">
        <v>0</v>
      </c>
    </row>
    <row r="785" spans="1:42" ht="93" customHeight="1" x14ac:dyDescent="0.25">
      <c r="A785" s="62" t="s">
        <v>88</v>
      </c>
      <c r="B785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785" s="64" t="s">
        <v>89</v>
      </c>
      <c r="D785" s="64" t="s">
        <v>80</v>
      </c>
      <c r="E785" s="64" t="s">
        <v>81</v>
      </c>
      <c r="F785" s="64" t="s">
        <v>101</v>
      </c>
      <c r="G785" s="64" t="s">
        <v>10</v>
      </c>
      <c r="H785" s="65" t="str">
        <f>VLOOKUP(Tabla6[[#This Row],[DIRECCIÓN]],DIRECCIÓN[#All],2,0)</f>
        <v>TECNOLOGÍA</v>
      </c>
      <c r="I785" s="66" t="s">
        <v>1013</v>
      </c>
      <c r="J785" s="67">
        <v>1</v>
      </c>
      <c r="K785" s="68" t="str">
        <f>VLOOKUP(Tabla6[[#This Row],[DIRECCIÓN GENERAL / COORDINACIÓN / SUBDIRECCIÓN]],Tabla37[[#All],[Columna1]:[EOD]],2,0)</f>
        <v>266_0005</v>
      </c>
      <c r="L785" s="69">
        <f>VLOOKUP(Tabla6[[#This Row],[OBJETIVOS PND]],Listas!$A$1:$C$3,3,0)</f>
        <v>55</v>
      </c>
      <c r="M785" s="70">
        <f>VLOOKUP(Tabla6[[#This Row],[PG]],Listas2!$G$14:$K$16,5,0)</f>
        <v>0</v>
      </c>
      <c r="N785" s="71">
        <v>3</v>
      </c>
      <c r="O785" s="72">
        <v>916</v>
      </c>
      <c r="P785" s="73" t="str">
        <f>VLOOKUP(Tabla6[[#This Row],[GEO]],Listas!$A$48:$B$77,2,0)</f>
        <v>SAMBORONDÓN</v>
      </c>
      <c r="Q785" s="70">
        <f>VLOOKUP(Tabla6[[#This Row],[PG]],Listas2!$G$14:$K$16,3,0)</f>
        <v>1</v>
      </c>
      <c r="R785" s="73">
        <f>VLOOKUP(Tabla6[[#This Row],[PG]],Listas2!H790:'Listas2'!$G$14:$K$16,4,0)</f>
        <v>0</v>
      </c>
      <c r="S785" s="73">
        <f>VLOOKUP(Tabla6[[#This Row],[PG]],Listas2!$G$14:$K$16,2,0)</f>
        <v>0</v>
      </c>
      <c r="T785" s="66" t="s">
        <v>84</v>
      </c>
      <c r="U785" s="74">
        <v>53</v>
      </c>
      <c r="V785" s="66">
        <v>530704</v>
      </c>
      <c r="W785" s="63" t="str">
        <f>VLOOKUP(Tabla6[[#This Row],[ÍTEM PRESUPUESTARIO]],Tabla2[#All],2,0)</f>
        <v xml:space="preserve">MANTENIMIENTO Y REPARACIÓN DE EQUIPOS Y SISTEMAS INFORMÁTICOS </v>
      </c>
      <c r="X785" s="57">
        <v>0</v>
      </c>
      <c r="Y785" s="57">
        <f>6000-900</f>
        <v>5100</v>
      </c>
      <c r="Z785" s="58">
        <v>0</v>
      </c>
      <c r="AA785" s="58">
        <v>0</v>
      </c>
      <c r="AB785" s="58">
        <v>0</v>
      </c>
      <c r="AC785" s="58">
        <v>0</v>
      </c>
      <c r="AD785" s="58">
        <v>0</v>
      </c>
      <c r="AE785" s="58">
        <v>5100</v>
      </c>
      <c r="AF785" s="58">
        <v>0</v>
      </c>
      <c r="AG785" s="58">
        <v>0</v>
      </c>
      <c r="AH785" s="58">
        <v>0</v>
      </c>
      <c r="AI785" s="58">
        <v>0</v>
      </c>
      <c r="AJ785" s="58">
        <v>0</v>
      </c>
      <c r="AK785" s="58">
        <v>0</v>
      </c>
      <c r="AL785" s="75">
        <f>+SUBTOTAL(9,Tabla6[[#This Row],[ENE]:[DIC]])</f>
        <v>5100</v>
      </c>
      <c r="AM785" s="76" t="str">
        <f t="shared" si="16"/>
        <v>OK</v>
      </c>
      <c r="AN785" s="60">
        <v>5100</v>
      </c>
      <c r="AO785" s="61">
        <f>+Tabla6[[#This Row],[PRESUPUESTO VIGENTE]]-Tabla6[[#This Row],[CERTIFICACIÓN PAPP]]</f>
        <v>0</v>
      </c>
      <c r="AP785" s="59">
        <v>0</v>
      </c>
    </row>
    <row r="786" spans="1:42" ht="93" customHeight="1" x14ac:dyDescent="0.25">
      <c r="A786" s="62" t="s">
        <v>88</v>
      </c>
      <c r="B786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786" s="64" t="s">
        <v>89</v>
      </c>
      <c r="D786" s="64" t="s">
        <v>80</v>
      </c>
      <c r="E786" s="64" t="s">
        <v>81</v>
      </c>
      <c r="F786" s="64" t="s">
        <v>101</v>
      </c>
      <c r="G786" s="64" t="s">
        <v>10</v>
      </c>
      <c r="H786" s="65" t="str">
        <f>VLOOKUP(Tabla6[[#This Row],[DIRECCIÓN]],DIRECCIÓN[#All],2,0)</f>
        <v>TECNOLOGÍA</v>
      </c>
      <c r="I786" s="66" t="s">
        <v>1014</v>
      </c>
      <c r="J786" s="67">
        <v>1</v>
      </c>
      <c r="K786" s="68" t="str">
        <f>VLOOKUP(Tabla6[[#This Row],[DIRECCIÓN GENERAL / COORDINACIÓN / SUBDIRECCIÓN]],Tabla37[[#All],[Columna1]:[EOD]],2,0)</f>
        <v>266_0005</v>
      </c>
      <c r="L786" s="69">
        <f>VLOOKUP(Tabla6[[#This Row],[OBJETIVOS PND]],Listas!$A$1:$C$3,3,0)</f>
        <v>55</v>
      </c>
      <c r="M786" s="70">
        <f>VLOOKUP(Tabla6[[#This Row],[PG]],Listas2!$G$14:$K$16,5,0)</f>
        <v>0</v>
      </c>
      <c r="N786" s="71">
        <v>3</v>
      </c>
      <c r="O786" s="72">
        <v>916</v>
      </c>
      <c r="P786" s="73" t="str">
        <f>VLOOKUP(Tabla6[[#This Row],[GEO]],Listas!$A$48:$B$77,2,0)</f>
        <v>SAMBORONDÓN</v>
      </c>
      <c r="Q786" s="70">
        <f>VLOOKUP(Tabla6[[#This Row],[PG]],Listas2!$G$14:$K$16,3,0)</f>
        <v>1</v>
      </c>
      <c r="R786" s="73">
        <f>VLOOKUP(Tabla6[[#This Row],[PG]],Listas2!H791:'Listas2'!$G$14:$K$16,4,0)</f>
        <v>0</v>
      </c>
      <c r="S786" s="73">
        <f>VLOOKUP(Tabla6[[#This Row],[PG]],Listas2!$G$14:$K$16,2,0)</f>
        <v>0</v>
      </c>
      <c r="T786" s="66" t="s">
        <v>84</v>
      </c>
      <c r="U786" s="74">
        <v>53</v>
      </c>
      <c r="V786" s="66">
        <v>530704</v>
      </c>
      <c r="W786" s="63" t="str">
        <f>VLOOKUP(Tabla6[[#This Row],[ÍTEM PRESUPUESTARIO]],Tabla2[#All],2,0)</f>
        <v xml:space="preserve">MANTENIMIENTO Y REPARACIÓN DE EQUIPOS Y SISTEMAS INFORMÁTICOS </v>
      </c>
      <c r="X786" s="57">
        <v>6780</v>
      </c>
      <c r="Y786" s="57">
        <f>6780-100-400</f>
        <v>6280</v>
      </c>
      <c r="Z786" s="58">
        <v>0</v>
      </c>
      <c r="AA786" s="58">
        <v>0</v>
      </c>
      <c r="AB786" s="58">
        <v>0</v>
      </c>
      <c r="AC786" s="58">
        <v>5932</v>
      </c>
      <c r="AD786" s="58">
        <v>0</v>
      </c>
      <c r="AE786" s="58">
        <v>224</v>
      </c>
      <c r="AF786" s="58">
        <v>0</v>
      </c>
      <c r="AG786" s="58">
        <v>0</v>
      </c>
      <c r="AH786" s="58">
        <v>0</v>
      </c>
      <c r="AI786" s="58">
        <v>0</v>
      </c>
      <c r="AJ786" s="58">
        <v>124</v>
      </c>
      <c r="AK786" s="58">
        <v>0</v>
      </c>
      <c r="AL786" s="75">
        <f>+SUBTOTAL(9,Tabla6[[#This Row],[ENE]:[DIC]])</f>
        <v>6280</v>
      </c>
      <c r="AM786" s="76" t="str">
        <f t="shared" si="16"/>
        <v>OK</v>
      </c>
      <c r="AN786" s="60">
        <v>6280</v>
      </c>
      <c r="AO786" s="61">
        <f>+Tabla6[[#This Row],[PRESUPUESTO VIGENTE]]-Tabla6[[#This Row],[CERTIFICACIÓN PAPP]]</f>
        <v>0</v>
      </c>
      <c r="AP786" s="59">
        <v>0</v>
      </c>
    </row>
    <row r="787" spans="1:42" ht="93" customHeight="1" x14ac:dyDescent="0.25">
      <c r="A787" s="62" t="s">
        <v>88</v>
      </c>
      <c r="B787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787" s="64" t="s">
        <v>89</v>
      </c>
      <c r="D787" s="64" t="s">
        <v>80</v>
      </c>
      <c r="E787" s="64" t="s">
        <v>81</v>
      </c>
      <c r="F787" s="64" t="s">
        <v>101</v>
      </c>
      <c r="G787" s="64" t="s">
        <v>10</v>
      </c>
      <c r="H787" s="65" t="str">
        <f>VLOOKUP(Tabla6[[#This Row],[DIRECCIÓN]],DIRECCIÓN[#All],2,0)</f>
        <v>TECNOLOGÍA</v>
      </c>
      <c r="I787" s="66" t="s">
        <v>1012</v>
      </c>
      <c r="J787" s="67">
        <v>2</v>
      </c>
      <c r="K787" s="68" t="str">
        <f>VLOOKUP(Tabla6[[#This Row],[DIRECCIÓN GENERAL / COORDINACIÓN / SUBDIRECCIÓN]],Tabla37[[#All],[Columna1]:[EOD]],2,0)</f>
        <v>266_0005</v>
      </c>
      <c r="L787" s="69">
        <f>VLOOKUP(Tabla6[[#This Row],[OBJETIVOS PND]],Listas!$A$1:$C$3,3,0)</f>
        <v>55</v>
      </c>
      <c r="M787" s="70">
        <f>VLOOKUP(Tabla6[[#This Row],[PG]],Listas2!$G$14:$K$16,5,0)</f>
        <v>0</v>
      </c>
      <c r="N787" s="71">
        <v>3</v>
      </c>
      <c r="O787" s="72">
        <v>916</v>
      </c>
      <c r="P787" s="73" t="str">
        <f>VLOOKUP(Tabla6[[#This Row],[GEO]],Listas!$A$48:$B$77,2,0)</f>
        <v>SAMBORONDÓN</v>
      </c>
      <c r="Q787" s="70">
        <f>VLOOKUP(Tabla6[[#This Row],[PG]],Listas2!$G$14:$K$16,3,0)</f>
        <v>1</v>
      </c>
      <c r="R787" s="73">
        <f>VLOOKUP(Tabla6[[#This Row],[PG]],Listas2!H792:'Listas2'!$G$14:$K$16,4,0)</f>
        <v>0</v>
      </c>
      <c r="S787" s="73">
        <f>VLOOKUP(Tabla6[[#This Row],[PG]],Listas2!$G$14:$K$16,2,0)</f>
        <v>0</v>
      </c>
      <c r="T787" s="66" t="s">
        <v>84</v>
      </c>
      <c r="U787" s="74">
        <v>53</v>
      </c>
      <c r="V787" s="66">
        <v>530813</v>
      </c>
      <c r="W787" s="63" t="str">
        <f>VLOOKUP(Tabla6[[#This Row],[ÍTEM PRESUPUESTARIO]],Tabla2[#All],2,0)</f>
        <v>REPUESTOS Y ACCESORIOS</v>
      </c>
      <c r="X787" s="57">
        <v>0</v>
      </c>
      <c r="Y787" s="57">
        <f>33615.6-1600.74-518.43-518.43</f>
        <v>30977.999999999996</v>
      </c>
      <c r="Z787" s="58">
        <v>0</v>
      </c>
      <c r="AA787" s="58">
        <v>0</v>
      </c>
      <c r="AB787" s="58">
        <v>0</v>
      </c>
      <c r="AC787" s="58">
        <v>0</v>
      </c>
      <c r="AD787" s="58">
        <v>0</v>
      </c>
      <c r="AE787" s="58">
        <v>0</v>
      </c>
      <c r="AF787" s="58">
        <v>16500</v>
      </c>
      <c r="AG787" s="58">
        <v>2000</v>
      </c>
      <c r="AH787" s="58">
        <v>0</v>
      </c>
      <c r="AI787" s="58">
        <v>0</v>
      </c>
      <c r="AJ787" s="58">
        <v>7500</v>
      </c>
      <c r="AK787" s="58">
        <v>4978</v>
      </c>
      <c r="AL787" s="75">
        <f>+SUBTOTAL(9,Tabla6[[#This Row],[ENE]:[DIC]])</f>
        <v>30978</v>
      </c>
      <c r="AM787" s="76" t="str">
        <f t="shared" si="16"/>
        <v>OK</v>
      </c>
      <c r="AN787" s="60">
        <f>32014.86-32014.86+30978</f>
        <v>30978</v>
      </c>
      <c r="AO787" s="61">
        <f>+Tabla6[[#This Row],[PRESUPUESTO VIGENTE]]-Tabla6[[#This Row],[CERTIFICACIÓN PAPP]]</f>
        <v>0</v>
      </c>
      <c r="AP787" s="59">
        <v>0</v>
      </c>
    </row>
    <row r="788" spans="1:42" ht="93" customHeight="1" x14ac:dyDescent="0.25">
      <c r="A788" s="62" t="s">
        <v>88</v>
      </c>
      <c r="B788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788" s="64" t="s">
        <v>89</v>
      </c>
      <c r="D788" s="64" t="s">
        <v>80</v>
      </c>
      <c r="E788" s="64" t="s">
        <v>81</v>
      </c>
      <c r="F788" s="64" t="s">
        <v>101</v>
      </c>
      <c r="G788" s="64" t="s">
        <v>10</v>
      </c>
      <c r="H788" s="65" t="str">
        <f>VLOOKUP(Tabla6[[#This Row],[DIRECCIÓN]],DIRECCIÓN[#All],2,0)</f>
        <v>TECNOLOGÍA</v>
      </c>
      <c r="I788" s="66" t="s">
        <v>1015</v>
      </c>
      <c r="J788" s="67">
        <v>1</v>
      </c>
      <c r="K788" s="68" t="str">
        <f>VLOOKUP(Tabla6[[#This Row],[DIRECCIÓN GENERAL / COORDINACIÓN / SUBDIRECCIÓN]],Tabla37[[#All],[Columna1]:[EOD]],2,0)</f>
        <v>266_0005</v>
      </c>
      <c r="L788" s="69">
        <f>VLOOKUP(Tabla6[[#This Row],[OBJETIVOS PND]],Listas!$A$1:$C$3,3,0)</f>
        <v>55</v>
      </c>
      <c r="M788" s="70">
        <f>VLOOKUP(Tabla6[[#This Row],[PG]],Listas2!$G$14:$K$16,5,0)</f>
        <v>0</v>
      </c>
      <c r="N788" s="71">
        <v>3</v>
      </c>
      <c r="O788" s="72">
        <v>916</v>
      </c>
      <c r="P788" s="73" t="str">
        <f>VLOOKUP(Tabla6[[#This Row],[GEO]],Listas!$A$48:$B$77,2,0)</f>
        <v>SAMBORONDÓN</v>
      </c>
      <c r="Q788" s="70">
        <f>VLOOKUP(Tabla6[[#This Row],[PG]],Listas2!$G$14:$K$16,3,0)</f>
        <v>1</v>
      </c>
      <c r="R788" s="73">
        <f>VLOOKUP(Tabla6[[#This Row],[PG]],Listas2!H793:'Listas2'!$G$14:$K$16,4,0)</f>
        <v>0</v>
      </c>
      <c r="S788" s="73">
        <f>VLOOKUP(Tabla6[[#This Row],[PG]],Listas2!$G$14:$K$16,2,0)</f>
        <v>0</v>
      </c>
      <c r="T788" s="66" t="s">
        <v>84</v>
      </c>
      <c r="U788" s="74">
        <v>53</v>
      </c>
      <c r="V788" s="66">
        <v>530813</v>
      </c>
      <c r="W788" s="63" t="str">
        <f>VLOOKUP(Tabla6[[#This Row],[ÍTEM PRESUPUESTARIO]],Tabla2[#All],2,0)</f>
        <v>REPUESTOS Y ACCESORIOS</v>
      </c>
      <c r="X788" s="57">
        <v>0</v>
      </c>
      <c r="Y788" s="57">
        <f>18000-2461.94-3538.06</f>
        <v>12000</v>
      </c>
      <c r="Z788" s="58">
        <v>0</v>
      </c>
      <c r="AA788" s="58">
        <v>0</v>
      </c>
      <c r="AB788" s="58">
        <v>0</v>
      </c>
      <c r="AC788" s="58">
        <v>0</v>
      </c>
      <c r="AD788" s="58">
        <v>0</v>
      </c>
      <c r="AE788" s="58">
        <v>12000</v>
      </c>
      <c r="AF788" s="58">
        <v>0</v>
      </c>
      <c r="AG788" s="58">
        <v>0</v>
      </c>
      <c r="AH788" s="58">
        <v>0</v>
      </c>
      <c r="AI788" s="58">
        <v>0</v>
      </c>
      <c r="AJ788" s="58">
        <v>0</v>
      </c>
      <c r="AK788" s="58">
        <v>0</v>
      </c>
      <c r="AL788" s="75">
        <f>+SUBTOTAL(9,Tabla6[[#This Row],[ENE]:[DIC]])</f>
        <v>12000</v>
      </c>
      <c r="AM788" s="76" t="str">
        <f t="shared" si="16"/>
        <v>OK</v>
      </c>
      <c r="AN788" s="60">
        <f>15538.06-3538.06</f>
        <v>12000</v>
      </c>
      <c r="AO788" s="61">
        <f>+Tabla6[[#This Row],[PRESUPUESTO VIGENTE]]-Tabla6[[#This Row],[CERTIFICACIÓN PAPP]]</f>
        <v>0</v>
      </c>
      <c r="AP788" s="59">
        <v>0</v>
      </c>
    </row>
    <row r="789" spans="1:42" ht="93" customHeight="1" x14ac:dyDescent="0.25">
      <c r="A789" s="62" t="s">
        <v>88</v>
      </c>
      <c r="B789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789" s="64" t="s">
        <v>89</v>
      </c>
      <c r="D789" s="64" t="s">
        <v>80</v>
      </c>
      <c r="E789" s="64" t="s">
        <v>81</v>
      </c>
      <c r="F789" s="64" t="s">
        <v>101</v>
      </c>
      <c r="G789" s="64" t="s">
        <v>10</v>
      </c>
      <c r="H789" s="65" t="str">
        <f>VLOOKUP(Tabla6[[#This Row],[DIRECCIÓN]],DIRECCIÓN[#All],2,0)</f>
        <v>TECNOLOGÍA</v>
      </c>
      <c r="I789" s="66" t="s">
        <v>1016</v>
      </c>
      <c r="J789" s="67">
        <v>1</v>
      </c>
      <c r="K789" s="68" t="str">
        <f>VLOOKUP(Tabla6[[#This Row],[DIRECCIÓN GENERAL / COORDINACIÓN / SUBDIRECCIÓN]],Tabla37[[#All],[Columna1]:[EOD]],2,0)</f>
        <v>266_0005</v>
      </c>
      <c r="L789" s="69">
        <f>VLOOKUP(Tabla6[[#This Row],[OBJETIVOS PND]],Listas!$A$1:$C$3,3,0)</f>
        <v>55</v>
      </c>
      <c r="M789" s="70">
        <f>VLOOKUP(Tabla6[[#This Row],[PG]],Listas2!$G$14:$K$16,5,0)</f>
        <v>0</v>
      </c>
      <c r="N789" s="71">
        <v>3</v>
      </c>
      <c r="O789" s="72">
        <v>916</v>
      </c>
      <c r="P789" s="73" t="str">
        <f>VLOOKUP(Tabla6[[#This Row],[GEO]],Listas!$A$48:$B$77,2,0)</f>
        <v>SAMBORONDÓN</v>
      </c>
      <c r="Q789" s="70">
        <f>VLOOKUP(Tabla6[[#This Row],[PG]],Listas2!$G$14:$K$16,3,0)</f>
        <v>1</v>
      </c>
      <c r="R789" s="73">
        <f>VLOOKUP(Tabla6[[#This Row],[PG]],Listas2!H794:'Listas2'!$G$14:$K$16,4,0)</f>
        <v>0</v>
      </c>
      <c r="S789" s="73">
        <f>VLOOKUP(Tabla6[[#This Row],[PG]],Listas2!$G$14:$K$16,2,0)</f>
        <v>0</v>
      </c>
      <c r="T789" s="66" t="s">
        <v>84</v>
      </c>
      <c r="U789" s="74">
        <v>53</v>
      </c>
      <c r="V789" s="66">
        <v>531407</v>
      </c>
      <c r="W789" s="63" t="str">
        <f>VLOOKUP(Tabla6[[#This Row],[ÍTEM PRESUPUESTARIO]],Tabla2[#All],2,0)</f>
        <v>EQUIPOS, SISTEMAS Y PAQUETES INFORMÁTICOS</v>
      </c>
      <c r="X789" s="57">
        <v>11005</v>
      </c>
      <c r="Y789" s="57">
        <f>11005+1263.93-42.68-2571.25</f>
        <v>9655</v>
      </c>
      <c r="Z789" s="58">
        <v>0</v>
      </c>
      <c r="AA789" s="58">
        <v>0</v>
      </c>
      <c r="AB789" s="58">
        <v>0</v>
      </c>
      <c r="AC789" s="58">
        <v>0</v>
      </c>
      <c r="AD789" s="58">
        <v>0</v>
      </c>
      <c r="AE789" s="58">
        <v>0</v>
      </c>
      <c r="AF789" s="58">
        <v>9655</v>
      </c>
      <c r="AG789" s="58">
        <v>0</v>
      </c>
      <c r="AH789" s="58">
        <v>0</v>
      </c>
      <c r="AI789" s="58">
        <v>0</v>
      </c>
      <c r="AJ789" s="58">
        <v>0</v>
      </c>
      <c r="AK789" s="58">
        <v>0</v>
      </c>
      <c r="AL789" s="75">
        <f>+SUBTOTAL(9,Tabla6[[#This Row],[ENE]:[DIC]])</f>
        <v>9655</v>
      </c>
      <c r="AM789" s="76" t="str">
        <f t="shared" si="16"/>
        <v>OK</v>
      </c>
      <c r="AN789" s="60">
        <f>12226.25-2571.25</f>
        <v>9655</v>
      </c>
      <c r="AO789" s="61">
        <f>+Tabla6[[#This Row],[PRESUPUESTO VIGENTE]]-Tabla6[[#This Row],[CERTIFICACIÓN PAPP]]</f>
        <v>0</v>
      </c>
      <c r="AP789" s="59" t="s">
        <v>87</v>
      </c>
    </row>
    <row r="790" spans="1:42" ht="93" customHeight="1" x14ac:dyDescent="0.25">
      <c r="A790" s="62" t="s">
        <v>88</v>
      </c>
      <c r="B790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790" s="64" t="s">
        <v>89</v>
      </c>
      <c r="D790" s="64" t="s">
        <v>80</v>
      </c>
      <c r="E790" s="64" t="s">
        <v>81</v>
      </c>
      <c r="F790" s="64" t="s">
        <v>101</v>
      </c>
      <c r="G790" s="64" t="s">
        <v>10</v>
      </c>
      <c r="H790" s="65" t="str">
        <f>VLOOKUP(Tabla6[[#This Row],[DIRECCIÓN]],DIRECCIÓN[#All],2,0)</f>
        <v>TECNOLOGÍA</v>
      </c>
      <c r="I790" s="66" t="s">
        <v>1017</v>
      </c>
      <c r="J790" s="67">
        <v>1</v>
      </c>
      <c r="K790" s="68" t="str">
        <f>VLOOKUP(Tabla6[[#This Row],[DIRECCIÓN GENERAL / COORDINACIÓN / SUBDIRECCIÓN]],Tabla37[[#All],[Columna1]:[EOD]],2,0)</f>
        <v>266_0005</v>
      </c>
      <c r="L790" s="69">
        <f>VLOOKUP(Tabla6[[#This Row],[OBJETIVOS PND]],Listas!$A$1:$C$3,3,0)</f>
        <v>55</v>
      </c>
      <c r="M790" s="70">
        <f>VLOOKUP(Tabla6[[#This Row],[PG]],Listas2!$G$14:$K$16,5,0)</f>
        <v>0</v>
      </c>
      <c r="N790" s="71">
        <v>3</v>
      </c>
      <c r="O790" s="72">
        <v>916</v>
      </c>
      <c r="P790" s="73" t="str">
        <f>VLOOKUP(Tabla6[[#This Row],[GEO]],Listas!$A$48:$B$77,2,0)</f>
        <v>SAMBORONDÓN</v>
      </c>
      <c r="Q790" s="70">
        <f>VLOOKUP(Tabla6[[#This Row],[PG]],Listas2!$G$14:$K$16,3,0)</f>
        <v>1</v>
      </c>
      <c r="R790" s="73">
        <f>VLOOKUP(Tabla6[[#This Row],[PG]],Listas2!H795:'Listas2'!$G$14:$K$16,4,0)</f>
        <v>0</v>
      </c>
      <c r="S790" s="73">
        <f>VLOOKUP(Tabla6[[#This Row],[PG]],Listas2!$G$14:$K$16,2,0)</f>
        <v>0</v>
      </c>
      <c r="T790" s="66" t="s">
        <v>95</v>
      </c>
      <c r="U790" s="74">
        <v>84</v>
      </c>
      <c r="V790" s="66">
        <v>840107</v>
      </c>
      <c r="W790" s="63" t="str">
        <f>VLOOKUP(Tabla6[[#This Row],[ÍTEM PRESUPUESTARIO]],Tabla2[#All],2,0)</f>
        <v>EQUIPOS SISTEMAS Y PAQUETES INFORMÁTICOS</v>
      </c>
      <c r="X790" s="57">
        <v>0</v>
      </c>
      <c r="Y790" s="57">
        <f>60606-23860.83-1171.17</f>
        <v>35574</v>
      </c>
      <c r="Z790" s="58">
        <v>0</v>
      </c>
      <c r="AA790" s="58">
        <v>0</v>
      </c>
      <c r="AB790" s="58">
        <v>0</v>
      </c>
      <c r="AC790" s="58">
        <v>0</v>
      </c>
      <c r="AD790" s="58">
        <v>0</v>
      </c>
      <c r="AE790" s="58">
        <v>0</v>
      </c>
      <c r="AF790" s="58">
        <v>0</v>
      </c>
      <c r="AG790" s="58">
        <v>0</v>
      </c>
      <c r="AH790" s="58">
        <v>0</v>
      </c>
      <c r="AI790" s="58">
        <v>0</v>
      </c>
      <c r="AJ790" s="58">
        <v>35574</v>
      </c>
      <c r="AK790" s="58">
        <v>0</v>
      </c>
      <c r="AL790" s="75">
        <f>+SUBTOTAL(9,Tabla6[[#This Row],[ENE]:[DIC]])</f>
        <v>35574</v>
      </c>
      <c r="AM790" s="76" t="str">
        <f t="shared" si="16"/>
        <v>OK</v>
      </c>
      <c r="AN790" s="60">
        <f>60606-25032</f>
        <v>35574</v>
      </c>
      <c r="AO790" s="61">
        <f>+Tabla6[[#This Row],[PRESUPUESTO VIGENTE]]-Tabla6[[#This Row],[CERTIFICACIÓN PAPP]]</f>
        <v>0</v>
      </c>
      <c r="AP790" s="59">
        <v>0</v>
      </c>
    </row>
    <row r="791" spans="1:42" ht="93" customHeight="1" x14ac:dyDescent="0.25">
      <c r="A791" s="62" t="s">
        <v>88</v>
      </c>
      <c r="B791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791" s="64" t="s">
        <v>89</v>
      </c>
      <c r="D791" s="64" t="s">
        <v>80</v>
      </c>
      <c r="E791" s="64" t="s">
        <v>81</v>
      </c>
      <c r="F791" s="64" t="s">
        <v>101</v>
      </c>
      <c r="G791" s="64" t="s">
        <v>10</v>
      </c>
      <c r="H791" s="65" t="str">
        <f>VLOOKUP(Tabla6[[#This Row],[DIRECCIÓN]],DIRECCIÓN[#All],2,0)</f>
        <v>TECNOLOGÍA</v>
      </c>
      <c r="I791" s="66" t="s">
        <v>1018</v>
      </c>
      <c r="J791" s="67">
        <v>1</v>
      </c>
      <c r="K791" s="68" t="str">
        <f>VLOOKUP(Tabla6[[#This Row],[DIRECCIÓN GENERAL / COORDINACIÓN / SUBDIRECCIÓN]],Tabla37[[#All],[Columna1]:[EOD]],2,0)</f>
        <v>266_0005</v>
      </c>
      <c r="L791" s="69">
        <f>VLOOKUP(Tabla6[[#This Row],[OBJETIVOS PND]],Listas!$A$1:$C$3,3,0)</f>
        <v>55</v>
      </c>
      <c r="M791" s="70">
        <f>VLOOKUP(Tabla6[[#This Row],[PG]],Listas2!$G$14:$K$16,5,0)</f>
        <v>0</v>
      </c>
      <c r="N791" s="71">
        <v>3</v>
      </c>
      <c r="O791" s="72">
        <v>916</v>
      </c>
      <c r="P791" s="73" t="str">
        <f>VLOOKUP(Tabla6[[#This Row],[GEO]],Listas!$A$48:$B$77,2,0)</f>
        <v>SAMBORONDÓN</v>
      </c>
      <c r="Q791" s="70">
        <f>VLOOKUP(Tabla6[[#This Row],[PG]],Listas2!$G$14:$K$16,3,0)</f>
        <v>1</v>
      </c>
      <c r="R791" s="73">
        <f>VLOOKUP(Tabla6[[#This Row],[PG]],Listas2!H796:'Listas2'!$G$14:$K$16,4,0)</f>
        <v>0</v>
      </c>
      <c r="S791" s="73">
        <f>VLOOKUP(Tabla6[[#This Row],[PG]],Listas2!$G$14:$K$16,2,0)</f>
        <v>0</v>
      </c>
      <c r="T791" s="66" t="s">
        <v>95</v>
      </c>
      <c r="U791" s="74">
        <v>84</v>
      </c>
      <c r="V791" s="66">
        <v>840107</v>
      </c>
      <c r="W791" s="63" t="str">
        <f>VLOOKUP(Tabla6[[#This Row],[ÍTEM PRESUPUESTARIO]],Tabla2[#All],2,0)</f>
        <v>EQUIPOS SISTEMAS Y PAQUETES INFORMÁTICOS</v>
      </c>
      <c r="X791" s="57">
        <v>0</v>
      </c>
      <c r="Y791" s="57">
        <f>23860.83-2173.83</f>
        <v>21687</v>
      </c>
      <c r="Z791" s="58">
        <v>0</v>
      </c>
      <c r="AA791" s="58">
        <v>0</v>
      </c>
      <c r="AB791" s="58">
        <v>0</v>
      </c>
      <c r="AC791" s="58">
        <v>0</v>
      </c>
      <c r="AD791" s="58">
        <v>0</v>
      </c>
      <c r="AE791" s="58">
        <v>0</v>
      </c>
      <c r="AF791" s="58">
        <v>0</v>
      </c>
      <c r="AG791" s="58">
        <v>0</v>
      </c>
      <c r="AH791" s="58">
        <v>0</v>
      </c>
      <c r="AI791" s="58">
        <v>0</v>
      </c>
      <c r="AJ791" s="58">
        <v>21687</v>
      </c>
      <c r="AK791" s="58">
        <v>0</v>
      </c>
      <c r="AL791" s="75">
        <f>+SUBTOTAL(9,Tabla6[[#This Row],[ENE]:[DIC]])</f>
        <v>21687</v>
      </c>
      <c r="AM791" s="76" t="str">
        <f t="shared" si="16"/>
        <v>OK</v>
      </c>
      <c r="AN791" s="60">
        <f>23778.6-2091.6</f>
        <v>21687</v>
      </c>
      <c r="AO791" s="61">
        <f>+Tabla6[[#This Row],[PRESUPUESTO VIGENTE]]-Tabla6[[#This Row],[CERTIFICACIÓN PAPP]]</f>
        <v>0</v>
      </c>
      <c r="AP791" s="59">
        <v>0</v>
      </c>
    </row>
    <row r="792" spans="1:42" ht="93" customHeight="1" x14ac:dyDescent="0.25">
      <c r="A792" s="62" t="s">
        <v>78</v>
      </c>
      <c r="B792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792" s="64" t="s">
        <v>79</v>
      </c>
      <c r="D792" s="64" t="s">
        <v>80</v>
      </c>
      <c r="E792" s="64" t="s">
        <v>81</v>
      </c>
      <c r="F792" s="64" t="s">
        <v>101</v>
      </c>
      <c r="G792" s="64" t="s">
        <v>83</v>
      </c>
      <c r="H792" s="65" t="str">
        <f>VLOOKUP(Tabla6[[#This Row],[DIRECCIÓN]],DIRECCIÓN[#All],2,0)</f>
        <v>ADMINISTRACIÓN CENTRAL</v>
      </c>
      <c r="I792" s="66" t="s">
        <v>93</v>
      </c>
      <c r="J792" s="67">
        <v>1</v>
      </c>
      <c r="K792" s="68" t="str">
        <f>VLOOKUP(Tabla6[[#This Row],[DIRECCIÓN GENERAL / COORDINACIÓN / SUBDIRECCIÓN]],Tabla37[[#All],[Columna1]:[EOD]],2,0)</f>
        <v>266_0005</v>
      </c>
      <c r="L792" s="69">
        <f>VLOOKUP(Tabla6[[#This Row],[OBJETIVOS PND]],Listas!$A$1:$C$3,3,0)</f>
        <v>1</v>
      </c>
      <c r="M792" s="70">
        <f>VLOOKUP(Tabla6[[#This Row],[PG]],Listas2!$G$14:$K$16,5,0)</f>
        <v>0</v>
      </c>
      <c r="N792" s="71">
        <v>1</v>
      </c>
      <c r="O792" s="72">
        <v>1200</v>
      </c>
      <c r="P792" s="73" t="str">
        <f>VLOOKUP(Tabla6[[#This Row],[GEO]],Listas!$A$48:$B$77,2,0)</f>
        <v>BABAHOYO</v>
      </c>
      <c r="Q792" s="70">
        <f>VLOOKUP(Tabla6[[#This Row],[PG]],Listas2!$G$14:$K$16,3,0)</f>
        <v>1</v>
      </c>
      <c r="R792" s="73">
        <f>VLOOKUP(Tabla6[[#This Row],[PG]],Listas2!H797:'Listas2'!$G$14:$K$16,4,0)</f>
        <v>0</v>
      </c>
      <c r="S792" s="73">
        <f>VLOOKUP(Tabla6[[#This Row],[PG]],Listas2!$G$14:$K$16,2,0)</f>
        <v>0</v>
      </c>
      <c r="T792" s="66" t="s">
        <v>84</v>
      </c>
      <c r="U792" s="74">
        <v>51</v>
      </c>
      <c r="V792" s="66">
        <v>510105</v>
      </c>
      <c r="W792" s="63" t="str">
        <f>VLOOKUP(Tabla6[[#This Row],[ÍTEM PRESUPUESTARIO]],Tabla2[#All],2,0)</f>
        <v>REMUNERACIONES UNIFICADAS</v>
      </c>
      <c r="X792" s="57">
        <v>129552</v>
      </c>
      <c r="Y792" s="57">
        <f>129552-840-2388.27</f>
        <v>126323.73</v>
      </c>
      <c r="Z792" s="58">
        <v>10796</v>
      </c>
      <c r="AA792" s="58">
        <v>10796</v>
      </c>
      <c r="AB792" s="58">
        <v>10796</v>
      </c>
      <c r="AC792" s="58">
        <v>10796</v>
      </c>
      <c r="AD792" s="58">
        <v>10796</v>
      </c>
      <c r="AE792" s="58">
        <v>10796</v>
      </c>
      <c r="AF792" s="58">
        <v>10796</v>
      </c>
      <c r="AG792" s="58">
        <v>10796</v>
      </c>
      <c r="AH792" s="58">
        <v>10796</v>
      </c>
      <c r="AI792" s="58">
        <v>10796</v>
      </c>
      <c r="AJ792" s="58">
        <v>10796</v>
      </c>
      <c r="AK792" s="58">
        <v>7567.73</v>
      </c>
      <c r="AL792" s="75">
        <f>+SUBTOTAL(9,Tabla6[[#This Row],[ENE]:[DIC]])</f>
        <v>126323.73</v>
      </c>
      <c r="AM792" s="76" t="str">
        <f t="shared" si="16"/>
        <v>OK</v>
      </c>
      <c r="AN792" s="60">
        <v>0</v>
      </c>
      <c r="AO792" s="61">
        <f>+Tabla6[[#This Row],[PRESUPUESTO VIGENTE]]-Tabla6[[#This Row],[CERTIFICACIÓN PAPP]]</f>
        <v>126323.73</v>
      </c>
      <c r="AP792" s="59">
        <v>0</v>
      </c>
    </row>
    <row r="793" spans="1:42" ht="93" customHeight="1" x14ac:dyDescent="0.25">
      <c r="A793" s="62" t="s">
        <v>78</v>
      </c>
      <c r="B793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793" s="64" t="s">
        <v>79</v>
      </c>
      <c r="D793" s="64" t="s">
        <v>80</v>
      </c>
      <c r="E793" s="64" t="s">
        <v>81</v>
      </c>
      <c r="F793" s="64" t="s">
        <v>101</v>
      </c>
      <c r="G793" s="64" t="s">
        <v>83</v>
      </c>
      <c r="H793" s="65" t="str">
        <f>VLOOKUP(Tabla6[[#This Row],[DIRECCIÓN]],DIRECCIÓN[#All],2,0)</f>
        <v>ADMINISTRACIÓN CENTRAL</v>
      </c>
      <c r="I793" s="66" t="s">
        <v>93</v>
      </c>
      <c r="J793" s="67">
        <v>1</v>
      </c>
      <c r="K793" s="68" t="str">
        <f>VLOOKUP(Tabla6[[#This Row],[DIRECCIÓN GENERAL / COORDINACIÓN / SUBDIRECCIÓN]],Tabla37[[#All],[Columna1]:[EOD]],2,0)</f>
        <v>266_0005</v>
      </c>
      <c r="L793" s="69">
        <f>VLOOKUP(Tabla6[[#This Row],[OBJETIVOS PND]],Listas!$A$1:$C$3,3,0)</f>
        <v>1</v>
      </c>
      <c r="M793" s="70">
        <f>VLOOKUP(Tabla6[[#This Row],[PG]],Listas2!$G$14:$K$16,5,0)</f>
        <v>0</v>
      </c>
      <c r="N793" s="71" t="s">
        <v>775</v>
      </c>
      <c r="O793" s="72">
        <v>1200</v>
      </c>
      <c r="P793" s="73" t="str">
        <f>VLOOKUP(Tabla6[[#This Row],[GEO]],Listas!$A$48:$B$77,2,0)</f>
        <v>BABAHOYO</v>
      </c>
      <c r="Q793" s="70">
        <f>VLOOKUP(Tabla6[[#This Row],[PG]],Listas2!$G$14:$K$16,3,0)</f>
        <v>1</v>
      </c>
      <c r="R793" s="73">
        <f>VLOOKUP(Tabla6[[#This Row],[PG]],Listas2!H798:'Listas2'!$G$14:$K$16,4,0)</f>
        <v>0</v>
      </c>
      <c r="S793" s="73">
        <f>VLOOKUP(Tabla6[[#This Row],[PG]],Listas2!$G$14:$K$16,2,0)</f>
        <v>0</v>
      </c>
      <c r="T793" s="66" t="s">
        <v>84</v>
      </c>
      <c r="U793" s="74">
        <v>51</v>
      </c>
      <c r="V793" s="66">
        <v>510106</v>
      </c>
      <c r="W793" s="63" t="str">
        <f>VLOOKUP(Tabla6[[#This Row],[ÍTEM PRESUPUESTARIO]],Tabla2[#All],2,0)</f>
        <v>SALARIOS UNIFICADOS</v>
      </c>
      <c r="X793" s="57">
        <v>28752</v>
      </c>
      <c r="Y793" s="57">
        <f>28752+10-10</f>
        <v>28752</v>
      </c>
      <c r="Z793" s="58">
        <v>2396</v>
      </c>
      <c r="AA793" s="58">
        <v>2396</v>
      </c>
      <c r="AB793" s="58">
        <v>2396</v>
      </c>
      <c r="AC793" s="58">
        <v>2396</v>
      </c>
      <c r="AD793" s="58">
        <v>2396</v>
      </c>
      <c r="AE793" s="58">
        <v>2396</v>
      </c>
      <c r="AF793" s="58">
        <v>2396</v>
      </c>
      <c r="AG793" s="58">
        <v>2396</v>
      </c>
      <c r="AH793" s="58">
        <v>2396</v>
      </c>
      <c r="AI793" s="58">
        <v>2396</v>
      </c>
      <c r="AJ793" s="58">
        <v>2396</v>
      </c>
      <c r="AK793" s="58">
        <v>2396</v>
      </c>
      <c r="AL793" s="75">
        <f>+SUBTOTAL(9,Tabla6[[#This Row],[ENE]:[DIC]])</f>
        <v>28752</v>
      </c>
      <c r="AM793" s="76" t="str">
        <f t="shared" si="16"/>
        <v>OK</v>
      </c>
      <c r="AN793" s="60">
        <v>0</v>
      </c>
      <c r="AO793" s="61">
        <f>+Tabla6[[#This Row],[PRESUPUESTO VIGENTE]]-Tabla6[[#This Row],[CERTIFICACIÓN PAPP]]</f>
        <v>28752</v>
      </c>
      <c r="AP793" s="59">
        <v>0</v>
      </c>
    </row>
    <row r="794" spans="1:42" ht="93" customHeight="1" x14ac:dyDescent="0.25">
      <c r="A794" s="62" t="s">
        <v>78</v>
      </c>
      <c r="B794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794" s="64" t="s">
        <v>79</v>
      </c>
      <c r="D794" s="64" t="s">
        <v>80</v>
      </c>
      <c r="E794" s="64" t="s">
        <v>81</v>
      </c>
      <c r="F794" s="64" t="s">
        <v>101</v>
      </c>
      <c r="G794" s="64" t="s">
        <v>83</v>
      </c>
      <c r="H794" s="65" t="str">
        <f>VLOOKUP(Tabla6[[#This Row],[DIRECCIÓN]],DIRECCIÓN[#All],2,0)</f>
        <v>ADMINISTRACIÓN CENTRAL</v>
      </c>
      <c r="I794" s="66" t="s">
        <v>93</v>
      </c>
      <c r="J794" s="67">
        <v>1</v>
      </c>
      <c r="K794" s="68" t="str">
        <f>VLOOKUP(Tabla6[[#This Row],[DIRECCIÓN GENERAL / COORDINACIÓN / SUBDIRECCIÓN]],Tabla37[[#All],[Columna1]:[EOD]],2,0)</f>
        <v>266_0005</v>
      </c>
      <c r="L794" s="69">
        <f>VLOOKUP(Tabla6[[#This Row],[OBJETIVOS PND]],Listas!$A$1:$C$3,3,0)</f>
        <v>1</v>
      </c>
      <c r="M794" s="70">
        <f>VLOOKUP(Tabla6[[#This Row],[PG]],Listas2!$G$14:$K$16,5,0)</f>
        <v>0</v>
      </c>
      <c r="N794" s="71" t="s">
        <v>775</v>
      </c>
      <c r="O794" s="72">
        <v>1200</v>
      </c>
      <c r="P794" s="73" t="str">
        <f>VLOOKUP(Tabla6[[#This Row],[GEO]],Listas!$A$48:$B$77,2,0)</f>
        <v>BABAHOYO</v>
      </c>
      <c r="Q794" s="70">
        <f>VLOOKUP(Tabla6[[#This Row],[PG]],Listas2!$G$14:$K$16,3,0)</f>
        <v>1</v>
      </c>
      <c r="R794" s="73">
        <f>VLOOKUP(Tabla6[[#This Row],[PG]],Listas2!H799:'Listas2'!$G$14:$K$16,4,0)</f>
        <v>0</v>
      </c>
      <c r="S794" s="73">
        <f>VLOOKUP(Tabla6[[#This Row],[PG]],Listas2!$G$14:$K$16,2,0)</f>
        <v>0</v>
      </c>
      <c r="T794" s="66" t="s">
        <v>84</v>
      </c>
      <c r="U794" s="74">
        <v>51</v>
      </c>
      <c r="V794" s="66">
        <v>510203</v>
      </c>
      <c r="W794" s="63" t="str">
        <f>VLOOKUP(Tabla6[[#This Row],[ÍTEM PRESUPUESTARIO]],Tabla2[#All],2,0)</f>
        <v>DÉCIMO TERCER SUELDO</v>
      </c>
      <c r="X794" s="57">
        <v>13192</v>
      </c>
      <c r="Y794" s="57">
        <f>13192+0.01+1000-1531.41-0.01</f>
        <v>12660.59</v>
      </c>
      <c r="Z794" s="58">
        <v>0</v>
      </c>
      <c r="AA794" s="58">
        <v>0</v>
      </c>
      <c r="AB794" s="58">
        <v>0</v>
      </c>
      <c r="AC794" s="58">
        <v>0</v>
      </c>
      <c r="AD794" s="58">
        <v>0</v>
      </c>
      <c r="AE794" s="58">
        <v>0</v>
      </c>
      <c r="AF794" s="58">
        <v>0</v>
      </c>
      <c r="AG794" s="58">
        <v>0</v>
      </c>
      <c r="AH794" s="58">
        <v>0</v>
      </c>
      <c r="AI794" s="58">
        <v>0</v>
      </c>
      <c r="AJ794" s="58">
        <v>0</v>
      </c>
      <c r="AK794" s="58">
        <v>12660.59</v>
      </c>
      <c r="AL794" s="75">
        <f>+SUBTOTAL(9,Tabla6[[#This Row],[ENE]:[DIC]])</f>
        <v>12660.59</v>
      </c>
      <c r="AM794" s="76" t="str">
        <f t="shared" si="16"/>
        <v>OK</v>
      </c>
      <c r="AN794" s="60">
        <v>0</v>
      </c>
      <c r="AO794" s="61">
        <f>+Tabla6[[#This Row],[PRESUPUESTO VIGENTE]]-Tabla6[[#This Row],[CERTIFICACIÓN PAPP]]</f>
        <v>12660.59</v>
      </c>
      <c r="AP794" s="59">
        <v>0</v>
      </c>
    </row>
    <row r="795" spans="1:42" ht="93" customHeight="1" x14ac:dyDescent="0.25">
      <c r="A795" s="62" t="s">
        <v>78</v>
      </c>
      <c r="B795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795" s="64" t="s">
        <v>79</v>
      </c>
      <c r="D795" s="64" t="s">
        <v>80</v>
      </c>
      <c r="E795" s="64" t="s">
        <v>81</v>
      </c>
      <c r="F795" s="64" t="s">
        <v>101</v>
      </c>
      <c r="G795" s="64" t="s">
        <v>83</v>
      </c>
      <c r="H795" s="65" t="str">
        <f>VLOOKUP(Tabla6[[#This Row],[DIRECCIÓN]],DIRECCIÓN[#All],2,0)</f>
        <v>ADMINISTRACIÓN CENTRAL</v>
      </c>
      <c r="I795" s="66" t="s">
        <v>93</v>
      </c>
      <c r="J795" s="67">
        <v>1</v>
      </c>
      <c r="K795" s="68" t="str">
        <f>VLOOKUP(Tabla6[[#This Row],[DIRECCIÓN GENERAL / COORDINACIÓN / SUBDIRECCIÓN]],Tabla37[[#All],[Columna1]:[EOD]],2,0)</f>
        <v>266_0005</v>
      </c>
      <c r="L795" s="69">
        <f>VLOOKUP(Tabla6[[#This Row],[OBJETIVOS PND]],Listas!$A$1:$C$3,3,0)</f>
        <v>1</v>
      </c>
      <c r="M795" s="70">
        <f>VLOOKUP(Tabla6[[#This Row],[PG]],Listas2!$G$14:$K$16,5,0)</f>
        <v>0</v>
      </c>
      <c r="N795" s="71" t="s">
        <v>775</v>
      </c>
      <c r="O795" s="72">
        <v>1200</v>
      </c>
      <c r="P795" s="73" t="str">
        <f>VLOOKUP(Tabla6[[#This Row],[GEO]],Listas!$A$48:$B$77,2,0)</f>
        <v>BABAHOYO</v>
      </c>
      <c r="Q795" s="70">
        <f>VLOOKUP(Tabla6[[#This Row],[PG]],Listas2!$G$14:$K$16,3,0)</f>
        <v>1</v>
      </c>
      <c r="R795" s="73">
        <f>VLOOKUP(Tabla6[[#This Row],[PG]],Listas2!H800:'Listas2'!$G$14:$K$16,4,0)</f>
        <v>0</v>
      </c>
      <c r="S795" s="73">
        <f>VLOOKUP(Tabla6[[#This Row],[PG]],Listas2!$G$14:$K$16,2,0)</f>
        <v>0</v>
      </c>
      <c r="T795" s="66" t="s">
        <v>84</v>
      </c>
      <c r="U795" s="74">
        <v>51</v>
      </c>
      <c r="V795" s="66">
        <v>510204</v>
      </c>
      <c r="W795" s="63" t="str">
        <f>VLOOKUP(Tabla6[[#This Row],[ÍTEM PRESUPUESTARIO]],Tabla2[#All],2,0)</f>
        <v>DÉCIMO CUARTO SUELDO</v>
      </c>
      <c r="X795" s="57">
        <v>5850</v>
      </c>
      <c r="Y795" s="57">
        <f>5850-354.17+260+86-19.75</f>
        <v>5822.08</v>
      </c>
      <c r="Z795" s="58">
        <v>0</v>
      </c>
      <c r="AA795" s="58">
        <v>0</v>
      </c>
      <c r="AB795" s="58">
        <v>0</v>
      </c>
      <c r="AC795" s="58">
        <v>5822.08</v>
      </c>
      <c r="AD795" s="58">
        <v>0</v>
      </c>
      <c r="AE795" s="58">
        <v>0</v>
      </c>
      <c r="AF795" s="58">
        <v>0</v>
      </c>
      <c r="AG795" s="58">
        <v>0</v>
      </c>
      <c r="AH795" s="58">
        <v>0</v>
      </c>
      <c r="AI795" s="58">
        <v>0</v>
      </c>
      <c r="AJ795" s="58">
        <v>0</v>
      </c>
      <c r="AK795" s="58">
        <v>0</v>
      </c>
      <c r="AL795" s="75">
        <f>+SUBTOTAL(9,Tabla6[[#This Row],[ENE]:[DIC]])</f>
        <v>5822.08</v>
      </c>
      <c r="AM795" s="76" t="str">
        <f t="shared" si="16"/>
        <v>OK</v>
      </c>
      <c r="AN795" s="60">
        <v>0</v>
      </c>
      <c r="AO795" s="61">
        <f>+Tabla6[[#This Row],[PRESUPUESTO VIGENTE]]-Tabla6[[#This Row],[CERTIFICACIÓN PAPP]]</f>
        <v>5822.08</v>
      </c>
      <c r="AP795" s="59">
        <v>0</v>
      </c>
    </row>
    <row r="796" spans="1:42" ht="93" customHeight="1" x14ac:dyDescent="0.25">
      <c r="A796" s="62" t="s">
        <v>78</v>
      </c>
      <c r="B796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796" s="64" t="s">
        <v>79</v>
      </c>
      <c r="D796" s="64" t="s">
        <v>80</v>
      </c>
      <c r="E796" s="64" t="s">
        <v>81</v>
      </c>
      <c r="F796" s="64" t="s">
        <v>101</v>
      </c>
      <c r="G796" s="64" t="s">
        <v>83</v>
      </c>
      <c r="H796" s="65" t="str">
        <f>VLOOKUP(Tabla6[[#This Row],[DIRECCIÓN]],DIRECCIÓN[#All],2,0)</f>
        <v>ADMINISTRACIÓN CENTRAL</v>
      </c>
      <c r="I796" s="66" t="s">
        <v>93</v>
      </c>
      <c r="J796" s="67">
        <v>1</v>
      </c>
      <c r="K796" s="68" t="str">
        <f>VLOOKUP(Tabla6[[#This Row],[DIRECCIÓN GENERAL / COORDINACIÓN / SUBDIRECCIÓN]],Tabla37[[#All],[Columna1]:[EOD]],2,0)</f>
        <v>266_0005</v>
      </c>
      <c r="L796" s="69">
        <f>VLOOKUP(Tabla6[[#This Row],[OBJETIVOS PND]],Listas!$A$1:$C$3,3,0)</f>
        <v>1</v>
      </c>
      <c r="M796" s="70">
        <f>VLOOKUP(Tabla6[[#This Row],[PG]],Listas2!$G$14:$K$16,5,0)</f>
        <v>0</v>
      </c>
      <c r="N796" s="71" t="s">
        <v>775</v>
      </c>
      <c r="O796" s="72">
        <v>1200</v>
      </c>
      <c r="P796" s="73" t="str">
        <f>VLOOKUP(Tabla6[[#This Row],[GEO]],Listas!$A$48:$B$77,2,0)</f>
        <v>BABAHOYO</v>
      </c>
      <c r="Q796" s="70">
        <f>VLOOKUP(Tabla6[[#This Row],[PG]],Listas2!$G$14:$K$16,3,0)</f>
        <v>1</v>
      </c>
      <c r="R796" s="73">
        <f>VLOOKUP(Tabla6[[#This Row],[PG]],Listas2!H801:'Listas2'!$G$14:$K$16,4,0)</f>
        <v>0</v>
      </c>
      <c r="S796" s="73">
        <f>VLOOKUP(Tabla6[[#This Row],[PG]],Listas2!$G$14:$K$16,2,0)</f>
        <v>0</v>
      </c>
      <c r="T796" s="66" t="s">
        <v>84</v>
      </c>
      <c r="U796" s="74">
        <v>51</v>
      </c>
      <c r="V796" s="66">
        <v>510509</v>
      </c>
      <c r="W796" s="63" t="str">
        <f>VLOOKUP(Tabla6[[#This Row],[ÍTEM PRESUPUESTARIO]],Tabla2[#All],2,0)</f>
        <v>HORAS EXTRAORDINARIAS Y SUPLEMENTARIAS</v>
      </c>
      <c r="X796" s="57">
        <v>2000</v>
      </c>
      <c r="Y796" s="57">
        <f>2000+78+500-947.8</f>
        <v>1630.2</v>
      </c>
      <c r="Z796" s="58">
        <v>166</v>
      </c>
      <c r="AA796" s="58">
        <v>166</v>
      </c>
      <c r="AB796" s="58">
        <v>166</v>
      </c>
      <c r="AC796" s="58">
        <v>166</v>
      </c>
      <c r="AD796" s="58">
        <v>167</v>
      </c>
      <c r="AE796" s="58">
        <v>167</v>
      </c>
      <c r="AF796" s="58">
        <v>167</v>
      </c>
      <c r="AG796" s="58">
        <v>167</v>
      </c>
      <c r="AH796" s="58">
        <v>167</v>
      </c>
      <c r="AI796" s="58">
        <v>25</v>
      </c>
      <c r="AJ796" s="58">
        <v>25</v>
      </c>
      <c r="AK796" s="58">
        <v>81.2</v>
      </c>
      <c r="AL796" s="75">
        <f>+SUBTOTAL(9,Tabla6[[#This Row],[ENE]:[DIC]])</f>
        <v>1630.2</v>
      </c>
      <c r="AM796" s="76" t="str">
        <f t="shared" si="16"/>
        <v>OK</v>
      </c>
      <c r="AN796" s="60">
        <v>0</v>
      </c>
      <c r="AO796" s="61">
        <f>+Tabla6[[#This Row],[PRESUPUESTO VIGENTE]]-Tabla6[[#This Row],[CERTIFICACIÓN PAPP]]</f>
        <v>1630.2</v>
      </c>
      <c r="AP796" s="59">
        <v>0</v>
      </c>
    </row>
    <row r="797" spans="1:42" ht="93" customHeight="1" x14ac:dyDescent="0.25">
      <c r="A797" s="62" t="s">
        <v>78</v>
      </c>
      <c r="B797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797" s="64" t="s">
        <v>79</v>
      </c>
      <c r="D797" s="64" t="s">
        <v>80</v>
      </c>
      <c r="E797" s="64" t="s">
        <v>81</v>
      </c>
      <c r="F797" s="64" t="s">
        <v>101</v>
      </c>
      <c r="G797" s="64" t="s">
        <v>83</v>
      </c>
      <c r="H797" s="65" t="str">
        <f>VLOOKUP(Tabla6[[#This Row],[DIRECCIÓN]],DIRECCIÓN[#All],2,0)</f>
        <v>ADMINISTRACIÓN CENTRAL</v>
      </c>
      <c r="I797" s="66" t="s">
        <v>93</v>
      </c>
      <c r="J797" s="67">
        <v>1</v>
      </c>
      <c r="K797" s="68" t="str">
        <f>VLOOKUP(Tabla6[[#This Row],[DIRECCIÓN GENERAL / COORDINACIÓN / SUBDIRECCIÓN]],Tabla37[[#All],[Columna1]:[EOD]],2,0)</f>
        <v>266_0005</v>
      </c>
      <c r="L797" s="69">
        <f>VLOOKUP(Tabla6[[#This Row],[OBJETIVOS PND]],Listas!$A$1:$C$3,3,0)</f>
        <v>1</v>
      </c>
      <c r="M797" s="70">
        <f>VLOOKUP(Tabla6[[#This Row],[PG]],Listas2!$G$14:$K$16,5,0)</f>
        <v>0</v>
      </c>
      <c r="N797" s="71">
        <v>1</v>
      </c>
      <c r="O797" s="72">
        <v>1200</v>
      </c>
      <c r="P797" s="73" t="str">
        <f>VLOOKUP(Tabla6[[#This Row],[GEO]],Listas!$A$48:$B$77,2,0)</f>
        <v>BABAHOYO</v>
      </c>
      <c r="Q797" s="70">
        <f>VLOOKUP(Tabla6[[#This Row],[PG]],Listas2!$G$14:$K$16,3,0)</f>
        <v>1</v>
      </c>
      <c r="R797" s="73">
        <f>VLOOKUP(Tabla6[[#This Row],[PG]],Listas2!H802:'Listas2'!$G$14:$K$16,4,0)</f>
        <v>0</v>
      </c>
      <c r="S797" s="73">
        <f>VLOOKUP(Tabla6[[#This Row],[PG]],Listas2!$G$14:$K$16,2,0)</f>
        <v>0</v>
      </c>
      <c r="T797" s="66" t="s">
        <v>84</v>
      </c>
      <c r="U797" s="74">
        <v>51</v>
      </c>
      <c r="V797" s="66">
        <v>510510</v>
      </c>
      <c r="W797" s="63" t="str">
        <f>VLOOKUP(Tabla6[[#This Row],[ÍTEM PRESUPUESTARIO]],Tabla2[#All],2,0)</f>
        <v>SERVICIOS PERSONALES POR CONTRATO</v>
      </c>
      <c r="X797" s="57">
        <v>0</v>
      </c>
      <c r="Y797" s="57">
        <f>4556.5-256.5-260-4040</f>
        <v>0</v>
      </c>
      <c r="Z797" s="58">
        <v>0</v>
      </c>
      <c r="AA797" s="58">
        <v>0</v>
      </c>
      <c r="AB797" s="58">
        <v>0</v>
      </c>
      <c r="AC797" s="58">
        <v>0</v>
      </c>
      <c r="AD797" s="58">
        <v>0</v>
      </c>
      <c r="AE797" s="58">
        <v>0</v>
      </c>
      <c r="AF797" s="58">
        <v>0</v>
      </c>
      <c r="AG797" s="58">
        <v>0</v>
      </c>
      <c r="AH797" s="58">
        <v>0</v>
      </c>
      <c r="AI797" s="58">
        <v>0</v>
      </c>
      <c r="AJ797" s="58">
        <v>0</v>
      </c>
      <c r="AK797" s="58">
        <v>0</v>
      </c>
      <c r="AL797" s="75">
        <f>+SUBTOTAL(9,Tabla6[[#This Row],[ENE]:[DIC]])</f>
        <v>0</v>
      </c>
      <c r="AM797" s="76" t="str">
        <f t="shared" si="16"/>
        <v>OK</v>
      </c>
      <c r="AN797" s="60">
        <v>0</v>
      </c>
      <c r="AO797" s="61">
        <f>+Tabla6[[#This Row],[PRESUPUESTO VIGENTE]]-Tabla6[[#This Row],[CERTIFICACIÓN PAPP]]</f>
        <v>0</v>
      </c>
      <c r="AP797" s="59">
        <v>0</v>
      </c>
    </row>
    <row r="798" spans="1:42" ht="93" customHeight="1" x14ac:dyDescent="0.25">
      <c r="A798" s="62" t="s">
        <v>78</v>
      </c>
      <c r="B798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798" s="64" t="s">
        <v>79</v>
      </c>
      <c r="D798" s="64" t="s">
        <v>80</v>
      </c>
      <c r="E798" s="64" t="s">
        <v>81</v>
      </c>
      <c r="F798" s="64" t="s">
        <v>101</v>
      </c>
      <c r="G798" s="64" t="s">
        <v>83</v>
      </c>
      <c r="H798" s="65" t="str">
        <f>VLOOKUP(Tabla6[[#This Row],[DIRECCIÓN]],DIRECCIÓN[#All],2,0)</f>
        <v>ADMINISTRACIÓN CENTRAL</v>
      </c>
      <c r="I798" s="66" t="s">
        <v>93</v>
      </c>
      <c r="J798" s="67">
        <v>1</v>
      </c>
      <c r="K798" s="68" t="str">
        <f>VLOOKUP(Tabla6[[#This Row],[DIRECCIÓN GENERAL / COORDINACIÓN / SUBDIRECCIÓN]],Tabla37[[#All],[Columna1]:[EOD]],2,0)</f>
        <v>266_0005</v>
      </c>
      <c r="L798" s="69">
        <f>VLOOKUP(Tabla6[[#This Row],[OBJETIVOS PND]],Listas!$A$1:$C$3,3,0)</f>
        <v>1</v>
      </c>
      <c r="M798" s="70">
        <f>VLOOKUP(Tabla6[[#This Row],[PG]],Listas2!$G$14:$K$16,5,0)</f>
        <v>0</v>
      </c>
      <c r="N798" s="71" t="s">
        <v>775</v>
      </c>
      <c r="O798" s="72">
        <v>1200</v>
      </c>
      <c r="P798" s="73" t="str">
        <f>VLOOKUP(Tabla6[[#This Row],[GEO]],Listas!$A$48:$B$77,2,0)</f>
        <v>BABAHOYO</v>
      </c>
      <c r="Q798" s="70">
        <f>VLOOKUP(Tabla6[[#This Row],[PG]],Listas2!$G$14:$K$16,3,0)</f>
        <v>1</v>
      </c>
      <c r="R798" s="73">
        <f>VLOOKUP(Tabla6[[#This Row],[PG]],Listas2!H803:'Listas2'!$G$14:$K$16,4,0)</f>
        <v>0</v>
      </c>
      <c r="S798" s="73">
        <f>VLOOKUP(Tabla6[[#This Row],[PG]],Listas2!$G$14:$K$16,2,0)</f>
        <v>0</v>
      </c>
      <c r="T798" s="66" t="s">
        <v>84</v>
      </c>
      <c r="U798" s="74">
        <v>51</v>
      </c>
      <c r="V798" s="66">
        <v>510601</v>
      </c>
      <c r="W798" s="63" t="str">
        <f>VLOOKUP(Tabla6[[#This Row],[ÍTEM PRESUPUESTARIO]],Tabla2[#All],2,0)</f>
        <v>APORTE PATRONAL</v>
      </c>
      <c r="X798" s="57">
        <v>15996</v>
      </c>
      <c r="Y798" s="57">
        <f>15996+251.68-365.61</f>
        <v>15882.07</v>
      </c>
      <c r="Z798" s="58">
        <v>1333</v>
      </c>
      <c r="AA798" s="58">
        <v>1333</v>
      </c>
      <c r="AB798" s="58">
        <v>1333</v>
      </c>
      <c r="AC798" s="58">
        <v>1333</v>
      </c>
      <c r="AD798" s="58">
        <v>1333</v>
      </c>
      <c r="AE798" s="58">
        <v>1333</v>
      </c>
      <c r="AF798" s="58">
        <v>1333</v>
      </c>
      <c r="AG798" s="58">
        <v>1333</v>
      </c>
      <c r="AH798" s="58">
        <v>1333</v>
      </c>
      <c r="AI798" s="58">
        <v>1333</v>
      </c>
      <c r="AJ798" s="58">
        <v>1333</v>
      </c>
      <c r="AK798" s="58">
        <v>1219.07</v>
      </c>
      <c r="AL798" s="75">
        <f>+SUBTOTAL(9,Tabla6[[#This Row],[ENE]:[DIC]])</f>
        <v>15882.07</v>
      </c>
      <c r="AM798" s="76" t="str">
        <f t="shared" si="16"/>
        <v>OK</v>
      </c>
      <c r="AN798" s="60">
        <v>0</v>
      </c>
      <c r="AO798" s="61">
        <f>+Tabla6[[#This Row],[PRESUPUESTO VIGENTE]]-Tabla6[[#This Row],[CERTIFICACIÓN PAPP]]</f>
        <v>15882.07</v>
      </c>
      <c r="AP798" s="59">
        <v>0</v>
      </c>
    </row>
    <row r="799" spans="1:42" ht="93" customHeight="1" x14ac:dyDescent="0.25">
      <c r="A799" s="62" t="s">
        <v>78</v>
      </c>
      <c r="B799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799" s="64" t="s">
        <v>79</v>
      </c>
      <c r="D799" s="64" t="s">
        <v>80</v>
      </c>
      <c r="E799" s="64" t="s">
        <v>81</v>
      </c>
      <c r="F799" s="64" t="s">
        <v>101</v>
      </c>
      <c r="G799" s="64" t="s">
        <v>83</v>
      </c>
      <c r="H799" s="65" t="str">
        <f>VLOOKUP(Tabla6[[#This Row],[DIRECCIÓN]],DIRECCIÓN[#All],2,0)</f>
        <v>ADMINISTRACIÓN CENTRAL</v>
      </c>
      <c r="I799" s="66" t="s">
        <v>93</v>
      </c>
      <c r="J799" s="67">
        <v>1</v>
      </c>
      <c r="K799" s="68" t="str">
        <f>VLOOKUP(Tabla6[[#This Row],[DIRECCIÓN GENERAL / COORDINACIÓN / SUBDIRECCIÓN]],Tabla37[[#All],[Columna1]:[EOD]],2,0)</f>
        <v>266_0005</v>
      </c>
      <c r="L799" s="69">
        <f>VLOOKUP(Tabla6[[#This Row],[OBJETIVOS PND]],Listas!$A$1:$C$3,3,0)</f>
        <v>1</v>
      </c>
      <c r="M799" s="70">
        <f>VLOOKUP(Tabla6[[#This Row],[PG]],Listas2!$G$14:$K$16,5,0)</f>
        <v>0</v>
      </c>
      <c r="N799" s="71" t="s">
        <v>775</v>
      </c>
      <c r="O799" s="72">
        <v>1200</v>
      </c>
      <c r="P799" s="73" t="str">
        <f>VLOOKUP(Tabla6[[#This Row],[GEO]],Listas!$A$48:$B$77,2,0)</f>
        <v>BABAHOYO</v>
      </c>
      <c r="Q799" s="70">
        <f>VLOOKUP(Tabla6[[#This Row],[PG]],Listas2!$G$14:$K$16,3,0)</f>
        <v>1</v>
      </c>
      <c r="R799" s="73">
        <f>VLOOKUP(Tabla6[[#This Row],[PG]],Listas2!H804:'Listas2'!$G$14:$K$16,4,0)</f>
        <v>0</v>
      </c>
      <c r="S799" s="73">
        <f>VLOOKUP(Tabla6[[#This Row],[PG]],Listas2!$G$14:$K$16,2,0)</f>
        <v>0</v>
      </c>
      <c r="T799" s="66" t="s">
        <v>84</v>
      </c>
      <c r="U799" s="74">
        <v>51</v>
      </c>
      <c r="V799" s="66">
        <v>510602</v>
      </c>
      <c r="W799" s="63" t="str">
        <f>VLOOKUP(Tabla6[[#This Row],[ÍTEM PRESUPUESTARIO]],Tabla2[#All],2,0)</f>
        <v>FONDO DE RESERVA</v>
      </c>
      <c r="X799" s="57">
        <v>13187</v>
      </c>
      <c r="Y799" s="57">
        <f>13187+412.72-235.52-1401+223-606.25</f>
        <v>11579.949999999999</v>
      </c>
      <c r="Z799" s="58">
        <v>1098</v>
      </c>
      <c r="AA799" s="58">
        <v>1099</v>
      </c>
      <c r="AB799" s="58">
        <v>1099</v>
      </c>
      <c r="AC799" s="58">
        <v>1099</v>
      </c>
      <c r="AD799" s="58">
        <v>1099</v>
      </c>
      <c r="AE799" s="58">
        <v>1099</v>
      </c>
      <c r="AF799" s="58">
        <v>1099</v>
      </c>
      <c r="AG799" s="58">
        <v>1099</v>
      </c>
      <c r="AH799" s="58">
        <v>1099</v>
      </c>
      <c r="AI799" s="58">
        <v>1099</v>
      </c>
      <c r="AJ799" s="58">
        <v>545</v>
      </c>
      <c r="AK799" s="58">
        <v>45.95</v>
      </c>
      <c r="AL799" s="75">
        <f>+SUBTOTAL(9,Tabla6[[#This Row],[ENE]:[DIC]])</f>
        <v>11579.95</v>
      </c>
      <c r="AM799" s="76" t="str">
        <f t="shared" si="16"/>
        <v>OK</v>
      </c>
      <c r="AN799" s="60">
        <v>0</v>
      </c>
      <c r="AO799" s="61">
        <f>+Tabla6[[#This Row],[PRESUPUESTO VIGENTE]]-Tabla6[[#This Row],[CERTIFICACIÓN PAPP]]</f>
        <v>11579.949999999999</v>
      </c>
      <c r="AP799" s="59">
        <v>0</v>
      </c>
    </row>
    <row r="800" spans="1:42" ht="93" customHeight="1" x14ac:dyDescent="0.25">
      <c r="A800" s="62" t="s">
        <v>78</v>
      </c>
      <c r="B800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800" s="64" t="s">
        <v>79</v>
      </c>
      <c r="D800" s="64" t="s">
        <v>80</v>
      </c>
      <c r="E800" s="64" t="s">
        <v>81</v>
      </c>
      <c r="F800" s="64" t="s">
        <v>101</v>
      </c>
      <c r="G800" s="64" t="s">
        <v>83</v>
      </c>
      <c r="H800" s="65" t="str">
        <f>VLOOKUP(Tabla6[[#This Row],[DIRECCIÓN]],DIRECCIÓN[#All],2,0)</f>
        <v>ADMINISTRACIÓN CENTRAL</v>
      </c>
      <c r="I800" s="66" t="s">
        <v>961</v>
      </c>
      <c r="J800" s="67">
        <v>1</v>
      </c>
      <c r="K800" s="68" t="str">
        <f>VLOOKUP(Tabla6[[#This Row],[DIRECCIÓN GENERAL / COORDINACIÓN / SUBDIRECCIÓN]],Tabla37[[#All],[Columna1]:[EOD]],2,0)</f>
        <v>266_0005</v>
      </c>
      <c r="L800" s="69">
        <f>VLOOKUP(Tabla6[[#This Row],[OBJETIVOS PND]],Listas!$A$1:$C$3,3,0)</f>
        <v>1</v>
      </c>
      <c r="M800" s="70">
        <f>VLOOKUP(Tabla6[[#This Row],[PG]],Listas2!$G$14:$K$16,5,0)</f>
        <v>0</v>
      </c>
      <c r="N800" s="71">
        <v>1</v>
      </c>
      <c r="O800" s="72">
        <v>1200</v>
      </c>
      <c r="P800" s="73" t="str">
        <f>VLOOKUP(Tabla6[[#This Row],[GEO]],Listas!$A$48:$B$77,2,0)</f>
        <v>BABAHOYO</v>
      </c>
      <c r="Q800" s="70">
        <f>VLOOKUP(Tabla6[[#This Row],[PG]],Listas2!$G$14:$K$16,3,0)</f>
        <v>1</v>
      </c>
      <c r="R800" s="73">
        <f>VLOOKUP(Tabla6[[#This Row],[PG]],Listas2!H805:'Listas2'!$G$14:$K$16,4,0)</f>
        <v>0</v>
      </c>
      <c r="S800" s="73">
        <f>VLOOKUP(Tabla6[[#This Row],[PG]],Listas2!$G$14:$K$16,2,0)</f>
        <v>0</v>
      </c>
      <c r="T800" s="66" t="s">
        <v>84</v>
      </c>
      <c r="U800" s="74">
        <v>51</v>
      </c>
      <c r="V800" s="66">
        <v>510707</v>
      </c>
      <c r="W800" s="63" t="str">
        <f>VLOOKUP(Tabla6[[#This Row],[ÍTEM PRESUPUESTARIO]],Tabla2[#All],2,0)</f>
        <v>COMPENSACIÓN POR VACACIONES NO GOZADAS POR CESACIÓN DE FUNCIONES</v>
      </c>
      <c r="X800" s="57">
        <v>0</v>
      </c>
      <c r="Y800" s="57">
        <f>840-4.62</f>
        <v>835.38</v>
      </c>
      <c r="Z800" s="58">
        <v>0</v>
      </c>
      <c r="AA800" s="58">
        <v>0</v>
      </c>
      <c r="AB800" s="58">
        <v>0</v>
      </c>
      <c r="AC800" s="58">
        <v>0</v>
      </c>
      <c r="AD800" s="58">
        <v>0</v>
      </c>
      <c r="AE800" s="58">
        <v>835.38</v>
      </c>
      <c r="AF800" s="58">
        <v>0</v>
      </c>
      <c r="AG800" s="58">
        <v>0</v>
      </c>
      <c r="AH800" s="58">
        <v>0</v>
      </c>
      <c r="AI800" s="58">
        <v>0</v>
      </c>
      <c r="AJ800" s="58">
        <v>0</v>
      </c>
      <c r="AK800" s="58">
        <v>0</v>
      </c>
      <c r="AL800" s="75">
        <f>+SUBTOTAL(9,Tabla6[[#This Row],[ENE]:[DIC]])</f>
        <v>835.38</v>
      </c>
      <c r="AM800" s="76" t="str">
        <f t="shared" si="16"/>
        <v>OK</v>
      </c>
      <c r="AN800" s="60">
        <v>0</v>
      </c>
      <c r="AO800" s="61">
        <f>+Tabla6[[#This Row],[PRESUPUESTO VIGENTE]]-Tabla6[[#This Row],[CERTIFICACIÓN PAPP]]</f>
        <v>835.38</v>
      </c>
      <c r="AP800" s="59">
        <v>0</v>
      </c>
    </row>
    <row r="801" spans="1:42" ht="93" customHeight="1" x14ac:dyDescent="0.25">
      <c r="A801" s="62" t="s">
        <v>88</v>
      </c>
      <c r="B801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801" s="64" t="s">
        <v>89</v>
      </c>
      <c r="D801" s="64" t="s">
        <v>80</v>
      </c>
      <c r="E801" s="64" t="s">
        <v>81</v>
      </c>
      <c r="F801" s="64" t="s">
        <v>101</v>
      </c>
      <c r="G801" s="64" t="s">
        <v>98</v>
      </c>
      <c r="H801" s="65" t="str">
        <f>VLOOKUP(Tabla6[[#This Row],[DIRECCIÓN]],DIRECCIÓN[#All],2,0)</f>
        <v>OPERACIONES</v>
      </c>
      <c r="I801" s="66" t="s">
        <v>93</v>
      </c>
      <c r="J801" s="67">
        <v>1</v>
      </c>
      <c r="K801" s="68" t="str">
        <f>VLOOKUP(Tabla6[[#This Row],[DIRECCIÓN GENERAL / COORDINACIÓN / SUBDIRECCIÓN]],Tabla37[[#All],[Columna1]:[EOD]],2,0)</f>
        <v>266_0005</v>
      </c>
      <c r="L801" s="69">
        <f>VLOOKUP(Tabla6[[#This Row],[OBJETIVOS PND]],Listas!$A$1:$C$3,3,0)</f>
        <v>55</v>
      </c>
      <c r="M801" s="70">
        <f>VLOOKUP(Tabla6[[#This Row],[PG]],Listas2!$G$14:$K$16,5,0)</f>
        <v>0</v>
      </c>
      <c r="N801" s="71" t="s">
        <v>776</v>
      </c>
      <c r="O801" s="72">
        <v>1200</v>
      </c>
      <c r="P801" s="73" t="str">
        <f>VLOOKUP(Tabla6[[#This Row],[GEO]],Listas!$A$48:$B$77,2,0)</f>
        <v>BABAHOYO</v>
      </c>
      <c r="Q801" s="70">
        <f>VLOOKUP(Tabla6[[#This Row],[PG]],Listas2!$G$14:$K$16,3,0)</f>
        <v>1</v>
      </c>
      <c r="R801" s="73">
        <f>VLOOKUP(Tabla6[[#This Row],[PG]],Listas2!H806:'Listas2'!$G$14:$K$16,4,0)</f>
        <v>0</v>
      </c>
      <c r="S801" s="73">
        <f>VLOOKUP(Tabla6[[#This Row],[PG]],Listas2!$G$14:$K$16,2,0)</f>
        <v>0</v>
      </c>
      <c r="T801" s="66" t="s">
        <v>84</v>
      </c>
      <c r="U801" s="74">
        <v>51</v>
      </c>
      <c r="V801" s="66">
        <v>510105</v>
      </c>
      <c r="W801" s="63" t="str">
        <f>VLOOKUP(Tabla6[[#This Row],[ÍTEM PRESUPUESTARIO]],Tabla2[#All],2,0)</f>
        <v>REMUNERACIONES UNIFICADAS</v>
      </c>
      <c r="X801" s="57">
        <v>589080</v>
      </c>
      <c r="Y801" s="57">
        <f>589080+8265.2-62.6-7082.13</f>
        <v>590200.47</v>
      </c>
      <c r="Z801" s="58">
        <v>49090</v>
      </c>
      <c r="AA801" s="58">
        <v>49090</v>
      </c>
      <c r="AB801" s="58">
        <v>49090</v>
      </c>
      <c r="AC801" s="58">
        <v>49090</v>
      </c>
      <c r="AD801" s="58">
        <v>49090</v>
      </c>
      <c r="AE801" s="58">
        <v>49090</v>
      </c>
      <c r="AF801" s="58">
        <v>49090</v>
      </c>
      <c r="AG801" s="58">
        <v>49090</v>
      </c>
      <c r="AH801" s="58">
        <v>49090</v>
      </c>
      <c r="AI801" s="58">
        <v>49090</v>
      </c>
      <c r="AJ801" s="58">
        <v>49090</v>
      </c>
      <c r="AK801" s="58">
        <v>50210.47</v>
      </c>
      <c r="AL801" s="75">
        <f>+SUBTOTAL(9,Tabla6[[#This Row],[ENE]:[DIC]])</f>
        <v>590200.47</v>
      </c>
      <c r="AM801" s="76" t="str">
        <f t="shared" si="16"/>
        <v>OK</v>
      </c>
      <c r="AN801" s="60">
        <v>0</v>
      </c>
      <c r="AO801" s="61">
        <f>+Tabla6[[#This Row],[PRESUPUESTO VIGENTE]]-Tabla6[[#This Row],[CERTIFICACIÓN PAPP]]</f>
        <v>590200.47</v>
      </c>
      <c r="AP801" s="59">
        <v>0</v>
      </c>
    </row>
    <row r="802" spans="1:42" ht="93" customHeight="1" x14ac:dyDescent="0.25">
      <c r="A802" s="62" t="s">
        <v>88</v>
      </c>
      <c r="B802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802" s="64" t="s">
        <v>89</v>
      </c>
      <c r="D802" s="64" t="s">
        <v>80</v>
      </c>
      <c r="E802" s="64" t="s">
        <v>81</v>
      </c>
      <c r="F802" s="64" t="s">
        <v>101</v>
      </c>
      <c r="G802" s="64" t="s">
        <v>98</v>
      </c>
      <c r="H802" s="65" t="str">
        <f>VLOOKUP(Tabla6[[#This Row],[DIRECCIÓN]],DIRECCIÓN[#All],2,0)</f>
        <v>OPERACIONES</v>
      </c>
      <c r="I802" s="66" t="s">
        <v>93</v>
      </c>
      <c r="J802" s="67">
        <v>1</v>
      </c>
      <c r="K802" s="68" t="str">
        <f>VLOOKUP(Tabla6[[#This Row],[DIRECCIÓN GENERAL / COORDINACIÓN / SUBDIRECCIÓN]],Tabla37[[#All],[Columna1]:[EOD]],2,0)</f>
        <v>266_0005</v>
      </c>
      <c r="L802" s="69">
        <f>VLOOKUP(Tabla6[[#This Row],[OBJETIVOS PND]],Listas!$A$1:$C$3,3,0)</f>
        <v>55</v>
      </c>
      <c r="M802" s="70">
        <f>VLOOKUP(Tabla6[[#This Row],[PG]],Listas2!$G$14:$K$16,5,0)</f>
        <v>0</v>
      </c>
      <c r="N802" s="71" t="s">
        <v>776</v>
      </c>
      <c r="O802" s="72">
        <v>1200</v>
      </c>
      <c r="P802" s="73" t="str">
        <f>VLOOKUP(Tabla6[[#This Row],[GEO]],Listas!$A$48:$B$77,2,0)</f>
        <v>BABAHOYO</v>
      </c>
      <c r="Q802" s="70">
        <f>VLOOKUP(Tabla6[[#This Row],[PG]],Listas2!$G$14:$K$16,3,0)</f>
        <v>1</v>
      </c>
      <c r="R802" s="73">
        <f>VLOOKUP(Tabla6[[#This Row],[PG]],Listas2!H807:'Listas2'!$G$14:$K$16,4,0)</f>
        <v>0</v>
      </c>
      <c r="S802" s="73">
        <f>VLOOKUP(Tabla6[[#This Row],[PG]],Listas2!$G$14:$K$16,2,0)</f>
        <v>0</v>
      </c>
      <c r="T802" s="66" t="s">
        <v>84</v>
      </c>
      <c r="U802" s="74">
        <v>51</v>
      </c>
      <c r="V802" s="66">
        <v>510203</v>
      </c>
      <c r="W802" s="63" t="str">
        <f>VLOOKUP(Tabla6[[#This Row],[ÍTEM PRESUPUESTARIO]],Tabla2[#All],2,0)</f>
        <v>DÉCIMO TERCER SUELDO</v>
      </c>
      <c r="X802" s="57">
        <v>56899</v>
      </c>
      <c r="Y802" s="57">
        <f>56899+678-128.26+456.12-1050.46</f>
        <v>56854.400000000001</v>
      </c>
      <c r="Z802" s="58">
        <v>0</v>
      </c>
      <c r="AA802" s="58">
        <v>0</v>
      </c>
      <c r="AB802" s="58">
        <v>0</v>
      </c>
      <c r="AC802" s="58">
        <v>0</v>
      </c>
      <c r="AD802" s="58">
        <v>0</v>
      </c>
      <c r="AE802" s="58">
        <v>0</v>
      </c>
      <c r="AF802" s="58">
        <v>0</v>
      </c>
      <c r="AG802" s="58">
        <v>0</v>
      </c>
      <c r="AH802" s="58">
        <v>0</v>
      </c>
      <c r="AI802" s="58">
        <v>0</v>
      </c>
      <c r="AJ802" s="58">
        <v>0</v>
      </c>
      <c r="AK802" s="58">
        <v>56854.400000000001</v>
      </c>
      <c r="AL802" s="75">
        <f>+SUBTOTAL(9,Tabla6[[#This Row],[ENE]:[DIC]])</f>
        <v>56854.400000000001</v>
      </c>
      <c r="AM802" s="76" t="str">
        <f t="shared" si="16"/>
        <v>OK</v>
      </c>
      <c r="AN802" s="60">
        <v>0</v>
      </c>
      <c r="AO802" s="61">
        <f>+Tabla6[[#This Row],[PRESUPUESTO VIGENTE]]-Tabla6[[#This Row],[CERTIFICACIÓN PAPP]]</f>
        <v>56854.400000000001</v>
      </c>
      <c r="AP802" s="59">
        <v>0</v>
      </c>
    </row>
    <row r="803" spans="1:42" ht="93" customHeight="1" x14ac:dyDescent="0.25">
      <c r="A803" s="62" t="s">
        <v>88</v>
      </c>
      <c r="B803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803" s="64" t="s">
        <v>89</v>
      </c>
      <c r="D803" s="64" t="s">
        <v>80</v>
      </c>
      <c r="E803" s="64" t="s">
        <v>81</v>
      </c>
      <c r="F803" s="64" t="s">
        <v>101</v>
      </c>
      <c r="G803" s="64" t="s">
        <v>98</v>
      </c>
      <c r="H803" s="65" t="str">
        <f>VLOOKUP(Tabla6[[#This Row],[DIRECCIÓN]],DIRECCIÓN[#All],2,0)</f>
        <v>OPERACIONES</v>
      </c>
      <c r="I803" s="66" t="s">
        <v>93</v>
      </c>
      <c r="J803" s="67">
        <v>1</v>
      </c>
      <c r="K803" s="68" t="str">
        <f>VLOOKUP(Tabla6[[#This Row],[DIRECCIÓN GENERAL / COORDINACIÓN / SUBDIRECCIÓN]],Tabla37[[#All],[Columna1]:[EOD]],2,0)</f>
        <v>266_0005</v>
      </c>
      <c r="L803" s="69">
        <f>VLOOKUP(Tabla6[[#This Row],[OBJETIVOS PND]],Listas!$A$1:$C$3,3,0)</f>
        <v>55</v>
      </c>
      <c r="M803" s="70">
        <f>VLOOKUP(Tabla6[[#This Row],[PG]],Listas2!$G$14:$K$16,5,0)</f>
        <v>0</v>
      </c>
      <c r="N803" s="71" t="s">
        <v>776</v>
      </c>
      <c r="O803" s="72">
        <v>1200</v>
      </c>
      <c r="P803" s="73" t="str">
        <f>VLOOKUP(Tabla6[[#This Row],[GEO]],Listas!$A$48:$B$77,2,0)</f>
        <v>BABAHOYO</v>
      </c>
      <c r="Q803" s="70">
        <f>VLOOKUP(Tabla6[[#This Row],[PG]],Listas2!$G$14:$K$16,3,0)</f>
        <v>1</v>
      </c>
      <c r="R803" s="73">
        <f>VLOOKUP(Tabla6[[#This Row],[PG]],Listas2!H808:'Listas2'!$G$14:$K$16,4,0)</f>
        <v>0</v>
      </c>
      <c r="S803" s="73">
        <f>VLOOKUP(Tabla6[[#This Row],[PG]],Listas2!$G$14:$K$16,2,0)</f>
        <v>0</v>
      </c>
      <c r="T803" s="66" t="s">
        <v>84</v>
      </c>
      <c r="U803" s="74">
        <v>51</v>
      </c>
      <c r="V803" s="66">
        <v>510204</v>
      </c>
      <c r="W803" s="63" t="str">
        <f>VLOOKUP(Tabla6[[#This Row],[ÍTEM PRESUPUESTARIO]],Tabla2[#All],2,0)</f>
        <v>DÉCIMO CUARTO SUELDO</v>
      </c>
      <c r="X803" s="57">
        <v>31950</v>
      </c>
      <c r="Y803" s="57">
        <f>31950-1466.78-389.17</f>
        <v>30094.050000000003</v>
      </c>
      <c r="Z803" s="58">
        <v>0</v>
      </c>
      <c r="AA803" s="58">
        <v>0</v>
      </c>
      <c r="AB803" s="58">
        <v>0</v>
      </c>
      <c r="AC803" s="58">
        <v>30094.05</v>
      </c>
      <c r="AD803" s="58">
        <v>0</v>
      </c>
      <c r="AE803" s="58">
        <v>0</v>
      </c>
      <c r="AF803" s="58">
        <v>0</v>
      </c>
      <c r="AG803" s="58">
        <v>0</v>
      </c>
      <c r="AH803" s="58">
        <v>0</v>
      </c>
      <c r="AI803" s="58">
        <v>0</v>
      </c>
      <c r="AJ803" s="58">
        <v>0</v>
      </c>
      <c r="AK803" s="58">
        <v>0</v>
      </c>
      <c r="AL803" s="75">
        <f>+SUBTOTAL(9,Tabla6[[#This Row],[ENE]:[DIC]])</f>
        <v>30094.05</v>
      </c>
      <c r="AM803" s="76" t="str">
        <f t="shared" si="16"/>
        <v>OK</v>
      </c>
      <c r="AN803" s="60">
        <v>0</v>
      </c>
      <c r="AO803" s="61">
        <f>+Tabla6[[#This Row],[PRESUPUESTO VIGENTE]]-Tabla6[[#This Row],[CERTIFICACIÓN PAPP]]</f>
        <v>30094.050000000003</v>
      </c>
      <c r="AP803" s="59">
        <v>0</v>
      </c>
    </row>
    <row r="804" spans="1:42" ht="93" customHeight="1" x14ac:dyDescent="0.25">
      <c r="A804" s="62" t="s">
        <v>88</v>
      </c>
      <c r="B804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804" s="64" t="s">
        <v>89</v>
      </c>
      <c r="D804" s="64" t="s">
        <v>80</v>
      </c>
      <c r="E804" s="64" t="s">
        <v>81</v>
      </c>
      <c r="F804" s="64" t="s">
        <v>101</v>
      </c>
      <c r="G804" s="64" t="s">
        <v>98</v>
      </c>
      <c r="H804" s="65" t="str">
        <f>VLOOKUP(Tabla6[[#This Row],[DIRECCIÓN]],DIRECCIÓN[#All],2,0)</f>
        <v>OPERACIONES</v>
      </c>
      <c r="I804" s="66" t="s">
        <v>93</v>
      </c>
      <c r="J804" s="67">
        <v>1</v>
      </c>
      <c r="K804" s="68" t="str">
        <f>VLOOKUP(Tabla6[[#This Row],[DIRECCIÓN GENERAL / COORDINACIÓN / SUBDIRECCIÓN]],Tabla37[[#All],[Columna1]:[EOD]],2,0)</f>
        <v>266_0005</v>
      </c>
      <c r="L804" s="69">
        <f>VLOOKUP(Tabla6[[#This Row],[OBJETIVOS PND]],Listas!$A$1:$C$3,3,0)</f>
        <v>55</v>
      </c>
      <c r="M804" s="70">
        <f>VLOOKUP(Tabla6[[#This Row],[PG]],Listas2!$G$14:$K$16,5,0)</f>
        <v>0</v>
      </c>
      <c r="N804" s="71" t="s">
        <v>776</v>
      </c>
      <c r="O804" s="72">
        <v>1200</v>
      </c>
      <c r="P804" s="73" t="str">
        <f>VLOOKUP(Tabla6[[#This Row],[GEO]],Listas!$A$48:$B$77,2,0)</f>
        <v>BABAHOYO</v>
      </c>
      <c r="Q804" s="70">
        <f>VLOOKUP(Tabla6[[#This Row],[PG]],Listas2!$G$14:$K$16,3,0)</f>
        <v>1</v>
      </c>
      <c r="R804" s="73">
        <f>VLOOKUP(Tabla6[[#This Row],[PG]],Listas2!H809:'Listas2'!$G$14:$K$16,4,0)</f>
        <v>0</v>
      </c>
      <c r="S804" s="73">
        <f>VLOOKUP(Tabla6[[#This Row],[PG]],Listas2!$G$14:$K$16,2,0)</f>
        <v>0</v>
      </c>
      <c r="T804" s="66" t="s">
        <v>84</v>
      </c>
      <c r="U804" s="74">
        <v>51</v>
      </c>
      <c r="V804" s="66">
        <v>510510</v>
      </c>
      <c r="W804" s="63" t="str">
        <f>VLOOKUP(Tabla6[[#This Row],[ÍTEM PRESUPUESTARIO]],Tabla2[#All],2,0)</f>
        <v>SERVICIOS PERSONALES POR CONTRATO</v>
      </c>
      <c r="X804" s="57">
        <v>93708</v>
      </c>
      <c r="Y804" s="57">
        <f>93708-2932</f>
        <v>90776</v>
      </c>
      <c r="Z804" s="58">
        <v>7809</v>
      </c>
      <c r="AA804" s="58">
        <v>7809</v>
      </c>
      <c r="AB804" s="58">
        <v>7809</v>
      </c>
      <c r="AC804" s="58">
        <v>7809</v>
      </c>
      <c r="AD804" s="58">
        <v>7809</v>
      </c>
      <c r="AE804" s="58">
        <v>7809</v>
      </c>
      <c r="AF804" s="58">
        <v>7809</v>
      </c>
      <c r="AG804" s="58">
        <v>7809</v>
      </c>
      <c r="AH804" s="58">
        <v>7809</v>
      </c>
      <c r="AI804" s="58">
        <v>7809</v>
      </c>
      <c r="AJ804" s="58">
        <v>7809</v>
      </c>
      <c r="AK804" s="58">
        <v>4877</v>
      </c>
      <c r="AL804" s="75">
        <f>+SUBTOTAL(9,Tabla6[[#This Row],[ENE]:[DIC]])</f>
        <v>90776</v>
      </c>
      <c r="AM804" s="76" t="str">
        <f t="shared" si="16"/>
        <v>OK</v>
      </c>
      <c r="AN804" s="60">
        <v>0</v>
      </c>
      <c r="AO804" s="61">
        <f>+Tabla6[[#This Row],[PRESUPUESTO VIGENTE]]-Tabla6[[#This Row],[CERTIFICACIÓN PAPP]]</f>
        <v>90776</v>
      </c>
      <c r="AP804" s="59">
        <v>0</v>
      </c>
    </row>
    <row r="805" spans="1:42" ht="93" customHeight="1" x14ac:dyDescent="0.25">
      <c r="A805" s="62" t="s">
        <v>88</v>
      </c>
      <c r="B805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805" s="64" t="s">
        <v>89</v>
      </c>
      <c r="D805" s="64" t="s">
        <v>80</v>
      </c>
      <c r="E805" s="64" t="s">
        <v>81</v>
      </c>
      <c r="F805" s="64" t="s">
        <v>101</v>
      </c>
      <c r="G805" s="64" t="s">
        <v>98</v>
      </c>
      <c r="H805" s="65" t="str">
        <f>VLOOKUP(Tabla6[[#This Row],[DIRECCIÓN]],DIRECCIÓN[#All],2,0)</f>
        <v>OPERACIONES</v>
      </c>
      <c r="I805" s="66" t="s">
        <v>960</v>
      </c>
      <c r="J805" s="67">
        <v>1</v>
      </c>
      <c r="K805" s="68" t="str">
        <f>VLOOKUP(Tabla6[[#This Row],[DIRECCIÓN GENERAL / COORDINACIÓN / SUBDIRECCIÓN]],Tabla37[[#All],[Columna1]:[EOD]],2,0)</f>
        <v>266_0005</v>
      </c>
      <c r="L805" s="69">
        <f>VLOOKUP(Tabla6[[#This Row],[OBJETIVOS PND]],Listas!$A$1:$C$3,3,0)</f>
        <v>55</v>
      </c>
      <c r="M805" s="70">
        <f>VLOOKUP(Tabla6[[#This Row],[PG]],Listas2!$G$14:$K$16,5,0)</f>
        <v>0</v>
      </c>
      <c r="N805" s="71">
        <v>2</v>
      </c>
      <c r="O805" s="72">
        <v>1200</v>
      </c>
      <c r="P805" s="73" t="str">
        <f>VLOOKUP(Tabla6[[#This Row],[GEO]],Listas!$A$48:$B$77,2,0)</f>
        <v>BABAHOYO</v>
      </c>
      <c r="Q805" s="70">
        <f>VLOOKUP(Tabla6[[#This Row],[PG]],Listas2!$G$14:$K$16,3,0)</f>
        <v>1</v>
      </c>
      <c r="R805" s="73">
        <f>VLOOKUP(Tabla6[[#This Row],[PG]],Listas2!H810:'Listas2'!$G$14:$K$16,4,0)</f>
        <v>0</v>
      </c>
      <c r="S805" s="73">
        <f>VLOOKUP(Tabla6[[#This Row],[PG]],Listas2!$G$14:$K$16,2,0)</f>
        <v>0</v>
      </c>
      <c r="T805" s="66" t="s">
        <v>84</v>
      </c>
      <c r="U805" s="74">
        <v>51</v>
      </c>
      <c r="V805" s="66">
        <v>510512</v>
      </c>
      <c r="W805" s="63" t="str">
        <f>VLOOKUP(Tabla6[[#This Row],[ÍTEM PRESUPUESTARIO]],Tabla2[#All],2,0)</f>
        <v xml:space="preserve">SUBROGACIÓN </v>
      </c>
      <c r="X805" s="57">
        <v>0</v>
      </c>
      <c r="Y805" s="57">
        <f>231+440+369.53-2.53</f>
        <v>1038</v>
      </c>
      <c r="Z805" s="58">
        <v>0</v>
      </c>
      <c r="AA805" s="58">
        <v>0</v>
      </c>
      <c r="AB805" s="58">
        <v>0</v>
      </c>
      <c r="AC805" s="58">
        <v>231</v>
      </c>
      <c r="AD805" s="58">
        <v>0</v>
      </c>
      <c r="AE805" s="58">
        <v>440</v>
      </c>
      <c r="AF805" s="58">
        <v>0</v>
      </c>
      <c r="AG805" s="58">
        <v>0</v>
      </c>
      <c r="AH805" s="58">
        <v>0</v>
      </c>
      <c r="AI805" s="58">
        <v>0</v>
      </c>
      <c r="AJ805" s="58">
        <v>367</v>
      </c>
      <c r="AK805" s="58">
        <v>0</v>
      </c>
      <c r="AL805" s="75">
        <f>+SUBTOTAL(9,Tabla6[[#This Row],[ENE]:[DIC]])</f>
        <v>1038</v>
      </c>
      <c r="AM805" s="76" t="str">
        <f t="shared" si="16"/>
        <v>OK</v>
      </c>
      <c r="AN805" s="60">
        <v>0</v>
      </c>
      <c r="AO805" s="61">
        <f>+Tabla6[[#This Row],[PRESUPUESTO VIGENTE]]-Tabla6[[#This Row],[CERTIFICACIÓN PAPP]]</f>
        <v>1038</v>
      </c>
      <c r="AP805" s="59">
        <v>0</v>
      </c>
    </row>
    <row r="806" spans="1:42" ht="93" customHeight="1" x14ac:dyDescent="0.25">
      <c r="A806" s="62" t="s">
        <v>88</v>
      </c>
      <c r="B806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806" s="64" t="s">
        <v>89</v>
      </c>
      <c r="D806" s="64" t="s">
        <v>80</v>
      </c>
      <c r="E806" s="64" t="s">
        <v>81</v>
      </c>
      <c r="F806" s="64" t="s">
        <v>101</v>
      </c>
      <c r="G806" s="64" t="s">
        <v>98</v>
      </c>
      <c r="H806" s="65" t="str">
        <f>VLOOKUP(Tabla6[[#This Row],[DIRECCIÓN]],DIRECCIÓN[#All],2,0)</f>
        <v>OPERACIONES</v>
      </c>
      <c r="I806" s="66" t="s">
        <v>104</v>
      </c>
      <c r="J806" s="67">
        <v>1</v>
      </c>
      <c r="K806" s="68" t="str">
        <f>VLOOKUP(Tabla6[[#This Row],[DIRECCIÓN GENERAL / COORDINACIÓN / SUBDIRECCIÓN]],Tabla37[[#All],[Columna1]:[EOD]],2,0)</f>
        <v>266_0005</v>
      </c>
      <c r="L806" s="69">
        <f>VLOOKUP(Tabla6[[#This Row],[OBJETIVOS PND]],Listas!$A$1:$C$3,3,0)</f>
        <v>55</v>
      </c>
      <c r="M806" s="70">
        <f>VLOOKUP(Tabla6[[#This Row],[PG]],Listas2!$G$14:$K$16,5,0)</f>
        <v>0</v>
      </c>
      <c r="N806" s="71">
        <v>2</v>
      </c>
      <c r="O806" s="72">
        <v>1200</v>
      </c>
      <c r="P806" s="73" t="str">
        <f>VLOOKUP(Tabla6[[#This Row],[GEO]],Listas!$A$48:$B$77,2,0)</f>
        <v>BABAHOYO</v>
      </c>
      <c r="Q806" s="70">
        <f>VLOOKUP(Tabla6[[#This Row],[PG]],Listas2!$G$14:$K$16,3,0)</f>
        <v>1</v>
      </c>
      <c r="R806" s="73">
        <f>VLOOKUP(Tabla6[[#This Row],[PG]],Listas2!H811:'Listas2'!$G$14:$K$16,4,0)</f>
        <v>0</v>
      </c>
      <c r="S806" s="73">
        <f>VLOOKUP(Tabla6[[#This Row],[PG]],Listas2!$G$14:$K$16,2,0)</f>
        <v>0</v>
      </c>
      <c r="T806" s="66" t="s">
        <v>84</v>
      </c>
      <c r="U806" s="74">
        <v>51</v>
      </c>
      <c r="V806" s="66">
        <v>510513</v>
      </c>
      <c r="W806" s="63" t="str">
        <f>VLOOKUP(Tabla6[[#This Row],[ÍTEM PRESUPUESTARIO]],Tabla2[#All],2,0)</f>
        <v>ENCARGOS</v>
      </c>
      <c r="X806" s="57">
        <v>0</v>
      </c>
      <c r="Y806" s="57">
        <f>75-5.8</f>
        <v>69.2</v>
      </c>
      <c r="Z806" s="58">
        <v>0</v>
      </c>
      <c r="AA806" s="58">
        <v>0</v>
      </c>
      <c r="AB806" s="58">
        <v>0</v>
      </c>
      <c r="AC806" s="58">
        <v>0</v>
      </c>
      <c r="AD806" s="58">
        <v>0</v>
      </c>
      <c r="AE806" s="58">
        <v>69.2</v>
      </c>
      <c r="AF806" s="58">
        <v>0</v>
      </c>
      <c r="AG806" s="58">
        <v>0</v>
      </c>
      <c r="AH806" s="58">
        <v>0</v>
      </c>
      <c r="AI806" s="58">
        <v>0</v>
      </c>
      <c r="AJ806" s="58">
        <v>0</v>
      </c>
      <c r="AK806" s="58">
        <v>0</v>
      </c>
      <c r="AL806" s="75">
        <f>+SUBTOTAL(9,Tabla6[[#This Row],[ENE]:[DIC]])</f>
        <v>69.2</v>
      </c>
      <c r="AM806" s="76" t="str">
        <f t="shared" si="16"/>
        <v>OK</v>
      </c>
      <c r="AN806" s="60">
        <v>0</v>
      </c>
      <c r="AO806" s="61">
        <f>+Tabla6[[#This Row],[PRESUPUESTO VIGENTE]]-Tabla6[[#This Row],[CERTIFICACIÓN PAPP]]</f>
        <v>69.2</v>
      </c>
      <c r="AP806" s="59">
        <v>0</v>
      </c>
    </row>
    <row r="807" spans="1:42" ht="93" customHeight="1" x14ac:dyDescent="0.25">
      <c r="A807" s="62" t="s">
        <v>88</v>
      </c>
      <c r="B807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807" s="64" t="s">
        <v>89</v>
      </c>
      <c r="D807" s="64" t="s">
        <v>80</v>
      </c>
      <c r="E807" s="64" t="s">
        <v>81</v>
      </c>
      <c r="F807" s="64" t="s">
        <v>101</v>
      </c>
      <c r="G807" s="64" t="s">
        <v>98</v>
      </c>
      <c r="H807" s="65" t="str">
        <f>VLOOKUP(Tabla6[[#This Row],[DIRECCIÓN]],DIRECCIÓN[#All],2,0)</f>
        <v>OPERACIONES</v>
      </c>
      <c r="I807" s="66" t="s">
        <v>93</v>
      </c>
      <c r="J807" s="67">
        <v>1</v>
      </c>
      <c r="K807" s="68" t="str">
        <f>VLOOKUP(Tabla6[[#This Row],[DIRECCIÓN GENERAL / COORDINACIÓN / SUBDIRECCIÓN]],Tabla37[[#All],[Columna1]:[EOD]],2,0)</f>
        <v>266_0005</v>
      </c>
      <c r="L807" s="69">
        <f>VLOOKUP(Tabla6[[#This Row],[OBJETIVOS PND]],Listas!$A$1:$C$3,3,0)</f>
        <v>55</v>
      </c>
      <c r="M807" s="70">
        <f>VLOOKUP(Tabla6[[#This Row],[PG]],Listas2!$G$14:$K$16,5,0)</f>
        <v>0</v>
      </c>
      <c r="N807" s="71" t="s">
        <v>776</v>
      </c>
      <c r="O807" s="72">
        <v>1200</v>
      </c>
      <c r="P807" s="73" t="str">
        <f>VLOOKUP(Tabla6[[#This Row],[GEO]],Listas!$A$48:$B$77,2,0)</f>
        <v>BABAHOYO</v>
      </c>
      <c r="Q807" s="70">
        <f>VLOOKUP(Tabla6[[#This Row],[PG]],Listas2!$G$14:$K$16,3,0)</f>
        <v>1</v>
      </c>
      <c r="R807" s="73">
        <f>VLOOKUP(Tabla6[[#This Row],[PG]],Listas2!H812:'Listas2'!$G$14:$K$16,4,0)</f>
        <v>0</v>
      </c>
      <c r="S807" s="73">
        <f>VLOOKUP(Tabla6[[#This Row],[PG]],Listas2!$G$14:$K$16,2,0)</f>
        <v>0</v>
      </c>
      <c r="T807" s="66" t="s">
        <v>84</v>
      </c>
      <c r="U807" s="74">
        <v>51</v>
      </c>
      <c r="V807" s="66">
        <v>510601</v>
      </c>
      <c r="W807" s="63" t="str">
        <f>VLOOKUP(Tabla6[[#This Row],[ÍTEM PRESUPUESTARIO]],Tabla2[#All],2,0)</f>
        <v>APORTE PATRONAL</v>
      </c>
      <c r="X807" s="57">
        <v>65890</v>
      </c>
      <c r="Y807" s="57">
        <f>65890+900-301.73-440-786.91+563.73</f>
        <v>65825.09</v>
      </c>
      <c r="Z807" s="58">
        <v>4703.09</v>
      </c>
      <c r="AA807" s="58">
        <v>5490</v>
      </c>
      <c r="AB807" s="58">
        <v>5491</v>
      </c>
      <c r="AC807" s="58">
        <v>5491</v>
      </c>
      <c r="AD807" s="58">
        <v>5491</v>
      </c>
      <c r="AE807" s="58">
        <v>5491</v>
      </c>
      <c r="AF807" s="58">
        <v>5491</v>
      </c>
      <c r="AG807" s="58">
        <v>5491</v>
      </c>
      <c r="AH807" s="58">
        <v>5491</v>
      </c>
      <c r="AI807" s="58">
        <v>5491</v>
      </c>
      <c r="AJ807" s="58">
        <v>5491</v>
      </c>
      <c r="AK807" s="58">
        <v>6213</v>
      </c>
      <c r="AL807" s="75">
        <f>+SUBTOTAL(9,Tabla6[[#This Row],[ENE]:[DIC]])</f>
        <v>65825.09</v>
      </c>
      <c r="AM807" s="76" t="str">
        <f t="shared" si="16"/>
        <v>OK</v>
      </c>
      <c r="AN807" s="60">
        <v>0</v>
      </c>
      <c r="AO807" s="61">
        <f>+Tabla6[[#This Row],[PRESUPUESTO VIGENTE]]-Tabla6[[#This Row],[CERTIFICACIÓN PAPP]]</f>
        <v>65825.09</v>
      </c>
      <c r="AP807" s="59">
        <v>0</v>
      </c>
    </row>
    <row r="808" spans="1:42" ht="93" customHeight="1" x14ac:dyDescent="0.25">
      <c r="A808" s="62" t="s">
        <v>88</v>
      </c>
      <c r="B808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808" s="64" t="s">
        <v>89</v>
      </c>
      <c r="D808" s="64" t="s">
        <v>80</v>
      </c>
      <c r="E808" s="64" t="s">
        <v>81</v>
      </c>
      <c r="F808" s="64" t="s">
        <v>101</v>
      </c>
      <c r="G808" s="64" t="s">
        <v>98</v>
      </c>
      <c r="H808" s="65" t="str">
        <f>VLOOKUP(Tabla6[[#This Row],[DIRECCIÓN]],DIRECCIÓN[#All],2,0)</f>
        <v>OPERACIONES</v>
      </c>
      <c r="I808" s="66" t="s">
        <v>93</v>
      </c>
      <c r="J808" s="67">
        <v>1</v>
      </c>
      <c r="K808" s="68" t="str">
        <f>VLOOKUP(Tabla6[[#This Row],[DIRECCIÓN GENERAL / COORDINACIÓN / SUBDIRECCIÓN]],Tabla37[[#All],[Columna1]:[EOD]],2,0)</f>
        <v>266_0005</v>
      </c>
      <c r="L808" s="69">
        <f>VLOOKUP(Tabla6[[#This Row],[OBJETIVOS PND]],Listas!$A$1:$C$3,3,0)</f>
        <v>55</v>
      </c>
      <c r="M808" s="70">
        <f>VLOOKUP(Tabla6[[#This Row],[PG]],Listas2!$G$14:$K$16,5,0)</f>
        <v>0</v>
      </c>
      <c r="N808" s="71" t="s">
        <v>776</v>
      </c>
      <c r="O808" s="72">
        <v>1200</v>
      </c>
      <c r="P808" s="73" t="str">
        <f>VLOOKUP(Tabla6[[#This Row],[GEO]],Listas!$A$48:$B$77,2,0)</f>
        <v>BABAHOYO</v>
      </c>
      <c r="Q808" s="70">
        <f>VLOOKUP(Tabla6[[#This Row],[PG]],Listas2!$G$14:$K$16,3,0)</f>
        <v>1</v>
      </c>
      <c r="R808" s="73">
        <f>VLOOKUP(Tabla6[[#This Row],[PG]],Listas2!H813:'Listas2'!$G$14:$K$16,4,0)</f>
        <v>0</v>
      </c>
      <c r="S808" s="73">
        <f>VLOOKUP(Tabla6[[#This Row],[PG]],Listas2!$G$14:$K$16,2,0)</f>
        <v>0</v>
      </c>
      <c r="T808" s="66" t="s">
        <v>84</v>
      </c>
      <c r="U808" s="74">
        <v>51</v>
      </c>
      <c r="V808" s="66">
        <v>510602</v>
      </c>
      <c r="W808" s="63" t="str">
        <f>VLOOKUP(Tabla6[[#This Row],[ÍTEM PRESUPUESTARIO]],Tabla2[#All],2,0)</f>
        <v>FONDO DE RESERVA</v>
      </c>
      <c r="X808" s="57">
        <v>56877</v>
      </c>
      <c r="Y808" s="57">
        <f>56877-3262.87-246.67+155-499.24</f>
        <v>53023.22</v>
      </c>
      <c r="Z808" s="58">
        <v>4740</v>
      </c>
      <c r="AA808" s="58">
        <v>4740</v>
      </c>
      <c r="AB808" s="58">
        <v>4740</v>
      </c>
      <c r="AC808" s="58">
        <v>4740</v>
      </c>
      <c r="AD808" s="58">
        <v>4740</v>
      </c>
      <c r="AE808" s="58">
        <v>4740</v>
      </c>
      <c r="AF808" s="58">
        <v>4740</v>
      </c>
      <c r="AG808" s="58">
        <v>4740</v>
      </c>
      <c r="AH808" s="58">
        <v>4740</v>
      </c>
      <c r="AI808" s="58">
        <v>4739</v>
      </c>
      <c r="AJ808" s="58">
        <v>4739</v>
      </c>
      <c r="AK808" s="58">
        <v>885.22</v>
      </c>
      <c r="AL808" s="75">
        <f>+SUBTOTAL(9,Tabla6[[#This Row],[ENE]:[DIC]])</f>
        <v>53023.22</v>
      </c>
      <c r="AM808" s="76" t="str">
        <f t="shared" si="16"/>
        <v>OK</v>
      </c>
      <c r="AN808" s="60">
        <v>0</v>
      </c>
      <c r="AO808" s="61">
        <f>+Tabla6[[#This Row],[PRESUPUESTO VIGENTE]]-Tabla6[[#This Row],[CERTIFICACIÓN PAPP]]</f>
        <v>53023.22</v>
      </c>
      <c r="AP808" s="59">
        <v>0</v>
      </c>
    </row>
    <row r="809" spans="1:42" ht="93" customHeight="1" x14ac:dyDescent="0.25">
      <c r="A809" s="62" t="s">
        <v>88</v>
      </c>
      <c r="B809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809" s="64" t="s">
        <v>89</v>
      </c>
      <c r="D809" s="64" t="s">
        <v>80</v>
      </c>
      <c r="E809" s="64" t="s">
        <v>81</v>
      </c>
      <c r="F809" s="64" t="s">
        <v>101</v>
      </c>
      <c r="G809" s="64" t="s">
        <v>98</v>
      </c>
      <c r="H809" s="65" t="str">
        <f>VLOOKUP(Tabla6[[#This Row],[DIRECCIÓN]],DIRECCIÓN[#All],2,0)</f>
        <v>OPERACIONES</v>
      </c>
      <c r="I809" s="66" t="s">
        <v>961</v>
      </c>
      <c r="J809" s="67">
        <v>1</v>
      </c>
      <c r="K809" s="68" t="str">
        <f>VLOOKUP(Tabla6[[#This Row],[DIRECCIÓN GENERAL / COORDINACIÓN / SUBDIRECCIÓN]],Tabla37[[#All],[Columna1]:[EOD]],2,0)</f>
        <v>266_0005</v>
      </c>
      <c r="L809" s="69">
        <f>VLOOKUP(Tabla6[[#This Row],[OBJETIVOS PND]],Listas!$A$1:$C$3,3,0)</f>
        <v>55</v>
      </c>
      <c r="M809" s="70">
        <f>VLOOKUP(Tabla6[[#This Row],[PG]],Listas2!$G$14:$K$16,5,0)</f>
        <v>0</v>
      </c>
      <c r="N809" s="71">
        <v>2</v>
      </c>
      <c r="O809" s="72">
        <v>1200</v>
      </c>
      <c r="P809" s="73" t="str">
        <f>VLOOKUP(Tabla6[[#This Row],[GEO]],Listas!$A$48:$B$77,2,0)</f>
        <v>BABAHOYO</v>
      </c>
      <c r="Q809" s="70">
        <f>VLOOKUP(Tabla6[[#This Row],[PG]],Listas2!$G$14:$K$16,3,0)</f>
        <v>1</v>
      </c>
      <c r="R809" s="73">
        <f>VLOOKUP(Tabla6[[#This Row],[PG]],Listas2!H814:'Listas2'!$G$14:$K$16,4,0)</f>
        <v>0</v>
      </c>
      <c r="S809" s="73">
        <f>VLOOKUP(Tabla6[[#This Row],[PG]],Listas2!$G$14:$K$16,2,0)</f>
        <v>0</v>
      </c>
      <c r="T809" s="66" t="s">
        <v>84</v>
      </c>
      <c r="U809" s="74">
        <v>51</v>
      </c>
      <c r="V809" s="66">
        <v>510707</v>
      </c>
      <c r="W809" s="63" t="str">
        <f>VLOOKUP(Tabla6[[#This Row],[ÍTEM PRESUPUESTARIO]],Tabla2[#All],2,0)</f>
        <v>COMPENSACIÓN POR VACACIONES NO GOZADAS POR CESACIÓN DE FUNCIONES</v>
      </c>
      <c r="X809" s="57">
        <v>0</v>
      </c>
      <c r="Y809" s="57">
        <f>200-109.47</f>
        <v>90.53</v>
      </c>
      <c r="Z809" s="58">
        <v>0</v>
      </c>
      <c r="AA809" s="58">
        <v>0</v>
      </c>
      <c r="AB809" s="58">
        <v>0</v>
      </c>
      <c r="AC809" s="58">
        <v>0</v>
      </c>
      <c r="AD809" s="58">
        <v>0</v>
      </c>
      <c r="AE809" s="58">
        <v>0</v>
      </c>
      <c r="AF809" s="58">
        <v>90.53</v>
      </c>
      <c r="AG809" s="58">
        <v>0</v>
      </c>
      <c r="AH809" s="58">
        <v>0</v>
      </c>
      <c r="AI809" s="58">
        <v>0</v>
      </c>
      <c r="AJ809" s="58">
        <v>0</v>
      </c>
      <c r="AK809" s="58">
        <v>0</v>
      </c>
      <c r="AL809" s="75">
        <f>+SUBTOTAL(9,Tabla6[[#This Row],[ENE]:[DIC]])</f>
        <v>90.53</v>
      </c>
      <c r="AM809" s="76" t="str">
        <f t="shared" si="16"/>
        <v>OK</v>
      </c>
      <c r="AN809" s="60">
        <v>0</v>
      </c>
      <c r="AO809" s="61">
        <f>+Tabla6[[#This Row],[PRESUPUESTO VIGENTE]]-Tabla6[[#This Row],[CERTIFICACIÓN PAPP]]</f>
        <v>90.53</v>
      </c>
      <c r="AP809" s="59">
        <v>0</v>
      </c>
    </row>
    <row r="810" spans="1:42" ht="93" customHeight="1" x14ac:dyDescent="0.25">
      <c r="A810" s="62" t="s">
        <v>88</v>
      </c>
      <c r="B810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810" s="64" t="s">
        <v>89</v>
      </c>
      <c r="D810" s="64" t="s">
        <v>80</v>
      </c>
      <c r="E810" s="64" t="s">
        <v>81</v>
      </c>
      <c r="F810" s="64" t="s">
        <v>101</v>
      </c>
      <c r="G810" s="64" t="s">
        <v>98</v>
      </c>
      <c r="H810" s="65" t="str">
        <f>VLOOKUP(Tabla6[[#This Row],[DIRECCIÓN]],DIRECCIÓN[#All],2,0)</f>
        <v>OPERACIONES</v>
      </c>
      <c r="I810" s="66" t="s">
        <v>107</v>
      </c>
      <c r="J810" s="67">
        <v>1</v>
      </c>
      <c r="K810" s="68" t="str">
        <f>VLOOKUP(Tabla6[[#This Row],[DIRECCIÓN GENERAL / COORDINACIÓN / SUBDIRECCIÓN]],Tabla37[[#All],[Columna1]:[EOD]],2,0)</f>
        <v>266_0005</v>
      </c>
      <c r="L810" s="69">
        <f>VLOOKUP(Tabla6[[#This Row],[OBJETIVOS PND]],Listas!$A$1:$C$3,3,0)</f>
        <v>55</v>
      </c>
      <c r="M810" s="70">
        <f>VLOOKUP(Tabla6[[#This Row],[PG]],Listas2!$G$14:$K$16,5,0)</f>
        <v>0</v>
      </c>
      <c r="N810" s="71">
        <v>2</v>
      </c>
      <c r="O810" s="72">
        <v>1200</v>
      </c>
      <c r="P810" s="73" t="str">
        <f>VLOOKUP(Tabla6[[#This Row],[GEO]],Listas!$A$48:$B$77,2,0)</f>
        <v>BABAHOYO</v>
      </c>
      <c r="Q810" s="70">
        <f>VLOOKUP(Tabla6[[#This Row],[PG]],Listas2!$G$14:$K$16,3,0)</f>
        <v>1</v>
      </c>
      <c r="R810" s="73">
        <f>VLOOKUP(Tabla6[[#This Row],[PG]],Listas2!H815:'Listas2'!$G$14:$K$16,4,0)</f>
        <v>0</v>
      </c>
      <c r="S810" s="73">
        <f>VLOOKUP(Tabla6[[#This Row],[PG]],Listas2!$G$14:$K$16,2,0)</f>
        <v>0</v>
      </c>
      <c r="T810" s="66" t="s">
        <v>84</v>
      </c>
      <c r="U810" s="74">
        <v>99</v>
      </c>
      <c r="V810" s="66">
        <v>990101</v>
      </c>
      <c r="W810" s="63" t="str">
        <f>VLOOKUP(Tabla6[[#This Row],[ÍTEM PRESUPUESTARIO]],Tabla2[#All],2,0)</f>
        <v>OBLIGACIONES DE EJERCICIOS ANTERIORES POR EGRESOS DE PERSONAL</v>
      </c>
      <c r="X810" s="57">
        <v>0</v>
      </c>
      <c r="Y810" s="57">
        <f>31300+29520.98+8058.22+5600+14988.97+15300+15300-36.8</f>
        <v>120031.37</v>
      </c>
      <c r="Z810" s="58">
        <v>0</v>
      </c>
      <c r="AA810" s="58">
        <v>0</v>
      </c>
      <c r="AB810" s="58">
        <v>0</v>
      </c>
      <c r="AC810" s="58">
        <v>31300</v>
      </c>
      <c r="AD810" s="58">
        <v>0</v>
      </c>
      <c r="AE810" s="58">
        <v>29520.98</v>
      </c>
      <c r="AF810" s="58">
        <v>8058.22</v>
      </c>
      <c r="AG810" s="58">
        <v>0</v>
      </c>
      <c r="AH810" s="58">
        <v>5600</v>
      </c>
      <c r="AI810" s="58">
        <v>0</v>
      </c>
      <c r="AJ810" s="58">
        <v>45552.17</v>
      </c>
      <c r="AK810" s="58">
        <v>0</v>
      </c>
      <c r="AL810" s="75">
        <f>+SUBTOTAL(9,Tabla6[[#This Row],[ENE]:[DIC]])</f>
        <v>120031.37</v>
      </c>
      <c r="AM810" s="76" t="str">
        <f t="shared" si="16"/>
        <v>OK</v>
      </c>
      <c r="AN810" s="60">
        <f>74479.2+45552.17</f>
        <v>120031.37</v>
      </c>
      <c r="AO810" s="61">
        <f>+Tabla6[[#This Row],[PRESUPUESTO VIGENTE]]-Tabla6[[#This Row],[CERTIFICACIÓN PAPP]]</f>
        <v>0</v>
      </c>
      <c r="AP810" s="59">
        <v>0</v>
      </c>
    </row>
    <row r="811" spans="1:42" ht="93" customHeight="1" x14ac:dyDescent="0.25">
      <c r="A811" s="62" t="s">
        <v>88</v>
      </c>
      <c r="B811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811" s="64" t="s">
        <v>89</v>
      </c>
      <c r="D811" s="64" t="s">
        <v>80</v>
      </c>
      <c r="E811" s="64" t="s">
        <v>81</v>
      </c>
      <c r="F811" s="64" t="s">
        <v>101</v>
      </c>
      <c r="G811" s="64" t="s">
        <v>90</v>
      </c>
      <c r="H811" s="65" t="str">
        <f>VLOOKUP(Tabla6[[#This Row],[DIRECCIÓN]],DIRECCIÓN[#All],2,0)</f>
        <v>TECNOLOGÍA</v>
      </c>
      <c r="I811" s="66" t="s">
        <v>93</v>
      </c>
      <c r="J811" s="67">
        <v>1</v>
      </c>
      <c r="K811" s="68" t="str">
        <f>VLOOKUP(Tabla6[[#This Row],[DIRECCIÓN GENERAL / COORDINACIÓN / SUBDIRECCIÓN]],Tabla37[[#All],[Columna1]:[EOD]],2,0)</f>
        <v>266_0005</v>
      </c>
      <c r="L811" s="69">
        <f>VLOOKUP(Tabla6[[#This Row],[OBJETIVOS PND]],Listas!$A$1:$C$3,3,0)</f>
        <v>55</v>
      </c>
      <c r="M811" s="70">
        <f>VLOOKUP(Tabla6[[#This Row],[PG]],Listas2!$G$14:$K$16,5,0)</f>
        <v>0</v>
      </c>
      <c r="N811" s="71" t="s">
        <v>777</v>
      </c>
      <c r="O811" s="72">
        <v>1200</v>
      </c>
      <c r="P811" s="73" t="str">
        <f>VLOOKUP(Tabla6[[#This Row],[GEO]],Listas!$A$48:$B$77,2,0)</f>
        <v>BABAHOYO</v>
      </c>
      <c r="Q811" s="70">
        <f>VLOOKUP(Tabla6[[#This Row],[PG]],Listas2!$G$14:$K$16,3,0)</f>
        <v>1</v>
      </c>
      <c r="R811" s="73">
        <f>VLOOKUP(Tabla6[[#This Row],[PG]],Listas2!H816:'Listas2'!$G$14:$K$16,4,0)</f>
        <v>0</v>
      </c>
      <c r="S811" s="73">
        <f>VLOOKUP(Tabla6[[#This Row],[PG]],Listas2!$G$14:$K$16,2,0)</f>
        <v>0</v>
      </c>
      <c r="T811" s="66" t="s">
        <v>84</v>
      </c>
      <c r="U811" s="74">
        <v>51</v>
      </c>
      <c r="V811" s="66">
        <v>510105</v>
      </c>
      <c r="W811" s="63" t="str">
        <f>VLOOKUP(Tabla6[[#This Row],[ÍTEM PRESUPUESTARIO]],Tabla2[#All],2,0)</f>
        <v>REMUNERACIONES UNIFICADAS</v>
      </c>
      <c r="X811" s="57">
        <v>49200</v>
      </c>
      <c r="Y811" s="57">
        <f>49210-10</f>
        <v>49200</v>
      </c>
      <c r="Z811" s="58">
        <v>4100</v>
      </c>
      <c r="AA811" s="58">
        <v>4100</v>
      </c>
      <c r="AB811" s="58">
        <v>4100</v>
      </c>
      <c r="AC811" s="58">
        <v>4100</v>
      </c>
      <c r="AD811" s="58">
        <v>4100</v>
      </c>
      <c r="AE811" s="58">
        <v>4100</v>
      </c>
      <c r="AF811" s="58">
        <v>4100</v>
      </c>
      <c r="AG811" s="58">
        <v>4100</v>
      </c>
      <c r="AH811" s="58">
        <v>4100</v>
      </c>
      <c r="AI811" s="58">
        <v>4100</v>
      </c>
      <c r="AJ811" s="58">
        <v>4100</v>
      </c>
      <c r="AK811" s="58">
        <v>4100</v>
      </c>
      <c r="AL811" s="75">
        <f>+SUBTOTAL(9,Tabla6[[#This Row],[ENE]:[DIC]])</f>
        <v>49200</v>
      </c>
      <c r="AM811" s="76" t="str">
        <f t="shared" si="16"/>
        <v>OK</v>
      </c>
      <c r="AN811" s="60">
        <v>0</v>
      </c>
      <c r="AO811" s="61">
        <f>+Tabla6[[#This Row],[PRESUPUESTO VIGENTE]]-Tabla6[[#This Row],[CERTIFICACIÓN PAPP]]</f>
        <v>49200</v>
      </c>
      <c r="AP811" s="59">
        <v>0</v>
      </c>
    </row>
    <row r="812" spans="1:42" ht="93" customHeight="1" x14ac:dyDescent="0.25">
      <c r="A812" s="62" t="s">
        <v>88</v>
      </c>
      <c r="B812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812" s="64" t="s">
        <v>89</v>
      </c>
      <c r="D812" s="64" t="s">
        <v>80</v>
      </c>
      <c r="E812" s="64" t="s">
        <v>81</v>
      </c>
      <c r="F812" s="64" t="s">
        <v>101</v>
      </c>
      <c r="G812" s="64" t="s">
        <v>90</v>
      </c>
      <c r="H812" s="65" t="str">
        <f>VLOOKUP(Tabla6[[#This Row],[DIRECCIÓN]],DIRECCIÓN[#All],2,0)</f>
        <v>TECNOLOGÍA</v>
      </c>
      <c r="I812" s="66" t="s">
        <v>93</v>
      </c>
      <c r="J812" s="67">
        <v>1</v>
      </c>
      <c r="K812" s="68" t="str">
        <f>VLOOKUP(Tabla6[[#This Row],[DIRECCIÓN GENERAL / COORDINACIÓN / SUBDIRECCIÓN]],Tabla37[[#All],[Columna1]:[EOD]],2,0)</f>
        <v>266_0005</v>
      </c>
      <c r="L812" s="69">
        <f>VLOOKUP(Tabla6[[#This Row],[OBJETIVOS PND]],Listas!$A$1:$C$3,3,0)</f>
        <v>55</v>
      </c>
      <c r="M812" s="70">
        <f>VLOOKUP(Tabla6[[#This Row],[PG]],Listas2!$G$14:$K$16,5,0)</f>
        <v>0</v>
      </c>
      <c r="N812" s="71" t="s">
        <v>777</v>
      </c>
      <c r="O812" s="72">
        <v>1200</v>
      </c>
      <c r="P812" s="73" t="str">
        <f>VLOOKUP(Tabla6[[#This Row],[GEO]],Listas!$A$48:$B$77,2,0)</f>
        <v>BABAHOYO</v>
      </c>
      <c r="Q812" s="70">
        <f>VLOOKUP(Tabla6[[#This Row],[PG]],Listas2!$G$14:$K$16,3,0)</f>
        <v>1</v>
      </c>
      <c r="R812" s="73">
        <f>VLOOKUP(Tabla6[[#This Row],[PG]],Listas2!H817:'Listas2'!$G$14:$K$16,4,0)</f>
        <v>0</v>
      </c>
      <c r="S812" s="73">
        <f>VLOOKUP(Tabla6[[#This Row],[PG]],Listas2!$G$14:$K$16,2,0)</f>
        <v>0</v>
      </c>
      <c r="T812" s="66" t="s">
        <v>84</v>
      </c>
      <c r="U812" s="74">
        <v>51</v>
      </c>
      <c r="V812" s="66">
        <v>510203</v>
      </c>
      <c r="W812" s="63" t="str">
        <f>VLOOKUP(Tabla6[[#This Row],[ÍTEM PRESUPUESTARIO]],Tabla2[#All],2,0)</f>
        <v>DÉCIMO TERCER SUELDO</v>
      </c>
      <c r="X812" s="57">
        <v>4100</v>
      </c>
      <c r="Y812" s="57">
        <f>4100+500-500</f>
        <v>4100</v>
      </c>
      <c r="Z812" s="58">
        <v>0</v>
      </c>
      <c r="AA812" s="58">
        <v>0</v>
      </c>
      <c r="AB812" s="58">
        <v>0</v>
      </c>
      <c r="AC812" s="58">
        <v>0</v>
      </c>
      <c r="AD812" s="58">
        <v>0</v>
      </c>
      <c r="AE812" s="58">
        <v>0</v>
      </c>
      <c r="AF812" s="58">
        <v>0</v>
      </c>
      <c r="AG812" s="58">
        <v>0</v>
      </c>
      <c r="AH812" s="58">
        <v>0</v>
      </c>
      <c r="AI812" s="58">
        <v>0</v>
      </c>
      <c r="AJ812" s="58">
        <v>0</v>
      </c>
      <c r="AK812" s="58">
        <v>4100</v>
      </c>
      <c r="AL812" s="75">
        <f>+SUBTOTAL(9,Tabla6[[#This Row],[ENE]:[DIC]])</f>
        <v>4100</v>
      </c>
      <c r="AM812" s="76" t="str">
        <f t="shared" si="16"/>
        <v>OK</v>
      </c>
      <c r="AN812" s="60">
        <v>0</v>
      </c>
      <c r="AO812" s="61">
        <f>+Tabla6[[#This Row],[PRESUPUESTO VIGENTE]]-Tabla6[[#This Row],[CERTIFICACIÓN PAPP]]</f>
        <v>4100</v>
      </c>
      <c r="AP812" s="59">
        <v>0</v>
      </c>
    </row>
    <row r="813" spans="1:42" ht="93" customHeight="1" x14ac:dyDescent="0.25">
      <c r="A813" s="62" t="s">
        <v>88</v>
      </c>
      <c r="B813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813" s="64" t="s">
        <v>89</v>
      </c>
      <c r="D813" s="64" t="s">
        <v>80</v>
      </c>
      <c r="E813" s="64" t="s">
        <v>81</v>
      </c>
      <c r="F813" s="64" t="s">
        <v>101</v>
      </c>
      <c r="G813" s="64" t="s">
        <v>90</v>
      </c>
      <c r="H813" s="65" t="str">
        <f>VLOOKUP(Tabla6[[#This Row],[DIRECCIÓN]],DIRECCIÓN[#All],2,0)</f>
        <v>TECNOLOGÍA</v>
      </c>
      <c r="I813" s="66" t="s">
        <v>93</v>
      </c>
      <c r="J813" s="67">
        <v>1</v>
      </c>
      <c r="K813" s="68" t="str">
        <f>VLOOKUP(Tabla6[[#This Row],[DIRECCIÓN GENERAL / COORDINACIÓN / SUBDIRECCIÓN]],Tabla37[[#All],[Columna1]:[EOD]],2,0)</f>
        <v>266_0005</v>
      </c>
      <c r="L813" s="69">
        <f>VLOOKUP(Tabla6[[#This Row],[OBJETIVOS PND]],Listas!$A$1:$C$3,3,0)</f>
        <v>55</v>
      </c>
      <c r="M813" s="70">
        <f>VLOOKUP(Tabla6[[#This Row],[PG]],Listas2!$G$14:$K$16,5,0)</f>
        <v>0</v>
      </c>
      <c r="N813" s="71" t="s">
        <v>777</v>
      </c>
      <c r="O813" s="72">
        <v>1200</v>
      </c>
      <c r="P813" s="73" t="str">
        <f>VLOOKUP(Tabla6[[#This Row],[GEO]],Listas!$A$48:$B$77,2,0)</f>
        <v>BABAHOYO</v>
      </c>
      <c r="Q813" s="70">
        <f>VLOOKUP(Tabla6[[#This Row],[PG]],Listas2!$G$14:$K$16,3,0)</f>
        <v>1</v>
      </c>
      <c r="R813" s="73">
        <f>VLOOKUP(Tabla6[[#This Row],[PG]],Listas2!H818:'Listas2'!$G$14:$K$16,4,0)</f>
        <v>0</v>
      </c>
      <c r="S813" s="73">
        <f>VLOOKUP(Tabla6[[#This Row],[PG]],Listas2!$G$14:$K$16,2,0)</f>
        <v>0</v>
      </c>
      <c r="T813" s="66" t="s">
        <v>84</v>
      </c>
      <c r="U813" s="74">
        <v>51</v>
      </c>
      <c r="V813" s="66">
        <v>510204</v>
      </c>
      <c r="W813" s="63" t="str">
        <f>VLOOKUP(Tabla6[[#This Row],[ÍTEM PRESUPUESTARIO]],Tabla2[#All],2,0)</f>
        <v>DÉCIMO CUARTO SUELDO</v>
      </c>
      <c r="X813" s="57">
        <v>1350</v>
      </c>
      <c r="Y813" s="57">
        <v>1350</v>
      </c>
      <c r="Z813" s="58">
        <v>0</v>
      </c>
      <c r="AA813" s="58">
        <v>0</v>
      </c>
      <c r="AB813" s="58">
        <v>0</v>
      </c>
      <c r="AC813" s="58">
        <v>1350</v>
      </c>
      <c r="AD813" s="58">
        <v>0</v>
      </c>
      <c r="AE813" s="58">
        <v>0</v>
      </c>
      <c r="AF813" s="58">
        <v>0</v>
      </c>
      <c r="AG813" s="58">
        <v>0</v>
      </c>
      <c r="AH813" s="58">
        <v>0</v>
      </c>
      <c r="AI813" s="58">
        <v>0</v>
      </c>
      <c r="AJ813" s="58">
        <v>0</v>
      </c>
      <c r="AK813" s="58">
        <v>0</v>
      </c>
      <c r="AL813" s="75">
        <f>+SUBTOTAL(9,Tabla6[[#This Row],[ENE]:[DIC]])</f>
        <v>1350</v>
      </c>
      <c r="AM813" s="76" t="str">
        <f t="shared" si="16"/>
        <v>OK</v>
      </c>
      <c r="AN813" s="60">
        <v>0</v>
      </c>
      <c r="AO813" s="61">
        <f>+Tabla6[[#This Row],[PRESUPUESTO VIGENTE]]-Tabla6[[#This Row],[CERTIFICACIÓN PAPP]]</f>
        <v>1350</v>
      </c>
      <c r="AP813" s="59">
        <v>0</v>
      </c>
    </row>
    <row r="814" spans="1:42" ht="93" customHeight="1" x14ac:dyDescent="0.25">
      <c r="A814" s="62" t="s">
        <v>88</v>
      </c>
      <c r="B814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814" s="64" t="s">
        <v>89</v>
      </c>
      <c r="D814" s="64" t="s">
        <v>80</v>
      </c>
      <c r="E814" s="64" t="s">
        <v>81</v>
      </c>
      <c r="F814" s="64" t="s">
        <v>101</v>
      </c>
      <c r="G814" s="64" t="s">
        <v>90</v>
      </c>
      <c r="H814" s="65" t="str">
        <f>VLOOKUP(Tabla6[[#This Row],[DIRECCIÓN]],DIRECCIÓN[#All],2,0)</f>
        <v>TECNOLOGÍA</v>
      </c>
      <c r="I814" s="66" t="s">
        <v>960</v>
      </c>
      <c r="J814" s="67">
        <v>1</v>
      </c>
      <c r="K814" s="68" t="str">
        <f>VLOOKUP(Tabla6[[#This Row],[DIRECCIÓN GENERAL / COORDINACIÓN / SUBDIRECCIÓN]],Tabla37[[#All],[Columna1]:[EOD]],2,0)</f>
        <v>266_0005</v>
      </c>
      <c r="L814" s="69">
        <f>VLOOKUP(Tabla6[[#This Row],[OBJETIVOS PND]],Listas!$A$1:$C$3,3,0)</f>
        <v>55</v>
      </c>
      <c r="M814" s="70">
        <f>VLOOKUP(Tabla6[[#This Row],[PG]],Listas2!$G$14:$K$16,5,0)</f>
        <v>0</v>
      </c>
      <c r="N814" s="71">
        <v>3</v>
      </c>
      <c r="O814" s="72">
        <v>1200</v>
      </c>
      <c r="P814" s="73" t="str">
        <f>VLOOKUP(Tabla6[[#This Row],[GEO]],Listas!$A$48:$B$77,2,0)</f>
        <v>BABAHOYO</v>
      </c>
      <c r="Q814" s="70">
        <f>VLOOKUP(Tabla6[[#This Row],[PG]],Listas2!$G$14:$K$16,3,0)</f>
        <v>1</v>
      </c>
      <c r="R814" s="73">
        <f>VLOOKUP(Tabla6[[#This Row],[PG]],Listas2!H819:'Listas2'!$G$14:$K$16,4,0)</f>
        <v>0</v>
      </c>
      <c r="S814" s="73">
        <f>VLOOKUP(Tabla6[[#This Row],[PG]],Listas2!$G$14:$K$16,2,0)</f>
        <v>0</v>
      </c>
      <c r="T814" s="66" t="s">
        <v>84</v>
      </c>
      <c r="U814" s="74">
        <v>51</v>
      </c>
      <c r="V814" s="66">
        <v>510512</v>
      </c>
      <c r="W814" s="63" t="str">
        <f>VLOOKUP(Tabla6[[#This Row],[ÍTEM PRESUPUESTARIO]],Tabla2[#All],2,0)</f>
        <v xml:space="preserve">SUBROGACIÓN </v>
      </c>
      <c r="X814" s="57">
        <v>0</v>
      </c>
      <c r="Y814" s="57">
        <f>164-164</f>
        <v>0</v>
      </c>
      <c r="Z814" s="58">
        <v>0</v>
      </c>
      <c r="AA814" s="58">
        <v>0</v>
      </c>
      <c r="AB814" s="58">
        <v>0</v>
      </c>
      <c r="AC814" s="58">
        <v>0</v>
      </c>
      <c r="AD814" s="58">
        <v>0</v>
      </c>
      <c r="AE814" s="58">
        <v>0</v>
      </c>
      <c r="AF814" s="58">
        <v>0</v>
      </c>
      <c r="AG814" s="58">
        <v>0</v>
      </c>
      <c r="AH814" s="58">
        <v>0</v>
      </c>
      <c r="AI814" s="58">
        <v>0</v>
      </c>
      <c r="AJ814" s="58">
        <v>0</v>
      </c>
      <c r="AK814" s="58">
        <v>0</v>
      </c>
      <c r="AL814" s="75">
        <f>+SUBTOTAL(9,Tabla6[[#This Row],[ENE]:[DIC]])</f>
        <v>0</v>
      </c>
      <c r="AM814" s="76" t="str">
        <f t="shared" si="16"/>
        <v>OK</v>
      </c>
      <c r="AN814" s="60">
        <v>0</v>
      </c>
      <c r="AO814" s="61">
        <f>+Tabla6[[#This Row],[PRESUPUESTO VIGENTE]]-Tabla6[[#This Row],[CERTIFICACIÓN PAPP]]</f>
        <v>0</v>
      </c>
      <c r="AP814" s="59">
        <v>0</v>
      </c>
    </row>
    <row r="815" spans="1:42" ht="93" customHeight="1" x14ac:dyDescent="0.25">
      <c r="A815" s="62" t="s">
        <v>88</v>
      </c>
      <c r="B815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815" s="64" t="s">
        <v>89</v>
      </c>
      <c r="D815" s="64" t="s">
        <v>80</v>
      </c>
      <c r="E815" s="64" t="s">
        <v>81</v>
      </c>
      <c r="F815" s="64" t="s">
        <v>101</v>
      </c>
      <c r="G815" s="64" t="s">
        <v>90</v>
      </c>
      <c r="H815" s="65" t="str">
        <f>VLOOKUP(Tabla6[[#This Row],[DIRECCIÓN]],DIRECCIÓN[#All],2,0)</f>
        <v>TECNOLOGÍA</v>
      </c>
      <c r="I815" s="66" t="s">
        <v>93</v>
      </c>
      <c r="J815" s="67">
        <v>1</v>
      </c>
      <c r="K815" s="68" t="str">
        <f>VLOOKUP(Tabla6[[#This Row],[DIRECCIÓN GENERAL / COORDINACIÓN / SUBDIRECCIÓN]],Tabla37[[#All],[Columna1]:[EOD]],2,0)</f>
        <v>266_0005</v>
      </c>
      <c r="L815" s="69">
        <f>VLOOKUP(Tabla6[[#This Row],[OBJETIVOS PND]],Listas!$A$1:$C$3,3,0)</f>
        <v>55</v>
      </c>
      <c r="M815" s="70">
        <f>VLOOKUP(Tabla6[[#This Row],[PG]],Listas2!$G$14:$K$16,5,0)</f>
        <v>0</v>
      </c>
      <c r="N815" s="71" t="s">
        <v>777</v>
      </c>
      <c r="O815" s="72">
        <v>1200</v>
      </c>
      <c r="P815" s="73" t="str">
        <f>VLOOKUP(Tabla6[[#This Row],[GEO]],Listas!$A$48:$B$77,2,0)</f>
        <v>BABAHOYO</v>
      </c>
      <c r="Q815" s="70">
        <f>VLOOKUP(Tabla6[[#This Row],[PG]],Listas2!$G$14:$K$16,3,0)</f>
        <v>1</v>
      </c>
      <c r="R815" s="73">
        <f>VLOOKUP(Tabla6[[#This Row],[PG]],Listas2!H820:'Listas2'!$G$14:$K$16,4,0)</f>
        <v>0</v>
      </c>
      <c r="S815" s="73">
        <f>VLOOKUP(Tabla6[[#This Row],[PG]],Listas2!$G$14:$K$16,2,0)</f>
        <v>0</v>
      </c>
      <c r="T815" s="66" t="s">
        <v>84</v>
      </c>
      <c r="U815" s="74">
        <v>51</v>
      </c>
      <c r="V815" s="66">
        <v>510601</v>
      </c>
      <c r="W815" s="63" t="str">
        <f>VLOOKUP(Tabla6[[#This Row],[ÍTEM PRESUPUESTARIO]],Tabla2[#All],2,0)</f>
        <v>APORTE PATRONAL</v>
      </c>
      <c r="X815" s="57">
        <v>4748</v>
      </c>
      <c r="Y815" s="57">
        <f>4748-0.2-275+276-1</f>
        <v>4747.8</v>
      </c>
      <c r="Z815" s="58">
        <v>395</v>
      </c>
      <c r="AA815" s="58">
        <v>395</v>
      </c>
      <c r="AB815" s="58">
        <v>395</v>
      </c>
      <c r="AC815" s="58">
        <v>396</v>
      </c>
      <c r="AD815" s="58">
        <v>395</v>
      </c>
      <c r="AE815" s="58">
        <v>396</v>
      </c>
      <c r="AF815" s="58">
        <v>396</v>
      </c>
      <c r="AG815" s="58">
        <v>396</v>
      </c>
      <c r="AH815" s="58">
        <v>396</v>
      </c>
      <c r="AI815" s="58">
        <v>396</v>
      </c>
      <c r="AJ815" s="58">
        <v>396</v>
      </c>
      <c r="AK815" s="58">
        <v>395.8</v>
      </c>
      <c r="AL815" s="75">
        <f>+SUBTOTAL(9,Tabla6[[#This Row],[ENE]:[DIC]])</f>
        <v>4747.8</v>
      </c>
      <c r="AM815" s="76" t="str">
        <f t="shared" si="16"/>
        <v>OK</v>
      </c>
      <c r="AN815" s="60">
        <v>0</v>
      </c>
      <c r="AO815" s="61">
        <f>+Tabla6[[#This Row],[PRESUPUESTO VIGENTE]]-Tabla6[[#This Row],[CERTIFICACIÓN PAPP]]</f>
        <v>4747.8</v>
      </c>
      <c r="AP815" s="59">
        <v>0</v>
      </c>
    </row>
    <row r="816" spans="1:42" ht="93" customHeight="1" x14ac:dyDescent="0.25">
      <c r="A816" s="62" t="s">
        <v>88</v>
      </c>
      <c r="B816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816" s="64" t="s">
        <v>89</v>
      </c>
      <c r="D816" s="64" t="s">
        <v>80</v>
      </c>
      <c r="E816" s="64" t="s">
        <v>81</v>
      </c>
      <c r="F816" s="64" t="s">
        <v>101</v>
      </c>
      <c r="G816" s="64" t="s">
        <v>90</v>
      </c>
      <c r="H816" s="65" t="str">
        <f>VLOOKUP(Tabla6[[#This Row],[DIRECCIÓN]],DIRECCIÓN[#All],2,0)</f>
        <v>TECNOLOGÍA</v>
      </c>
      <c r="I816" s="66" t="s">
        <v>93</v>
      </c>
      <c r="J816" s="67">
        <v>1</v>
      </c>
      <c r="K816" s="68" t="str">
        <f>VLOOKUP(Tabla6[[#This Row],[DIRECCIÓN GENERAL / COORDINACIÓN / SUBDIRECCIÓN]],Tabla37[[#All],[Columna1]:[EOD]],2,0)</f>
        <v>266_0005</v>
      </c>
      <c r="L816" s="69">
        <f>VLOOKUP(Tabla6[[#This Row],[OBJETIVOS PND]],Listas!$A$1:$C$3,3,0)</f>
        <v>55</v>
      </c>
      <c r="M816" s="70">
        <f>VLOOKUP(Tabla6[[#This Row],[PG]],Listas2!$G$14:$K$16,5,0)</f>
        <v>0</v>
      </c>
      <c r="N816" s="71" t="s">
        <v>777</v>
      </c>
      <c r="O816" s="72">
        <v>1200</v>
      </c>
      <c r="P816" s="73" t="str">
        <f>VLOOKUP(Tabla6[[#This Row],[GEO]],Listas!$A$48:$B$77,2,0)</f>
        <v>BABAHOYO</v>
      </c>
      <c r="Q816" s="70">
        <f>VLOOKUP(Tabla6[[#This Row],[PG]],Listas2!$G$14:$K$16,3,0)</f>
        <v>1</v>
      </c>
      <c r="R816" s="73">
        <f>VLOOKUP(Tabla6[[#This Row],[PG]],Listas2!H821:'Listas2'!$G$14:$K$16,4,0)</f>
        <v>0</v>
      </c>
      <c r="S816" s="73">
        <f>VLOOKUP(Tabla6[[#This Row],[PG]],Listas2!$G$14:$K$16,2,0)</f>
        <v>0</v>
      </c>
      <c r="T816" s="66" t="s">
        <v>84</v>
      </c>
      <c r="U816" s="74">
        <v>51</v>
      </c>
      <c r="V816" s="66">
        <v>510602</v>
      </c>
      <c r="W816" s="63" t="str">
        <f>VLOOKUP(Tabla6[[#This Row],[ÍTEM PRESUPUESTARIO]],Tabla2[#All],2,0)</f>
        <v>FONDO DE RESERVA</v>
      </c>
      <c r="X816" s="57">
        <v>4099</v>
      </c>
      <c r="Y816" s="57">
        <f>4099+408-407.27-1.37</f>
        <v>4098.3599999999997</v>
      </c>
      <c r="Z816" s="58">
        <v>341</v>
      </c>
      <c r="AA816" s="58">
        <v>341</v>
      </c>
      <c r="AB816" s="58">
        <v>341</v>
      </c>
      <c r="AC816" s="58">
        <v>341</v>
      </c>
      <c r="AD816" s="58">
        <v>341</v>
      </c>
      <c r="AE816" s="58">
        <v>342</v>
      </c>
      <c r="AF816" s="58">
        <v>342</v>
      </c>
      <c r="AG816" s="58">
        <v>342</v>
      </c>
      <c r="AH816" s="58">
        <v>342</v>
      </c>
      <c r="AI816" s="58">
        <v>342</v>
      </c>
      <c r="AJ816" s="58">
        <v>342</v>
      </c>
      <c r="AK816" s="58">
        <v>341.36</v>
      </c>
      <c r="AL816" s="75">
        <f>+SUBTOTAL(9,Tabla6[[#This Row],[ENE]:[DIC]])</f>
        <v>4098.3599999999997</v>
      </c>
      <c r="AM816" s="76" t="str">
        <f t="shared" si="16"/>
        <v>OK</v>
      </c>
      <c r="AN816" s="60">
        <v>0</v>
      </c>
      <c r="AO816" s="61">
        <f>+Tabla6[[#This Row],[PRESUPUESTO VIGENTE]]-Tabla6[[#This Row],[CERTIFICACIÓN PAPP]]</f>
        <v>4098.3599999999997</v>
      </c>
      <c r="AP816" s="59">
        <v>0</v>
      </c>
    </row>
    <row r="817" spans="1:42" ht="93" customHeight="1" x14ac:dyDescent="0.25">
      <c r="A817" s="62" t="s">
        <v>78</v>
      </c>
      <c r="B817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817" s="64" t="s">
        <v>79</v>
      </c>
      <c r="D817" s="64" t="s">
        <v>80</v>
      </c>
      <c r="E817" s="64" t="s">
        <v>81</v>
      </c>
      <c r="F817" s="64" t="s">
        <v>101</v>
      </c>
      <c r="G817" s="64" t="s">
        <v>83</v>
      </c>
      <c r="H817" s="65" t="str">
        <f>VLOOKUP(Tabla6[[#This Row],[DIRECCIÓN]],DIRECCIÓN[#All],2,0)</f>
        <v>ADMINISTRACIÓN CENTRAL</v>
      </c>
      <c r="I817" s="66" t="s">
        <v>1019</v>
      </c>
      <c r="J817" s="67">
        <v>1</v>
      </c>
      <c r="K817" s="68" t="str">
        <f>VLOOKUP(Tabla6[[#This Row],[DIRECCIÓN GENERAL / COORDINACIÓN / SUBDIRECCIÓN]],Tabla37[[#All],[Columna1]:[EOD]],2,0)</f>
        <v>266_0005</v>
      </c>
      <c r="L817" s="69">
        <f>VLOOKUP(Tabla6[[#This Row],[OBJETIVOS PND]],Listas!$A$1:$C$3,3,0)</f>
        <v>1</v>
      </c>
      <c r="M817" s="70">
        <f>VLOOKUP(Tabla6[[#This Row],[PG]],Listas2!$G$14:$K$16,5,0)</f>
        <v>0</v>
      </c>
      <c r="N817" s="71">
        <v>1</v>
      </c>
      <c r="O817" s="72">
        <v>1201</v>
      </c>
      <c r="P817" s="73" t="str">
        <f>VLOOKUP(Tabla6[[#This Row],[GEO]],Listas!$A$48:$B$77,2,0)</f>
        <v>BABAHOYO</v>
      </c>
      <c r="Q817" s="70">
        <f>VLOOKUP(Tabla6[[#This Row],[PG]],Listas2!$G$14:$K$16,3,0)</f>
        <v>1</v>
      </c>
      <c r="R817" s="73">
        <f>VLOOKUP(Tabla6[[#This Row],[PG]],Listas2!H822:'Listas2'!$G$14:$K$16,4,0)</f>
        <v>0</v>
      </c>
      <c r="S817" s="73">
        <f>VLOOKUP(Tabla6[[#This Row],[PG]],Listas2!$G$14:$K$16,2,0)</f>
        <v>0</v>
      </c>
      <c r="T817" s="66" t="s">
        <v>84</v>
      </c>
      <c r="U817" s="74">
        <v>53</v>
      </c>
      <c r="V817" s="66">
        <v>530101</v>
      </c>
      <c r="W817" s="63" t="str">
        <f>VLOOKUP(Tabla6[[#This Row],[ÍTEM PRESUPUESTARIO]],Tabla2[#All],2,0)</f>
        <v>AGUA POTABLE</v>
      </c>
      <c r="X817" s="57">
        <v>240</v>
      </c>
      <c r="Y817" s="57">
        <f>240+1500-800-547.34-35.51</f>
        <v>357.15</v>
      </c>
      <c r="Z817" s="58">
        <v>0</v>
      </c>
      <c r="AA817" s="58">
        <v>40</v>
      </c>
      <c r="AB817" s="58">
        <v>20</v>
      </c>
      <c r="AC817" s="58">
        <v>30</v>
      </c>
      <c r="AD817" s="58">
        <v>30</v>
      </c>
      <c r="AE817" s="58">
        <v>30</v>
      </c>
      <c r="AF817" s="58">
        <v>30</v>
      </c>
      <c r="AG817" s="58">
        <v>50</v>
      </c>
      <c r="AH817" s="58">
        <v>50</v>
      </c>
      <c r="AI817" s="58">
        <v>30</v>
      </c>
      <c r="AJ817" s="58">
        <v>24</v>
      </c>
      <c r="AK817" s="58">
        <v>23.15</v>
      </c>
      <c r="AL817" s="75">
        <f>+SUBTOTAL(9,Tabla6[[#This Row],[ENE]:[DIC]])</f>
        <v>357.15</v>
      </c>
      <c r="AM817" s="76" t="str">
        <f t="shared" si="16"/>
        <v>OK</v>
      </c>
      <c r="AN817" s="60">
        <f>100+31.68+108.32-106.68+806.68-588.4+41.06-35.51</f>
        <v>357.15000000000003</v>
      </c>
      <c r="AO817" s="61">
        <f>+Tabla6[[#This Row],[PRESUPUESTO VIGENTE]]-Tabla6[[#This Row],[CERTIFICACIÓN PAPP]]</f>
        <v>0</v>
      </c>
      <c r="AP817" s="59">
        <v>0</v>
      </c>
    </row>
    <row r="818" spans="1:42" ht="93" customHeight="1" x14ac:dyDescent="0.25">
      <c r="A818" s="62" t="s">
        <v>78</v>
      </c>
      <c r="B818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818" s="64" t="s">
        <v>79</v>
      </c>
      <c r="D818" s="64" t="s">
        <v>80</v>
      </c>
      <c r="E818" s="64" t="s">
        <v>81</v>
      </c>
      <c r="F818" s="64" t="s">
        <v>101</v>
      </c>
      <c r="G818" s="64" t="s">
        <v>83</v>
      </c>
      <c r="H818" s="65" t="str">
        <f>VLOOKUP(Tabla6[[#This Row],[DIRECCIÓN]],DIRECCIÓN[#All],2,0)</f>
        <v>ADMINISTRACIÓN CENTRAL</v>
      </c>
      <c r="I818" s="66" t="s">
        <v>1020</v>
      </c>
      <c r="J818" s="67">
        <v>1</v>
      </c>
      <c r="K818" s="68" t="str">
        <f>VLOOKUP(Tabla6[[#This Row],[DIRECCIÓN GENERAL / COORDINACIÓN / SUBDIRECCIÓN]],Tabla37[[#All],[Columna1]:[EOD]],2,0)</f>
        <v>266_0005</v>
      </c>
      <c r="L818" s="69">
        <f>VLOOKUP(Tabla6[[#This Row],[OBJETIVOS PND]],Listas!$A$1:$C$3,3,0)</f>
        <v>1</v>
      </c>
      <c r="M818" s="70">
        <f>VLOOKUP(Tabla6[[#This Row],[PG]],Listas2!$G$14:$K$16,5,0)</f>
        <v>0</v>
      </c>
      <c r="N818" s="71">
        <v>1</v>
      </c>
      <c r="O818" s="72">
        <v>1201</v>
      </c>
      <c r="P818" s="73" t="str">
        <f>VLOOKUP(Tabla6[[#This Row],[GEO]],Listas!$A$48:$B$77,2,0)</f>
        <v>BABAHOYO</v>
      </c>
      <c r="Q818" s="70">
        <f>VLOOKUP(Tabla6[[#This Row],[PG]],Listas2!$G$14:$K$16,3,0)</f>
        <v>1</v>
      </c>
      <c r="R818" s="73">
        <f>VLOOKUP(Tabla6[[#This Row],[PG]],Listas2!H823:'Listas2'!$G$14:$K$16,4,0)</f>
        <v>0</v>
      </c>
      <c r="S818" s="73">
        <f>VLOOKUP(Tabla6[[#This Row],[PG]],Listas2!$G$14:$K$16,2,0)</f>
        <v>0</v>
      </c>
      <c r="T818" s="66" t="s">
        <v>84</v>
      </c>
      <c r="U818" s="74">
        <v>53</v>
      </c>
      <c r="V818" s="66">
        <v>530101</v>
      </c>
      <c r="W818" s="63" t="str">
        <f>VLOOKUP(Tabla6[[#This Row],[ÍTEM PRESUPUESTARIO]],Tabla2[#All],2,0)</f>
        <v>AGUA POTABLE</v>
      </c>
      <c r="X818" s="57">
        <v>600</v>
      </c>
      <c r="Y818" s="57">
        <f>600-600</f>
        <v>0</v>
      </c>
      <c r="Z818" s="58">
        <v>0</v>
      </c>
      <c r="AA818" s="58">
        <v>0</v>
      </c>
      <c r="AB818" s="58">
        <v>0</v>
      </c>
      <c r="AC818" s="58">
        <v>0</v>
      </c>
      <c r="AD818" s="58">
        <v>0</v>
      </c>
      <c r="AE818" s="58">
        <v>0</v>
      </c>
      <c r="AF818" s="58">
        <v>0</v>
      </c>
      <c r="AG818" s="58">
        <v>0</v>
      </c>
      <c r="AH818" s="58">
        <v>0</v>
      </c>
      <c r="AI818" s="58">
        <v>0</v>
      </c>
      <c r="AJ818" s="58">
        <v>0</v>
      </c>
      <c r="AK818" s="58">
        <v>0</v>
      </c>
      <c r="AL818" s="75">
        <f>+SUBTOTAL(9,Tabla6[[#This Row],[ENE]:[DIC]])</f>
        <v>0</v>
      </c>
      <c r="AM818" s="76" t="str">
        <f t="shared" si="16"/>
        <v>OK</v>
      </c>
      <c r="AN818" s="60">
        <v>0</v>
      </c>
      <c r="AO818" s="61">
        <f>+Tabla6[[#This Row],[PRESUPUESTO VIGENTE]]-Tabla6[[#This Row],[CERTIFICACIÓN PAPP]]</f>
        <v>0</v>
      </c>
      <c r="AP818" s="59" t="s">
        <v>87</v>
      </c>
    </row>
    <row r="819" spans="1:42" ht="93" customHeight="1" x14ac:dyDescent="0.25">
      <c r="A819" s="62" t="s">
        <v>78</v>
      </c>
      <c r="B819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819" s="64" t="s">
        <v>79</v>
      </c>
      <c r="D819" s="64" t="s">
        <v>80</v>
      </c>
      <c r="E819" s="64" t="s">
        <v>81</v>
      </c>
      <c r="F819" s="64" t="s">
        <v>101</v>
      </c>
      <c r="G819" s="64" t="s">
        <v>83</v>
      </c>
      <c r="H819" s="65" t="str">
        <f>VLOOKUP(Tabla6[[#This Row],[DIRECCIÓN]],DIRECCIÓN[#All],2,0)</f>
        <v>ADMINISTRACIÓN CENTRAL</v>
      </c>
      <c r="I819" s="66" t="s">
        <v>1021</v>
      </c>
      <c r="J819" s="67">
        <v>1</v>
      </c>
      <c r="K819" s="68" t="str">
        <f>VLOOKUP(Tabla6[[#This Row],[DIRECCIÓN GENERAL / COORDINACIÓN / SUBDIRECCIÓN]],Tabla37[[#All],[Columna1]:[EOD]],2,0)</f>
        <v>266_0005</v>
      </c>
      <c r="L819" s="69">
        <f>VLOOKUP(Tabla6[[#This Row],[OBJETIVOS PND]],Listas!$A$1:$C$3,3,0)</f>
        <v>1</v>
      </c>
      <c r="M819" s="70">
        <f>VLOOKUP(Tabla6[[#This Row],[PG]],Listas2!$G$14:$K$16,5,0)</f>
        <v>0</v>
      </c>
      <c r="N819" s="71">
        <v>1</v>
      </c>
      <c r="O819" s="72">
        <v>1201</v>
      </c>
      <c r="P819" s="73" t="str">
        <f>VLOOKUP(Tabla6[[#This Row],[GEO]],Listas!$A$48:$B$77,2,0)</f>
        <v>BABAHOYO</v>
      </c>
      <c r="Q819" s="70">
        <f>VLOOKUP(Tabla6[[#This Row],[PG]],Listas2!$G$14:$K$16,3,0)</f>
        <v>1</v>
      </c>
      <c r="R819" s="73">
        <f>VLOOKUP(Tabla6[[#This Row],[PG]],Listas2!H824:'Listas2'!$G$14:$K$16,4,0)</f>
        <v>0</v>
      </c>
      <c r="S819" s="73">
        <f>VLOOKUP(Tabla6[[#This Row],[PG]],Listas2!$G$14:$K$16,2,0)</f>
        <v>0</v>
      </c>
      <c r="T819" s="66" t="s">
        <v>84</v>
      </c>
      <c r="U819" s="74">
        <v>53</v>
      </c>
      <c r="V819" s="66">
        <v>530104</v>
      </c>
      <c r="W819" s="63" t="str">
        <f>VLOOKUP(Tabla6[[#This Row],[ÍTEM PRESUPUESTARIO]],Tabla2[#All],2,0)</f>
        <v>ENERGÍA ELÉCTRICA</v>
      </c>
      <c r="X819" s="57">
        <v>60000</v>
      </c>
      <c r="Y819" s="57">
        <f>60000-4279.22+540.34-234.2</f>
        <v>56026.92</v>
      </c>
      <c r="Z819" s="58">
        <v>0</v>
      </c>
      <c r="AA819" s="58">
        <v>5000</v>
      </c>
      <c r="AB819" s="58">
        <v>5000</v>
      </c>
      <c r="AC819" s="58">
        <v>4000</v>
      </c>
      <c r="AD819" s="58">
        <v>4000</v>
      </c>
      <c r="AE819" s="58">
        <v>4000</v>
      </c>
      <c r="AF819" s="58">
        <v>6000</v>
      </c>
      <c r="AG819" s="58">
        <v>6000</v>
      </c>
      <c r="AH819" s="58">
        <v>6000</v>
      </c>
      <c r="AI819" s="58">
        <v>5000</v>
      </c>
      <c r="AJ819" s="58">
        <v>5000</v>
      </c>
      <c r="AK819" s="58">
        <v>6026.92</v>
      </c>
      <c r="AL819" s="75">
        <f>+SUBTOTAL(9,Tabla6[[#This Row],[ENE]:[DIC]])</f>
        <v>56026.92</v>
      </c>
      <c r="AM819" s="76" t="str">
        <f t="shared" si="16"/>
        <v>OK</v>
      </c>
      <c r="AN819" s="60">
        <f>4218.11+20000+20000-2318.59-1178.74+15000-19279.22+19279.22+306.14</f>
        <v>56026.920000000006</v>
      </c>
      <c r="AO819" s="61">
        <f>+Tabla6[[#This Row],[PRESUPUESTO VIGENTE]]-Tabla6[[#This Row],[CERTIFICACIÓN PAPP]]</f>
        <v>0</v>
      </c>
      <c r="AP819" s="59">
        <v>0</v>
      </c>
    </row>
    <row r="820" spans="1:42" ht="93" customHeight="1" x14ac:dyDescent="0.25">
      <c r="A820" s="62" t="s">
        <v>78</v>
      </c>
      <c r="B820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820" s="64" t="s">
        <v>79</v>
      </c>
      <c r="D820" s="64" t="s">
        <v>80</v>
      </c>
      <c r="E820" s="64" t="s">
        <v>81</v>
      </c>
      <c r="F820" s="64" t="s">
        <v>101</v>
      </c>
      <c r="G820" s="64" t="s">
        <v>83</v>
      </c>
      <c r="H820" s="65" t="str">
        <f>VLOOKUP(Tabla6[[#This Row],[DIRECCIÓN]],DIRECCIÓN[#All],2,0)</f>
        <v>ADMINISTRACIÓN CENTRAL</v>
      </c>
      <c r="I820" s="66" t="s">
        <v>1022</v>
      </c>
      <c r="J820" s="67">
        <v>1</v>
      </c>
      <c r="K820" s="68" t="str">
        <f>VLOOKUP(Tabla6[[#This Row],[DIRECCIÓN GENERAL / COORDINACIÓN / SUBDIRECCIÓN]],Tabla37[[#All],[Columna1]:[EOD]],2,0)</f>
        <v>266_0005</v>
      </c>
      <c r="L820" s="69">
        <f>VLOOKUP(Tabla6[[#This Row],[OBJETIVOS PND]],Listas!$A$1:$C$3,3,0)</f>
        <v>1</v>
      </c>
      <c r="M820" s="70">
        <f>VLOOKUP(Tabla6[[#This Row],[PG]],Listas2!$G$14:$K$16,5,0)</f>
        <v>0</v>
      </c>
      <c r="N820" s="71">
        <v>1</v>
      </c>
      <c r="O820" s="72">
        <v>1201</v>
      </c>
      <c r="P820" s="73" t="str">
        <f>VLOOKUP(Tabla6[[#This Row],[GEO]],Listas!$A$48:$B$77,2,0)</f>
        <v>BABAHOYO</v>
      </c>
      <c r="Q820" s="70">
        <f>VLOOKUP(Tabla6[[#This Row],[PG]],Listas2!$G$14:$K$16,3,0)</f>
        <v>1</v>
      </c>
      <c r="R820" s="73">
        <f>VLOOKUP(Tabla6[[#This Row],[PG]],Listas2!H825:'Listas2'!$G$14:$K$16,4,0)</f>
        <v>0</v>
      </c>
      <c r="S820" s="73">
        <f>VLOOKUP(Tabla6[[#This Row],[PG]],Listas2!$G$14:$K$16,2,0)</f>
        <v>0</v>
      </c>
      <c r="T820" s="66" t="s">
        <v>84</v>
      </c>
      <c r="U820" s="74">
        <v>53</v>
      </c>
      <c r="V820" s="66">
        <v>530104</v>
      </c>
      <c r="W820" s="63" t="str">
        <f>VLOOKUP(Tabla6[[#This Row],[ÍTEM PRESUPUESTARIO]],Tabla2[#All],2,0)</f>
        <v>ENERGÍA ELÉCTRICA</v>
      </c>
      <c r="X820" s="57">
        <v>3600</v>
      </c>
      <c r="Y820" s="57">
        <f>3600-1782.83</f>
        <v>1817.17</v>
      </c>
      <c r="Z820" s="58">
        <v>0</v>
      </c>
      <c r="AA820" s="58">
        <v>170</v>
      </c>
      <c r="AB820" s="58">
        <v>170</v>
      </c>
      <c r="AC820" s="58">
        <v>170</v>
      </c>
      <c r="AD820" s="58">
        <v>170</v>
      </c>
      <c r="AE820" s="58">
        <v>170</v>
      </c>
      <c r="AF820" s="58">
        <v>170</v>
      </c>
      <c r="AG820" s="58">
        <v>170</v>
      </c>
      <c r="AH820" s="58">
        <v>170</v>
      </c>
      <c r="AI820" s="58">
        <v>170</v>
      </c>
      <c r="AJ820" s="58">
        <v>170</v>
      </c>
      <c r="AK820" s="58">
        <v>117.17</v>
      </c>
      <c r="AL820" s="75">
        <f>+SUBTOTAL(9,Tabla6[[#This Row],[ENE]:[DIC]])</f>
        <v>1817.17</v>
      </c>
      <c r="AM820" s="76" t="str">
        <f t="shared" si="16"/>
        <v>OK</v>
      </c>
      <c r="AN820" s="60">
        <f>145.15+1000+1000-392.39-535.59+600</f>
        <v>1817.17</v>
      </c>
      <c r="AO820" s="61">
        <f>+Tabla6[[#This Row],[PRESUPUESTO VIGENTE]]-Tabla6[[#This Row],[CERTIFICACIÓN PAPP]]</f>
        <v>0</v>
      </c>
      <c r="AP820" s="59">
        <v>0</v>
      </c>
    </row>
    <row r="821" spans="1:42" ht="93" customHeight="1" x14ac:dyDescent="0.25">
      <c r="A821" s="62" t="s">
        <v>78</v>
      </c>
      <c r="B821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821" s="64" t="s">
        <v>79</v>
      </c>
      <c r="D821" s="64" t="s">
        <v>80</v>
      </c>
      <c r="E821" s="64" t="s">
        <v>81</v>
      </c>
      <c r="F821" s="64" t="s">
        <v>101</v>
      </c>
      <c r="G821" s="64" t="s">
        <v>83</v>
      </c>
      <c r="H821" s="65" t="str">
        <f>VLOOKUP(Tabla6[[#This Row],[DIRECCIÓN]],DIRECCIÓN[#All],2,0)</f>
        <v>ADMINISTRACIÓN CENTRAL</v>
      </c>
      <c r="I821" s="66" t="s">
        <v>1023</v>
      </c>
      <c r="J821" s="67">
        <v>1</v>
      </c>
      <c r="K821" s="68" t="str">
        <f>VLOOKUP(Tabla6[[#This Row],[DIRECCIÓN GENERAL / COORDINACIÓN / SUBDIRECCIÓN]],Tabla37[[#All],[Columna1]:[EOD]],2,0)</f>
        <v>266_0005</v>
      </c>
      <c r="L821" s="69">
        <f>VLOOKUP(Tabla6[[#This Row],[OBJETIVOS PND]],Listas!$A$1:$C$3,3,0)</f>
        <v>1</v>
      </c>
      <c r="M821" s="70">
        <f>VLOOKUP(Tabla6[[#This Row],[PG]],Listas2!$G$14:$K$16,5,0)</f>
        <v>0</v>
      </c>
      <c r="N821" s="71">
        <v>1</v>
      </c>
      <c r="O821" s="72">
        <v>1201</v>
      </c>
      <c r="P821" s="73" t="str">
        <f>VLOOKUP(Tabla6[[#This Row],[GEO]],Listas!$A$48:$B$77,2,0)</f>
        <v>BABAHOYO</v>
      </c>
      <c r="Q821" s="70">
        <f>VLOOKUP(Tabla6[[#This Row],[PG]],Listas2!$G$14:$K$16,3,0)</f>
        <v>1</v>
      </c>
      <c r="R821" s="73">
        <f>VLOOKUP(Tabla6[[#This Row],[PG]],Listas2!H826:'Listas2'!$G$14:$K$16,4,0)</f>
        <v>0</v>
      </c>
      <c r="S821" s="73">
        <f>VLOOKUP(Tabla6[[#This Row],[PG]],Listas2!$G$14:$K$16,2,0)</f>
        <v>0</v>
      </c>
      <c r="T821" s="66" t="s">
        <v>84</v>
      </c>
      <c r="U821" s="74">
        <v>53</v>
      </c>
      <c r="V821" s="66">
        <v>530104</v>
      </c>
      <c r="W821" s="63" t="str">
        <f>VLOOKUP(Tabla6[[#This Row],[ÍTEM PRESUPUESTARIO]],Tabla2[#All],2,0)</f>
        <v>ENERGÍA ELÉCTRICA</v>
      </c>
      <c r="X821" s="57">
        <v>6000</v>
      </c>
      <c r="Y821" s="57">
        <f>6000-3037.95-462.05</f>
        <v>2500</v>
      </c>
      <c r="Z821" s="58">
        <v>0</v>
      </c>
      <c r="AA821" s="58">
        <v>250</v>
      </c>
      <c r="AB821" s="58">
        <v>250</v>
      </c>
      <c r="AC821" s="58">
        <v>250</v>
      </c>
      <c r="AD821" s="58">
        <v>250</v>
      </c>
      <c r="AE821" s="58">
        <v>0</v>
      </c>
      <c r="AF821" s="58">
        <v>0</v>
      </c>
      <c r="AG821" s="58">
        <v>250</v>
      </c>
      <c r="AH821" s="58">
        <v>250</v>
      </c>
      <c r="AI821" s="58">
        <v>250</v>
      </c>
      <c r="AJ821" s="58">
        <v>287.95</v>
      </c>
      <c r="AK821" s="58">
        <v>462.05</v>
      </c>
      <c r="AL821" s="75">
        <f>+SUBTOTAL(9,Tabla6[[#This Row],[ENE]:[DIC]])</f>
        <v>2500</v>
      </c>
      <c r="AM821" s="76" t="str">
        <f t="shared" si="16"/>
        <v>OK</v>
      </c>
      <c r="AN821" s="60">
        <v>2500</v>
      </c>
      <c r="AO821" s="61">
        <f>+Tabla6[[#This Row],[PRESUPUESTO VIGENTE]]-Tabla6[[#This Row],[CERTIFICACIÓN PAPP]]</f>
        <v>0</v>
      </c>
      <c r="AP821" s="59" t="s">
        <v>87</v>
      </c>
    </row>
    <row r="822" spans="1:42" ht="93" customHeight="1" x14ac:dyDescent="0.25">
      <c r="A822" s="62" t="s">
        <v>78</v>
      </c>
      <c r="B822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822" s="64" t="s">
        <v>79</v>
      </c>
      <c r="D822" s="64" t="s">
        <v>80</v>
      </c>
      <c r="E822" s="64" t="s">
        <v>81</v>
      </c>
      <c r="F822" s="64" t="s">
        <v>101</v>
      </c>
      <c r="G822" s="64" t="s">
        <v>83</v>
      </c>
      <c r="H822" s="65" t="str">
        <f>VLOOKUP(Tabla6[[#This Row],[DIRECCIÓN]],DIRECCIÓN[#All],2,0)</f>
        <v>ADMINISTRACIÓN CENTRAL</v>
      </c>
      <c r="I822" s="66" t="s">
        <v>1024</v>
      </c>
      <c r="J822" s="67">
        <v>1</v>
      </c>
      <c r="K822" s="68" t="str">
        <f>VLOOKUP(Tabla6[[#This Row],[DIRECCIÓN GENERAL / COORDINACIÓN / SUBDIRECCIÓN]],Tabla37[[#All],[Columna1]:[EOD]],2,0)</f>
        <v>266_0005</v>
      </c>
      <c r="L822" s="69">
        <f>VLOOKUP(Tabla6[[#This Row],[OBJETIVOS PND]],Listas!$A$1:$C$3,3,0)</f>
        <v>1</v>
      </c>
      <c r="M822" s="70">
        <f>VLOOKUP(Tabla6[[#This Row],[PG]],Listas2!$G$14:$K$16,5,0)</f>
        <v>0</v>
      </c>
      <c r="N822" s="71">
        <v>1</v>
      </c>
      <c r="O822" s="72">
        <v>1201</v>
      </c>
      <c r="P822" s="73" t="str">
        <f>VLOOKUP(Tabla6[[#This Row],[GEO]],Listas!$A$48:$B$77,2,0)</f>
        <v>BABAHOYO</v>
      </c>
      <c r="Q822" s="70">
        <f>VLOOKUP(Tabla6[[#This Row],[PG]],Listas2!$G$14:$K$16,3,0)</f>
        <v>1</v>
      </c>
      <c r="R822" s="73">
        <f>VLOOKUP(Tabla6[[#This Row],[PG]],Listas2!H827:'Listas2'!$G$14:$K$16,4,0)</f>
        <v>0</v>
      </c>
      <c r="S822" s="73">
        <f>VLOOKUP(Tabla6[[#This Row],[PG]],Listas2!$G$14:$K$16,2,0)</f>
        <v>0</v>
      </c>
      <c r="T822" s="66" t="s">
        <v>84</v>
      </c>
      <c r="U822" s="74">
        <v>53</v>
      </c>
      <c r="V822" s="66">
        <v>530201</v>
      </c>
      <c r="W822" s="63" t="str">
        <f>VLOOKUP(Tabla6[[#This Row],[ÍTEM PRESUPUESTARIO]],Tabla2[#All],2,0)</f>
        <v>TRANSPORTE DE PERSONAL</v>
      </c>
      <c r="X822" s="57">
        <v>37200</v>
      </c>
      <c r="Y822" s="57">
        <f>37200-1934.4+1</f>
        <v>35266.6</v>
      </c>
      <c r="Z822" s="58">
        <v>0</v>
      </c>
      <c r="AA822" s="58">
        <v>3100</v>
      </c>
      <c r="AB822" s="58">
        <v>3100</v>
      </c>
      <c r="AC822" s="58">
        <v>3100</v>
      </c>
      <c r="AD822" s="58">
        <v>3100</v>
      </c>
      <c r="AE822" s="58">
        <v>3100</v>
      </c>
      <c r="AF822" s="58">
        <v>3100</v>
      </c>
      <c r="AG822" s="58">
        <v>3100</v>
      </c>
      <c r="AH822" s="58">
        <v>3100</v>
      </c>
      <c r="AI822" s="58">
        <v>3100</v>
      </c>
      <c r="AJ822" s="58">
        <v>3100</v>
      </c>
      <c r="AK822" s="58">
        <v>4266.6000000000004</v>
      </c>
      <c r="AL822" s="75">
        <f>+SUBTOTAL(9,Tabla6[[#This Row],[ENE]:[DIC]])</f>
        <v>35266.6</v>
      </c>
      <c r="AM822" s="76" t="str">
        <f t="shared" si="16"/>
        <v>OK</v>
      </c>
      <c r="AN822" s="60">
        <f>37200-1934.4+1</f>
        <v>35266.6</v>
      </c>
      <c r="AO822" s="61">
        <f>+Tabla6[[#This Row],[PRESUPUESTO VIGENTE]]-Tabla6[[#This Row],[CERTIFICACIÓN PAPP]]</f>
        <v>0</v>
      </c>
      <c r="AP822" s="59">
        <v>0</v>
      </c>
    </row>
    <row r="823" spans="1:42" ht="93" customHeight="1" x14ac:dyDescent="0.25">
      <c r="A823" s="62" t="s">
        <v>78</v>
      </c>
      <c r="B823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823" s="64" t="s">
        <v>79</v>
      </c>
      <c r="D823" s="64" t="s">
        <v>80</v>
      </c>
      <c r="E823" s="64" t="s">
        <v>81</v>
      </c>
      <c r="F823" s="64" t="s">
        <v>101</v>
      </c>
      <c r="G823" s="64" t="s">
        <v>83</v>
      </c>
      <c r="H823" s="65" t="str">
        <f>VLOOKUP(Tabla6[[#This Row],[DIRECCIÓN]],DIRECCIÓN[#All],2,0)</f>
        <v>ADMINISTRACIÓN CENTRAL</v>
      </c>
      <c r="I823" s="66" t="s">
        <v>1025</v>
      </c>
      <c r="J823" s="67">
        <v>1</v>
      </c>
      <c r="K823" s="68" t="str">
        <f>VLOOKUP(Tabla6[[#This Row],[DIRECCIÓN GENERAL / COORDINACIÓN / SUBDIRECCIÓN]],Tabla37[[#All],[Columna1]:[EOD]],2,0)</f>
        <v>266_0005</v>
      </c>
      <c r="L823" s="69">
        <f>VLOOKUP(Tabla6[[#This Row],[OBJETIVOS PND]],Listas!$A$1:$C$3,3,0)</f>
        <v>1</v>
      </c>
      <c r="M823" s="70">
        <f>VLOOKUP(Tabla6[[#This Row],[PG]],Listas2!$G$14:$K$16,5,0)</f>
        <v>0</v>
      </c>
      <c r="N823" s="71">
        <v>1</v>
      </c>
      <c r="O823" s="72">
        <v>1201</v>
      </c>
      <c r="P823" s="73" t="str">
        <f>VLOOKUP(Tabla6[[#This Row],[GEO]],Listas!$A$48:$B$77,2,0)</f>
        <v>BABAHOYO</v>
      </c>
      <c r="Q823" s="70">
        <f>VLOOKUP(Tabla6[[#This Row],[PG]],Listas2!$G$14:$K$16,3,0)</f>
        <v>1</v>
      </c>
      <c r="R823" s="73">
        <f>VLOOKUP(Tabla6[[#This Row],[PG]],Listas2!H828:'Listas2'!$G$14:$K$16,4,0)</f>
        <v>0</v>
      </c>
      <c r="S823" s="73">
        <f>VLOOKUP(Tabla6[[#This Row],[PG]],Listas2!$G$14:$K$16,2,0)</f>
        <v>0</v>
      </c>
      <c r="T823" s="66" t="s">
        <v>84</v>
      </c>
      <c r="U823" s="74">
        <v>53</v>
      </c>
      <c r="V823" s="66">
        <v>530208</v>
      </c>
      <c r="W823" s="63" t="str">
        <f>VLOOKUP(Tabla6[[#This Row],[ÍTEM PRESUPUESTARIO]],Tabla2[#All],2,0)</f>
        <v>SERVICIO DE SEGURIDAD Y VIGILANCIA</v>
      </c>
      <c r="X823" s="57">
        <v>0</v>
      </c>
      <c r="Y823" s="57">
        <f>85893.84-5647.99+1</f>
        <v>80246.849999999991</v>
      </c>
      <c r="Z823" s="58">
        <v>0</v>
      </c>
      <c r="AA823" s="58">
        <v>7808.53</v>
      </c>
      <c r="AB823" s="58">
        <v>7808.53</v>
      </c>
      <c r="AC823" s="58">
        <v>6700</v>
      </c>
      <c r="AD823" s="58">
        <v>6700</v>
      </c>
      <c r="AE823" s="58">
        <v>6700</v>
      </c>
      <c r="AF823" s="58">
        <v>7808.53</v>
      </c>
      <c r="AG823" s="58">
        <v>7808.53</v>
      </c>
      <c r="AH823" s="58">
        <v>8808.5300000000007</v>
      </c>
      <c r="AI823" s="58">
        <v>8808.5300000000007</v>
      </c>
      <c r="AJ823" s="58">
        <v>8808.5300000000007</v>
      </c>
      <c r="AK823" s="58">
        <v>2487.14</v>
      </c>
      <c r="AL823" s="75">
        <f>+SUBTOTAL(9,Tabla6[[#This Row],[ENE]:[DIC]])</f>
        <v>80246.849999999991</v>
      </c>
      <c r="AM823" s="76" t="str">
        <f t="shared" si="16"/>
        <v>OK</v>
      </c>
      <c r="AN823" s="60">
        <f>85893.84-5647.99+1</f>
        <v>80246.849999999991</v>
      </c>
      <c r="AO823" s="61">
        <f>+Tabla6[[#This Row],[PRESUPUESTO VIGENTE]]-Tabla6[[#This Row],[CERTIFICACIÓN PAPP]]</f>
        <v>0</v>
      </c>
      <c r="AP823" s="59">
        <v>0</v>
      </c>
    </row>
    <row r="824" spans="1:42" ht="93" customHeight="1" x14ac:dyDescent="0.25">
      <c r="A824" s="62" t="s">
        <v>78</v>
      </c>
      <c r="B824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824" s="64" t="s">
        <v>79</v>
      </c>
      <c r="D824" s="64" t="s">
        <v>80</v>
      </c>
      <c r="E824" s="64" t="s">
        <v>81</v>
      </c>
      <c r="F824" s="64" t="s">
        <v>101</v>
      </c>
      <c r="G824" s="64" t="s">
        <v>83</v>
      </c>
      <c r="H824" s="65" t="str">
        <f>VLOOKUP(Tabla6[[#This Row],[DIRECCIÓN]],DIRECCIÓN[#All],2,0)</f>
        <v>ADMINISTRACIÓN CENTRAL</v>
      </c>
      <c r="I824" s="66" t="s">
        <v>1026</v>
      </c>
      <c r="J824" s="67">
        <v>1</v>
      </c>
      <c r="K824" s="68" t="str">
        <f>VLOOKUP(Tabla6[[#This Row],[DIRECCIÓN GENERAL / COORDINACIÓN / SUBDIRECCIÓN]],Tabla37[[#All],[Columna1]:[EOD]],2,0)</f>
        <v>266_0005</v>
      </c>
      <c r="L824" s="69">
        <f>VLOOKUP(Tabla6[[#This Row],[OBJETIVOS PND]],Listas!$A$1:$C$3,3,0)</f>
        <v>1</v>
      </c>
      <c r="M824" s="70">
        <f>VLOOKUP(Tabla6[[#This Row],[PG]],Listas2!$G$14:$K$16,5,0)</f>
        <v>0</v>
      </c>
      <c r="N824" s="71">
        <v>1</v>
      </c>
      <c r="O824" s="72">
        <v>1201</v>
      </c>
      <c r="P824" s="73" t="str">
        <f>VLOOKUP(Tabla6[[#This Row],[GEO]],Listas!$A$48:$B$77,2,0)</f>
        <v>BABAHOYO</v>
      </c>
      <c r="Q824" s="70">
        <f>VLOOKUP(Tabla6[[#This Row],[PG]],Listas2!$G$14:$K$16,3,0)</f>
        <v>1</v>
      </c>
      <c r="R824" s="73">
        <f>VLOOKUP(Tabla6[[#This Row],[PG]],Listas2!H829:'Listas2'!$G$14:$K$16,4,0)</f>
        <v>0</v>
      </c>
      <c r="S824" s="73">
        <f>VLOOKUP(Tabla6[[#This Row],[PG]],Listas2!$G$14:$K$16,2,0)</f>
        <v>0</v>
      </c>
      <c r="T824" s="66" t="s">
        <v>84</v>
      </c>
      <c r="U824" s="74">
        <v>53</v>
      </c>
      <c r="V824" s="66">
        <v>530208</v>
      </c>
      <c r="W824" s="63" t="str">
        <f>VLOOKUP(Tabla6[[#This Row],[ÍTEM PRESUPUESTARIO]],Tabla2[#All],2,0)</f>
        <v>SERVICIO DE SEGURIDAD Y VIGILANCIA</v>
      </c>
      <c r="X824" s="57">
        <v>0</v>
      </c>
      <c r="Y824" s="57">
        <f>9100-30.67+1</f>
        <v>9070.33</v>
      </c>
      <c r="Z824" s="58">
        <v>0</v>
      </c>
      <c r="AA824" s="58">
        <v>0</v>
      </c>
      <c r="AB824" s="58">
        <v>0</v>
      </c>
      <c r="AC824" s="58">
        <v>0</v>
      </c>
      <c r="AD824" s="58">
        <v>0</v>
      </c>
      <c r="AE824" s="58">
        <v>0</v>
      </c>
      <c r="AF824" s="58">
        <v>0</v>
      </c>
      <c r="AG824" s="58">
        <v>0</v>
      </c>
      <c r="AH824" s="58">
        <v>0</v>
      </c>
      <c r="AI824" s="58">
        <v>0</v>
      </c>
      <c r="AJ824" s="58">
        <v>4550</v>
      </c>
      <c r="AK824" s="58">
        <v>4520.33</v>
      </c>
      <c r="AL824" s="75">
        <f>+SUBTOTAL(9,Tabla6[[#This Row],[ENE]:[DIC]])</f>
        <v>9070.33</v>
      </c>
      <c r="AM824" s="76" t="str">
        <f t="shared" si="16"/>
        <v>OK</v>
      </c>
      <c r="AN824" s="60">
        <f>9069.33+1</f>
        <v>9070.33</v>
      </c>
      <c r="AO824" s="61">
        <f>+Tabla6[[#This Row],[PRESUPUESTO VIGENTE]]-Tabla6[[#This Row],[CERTIFICACIÓN PAPP]]</f>
        <v>0</v>
      </c>
      <c r="AP824" s="59">
        <v>0</v>
      </c>
    </row>
    <row r="825" spans="1:42" ht="93" customHeight="1" x14ac:dyDescent="0.25">
      <c r="A825" s="62" t="s">
        <v>78</v>
      </c>
      <c r="B825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825" s="64" t="s">
        <v>79</v>
      </c>
      <c r="D825" s="64" t="s">
        <v>80</v>
      </c>
      <c r="E825" s="64" t="s">
        <v>81</v>
      </c>
      <c r="F825" s="64" t="s">
        <v>101</v>
      </c>
      <c r="G825" s="64" t="s">
        <v>83</v>
      </c>
      <c r="H825" s="65" t="str">
        <f>VLOOKUP(Tabla6[[#This Row],[DIRECCIÓN]],DIRECCIÓN[#All],2,0)</f>
        <v>ADMINISTRACIÓN CENTRAL</v>
      </c>
      <c r="I825" s="66" t="s">
        <v>1027</v>
      </c>
      <c r="J825" s="67">
        <v>1</v>
      </c>
      <c r="K825" s="68" t="str">
        <f>VLOOKUP(Tabla6[[#This Row],[DIRECCIÓN GENERAL / COORDINACIÓN / SUBDIRECCIÓN]],Tabla37[[#All],[Columna1]:[EOD]],2,0)</f>
        <v>266_0005</v>
      </c>
      <c r="L825" s="69">
        <f>VLOOKUP(Tabla6[[#This Row],[OBJETIVOS PND]],Listas!$A$1:$C$3,3,0)</f>
        <v>1</v>
      </c>
      <c r="M825" s="70">
        <f>VLOOKUP(Tabla6[[#This Row],[PG]],Listas2!$G$14:$K$16,5,0)</f>
        <v>0</v>
      </c>
      <c r="N825" s="71">
        <v>1</v>
      </c>
      <c r="O825" s="72">
        <v>1201</v>
      </c>
      <c r="P825" s="73" t="str">
        <f>VLOOKUP(Tabla6[[#This Row],[GEO]],Listas!$A$48:$B$77,2,0)</f>
        <v>BABAHOYO</v>
      </c>
      <c r="Q825" s="70">
        <f>VLOOKUP(Tabla6[[#This Row],[PG]],Listas2!$G$14:$K$16,3,0)</f>
        <v>1</v>
      </c>
      <c r="R825" s="73">
        <f>VLOOKUP(Tabla6[[#This Row],[PG]],Listas2!H830:'Listas2'!$G$14:$K$16,4,0)</f>
        <v>0</v>
      </c>
      <c r="S825" s="73">
        <f>VLOOKUP(Tabla6[[#This Row],[PG]],Listas2!$G$14:$K$16,2,0)</f>
        <v>0</v>
      </c>
      <c r="T825" s="66" t="s">
        <v>84</v>
      </c>
      <c r="U825" s="74">
        <v>53</v>
      </c>
      <c r="V825" s="66">
        <v>530209</v>
      </c>
      <c r="W825" s="63" t="str">
        <f>VLOOKUP(Tabla6[[#This Row],[ÍTEM PRESUPUESTARIO]],Tabla2[#All],2,0)</f>
        <v>SERVICIOS DE ASEO, LAVADO DE VESTIMENTA DE TRABAJO, FUMIGACIÓN, DESINFECCIÓN, LIMPIEZA DE INSTALACIONES, MANEJO DE DESECHOS CONTAMINADOS, RECUPERACIÓN Y CLASIFICACIÓN DE MATERIALES RECICLABLES</v>
      </c>
      <c r="X825" s="57">
        <v>69750</v>
      </c>
      <c r="Y825" s="57">
        <f>69750-2532-8857.54+11672.42-6300+6300-372.88+1</f>
        <v>69661</v>
      </c>
      <c r="Z825" s="58">
        <v>0</v>
      </c>
      <c r="AA825" s="58">
        <v>6340</v>
      </c>
      <c r="AB825" s="58">
        <v>6340</v>
      </c>
      <c r="AC825" s="58">
        <v>5672.54</v>
      </c>
      <c r="AD825" s="58">
        <v>5672.54</v>
      </c>
      <c r="AE825" s="58">
        <v>6460.04</v>
      </c>
      <c r="AF825" s="58">
        <v>6460.04</v>
      </c>
      <c r="AG825" s="58">
        <v>6460.04</v>
      </c>
      <c r="AH825" s="58">
        <v>6460.04</v>
      </c>
      <c r="AI825" s="58">
        <v>6460.04</v>
      </c>
      <c r="AJ825" s="58">
        <v>6460.04</v>
      </c>
      <c r="AK825" s="58">
        <v>6875.68</v>
      </c>
      <c r="AL825" s="75">
        <f>+SUBTOTAL(9,Tabla6[[#This Row],[ENE]:[DIC]])</f>
        <v>69661</v>
      </c>
      <c r="AM825" s="76" t="str">
        <f t="shared" si="16"/>
        <v>OK</v>
      </c>
      <c r="AN825" s="60">
        <f>34830+34830+1</f>
        <v>69661</v>
      </c>
      <c r="AO825" s="61">
        <f>+Tabla6[[#This Row],[PRESUPUESTO VIGENTE]]-Tabla6[[#This Row],[CERTIFICACIÓN PAPP]]</f>
        <v>0</v>
      </c>
      <c r="AP825" s="59">
        <v>0</v>
      </c>
    </row>
    <row r="826" spans="1:42" ht="93" customHeight="1" x14ac:dyDescent="0.25">
      <c r="A826" s="62" t="s">
        <v>78</v>
      </c>
      <c r="B826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826" s="64" t="s">
        <v>79</v>
      </c>
      <c r="D826" s="64" t="s">
        <v>80</v>
      </c>
      <c r="E826" s="64" t="s">
        <v>81</v>
      </c>
      <c r="F826" s="64" t="s">
        <v>101</v>
      </c>
      <c r="G826" s="64" t="s">
        <v>83</v>
      </c>
      <c r="H826" s="65" t="str">
        <f>VLOOKUP(Tabla6[[#This Row],[DIRECCIÓN]],DIRECCIÓN[#All],2,0)</f>
        <v>ADMINISTRACIÓN CENTRAL</v>
      </c>
      <c r="I826" s="66" t="s">
        <v>1028</v>
      </c>
      <c r="J826" s="67">
        <v>1</v>
      </c>
      <c r="K826" s="68" t="str">
        <f>VLOOKUP(Tabla6[[#This Row],[DIRECCIÓN GENERAL / COORDINACIÓN / SUBDIRECCIÓN]],Tabla37[[#All],[Columna1]:[EOD]],2,0)</f>
        <v>266_0005</v>
      </c>
      <c r="L826" s="69">
        <f>VLOOKUP(Tabla6[[#This Row],[OBJETIVOS PND]],Listas!$A$1:$C$3,3,0)</f>
        <v>1</v>
      </c>
      <c r="M826" s="70">
        <f>VLOOKUP(Tabla6[[#This Row],[PG]],Listas2!$G$14:$K$16,5,0)</f>
        <v>0</v>
      </c>
      <c r="N826" s="71">
        <v>1</v>
      </c>
      <c r="O826" s="72">
        <v>1201</v>
      </c>
      <c r="P826" s="73" t="str">
        <f>VLOOKUP(Tabla6[[#This Row],[GEO]],Listas!$A$48:$B$77,2,0)</f>
        <v>BABAHOYO</v>
      </c>
      <c r="Q826" s="70">
        <f>VLOOKUP(Tabla6[[#This Row],[PG]],Listas2!$G$14:$K$16,3,0)</f>
        <v>1</v>
      </c>
      <c r="R826" s="73">
        <f>VLOOKUP(Tabla6[[#This Row],[PG]],Listas2!H831:'Listas2'!$G$14:$K$16,4,0)</f>
        <v>0</v>
      </c>
      <c r="S826" s="73">
        <f>VLOOKUP(Tabla6[[#This Row],[PG]],Listas2!$G$14:$K$16,2,0)</f>
        <v>0</v>
      </c>
      <c r="T826" s="66" t="s">
        <v>84</v>
      </c>
      <c r="U826" s="74">
        <v>53</v>
      </c>
      <c r="V826" s="66">
        <v>530209</v>
      </c>
      <c r="W826" s="63" t="str">
        <f>VLOOKUP(Tabla6[[#This Row],[ÍTEM PRESUPUESTARIO]],Tabla2[#All],2,0)</f>
        <v>SERVICIOS DE ASEO, LAVADO DE VESTIMENTA DE TRABAJO, FUMIGACIÓN, DESINFECCIÓN, LIMPIEZA DE INSTALACIONES, MANEJO DE DESECHOS CONTAMINADOS, RECUPERACIÓN Y CLASIFICACIÓN DE MATERIALES RECICLABLES</v>
      </c>
      <c r="X826" s="57">
        <v>11400</v>
      </c>
      <c r="Y826" s="57">
        <f>11400+2532+1</f>
        <v>13933</v>
      </c>
      <c r="Z826" s="58">
        <v>0</v>
      </c>
      <c r="AA826" s="58">
        <v>1935.77</v>
      </c>
      <c r="AB826" s="58">
        <v>1935.77</v>
      </c>
      <c r="AC826" s="58">
        <v>1200</v>
      </c>
      <c r="AD826" s="58">
        <v>1200</v>
      </c>
      <c r="AE826" s="58">
        <v>1200</v>
      </c>
      <c r="AF826" s="58">
        <v>1200</v>
      </c>
      <c r="AG826" s="58">
        <v>1200</v>
      </c>
      <c r="AH826" s="58">
        <v>1200</v>
      </c>
      <c r="AI826" s="58">
        <v>1200</v>
      </c>
      <c r="AJ826" s="58">
        <v>1200</v>
      </c>
      <c r="AK826" s="58">
        <v>461.46</v>
      </c>
      <c r="AL826" s="75">
        <f>+SUBTOTAL(9,Tabla6[[#This Row],[ENE]:[DIC]])</f>
        <v>13933</v>
      </c>
      <c r="AM826" s="76" t="str">
        <f t="shared" si="16"/>
        <v>OK</v>
      </c>
      <c r="AN826" s="60">
        <f>13932+1</f>
        <v>13933</v>
      </c>
      <c r="AO826" s="61">
        <f>+Tabla6[[#This Row],[PRESUPUESTO VIGENTE]]-Tabla6[[#This Row],[CERTIFICACIÓN PAPP]]</f>
        <v>0</v>
      </c>
      <c r="AP826" s="59">
        <v>0</v>
      </c>
    </row>
    <row r="827" spans="1:42" ht="93" customHeight="1" x14ac:dyDescent="0.25">
      <c r="A827" s="62" t="s">
        <v>78</v>
      </c>
      <c r="B827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827" s="64" t="s">
        <v>79</v>
      </c>
      <c r="D827" s="64" t="s">
        <v>80</v>
      </c>
      <c r="E827" s="64" t="s">
        <v>81</v>
      </c>
      <c r="F827" s="64" t="s">
        <v>101</v>
      </c>
      <c r="G827" s="64" t="s">
        <v>83</v>
      </c>
      <c r="H827" s="65" t="str">
        <f>VLOOKUP(Tabla6[[#This Row],[DIRECCIÓN]],DIRECCIÓN[#All],2,0)</f>
        <v>ADMINISTRACIÓN CENTRAL</v>
      </c>
      <c r="I827" s="66" t="s">
        <v>1029</v>
      </c>
      <c r="J827" s="67">
        <v>1</v>
      </c>
      <c r="K827" s="68" t="str">
        <f>VLOOKUP(Tabla6[[#This Row],[DIRECCIÓN GENERAL / COORDINACIÓN / SUBDIRECCIÓN]],Tabla37[[#All],[Columna1]:[EOD]],2,0)</f>
        <v>266_0005</v>
      </c>
      <c r="L827" s="69">
        <f>VLOOKUP(Tabla6[[#This Row],[OBJETIVOS PND]],Listas!$A$1:$C$3,3,0)</f>
        <v>1</v>
      </c>
      <c r="M827" s="70">
        <f>VLOOKUP(Tabla6[[#This Row],[PG]],Listas2!$G$14:$K$16,5,0)</f>
        <v>0</v>
      </c>
      <c r="N827" s="71">
        <v>1</v>
      </c>
      <c r="O827" s="72">
        <v>1201</v>
      </c>
      <c r="P827" s="73" t="str">
        <f>VLOOKUP(Tabla6[[#This Row],[GEO]],Listas!$A$48:$B$77,2,0)</f>
        <v>BABAHOYO</v>
      </c>
      <c r="Q827" s="70">
        <f>VLOOKUP(Tabla6[[#This Row],[PG]],Listas2!$G$14:$K$16,3,0)</f>
        <v>1</v>
      </c>
      <c r="R827" s="73">
        <f>VLOOKUP(Tabla6[[#This Row],[PG]],Listas2!H832:'Listas2'!$G$14:$K$16,4,0)</f>
        <v>0</v>
      </c>
      <c r="S827" s="73">
        <f>VLOOKUP(Tabla6[[#This Row],[PG]],Listas2!$G$14:$K$16,2,0)</f>
        <v>0</v>
      </c>
      <c r="T827" s="66" t="s">
        <v>84</v>
      </c>
      <c r="U827" s="74">
        <v>53</v>
      </c>
      <c r="V827" s="66">
        <v>530255</v>
      </c>
      <c r="W827" s="63" t="str">
        <f>VLOOKUP(Tabla6[[#This Row],[ÍTEM PRESUPUESTARIO]],Tabla2[#All],2,0)</f>
        <v>COMBUSTIBLES</v>
      </c>
      <c r="X827" s="57">
        <v>0</v>
      </c>
      <c r="Y827" s="57">
        <f>4108-0.85</f>
        <v>4107.1499999999996</v>
      </c>
      <c r="Z827" s="58">
        <v>0</v>
      </c>
      <c r="AA827" s="58">
        <v>0</v>
      </c>
      <c r="AB827" s="58">
        <v>4107.1499999999996</v>
      </c>
      <c r="AC827" s="58">
        <v>0</v>
      </c>
      <c r="AD827" s="58">
        <v>0</v>
      </c>
      <c r="AE827" s="58">
        <v>0</v>
      </c>
      <c r="AF827" s="58">
        <v>0</v>
      </c>
      <c r="AG827" s="58">
        <v>0</v>
      </c>
      <c r="AH827" s="58">
        <v>0</v>
      </c>
      <c r="AI827" s="58">
        <v>0</v>
      </c>
      <c r="AJ827" s="58">
        <v>0</v>
      </c>
      <c r="AK827" s="58">
        <v>0</v>
      </c>
      <c r="AL827" s="75">
        <f>+SUBTOTAL(9,Tabla6[[#This Row],[ENE]:[DIC]])</f>
        <v>4107.1499999999996</v>
      </c>
      <c r="AM827" s="76" t="str">
        <f t="shared" si="16"/>
        <v>OK</v>
      </c>
      <c r="AN827" s="60">
        <v>4107.1499999999996</v>
      </c>
      <c r="AO827" s="61">
        <f>+Tabla6[[#This Row],[PRESUPUESTO VIGENTE]]-Tabla6[[#This Row],[CERTIFICACIÓN PAPP]]</f>
        <v>0</v>
      </c>
      <c r="AP827" s="59">
        <v>0</v>
      </c>
    </row>
    <row r="828" spans="1:42" ht="93" customHeight="1" x14ac:dyDescent="0.25">
      <c r="A828" s="62" t="s">
        <v>78</v>
      </c>
      <c r="B828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828" s="64" t="s">
        <v>79</v>
      </c>
      <c r="D828" s="64" t="s">
        <v>80</v>
      </c>
      <c r="E828" s="64" t="s">
        <v>81</v>
      </c>
      <c r="F828" s="64" t="s">
        <v>101</v>
      </c>
      <c r="G828" s="64" t="s">
        <v>83</v>
      </c>
      <c r="H828" s="65" t="str">
        <f>VLOOKUP(Tabla6[[#This Row],[DIRECCIÓN]],DIRECCIÓN[#All],2,0)</f>
        <v>ADMINISTRACIÓN CENTRAL</v>
      </c>
      <c r="I828" s="66" t="s">
        <v>1030</v>
      </c>
      <c r="J828" s="67">
        <v>2</v>
      </c>
      <c r="K828" s="68" t="str">
        <f>VLOOKUP(Tabla6[[#This Row],[DIRECCIÓN GENERAL / COORDINACIÓN / SUBDIRECCIÓN]],Tabla37[[#All],[Columna1]:[EOD]],2,0)</f>
        <v>266_0005</v>
      </c>
      <c r="L828" s="69">
        <f>VLOOKUP(Tabla6[[#This Row],[OBJETIVOS PND]],Listas!$A$1:$C$3,3,0)</f>
        <v>1</v>
      </c>
      <c r="M828" s="70">
        <f>VLOOKUP(Tabla6[[#This Row],[PG]],Listas2!$G$14:$K$16,5,0)</f>
        <v>0</v>
      </c>
      <c r="N828" s="71">
        <v>1</v>
      </c>
      <c r="O828" s="72">
        <v>1201</v>
      </c>
      <c r="P828" s="73" t="str">
        <f>VLOOKUP(Tabla6[[#This Row],[GEO]],Listas!$A$48:$B$77,2,0)</f>
        <v>BABAHOYO</v>
      </c>
      <c r="Q828" s="70">
        <f>VLOOKUP(Tabla6[[#This Row],[PG]],Listas2!$G$14:$K$16,3,0)</f>
        <v>1</v>
      </c>
      <c r="R828" s="73">
        <f>VLOOKUP(Tabla6[[#This Row],[PG]],Listas2!H833:'Listas2'!$G$14:$K$16,4,0)</f>
        <v>0</v>
      </c>
      <c r="S828" s="73">
        <f>VLOOKUP(Tabla6[[#This Row],[PG]],Listas2!$G$14:$K$16,2,0)</f>
        <v>0</v>
      </c>
      <c r="T828" s="66" t="s">
        <v>84</v>
      </c>
      <c r="U828" s="74">
        <v>53</v>
      </c>
      <c r="V828" s="66">
        <v>530301</v>
      </c>
      <c r="W828" s="63" t="str">
        <f>VLOOKUP(Tabla6[[#This Row],[ÍTEM PRESUPUESTARIO]],Tabla2[#All],2,0)</f>
        <v>PASAJES AL INTERIOR</v>
      </c>
      <c r="X828" s="57">
        <v>100</v>
      </c>
      <c r="Y828" s="57">
        <f>100+100</f>
        <v>200</v>
      </c>
      <c r="Z828" s="58">
        <v>0</v>
      </c>
      <c r="AA828" s="58">
        <v>0</v>
      </c>
      <c r="AB828" s="58">
        <v>0</v>
      </c>
      <c r="AC828" s="58">
        <v>20</v>
      </c>
      <c r="AD828" s="58">
        <v>0</v>
      </c>
      <c r="AE828" s="58">
        <v>80</v>
      </c>
      <c r="AF828" s="58">
        <v>0</v>
      </c>
      <c r="AG828" s="58">
        <v>0</v>
      </c>
      <c r="AH828" s="58">
        <v>0</v>
      </c>
      <c r="AI828" s="58">
        <v>80</v>
      </c>
      <c r="AJ828" s="58">
        <v>0</v>
      </c>
      <c r="AK828" s="58">
        <v>20</v>
      </c>
      <c r="AL828" s="75">
        <f>+SUBTOTAL(9,Tabla6[[#This Row],[ENE]:[DIC]])</f>
        <v>200</v>
      </c>
      <c r="AM828" s="76" t="str">
        <f t="shared" ref="AM828:AM891" si="17">IF(AL828=Y828,"OK",Y828-AL828)</f>
        <v>OK</v>
      </c>
      <c r="AN828" s="60">
        <f>99.5-5.7+106.2</f>
        <v>200</v>
      </c>
      <c r="AO828" s="61">
        <f>+Tabla6[[#This Row],[PRESUPUESTO VIGENTE]]-Tabla6[[#This Row],[CERTIFICACIÓN PAPP]]</f>
        <v>0</v>
      </c>
      <c r="AP828" s="59">
        <v>0</v>
      </c>
    </row>
    <row r="829" spans="1:42" ht="93" customHeight="1" x14ac:dyDescent="0.25">
      <c r="A829" s="62" t="s">
        <v>78</v>
      </c>
      <c r="B829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829" s="64" t="s">
        <v>79</v>
      </c>
      <c r="D829" s="64" t="s">
        <v>80</v>
      </c>
      <c r="E829" s="64" t="s">
        <v>81</v>
      </c>
      <c r="F829" s="64" t="s">
        <v>101</v>
      </c>
      <c r="G829" s="64" t="s">
        <v>83</v>
      </c>
      <c r="H829" s="65" t="str">
        <f>VLOOKUP(Tabla6[[#This Row],[DIRECCIÓN]],DIRECCIÓN[#All],2,0)</f>
        <v>ADMINISTRACIÓN CENTRAL</v>
      </c>
      <c r="I829" s="66" t="s">
        <v>1031</v>
      </c>
      <c r="J829" s="67">
        <v>1</v>
      </c>
      <c r="K829" s="68" t="str">
        <f>VLOOKUP(Tabla6[[#This Row],[DIRECCIÓN GENERAL / COORDINACIÓN / SUBDIRECCIÓN]],Tabla37[[#All],[Columna1]:[EOD]],2,0)</f>
        <v>266_0005</v>
      </c>
      <c r="L829" s="69">
        <f>VLOOKUP(Tabla6[[#This Row],[OBJETIVOS PND]],Listas!$A$1:$C$3,3,0)</f>
        <v>1</v>
      </c>
      <c r="M829" s="70">
        <f>VLOOKUP(Tabla6[[#This Row],[PG]],Listas2!$G$14:$K$16,5,0)</f>
        <v>0</v>
      </c>
      <c r="N829" s="71">
        <v>1</v>
      </c>
      <c r="O829" s="72">
        <v>1201</v>
      </c>
      <c r="P829" s="73" t="str">
        <f>VLOOKUP(Tabla6[[#This Row],[GEO]],Listas!$A$48:$B$77,2,0)</f>
        <v>BABAHOYO</v>
      </c>
      <c r="Q829" s="70">
        <f>VLOOKUP(Tabla6[[#This Row],[PG]],Listas2!$G$14:$K$16,3,0)</f>
        <v>1</v>
      </c>
      <c r="R829" s="73">
        <f>VLOOKUP(Tabla6[[#This Row],[PG]],Listas2!H834:'Listas2'!$G$14:$K$16,4,0)</f>
        <v>0</v>
      </c>
      <c r="S829" s="73">
        <f>VLOOKUP(Tabla6[[#This Row],[PG]],Listas2!$G$14:$K$16,2,0)</f>
        <v>0</v>
      </c>
      <c r="T829" s="66" t="s">
        <v>84</v>
      </c>
      <c r="U829" s="74">
        <v>53</v>
      </c>
      <c r="V829" s="66">
        <v>530303</v>
      </c>
      <c r="W829" s="63" t="str">
        <f>VLOOKUP(Tabla6[[#This Row],[ÍTEM PRESUPUESTARIO]],Tabla2[#All],2,0)</f>
        <v>VIÁTICOS Y SUBSISTENCIAS EN EL INTERIOR</v>
      </c>
      <c r="X829" s="57">
        <v>2000</v>
      </c>
      <c r="Y829" s="57">
        <f>2000+547.85+924.98+1000+1158.92+2346.04-197.48-197.48-1182.32</f>
        <v>6400.5100000000011</v>
      </c>
      <c r="Z829" s="58">
        <v>0</v>
      </c>
      <c r="AA829" s="58">
        <v>0</v>
      </c>
      <c r="AB829" s="58">
        <v>0</v>
      </c>
      <c r="AC829" s="58">
        <v>525</v>
      </c>
      <c r="AD829" s="58">
        <v>0</v>
      </c>
      <c r="AE829" s="58">
        <v>500</v>
      </c>
      <c r="AF829" s="58">
        <v>0</v>
      </c>
      <c r="AG829" s="58">
        <v>808.33</v>
      </c>
      <c r="AH829" s="58">
        <v>579.46</v>
      </c>
      <c r="AI829" s="58">
        <v>1657.52</v>
      </c>
      <c r="AJ829" s="58">
        <v>1855</v>
      </c>
      <c r="AK829" s="58">
        <v>475.2</v>
      </c>
      <c r="AL829" s="75">
        <f>+SUBTOTAL(9,Tabla6[[#This Row],[ENE]:[DIC]])</f>
        <v>6400.5099999999993</v>
      </c>
      <c r="AM829" s="76" t="str">
        <f t="shared" si="17"/>
        <v>OK</v>
      </c>
      <c r="AN829" s="60">
        <f>1400+224.17+336+1000+280+336+480+1176+2500-2649.34+2500-424+424-1182.32</f>
        <v>6400.51</v>
      </c>
      <c r="AO829" s="61">
        <f>+Tabla6[[#This Row],[PRESUPUESTO VIGENTE]]-Tabla6[[#This Row],[CERTIFICACIÓN PAPP]]</f>
        <v>0</v>
      </c>
      <c r="AP829" s="59">
        <v>0</v>
      </c>
    </row>
    <row r="830" spans="1:42" ht="93" customHeight="1" x14ac:dyDescent="0.25">
      <c r="A830" s="62" t="s">
        <v>78</v>
      </c>
      <c r="B830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830" s="64" t="s">
        <v>79</v>
      </c>
      <c r="D830" s="64" t="s">
        <v>80</v>
      </c>
      <c r="E830" s="64" t="s">
        <v>81</v>
      </c>
      <c r="F830" s="64" t="s">
        <v>101</v>
      </c>
      <c r="G830" s="64" t="s">
        <v>83</v>
      </c>
      <c r="H830" s="65" t="str">
        <f>VLOOKUP(Tabla6[[#This Row],[DIRECCIÓN]],DIRECCIÓN[#All],2,0)</f>
        <v>ADMINISTRACIÓN CENTRAL</v>
      </c>
      <c r="I830" s="66" t="s">
        <v>1032</v>
      </c>
      <c r="J830" s="67">
        <v>1</v>
      </c>
      <c r="K830" s="68" t="str">
        <f>VLOOKUP(Tabla6[[#This Row],[DIRECCIÓN GENERAL / COORDINACIÓN / SUBDIRECCIÓN]],Tabla37[[#All],[Columna1]:[EOD]],2,0)</f>
        <v>266_0005</v>
      </c>
      <c r="L830" s="69">
        <f>VLOOKUP(Tabla6[[#This Row],[OBJETIVOS PND]],Listas!$A$1:$C$3,3,0)</f>
        <v>1</v>
      </c>
      <c r="M830" s="70">
        <f>VLOOKUP(Tabla6[[#This Row],[PG]],Listas2!$G$14:$K$16,5,0)</f>
        <v>0</v>
      </c>
      <c r="N830" s="71">
        <v>1</v>
      </c>
      <c r="O830" s="72">
        <v>1201</v>
      </c>
      <c r="P830" s="73" t="str">
        <f>VLOOKUP(Tabla6[[#This Row],[GEO]],Listas!$A$48:$B$77,2,0)</f>
        <v>BABAHOYO</v>
      </c>
      <c r="Q830" s="70">
        <f>VLOOKUP(Tabla6[[#This Row],[PG]],Listas2!$G$14:$K$16,3,0)</f>
        <v>1</v>
      </c>
      <c r="R830" s="73">
        <f>VLOOKUP(Tabla6[[#This Row],[PG]],Listas2!H835:'Listas2'!$G$14:$K$16,4,0)</f>
        <v>0</v>
      </c>
      <c r="S830" s="73">
        <f>VLOOKUP(Tabla6[[#This Row],[PG]],Listas2!$G$14:$K$16,2,0)</f>
        <v>0</v>
      </c>
      <c r="T830" s="66" t="s">
        <v>84</v>
      </c>
      <c r="U830" s="74">
        <v>53</v>
      </c>
      <c r="V830" s="66">
        <v>530402</v>
      </c>
      <c r="W830" s="63" t="str">
        <f>VLOOKUP(Tabla6[[#This Row],[ÍTEM PRESUPUESTARIO]],Tabla2[#All],2,0)</f>
        <v>EDIFICIOS, LOCALES, RESIDENCIAS Y CABLEADO ESTRUCTURADO (INSTALACIÓN, MANTENIMIENTO Y REPARACIÓN)</v>
      </c>
      <c r="X830" s="57">
        <v>0</v>
      </c>
      <c r="Y830" s="57">
        <f>15400-15400</f>
        <v>0</v>
      </c>
      <c r="Z830" s="58">
        <v>0</v>
      </c>
      <c r="AA830" s="58">
        <v>0</v>
      </c>
      <c r="AB830" s="58">
        <v>0</v>
      </c>
      <c r="AC830" s="58">
        <v>0</v>
      </c>
      <c r="AD830" s="58">
        <v>0</v>
      </c>
      <c r="AE830" s="58">
        <v>0</v>
      </c>
      <c r="AF830" s="58">
        <v>0</v>
      </c>
      <c r="AG830" s="58">
        <v>0</v>
      </c>
      <c r="AH830" s="58">
        <v>0</v>
      </c>
      <c r="AI830" s="58">
        <v>0</v>
      </c>
      <c r="AJ830" s="58">
        <v>0</v>
      </c>
      <c r="AK830" s="58">
        <v>0</v>
      </c>
      <c r="AL830" s="75">
        <f>+SUBTOTAL(9,Tabla6[[#This Row],[ENE]:[DIC]])</f>
        <v>0</v>
      </c>
      <c r="AM830" s="76" t="str">
        <f t="shared" si="17"/>
        <v>OK</v>
      </c>
      <c r="AN830" s="60">
        <v>0</v>
      </c>
      <c r="AO830" s="61">
        <f>+Tabla6[[#This Row],[PRESUPUESTO VIGENTE]]-Tabla6[[#This Row],[CERTIFICACIÓN PAPP]]</f>
        <v>0</v>
      </c>
      <c r="AP830" s="59">
        <v>0</v>
      </c>
    </row>
    <row r="831" spans="1:42" ht="93" customHeight="1" x14ac:dyDescent="0.25">
      <c r="A831" s="62" t="s">
        <v>78</v>
      </c>
      <c r="B831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831" s="64" t="s">
        <v>79</v>
      </c>
      <c r="D831" s="64" t="s">
        <v>80</v>
      </c>
      <c r="E831" s="64" t="s">
        <v>81</v>
      </c>
      <c r="F831" s="64" t="s">
        <v>101</v>
      </c>
      <c r="G831" s="64" t="s">
        <v>83</v>
      </c>
      <c r="H831" s="65" t="str">
        <f>VLOOKUP(Tabla6[[#This Row],[DIRECCIÓN]],DIRECCIÓN[#All],2,0)</f>
        <v>ADMINISTRACIÓN CENTRAL</v>
      </c>
      <c r="I831" s="66" t="s">
        <v>1033</v>
      </c>
      <c r="J831" s="67">
        <v>1</v>
      </c>
      <c r="K831" s="68" t="str">
        <f>VLOOKUP(Tabla6[[#This Row],[DIRECCIÓN GENERAL / COORDINACIÓN / SUBDIRECCIÓN]],Tabla37[[#All],[Columna1]:[EOD]],2,0)</f>
        <v>266_0005</v>
      </c>
      <c r="L831" s="69">
        <f>VLOOKUP(Tabla6[[#This Row],[OBJETIVOS PND]],Listas!$A$1:$C$3,3,0)</f>
        <v>1</v>
      </c>
      <c r="M831" s="70">
        <f>VLOOKUP(Tabla6[[#This Row],[PG]],Listas2!$G$14:$K$16,5,0)</f>
        <v>0</v>
      </c>
      <c r="N831" s="71">
        <v>1</v>
      </c>
      <c r="O831" s="72">
        <v>1201</v>
      </c>
      <c r="P831" s="73" t="str">
        <f>VLOOKUP(Tabla6[[#This Row],[GEO]],Listas!$A$48:$B$77,2,0)</f>
        <v>BABAHOYO</v>
      </c>
      <c r="Q831" s="70">
        <f>VLOOKUP(Tabla6[[#This Row],[PG]],Listas2!$G$14:$K$16,3,0)</f>
        <v>1</v>
      </c>
      <c r="R831" s="73">
        <f>VLOOKUP(Tabla6[[#This Row],[PG]],Listas2!H836:'Listas2'!$G$14:$K$16,4,0)</f>
        <v>0</v>
      </c>
      <c r="S831" s="73">
        <f>VLOOKUP(Tabla6[[#This Row],[PG]],Listas2!$G$14:$K$16,2,0)</f>
        <v>0</v>
      </c>
      <c r="T831" s="66" t="s">
        <v>84</v>
      </c>
      <c r="U831" s="74">
        <v>53</v>
      </c>
      <c r="V831" s="66">
        <v>530402</v>
      </c>
      <c r="W831" s="63" t="str">
        <f>VLOOKUP(Tabla6[[#This Row],[ÍTEM PRESUPUESTARIO]],Tabla2[#All],2,0)</f>
        <v>EDIFICIOS, LOCALES, RESIDENCIAS Y CABLEADO ESTRUCTURADO (INSTALACIÓN, MANTENIMIENTO Y REPARACIÓN)</v>
      </c>
      <c r="X831" s="57">
        <v>0</v>
      </c>
      <c r="Y831" s="57">
        <f>5000-2652.95+1762.95</f>
        <v>4110</v>
      </c>
      <c r="Z831" s="58">
        <v>0</v>
      </c>
      <c r="AA831" s="58">
        <v>0</v>
      </c>
      <c r="AB831" s="58">
        <v>0</v>
      </c>
      <c r="AC831" s="58">
        <v>0</v>
      </c>
      <c r="AD831" s="58">
        <v>0</v>
      </c>
      <c r="AE831" s="58">
        <v>0</v>
      </c>
      <c r="AF831" s="58">
        <v>0</v>
      </c>
      <c r="AG831" s="58">
        <v>0</v>
      </c>
      <c r="AH831" s="58">
        <v>0</v>
      </c>
      <c r="AI831" s="58">
        <v>4110</v>
      </c>
      <c r="AJ831" s="58">
        <v>0</v>
      </c>
      <c r="AK831" s="58">
        <v>0</v>
      </c>
      <c r="AL831" s="75">
        <f>+SUBTOTAL(9,Tabla6[[#This Row],[ENE]:[DIC]])</f>
        <v>4110</v>
      </c>
      <c r="AM831" s="76" t="str">
        <f t="shared" si="17"/>
        <v>OK</v>
      </c>
      <c r="AN831" s="60">
        <v>4110</v>
      </c>
      <c r="AO831" s="61">
        <f>+Tabla6[[#This Row],[PRESUPUESTO VIGENTE]]-Tabla6[[#This Row],[CERTIFICACIÓN PAPP]]</f>
        <v>0</v>
      </c>
      <c r="AP831" s="59">
        <v>0</v>
      </c>
    </row>
    <row r="832" spans="1:42" ht="93" customHeight="1" x14ac:dyDescent="0.25">
      <c r="A832" s="62" t="s">
        <v>78</v>
      </c>
      <c r="B832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832" s="64" t="s">
        <v>79</v>
      </c>
      <c r="D832" s="64" t="s">
        <v>80</v>
      </c>
      <c r="E832" s="64" t="s">
        <v>81</v>
      </c>
      <c r="F832" s="64" t="s">
        <v>101</v>
      </c>
      <c r="G832" s="64" t="s">
        <v>83</v>
      </c>
      <c r="H832" s="65" t="str">
        <f>VLOOKUP(Tabla6[[#This Row],[DIRECCIÓN]],DIRECCIÓN[#All],2,0)</f>
        <v>ADMINISTRACIÓN CENTRAL</v>
      </c>
      <c r="I832" s="66" t="s">
        <v>1034</v>
      </c>
      <c r="J832" s="67">
        <v>2</v>
      </c>
      <c r="K832" s="68" t="str">
        <f>VLOOKUP(Tabla6[[#This Row],[DIRECCIÓN GENERAL / COORDINACIÓN / SUBDIRECCIÓN]],Tabla37[[#All],[Columna1]:[EOD]],2,0)</f>
        <v>266_0005</v>
      </c>
      <c r="L832" s="69">
        <f>VLOOKUP(Tabla6[[#This Row],[OBJETIVOS PND]],Listas!$A$1:$C$3,3,0)</f>
        <v>1</v>
      </c>
      <c r="M832" s="70">
        <f>VLOOKUP(Tabla6[[#This Row],[PG]],Listas2!$G$14:$K$16,5,0)</f>
        <v>0</v>
      </c>
      <c r="N832" s="71">
        <v>1</v>
      </c>
      <c r="O832" s="72">
        <v>1201</v>
      </c>
      <c r="P832" s="73" t="str">
        <f>VLOOKUP(Tabla6[[#This Row],[GEO]],Listas!$A$48:$B$77,2,0)</f>
        <v>BABAHOYO</v>
      </c>
      <c r="Q832" s="70">
        <f>VLOOKUP(Tabla6[[#This Row],[PG]],Listas2!$G$14:$K$16,3,0)</f>
        <v>1</v>
      </c>
      <c r="R832" s="73">
        <f>VLOOKUP(Tabla6[[#This Row],[PG]],Listas2!H837:'Listas2'!$G$14:$K$16,4,0)</f>
        <v>0</v>
      </c>
      <c r="S832" s="73">
        <f>VLOOKUP(Tabla6[[#This Row],[PG]],Listas2!$G$14:$K$16,2,0)</f>
        <v>0</v>
      </c>
      <c r="T832" s="66" t="s">
        <v>84</v>
      </c>
      <c r="U832" s="74">
        <v>53</v>
      </c>
      <c r="V832" s="66">
        <v>530402</v>
      </c>
      <c r="W832" s="63" t="str">
        <f>VLOOKUP(Tabla6[[#This Row],[ÍTEM PRESUPUESTARIO]],Tabla2[#All],2,0)</f>
        <v>EDIFICIOS, LOCALES, RESIDENCIAS Y CABLEADO ESTRUCTURADO (INSTALACIÓN, MANTENIMIENTO Y REPARACIÓN)</v>
      </c>
      <c r="X832" s="57">
        <v>0</v>
      </c>
      <c r="Y832" s="57">
        <f>200+200-200+194.64</f>
        <v>394.64</v>
      </c>
      <c r="Z832" s="58">
        <v>0</v>
      </c>
      <c r="AA832" s="58">
        <v>0</v>
      </c>
      <c r="AB832" s="58">
        <v>0</v>
      </c>
      <c r="AC832" s="58">
        <v>0</v>
      </c>
      <c r="AD832" s="58">
        <v>0</v>
      </c>
      <c r="AE832" s="58">
        <v>0</v>
      </c>
      <c r="AF832" s="58">
        <v>0</v>
      </c>
      <c r="AG832" s="58">
        <v>0</v>
      </c>
      <c r="AH832" s="58">
        <v>0</v>
      </c>
      <c r="AI832" s="58">
        <v>394.64</v>
      </c>
      <c r="AJ832" s="58">
        <v>0</v>
      </c>
      <c r="AK832" s="58">
        <v>0</v>
      </c>
      <c r="AL832" s="75">
        <f>+SUBTOTAL(9,Tabla6[[#This Row],[ENE]:[DIC]])</f>
        <v>394.64</v>
      </c>
      <c r="AM832" s="76" t="str">
        <f t="shared" si="17"/>
        <v>OK</v>
      </c>
      <c r="AN832" s="60">
        <f>94.1+100.54+200</f>
        <v>394.64</v>
      </c>
      <c r="AO832" s="61">
        <f>+Tabla6[[#This Row],[PRESUPUESTO VIGENTE]]-Tabla6[[#This Row],[CERTIFICACIÓN PAPP]]</f>
        <v>0</v>
      </c>
      <c r="AP832" s="59">
        <v>0</v>
      </c>
    </row>
    <row r="833" spans="1:42" ht="93" customHeight="1" x14ac:dyDescent="0.25">
      <c r="A833" s="62" t="s">
        <v>78</v>
      </c>
      <c r="B833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833" s="64" t="s">
        <v>79</v>
      </c>
      <c r="D833" s="64" t="s">
        <v>80</v>
      </c>
      <c r="E833" s="64" t="s">
        <v>81</v>
      </c>
      <c r="F833" s="64" t="s">
        <v>101</v>
      </c>
      <c r="G833" s="64" t="s">
        <v>83</v>
      </c>
      <c r="H833" s="65" t="str">
        <f>VLOOKUP(Tabla6[[#This Row],[DIRECCIÓN]],DIRECCIÓN[#All],2,0)</f>
        <v>ADMINISTRACIÓN CENTRAL</v>
      </c>
      <c r="I833" s="66" t="s">
        <v>1035</v>
      </c>
      <c r="J833" s="67">
        <v>2</v>
      </c>
      <c r="K833" s="68" t="str">
        <f>VLOOKUP(Tabla6[[#This Row],[DIRECCIÓN GENERAL / COORDINACIÓN / SUBDIRECCIÓN]],Tabla37[[#All],[Columna1]:[EOD]],2,0)</f>
        <v>266_0005</v>
      </c>
      <c r="L833" s="69">
        <f>VLOOKUP(Tabla6[[#This Row],[OBJETIVOS PND]],Listas!$A$1:$C$3,3,0)</f>
        <v>1</v>
      </c>
      <c r="M833" s="70">
        <f>VLOOKUP(Tabla6[[#This Row],[PG]],Listas2!$G$14:$K$16,5,0)</f>
        <v>0</v>
      </c>
      <c r="N833" s="71">
        <v>1</v>
      </c>
      <c r="O833" s="72">
        <v>1201</v>
      </c>
      <c r="P833" s="73" t="str">
        <f>VLOOKUP(Tabla6[[#This Row],[GEO]],Listas!$A$48:$B$77,2,0)</f>
        <v>BABAHOYO</v>
      </c>
      <c r="Q833" s="70">
        <f>VLOOKUP(Tabla6[[#This Row],[PG]],Listas2!$G$14:$K$16,3,0)</f>
        <v>1</v>
      </c>
      <c r="R833" s="73">
        <f>VLOOKUP(Tabla6[[#This Row],[PG]],Listas2!H838:'Listas2'!$G$14:$K$16,4,0)</f>
        <v>0</v>
      </c>
      <c r="S833" s="73">
        <f>VLOOKUP(Tabla6[[#This Row],[PG]],Listas2!$G$14:$K$16,2,0)</f>
        <v>0</v>
      </c>
      <c r="T833" s="66" t="s">
        <v>84</v>
      </c>
      <c r="U833" s="74">
        <v>53</v>
      </c>
      <c r="V833" s="66">
        <v>530403</v>
      </c>
      <c r="W833" s="63" t="str">
        <f>VLOOKUP(Tabla6[[#This Row],[ÍTEM PRESUPUESTARIO]],Tabla2[#All],2,0)</f>
        <v>MOBILIARIOS (INSTALACIÓN, MANTENIMIENTO Y REPARACIÓN)</v>
      </c>
      <c r="X833" s="57">
        <v>4465</v>
      </c>
      <c r="Y833" s="57">
        <f>4465-4465</f>
        <v>0</v>
      </c>
      <c r="Z833" s="58">
        <v>0</v>
      </c>
      <c r="AA833" s="58">
        <v>0</v>
      </c>
      <c r="AB833" s="58">
        <v>0</v>
      </c>
      <c r="AC833" s="58">
        <v>0</v>
      </c>
      <c r="AD833" s="58">
        <v>0</v>
      </c>
      <c r="AE833" s="58">
        <v>0</v>
      </c>
      <c r="AF833" s="58">
        <v>0</v>
      </c>
      <c r="AG833" s="58">
        <v>0</v>
      </c>
      <c r="AH833" s="58">
        <v>0</v>
      </c>
      <c r="AI833" s="58">
        <v>0</v>
      </c>
      <c r="AJ833" s="58">
        <v>0</v>
      </c>
      <c r="AK833" s="58">
        <v>0</v>
      </c>
      <c r="AL833" s="75">
        <f>+SUBTOTAL(9,Tabla6[[#This Row],[ENE]:[DIC]])</f>
        <v>0</v>
      </c>
      <c r="AM833" s="76" t="str">
        <f t="shared" si="17"/>
        <v>OK</v>
      </c>
      <c r="AN833" s="60">
        <v>0</v>
      </c>
      <c r="AO833" s="61">
        <f>+Tabla6[[#This Row],[PRESUPUESTO VIGENTE]]-Tabla6[[#This Row],[CERTIFICACIÓN PAPP]]</f>
        <v>0</v>
      </c>
      <c r="AP833" s="59">
        <v>0</v>
      </c>
    </row>
    <row r="834" spans="1:42" ht="93" customHeight="1" x14ac:dyDescent="0.25">
      <c r="A834" s="62" t="s">
        <v>78</v>
      </c>
      <c r="B834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834" s="64" t="s">
        <v>79</v>
      </c>
      <c r="D834" s="64" t="s">
        <v>80</v>
      </c>
      <c r="E834" s="64" t="s">
        <v>81</v>
      </c>
      <c r="F834" s="64" t="s">
        <v>101</v>
      </c>
      <c r="G834" s="64" t="s">
        <v>83</v>
      </c>
      <c r="H834" s="65" t="str">
        <f>VLOOKUP(Tabla6[[#This Row],[DIRECCIÓN]],DIRECCIÓN[#All],2,0)</f>
        <v>ADMINISTRACIÓN CENTRAL</v>
      </c>
      <c r="I834" s="66" t="s">
        <v>1036</v>
      </c>
      <c r="J834" s="67">
        <v>2</v>
      </c>
      <c r="K834" s="68" t="str">
        <f>VLOOKUP(Tabla6[[#This Row],[DIRECCIÓN GENERAL / COORDINACIÓN / SUBDIRECCIÓN]],Tabla37[[#All],[Columna1]:[EOD]],2,0)</f>
        <v>266_0005</v>
      </c>
      <c r="L834" s="69">
        <f>VLOOKUP(Tabla6[[#This Row],[OBJETIVOS PND]],Listas!$A$1:$C$3,3,0)</f>
        <v>1</v>
      </c>
      <c r="M834" s="70">
        <f>VLOOKUP(Tabla6[[#This Row],[PG]],Listas2!$G$14:$K$16,5,0)</f>
        <v>0</v>
      </c>
      <c r="N834" s="71">
        <v>1</v>
      </c>
      <c r="O834" s="72">
        <v>1201</v>
      </c>
      <c r="P834" s="73" t="str">
        <f>VLOOKUP(Tabla6[[#This Row],[GEO]],Listas!$A$48:$B$77,2,0)</f>
        <v>BABAHOYO</v>
      </c>
      <c r="Q834" s="70">
        <f>VLOOKUP(Tabla6[[#This Row],[PG]],Listas2!$G$14:$K$16,3,0)</f>
        <v>1</v>
      </c>
      <c r="R834" s="73">
        <f>VLOOKUP(Tabla6[[#This Row],[PG]],Listas2!H839:'Listas2'!$G$14:$K$16,4,0)</f>
        <v>0</v>
      </c>
      <c r="S834" s="73">
        <f>VLOOKUP(Tabla6[[#This Row],[PG]],Listas2!$G$14:$K$16,2,0)</f>
        <v>0</v>
      </c>
      <c r="T834" s="66" t="s">
        <v>84</v>
      </c>
      <c r="U834" s="74">
        <v>53</v>
      </c>
      <c r="V834" s="66">
        <v>530403</v>
      </c>
      <c r="W834" s="63" t="str">
        <f>VLOOKUP(Tabla6[[#This Row],[ÍTEM PRESUPUESTARIO]],Tabla2[#All],2,0)</f>
        <v>MOBILIARIOS (INSTALACIÓN, MANTENIMIENTO Y REPARACIÓN)</v>
      </c>
      <c r="X834" s="57">
        <v>0</v>
      </c>
      <c r="Y834" s="57">
        <f>50-50</f>
        <v>0</v>
      </c>
      <c r="Z834" s="58">
        <v>0</v>
      </c>
      <c r="AA834" s="58">
        <v>0</v>
      </c>
      <c r="AB834" s="58">
        <v>0</v>
      </c>
      <c r="AC834" s="58">
        <v>0</v>
      </c>
      <c r="AD834" s="58">
        <v>0</v>
      </c>
      <c r="AE834" s="58">
        <v>0</v>
      </c>
      <c r="AF834" s="58">
        <v>0</v>
      </c>
      <c r="AG834" s="58">
        <v>0</v>
      </c>
      <c r="AH834" s="58">
        <v>0</v>
      </c>
      <c r="AI834" s="58">
        <v>0</v>
      </c>
      <c r="AJ834" s="58">
        <v>0</v>
      </c>
      <c r="AK834" s="58">
        <v>0</v>
      </c>
      <c r="AL834" s="75">
        <f>+SUBTOTAL(9,Tabla6[[#This Row],[ENE]:[DIC]])</f>
        <v>0</v>
      </c>
      <c r="AM834" s="76" t="str">
        <f t="shared" si="17"/>
        <v>OK</v>
      </c>
      <c r="AN834" s="60">
        <v>0</v>
      </c>
      <c r="AO834" s="61">
        <f>+Tabla6[[#This Row],[PRESUPUESTO VIGENTE]]-Tabla6[[#This Row],[CERTIFICACIÓN PAPP]]</f>
        <v>0</v>
      </c>
      <c r="AP834" s="59">
        <v>0</v>
      </c>
    </row>
    <row r="835" spans="1:42" ht="93" customHeight="1" x14ac:dyDescent="0.25">
      <c r="A835" s="62" t="s">
        <v>78</v>
      </c>
      <c r="B835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835" s="64" t="s">
        <v>79</v>
      </c>
      <c r="D835" s="64" t="s">
        <v>80</v>
      </c>
      <c r="E835" s="64" t="s">
        <v>81</v>
      </c>
      <c r="F835" s="64" t="s">
        <v>101</v>
      </c>
      <c r="G835" s="64" t="s">
        <v>83</v>
      </c>
      <c r="H835" s="65" t="str">
        <f>VLOOKUP(Tabla6[[#This Row],[DIRECCIÓN]],DIRECCIÓN[#All],2,0)</f>
        <v>ADMINISTRACIÓN CENTRAL</v>
      </c>
      <c r="I835" s="66" t="s">
        <v>1037</v>
      </c>
      <c r="J835" s="67">
        <v>2</v>
      </c>
      <c r="K835" s="68" t="str">
        <f>VLOOKUP(Tabla6[[#This Row],[DIRECCIÓN GENERAL / COORDINACIÓN / SUBDIRECCIÓN]],Tabla37[[#All],[Columna1]:[EOD]],2,0)</f>
        <v>266_0005</v>
      </c>
      <c r="L835" s="69">
        <f>VLOOKUP(Tabla6[[#This Row],[OBJETIVOS PND]],Listas!$A$1:$C$3,3,0)</f>
        <v>1</v>
      </c>
      <c r="M835" s="70">
        <f>VLOOKUP(Tabla6[[#This Row],[PG]],Listas2!$G$14:$K$16,5,0)</f>
        <v>0</v>
      </c>
      <c r="N835" s="71">
        <v>1</v>
      </c>
      <c r="O835" s="72">
        <v>1201</v>
      </c>
      <c r="P835" s="73" t="str">
        <f>VLOOKUP(Tabla6[[#This Row],[GEO]],Listas!$A$48:$B$77,2,0)</f>
        <v>BABAHOYO</v>
      </c>
      <c r="Q835" s="70">
        <f>VLOOKUP(Tabla6[[#This Row],[PG]],Listas2!$G$14:$K$16,3,0)</f>
        <v>1</v>
      </c>
      <c r="R835" s="73">
        <f>VLOOKUP(Tabla6[[#This Row],[PG]],Listas2!H840:'Listas2'!$G$14:$K$16,4,0)</f>
        <v>0</v>
      </c>
      <c r="S835" s="73">
        <f>VLOOKUP(Tabla6[[#This Row],[PG]],Listas2!$G$14:$K$16,2,0)</f>
        <v>0</v>
      </c>
      <c r="T835" s="66" t="s">
        <v>84</v>
      </c>
      <c r="U835" s="74">
        <v>53</v>
      </c>
      <c r="V835" s="66">
        <v>530404</v>
      </c>
      <c r="W835" s="63" t="str">
        <f>VLOOKUP(Tabla6[[#This Row],[ÍTEM PRESUPUESTARIO]],Tabla2[#All],2,0)</f>
        <v>MAQUINARIAS Y EQUIPOS (INSTALACIÓN, MANTENIMIENTO Y REPARACIÓN)</v>
      </c>
      <c r="X835" s="57">
        <v>0</v>
      </c>
      <c r="Y835" s="57">
        <f>6300-6300</f>
        <v>0</v>
      </c>
      <c r="Z835" s="58">
        <v>0</v>
      </c>
      <c r="AA835" s="58">
        <v>0</v>
      </c>
      <c r="AB835" s="58">
        <v>0</v>
      </c>
      <c r="AC835" s="58">
        <v>0</v>
      </c>
      <c r="AD835" s="58">
        <v>0</v>
      </c>
      <c r="AE835" s="58">
        <v>0</v>
      </c>
      <c r="AF835" s="58">
        <v>0</v>
      </c>
      <c r="AG835" s="58">
        <v>0</v>
      </c>
      <c r="AH835" s="58">
        <v>0</v>
      </c>
      <c r="AI835" s="58">
        <v>0</v>
      </c>
      <c r="AJ835" s="58">
        <v>0</v>
      </c>
      <c r="AK835" s="58">
        <v>0</v>
      </c>
      <c r="AL835" s="75">
        <f>+SUBTOTAL(9,Tabla6[[#This Row],[ENE]:[DIC]])</f>
        <v>0</v>
      </c>
      <c r="AM835" s="76" t="str">
        <f t="shared" si="17"/>
        <v>OK</v>
      </c>
      <c r="AN835" s="60">
        <f>6258-6258</f>
        <v>0</v>
      </c>
      <c r="AO835" s="61">
        <f>+Tabla6[[#This Row],[PRESUPUESTO VIGENTE]]-Tabla6[[#This Row],[CERTIFICACIÓN PAPP]]</f>
        <v>0</v>
      </c>
      <c r="AP835" s="59">
        <v>0</v>
      </c>
    </row>
    <row r="836" spans="1:42" ht="93" customHeight="1" x14ac:dyDescent="0.25">
      <c r="A836" s="62" t="s">
        <v>78</v>
      </c>
      <c r="B836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836" s="64" t="s">
        <v>79</v>
      </c>
      <c r="D836" s="64" t="s">
        <v>80</v>
      </c>
      <c r="E836" s="64" t="s">
        <v>81</v>
      </c>
      <c r="F836" s="64" t="s">
        <v>101</v>
      </c>
      <c r="G836" s="64" t="s">
        <v>83</v>
      </c>
      <c r="H836" s="65" t="str">
        <f>VLOOKUP(Tabla6[[#This Row],[DIRECCIÓN]],DIRECCIÓN[#All],2,0)</f>
        <v>ADMINISTRACIÓN CENTRAL</v>
      </c>
      <c r="I836" s="66" t="s">
        <v>1038</v>
      </c>
      <c r="J836" s="67">
        <v>1</v>
      </c>
      <c r="K836" s="68" t="str">
        <f>VLOOKUP(Tabla6[[#This Row],[DIRECCIÓN GENERAL / COORDINACIÓN / SUBDIRECCIÓN]],Tabla37[[#All],[Columna1]:[EOD]],2,0)</f>
        <v>266_0005</v>
      </c>
      <c r="L836" s="69">
        <f>VLOOKUP(Tabla6[[#This Row],[OBJETIVOS PND]],Listas!$A$1:$C$3,3,0)</f>
        <v>1</v>
      </c>
      <c r="M836" s="70">
        <f>VLOOKUP(Tabla6[[#This Row],[PG]],Listas2!$G$14:$K$16,5,0)</f>
        <v>0</v>
      </c>
      <c r="N836" s="71">
        <v>1</v>
      </c>
      <c r="O836" s="72">
        <v>1201</v>
      </c>
      <c r="P836" s="73" t="str">
        <f>VLOOKUP(Tabla6[[#This Row],[GEO]],Listas!$A$48:$B$77,2,0)</f>
        <v>BABAHOYO</v>
      </c>
      <c r="Q836" s="70">
        <f>VLOOKUP(Tabla6[[#This Row],[PG]],Listas2!$G$14:$K$16,3,0)</f>
        <v>1</v>
      </c>
      <c r="R836" s="73">
        <f>VLOOKUP(Tabla6[[#This Row],[PG]],Listas2!H841:'Listas2'!$G$14:$K$16,4,0)</f>
        <v>0</v>
      </c>
      <c r="S836" s="73">
        <f>VLOOKUP(Tabla6[[#This Row],[PG]],Listas2!$G$14:$K$16,2,0)</f>
        <v>0</v>
      </c>
      <c r="T836" s="66" t="s">
        <v>84</v>
      </c>
      <c r="U836" s="74">
        <v>53</v>
      </c>
      <c r="V836" s="66">
        <v>530405</v>
      </c>
      <c r="W836" s="63" t="str">
        <f>VLOOKUP(Tabla6[[#This Row],[ÍTEM PRESUPUESTARIO]],Tabla2[#All],2,0)</f>
        <v>VEHÍCULOS (SERVICIO PARA MANTENIMIENTO Y REPARACIÓN)</v>
      </c>
      <c r="X836" s="57">
        <v>6697</v>
      </c>
      <c r="Y836" s="57">
        <f>6697-397</f>
        <v>6300</v>
      </c>
      <c r="Z836" s="58">
        <v>0</v>
      </c>
      <c r="AA836" s="58">
        <v>0</v>
      </c>
      <c r="AB836" s="58">
        <v>669</v>
      </c>
      <c r="AC836" s="58">
        <v>669</v>
      </c>
      <c r="AD836" s="58">
        <v>669</v>
      </c>
      <c r="AE836" s="58">
        <v>669</v>
      </c>
      <c r="AF836" s="58">
        <v>669</v>
      </c>
      <c r="AG836" s="58">
        <v>669</v>
      </c>
      <c r="AH836" s="58">
        <v>669</v>
      </c>
      <c r="AI836" s="58">
        <v>669</v>
      </c>
      <c r="AJ836" s="58">
        <v>669</v>
      </c>
      <c r="AK836" s="58">
        <v>279</v>
      </c>
      <c r="AL836" s="75">
        <f>+SUBTOTAL(9,Tabla6[[#This Row],[ENE]:[DIC]])</f>
        <v>6300</v>
      </c>
      <c r="AM836" s="76" t="str">
        <f t="shared" si="17"/>
        <v>OK</v>
      </c>
      <c r="AN836" s="60">
        <v>6300</v>
      </c>
      <c r="AO836" s="61">
        <f>+Tabla6[[#This Row],[PRESUPUESTO VIGENTE]]-Tabla6[[#This Row],[CERTIFICACIÓN PAPP]]</f>
        <v>0</v>
      </c>
      <c r="AP836" s="59">
        <v>0</v>
      </c>
    </row>
    <row r="837" spans="1:42" ht="93" customHeight="1" x14ac:dyDescent="0.25">
      <c r="A837" s="62" t="s">
        <v>78</v>
      </c>
      <c r="B837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837" s="64" t="s">
        <v>79</v>
      </c>
      <c r="D837" s="64" t="s">
        <v>80</v>
      </c>
      <c r="E837" s="64" t="s">
        <v>81</v>
      </c>
      <c r="F837" s="64" t="s">
        <v>101</v>
      </c>
      <c r="G837" s="64" t="s">
        <v>83</v>
      </c>
      <c r="H837" s="65" t="str">
        <f>VLOOKUP(Tabla6[[#This Row],[DIRECCIÓN]],DIRECCIÓN[#All],2,0)</f>
        <v>ADMINISTRACIÓN CENTRAL</v>
      </c>
      <c r="I837" s="66" t="s">
        <v>1039</v>
      </c>
      <c r="J837" s="67">
        <v>2</v>
      </c>
      <c r="K837" s="68" t="str">
        <f>VLOOKUP(Tabla6[[#This Row],[DIRECCIÓN GENERAL / COORDINACIÓN / SUBDIRECCIÓN]],Tabla37[[#All],[Columna1]:[EOD]],2,0)</f>
        <v>266_0005</v>
      </c>
      <c r="L837" s="69">
        <f>VLOOKUP(Tabla6[[#This Row],[OBJETIVOS PND]],Listas!$A$1:$C$3,3,0)</f>
        <v>1</v>
      </c>
      <c r="M837" s="70">
        <f>VLOOKUP(Tabla6[[#This Row],[PG]],Listas2!$G$14:$K$16,5,0)</f>
        <v>0</v>
      </c>
      <c r="N837" s="71">
        <v>1</v>
      </c>
      <c r="O837" s="72">
        <v>1201</v>
      </c>
      <c r="P837" s="73" t="str">
        <f>VLOOKUP(Tabla6[[#This Row],[GEO]],Listas!$A$48:$B$77,2,0)</f>
        <v>BABAHOYO</v>
      </c>
      <c r="Q837" s="70">
        <f>VLOOKUP(Tabla6[[#This Row],[PG]],Listas2!$G$14:$K$16,3,0)</f>
        <v>1</v>
      </c>
      <c r="R837" s="73">
        <f>VLOOKUP(Tabla6[[#This Row],[PG]],Listas2!H842:'Listas2'!$G$14:$K$16,4,0)</f>
        <v>0</v>
      </c>
      <c r="S837" s="73">
        <f>VLOOKUP(Tabla6[[#This Row],[PG]],Listas2!$G$14:$K$16,2,0)</f>
        <v>0</v>
      </c>
      <c r="T837" s="66" t="s">
        <v>84</v>
      </c>
      <c r="U837" s="74">
        <v>53</v>
      </c>
      <c r="V837" s="66">
        <v>530405</v>
      </c>
      <c r="W837" s="63" t="str">
        <f>VLOOKUP(Tabla6[[#This Row],[ÍTEM PRESUPUESTARIO]],Tabla2[#All],2,0)</f>
        <v>VEHÍCULOS (SERVICIO PARA MANTENIMIENTO Y REPARACIÓN)</v>
      </c>
      <c r="X837" s="57">
        <v>100</v>
      </c>
      <c r="Y837" s="57">
        <f>100-100</f>
        <v>0</v>
      </c>
      <c r="Z837" s="58">
        <v>0</v>
      </c>
      <c r="AA837" s="58">
        <v>0</v>
      </c>
      <c r="AB837" s="58">
        <v>0</v>
      </c>
      <c r="AC837" s="58">
        <v>0</v>
      </c>
      <c r="AD837" s="58">
        <v>0</v>
      </c>
      <c r="AE837" s="58">
        <v>0</v>
      </c>
      <c r="AF837" s="58">
        <v>0</v>
      </c>
      <c r="AG837" s="58">
        <v>0</v>
      </c>
      <c r="AH837" s="58">
        <v>0</v>
      </c>
      <c r="AI837" s="58">
        <v>0</v>
      </c>
      <c r="AJ837" s="58">
        <v>0</v>
      </c>
      <c r="AK837" s="58">
        <v>0</v>
      </c>
      <c r="AL837" s="75">
        <f>+SUBTOTAL(9,Tabla6[[#This Row],[ENE]:[DIC]])</f>
        <v>0</v>
      </c>
      <c r="AM837" s="76" t="str">
        <f t="shared" si="17"/>
        <v>OK</v>
      </c>
      <c r="AN837" s="60">
        <v>0</v>
      </c>
      <c r="AO837" s="61">
        <f>+Tabla6[[#This Row],[PRESUPUESTO VIGENTE]]-Tabla6[[#This Row],[CERTIFICACIÓN PAPP]]</f>
        <v>0</v>
      </c>
      <c r="AP837" s="59">
        <v>0</v>
      </c>
    </row>
    <row r="838" spans="1:42" ht="93" customHeight="1" x14ac:dyDescent="0.25">
      <c r="A838" s="62" t="s">
        <v>78</v>
      </c>
      <c r="B838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838" s="64" t="s">
        <v>79</v>
      </c>
      <c r="D838" s="64" t="s">
        <v>80</v>
      </c>
      <c r="E838" s="64" t="s">
        <v>81</v>
      </c>
      <c r="F838" s="64" t="s">
        <v>101</v>
      </c>
      <c r="G838" s="64" t="s">
        <v>83</v>
      </c>
      <c r="H838" s="65" t="str">
        <f>VLOOKUP(Tabla6[[#This Row],[DIRECCIÓN]],DIRECCIÓN[#All],2,0)</f>
        <v>ADMINISTRACIÓN CENTRAL</v>
      </c>
      <c r="I838" s="66" t="s">
        <v>1036</v>
      </c>
      <c r="J838" s="67">
        <v>2</v>
      </c>
      <c r="K838" s="68" t="str">
        <f>VLOOKUP(Tabla6[[#This Row],[DIRECCIÓN GENERAL / COORDINACIÓN / SUBDIRECCIÓN]],Tabla37[[#All],[Columna1]:[EOD]],2,0)</f>
        <v>266_0005</v>
      </c>
      <c r="L838" s="69">
        <f>VLOOKUP(Tabla6[[#This Row],[OBJETIVOS PND]],Listas!$A$1:$C$3,3,0)</f>
        <v>1</v>
      </c>
      <c r="M838" s="70">
        <f>VLOOKUP(Tabla6[[#This Row],[PG]],Listas2!$G$14:$K$16,5,0)</f>
        <v>0</v>
      </c>
      <c r="N838" s="71">
        <v>1</v>
      </c>
      <c r="O838" s="72">
        <v>1201</v>
      </c>
      <c r="P838" s="73" t="str">
        <f>VLOOKUP(Tabla6[[#This Row],[GEO]],Listas!$A$48:$B$77,2,0)</f>
        <v>BABAHOYO</v>
      </c>
      <c r="Q838" s="70">
        <f>VLOOKUP(Tabla6[[#This Row],[PG]],Listas2!$G$14:$K$16,3,0)</f>
        <v>1</v>
      </c>
      <c r="R838" s="73">
        <f>VLOOKUP(Tabla6[[#This Row],[PG]],Listas2!H843:'Listas2'!$G$14:$K$16,4,0)</f>
        <v>0</v>
      </c>
      <c r="S838" s="73">
        <f>VLOOKUP(Tabla6[[#This Row],[PG]],Listas2!$G$14:$K$16,2,0)</f>
        <v>0</v>
      </c>
      <c r="T838" s="66" t="s">
        <v>84</v>
      </c>
      <c r="U838" s="74">
        <v>53</v>
      </c>
      <c r="V838" s="66">
        <v>530405</v>
      </c>
      <c r="W838" s="63" t="str">
        <f>VLOOKUP(Tabla6[[#This Row],[ÍTEM PRESUPUESTARIO]],Tabla2[#All],2,0)</f>
        <v>VEHÍCULOS (SERVICIO PARA MANTENIMIENTO Y REPARACIÓN)</v>
      </c>
      <c r="X838" s="57">
        <v>0</v>
      </c>
      <c r="Y838" s="57">
        <f>25-25</f>
        <v>0</v>
      </c>
      <c r="Z838" s="58">
        <v>0</v>
      </c>
      <c r="AA838" s="58">
        <v>0</v>
      </c>
      <c r="AB838" s="58">
        <v>0</v>
      </c>
      <c r="AC838" s="58">
        <v>0</v>
      </c>
      <c r="AD838" s="58">
        <v>0</v>
      </c>
      <c r="AE838" s="58">
        <v>0</v>
      </c>
      <c r="AF838" s="58">
        <v>0</v>
      </c>
      <c r="AG838" s="58">
        <v>0</v>
      </c>
      <c r="AH838" s="58">
        <v>0</v>
      </c>
      <c r="AI838" s="58">
        <v>0</v>
      </c>
      <c r="AJ838" s="58">
        <v>0</v>
      </c>
      <c r="AK838" s="58">
        <v>0</v>
      </c>
      <c r="AL838" s="75">
        <f>+SUBTOTAL(9,Tabla6[[#This Row],[ENE]:[DIC]])</f>
        <v>0</v>
      </c>
      <c r="AM838" s="76" t="str">
        <f t="shared" si="17"/>
        <v>OK</v>
      </c>
      <c r="AN838" s="60">
        <v>0</v>
      </c>
      <c r="AO838" s="61">
        <f>+Tabla6[[#This Row],[PRESUPUESTO VIGENTE]]-Tabla6[[#This Row],[CERTIFICACIÓN PAPP]]</f>
        <v>0</v>
      </c>
      <c r="AP838" s="59">
        <v>0</v>
      </c>
    </row>
    <row r="839" spans="1:42" ht="93" customHeight="1" x14ac:dyDescent="0.25">
      <c r="A839" s="62" t="s">
        <v>78</v>
      </c>
      <c r="B839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839" s="64" t="s">
        <v>79</v>
      </c>
      <c r="D839" s="64" t="s">
        <v>80</v>
      </c>
      <c r="E839" s="64" t="s">
        <v>81</v>
      </c>
      <c r="F839" s="64" t="s">
        <v>101</v>
      </c>
      <c r="G839" s="64" t="s">
        <v>83</v>
      </c>
      <c r="H839" s="65" t="str">
        <f>VLOOKUP(Tabla6[[#This Row],[DIRECCIÓN]],DIRECCIÓN[#All],2,0)</f>
        <v>ADMINISTRACIÓN CENTRAL</v>
      </c>
      <c r="I839" s="66" t="s">
        <v>1036</v>
      </c>
      <c r="J839" s="67">
        <v>2</v>
      </c>
      <c r="K839" s="68" t="str">
        <f>VLOOKUP(Tabla6[[#This Row],[DIRECCIÓN GENERAL / COORDINACIÓN / SUBDIRECCIÓN]],Tabla37[[#All],[Columna1]:[EOD]],2,0)</f>
        <v>266_0005</v>
      </c>
      <c r="L839" s="69">
        <f>VLOOKUP(Tabla6[[#This Row],[OBJETIVOS PND]],Listas!$A$1:$C$3,3,0)</f>
        <v>1</v>
      </c>
      <c r="M839" s="70">
        <f>VLOOKUP(Tabla6[[#This Row],[PG]],Listas2!$G$14:$K$16,5,0)</f>
        <v>0</v>
      </c>
      <c r="N839" s="71">
        <v>1</v>
      </c>
      <c r="O839" s="72">
        <v>1201</v>
      </c>
      <c r="P839" s="73" t="str">
        <f>VLOOKUP(Tabla6[[#This Row],[GEO]],Listas!$A$48:$B$77,2,0)</f>
        <v>BABAHOYO</v>
      </c>
      <c r="Q839" s="70">
        <f>VLOOKUP(Tabla6[[#This Row],[PG]],Listas2!$G$14:$K$16,3,0)</f>
        <v>1</v>
      </c>
      <c r="R839" s="73">
        <f>VLOOKUP(Tabla6[[#This Row],[PG]],Listas2!H844:'Listas2'!$G$14:$K$16,4,0)</f>
        <v>0</v>
      </c>
      <c r="S839" s="73">
        <f>VLOOKUP(Tabla6[[#This Row],[PG]],Listas2!$G$14:$K$16,2,0)</f>
        <v>0</v>
      </c>
      <c r="T839" s="66" t="s">
        <v>84</v>
      </c>
      <c r="U839" s="74">
        <v>53</v>
      </c>
      <c r="V839" s="66">
        <v>530502</v>
      </c>
      <c r="W839" s="63" t="str">
        <f>VLOOKUP(Tabla6[[#This Row],[ÍTEM PRESUPUESTARIO]],Tabla2[#All],2,0)</f>
        <v>EDIFICIOS, LOCALES Y RESIDENCIAS, PARQUEADEROS, CASILLEROS JUDICIALES Y BANCARIOS (ARRENDAMIENTO)</v>
      </c>
      <c r="X839" s="57">
        <v>0</v>
      </c>
      <c r="Y839" s="57">
        <f>200-200</f>
        <v>0</v>
      </c>
      <c r="Z839" s="58">
        <v>0</v>
      </c>
      <c r="AA839" s="58">
        <v>0</v>
      </c>
      <c r="AB839" s="58">
        <v>0</v>
      </c>
      <c r="AC839" s="58">
        <v>0</v>
      </c>
      <c r="AD839" s="58">
        <v>0</v>
      </c>
      <c r="AE839" s="58">
        <v>0</v>
      </c>
      <c r="AF839" s="58">
        <v>0</v>
      </c>
      <c r="AG839" s="58">
        <v>0</v>
      </c>
      <c r="AH839" s="58">
        <v>0</v>
      </c>
      <c r="AI839" s="58">
        <v>0</v>
      </c>
      <c r="AJ839" s="58">
        <v>0</v>
      </c>
      <c r="AK839" s="58">
        <v>0</v>
      </c>
      <c r="AL839" s="75">
        <f>+SUBTOTAL(9,Tabla6[[#This Row],[ENE]:[DIC]])</f>
        <v>0</v>
      </c>
      <c r="AM839" s="76" t="str">
        <f t="shared" si="17"/>
        <v>OK</v>
      </c>
      <c r="AN839" s="60">
        <v>0</v>
      </c>
      <c r="AO839" s="61">
        <f>+Tabla6[[#This Row],[PRESUPUESTO VIGENTE]]-Tabla6[[#This Row],[CERTIFICACIÓN PAPP]]</f>
        <v>0</v>
      </c>
      <c r="AP839" s="59">
        <v>0</v>
      </c>
    </row>
    <row r="840" spans="1:42" ht="93" customHeight="1" x14ac:dyDescent="0.25">
      <c r="A840" s="62" t="s">
        <v>78</v>
      </c>
      <c r="B840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840" s="64" t="s">
        <v>79</v>
      </c>
      <c r="D840" s="64" t="s">
        <v>80</v>
      </c>
      <c r="E840" s="64" t="s">
        <v>81</v>
      </c>
      <c r="F840" s="64" t="s">
        <v>101</v>
      </c>
      <c r="G840" s="64" t="s">
        <v>83</v>
      </c>
      <c r="H840" s="65" t="str">
        <f>VLOOKUP(Tabla6[[#This Row],[DIRECCIÓN]],DIRECCIÓN[#All],2,0)</f>
        <v>ADMINISTRACIÓN CENTRAL</v>
      </c>
      <c r="I840" s="66" t="s">
        <v>1040</v>
      </c>
      <c r="J840" s="67">
        <v>2</v>
      </c>
      <c r="K840" s="68" t="str">
        <f>VLOOKUP(Tabla6[[#This Row],[DIRECCIÓN GENERAL / COORDINACIÓN / SUBDIRECCIÓN]],Tabla37[[#All],[Columna1]:[EOD]],2,0)</f>
        <v>266_0005</v>
      </c>
      <c r="L840" s="69">
        <f>VLOOKUP(Tabla6[[#This Row],[OBJETIVOS PND]],Listas!$A$1:$C$3,3,0)</f>
        <v>1</v>
      </c>
      <c r="M840" s="70">
        <f>VLOOKUP(Tabla6[[#This Row],[PG]],Listas2!$G$14:$K$16,5,0)</f>
        <v>0</v>
      </c>
      <c r="N840" s="71">
        <v>1</v>
      </c>
      <c r="O840" s="72">
        <v>1201</v>
      </c>
      <c r="P840" s="73" t="str">
        <f>VLOOKUP(Tabla6[[#This Row],[GEO]],Listas!$A$48:$B$77,2,0)</f>
        <v>BABAHOYO</v>
      </c>
      <c r="Q840" s="70">
        <f>VLOOKUP(Tabla6[[#This Row],[PG]],Listas2!$G$14:$K$16,3,0)</f>
        <v>1</v>
      </c>
      <c r="R840" s="73">
        <f>VLOOKUP(Tabla6[[#This Row],[PG]],Listas2!H845:'Listas2'!$G$14:$K$16,4,0)</f>
        <v>0</v>
      </c>
      <c r="S840" s="73">
        <f>VLOOKUP(Tabla6[[#This Row],[PG]],Listas2!$G$14:$K$16,2,0)</f>
        <v>0</v>
      </c>
      <c r="T840" s="66" t="s">
        <v>84</v>
      </c>
      <c r="U840" s="74">
        <v>53</v>
      </c>
      <c r="V840" s="66">
        <v>530604</v>
      </c>
      <c r="W840" s="63" t="str">
        <f>VLOOKUP(Tabla6[[#This Row],[ÍTEM PRESUPUESTARIO]],Tabla2[#All],2,0)</f>
        <v>FISCALIZACIÓN E INSPECCIONES TÉCNICAS</v>
      </c>
      <c r="X840" s="57">
        <v>0</v>
      </c>
      <c r="Y840" s="57">
        <f>400+450+252.56-252.56</f>
        <v>850</v>
      </c>
      <c r="Z840" s="58">
        <v>0</v>
      </c>
      <c r="AA840" s="58">
        <v>0</v>
      </c>
      <c r="AB840" s="58">
        <v>0</v>
      </c>
      <c r="AC840" s="58">
        <v>0</v>
      </c>
      <c r="AD840" s="58">
        <v>0</v>
      </c>
      <c r="AE840" s="58">
        <v>0</v>
      </c>
      <c r="AF840" s="58">
        <v>400</v>
      </c>
      <c r="AG840" s="58">
        <v>0</v>
      </c>
      <c r="AH840" s="58">
        <v>450</v>
      </c>
      <c r="AI840" s="58">
        <v>0</v>
      </c>
      <c r="AJ840" s="58">
        <v>0</v>
      </c>
      <c r="AK840" s="58">
        <v>0</v>
      </c>
      <c r="AL840" s="75">
        <f>+SUBTOTAL(9,Tabla6[[#This Row],[ENE]:[DIC]])</f>
        <v>850</v>
      </c>
      <c r="AM840" s="76" t="str">
        <f t="shared" si="17"/>
        <v>OK</v>
      </c>
      <c r="AN840" s="60">
        <f>400+450</f>
        <v>850</v>
      </c>
      <c r="AO840" s="61">
        <f>+Tabla6[[#This Row],[PRESUPUESTO VIGENTE]]-Tabla6[[#This Row],[CERTIFICACIÓN PAPP]]</f>
        <v>0</v>
      </c>
      <c r="AP840" s="59">
        <v>0</v>
      </c>
    </row>
    <row r="841" spans="1:42" ht="93" customHeight="1" x14ac:dyDescent="0.25">
      <c r="A841" s="62" t="s">
        <v>78</v>
      </c>
      <c r="B841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841" s="64" t="s">
        <v>79</v>
      </c>
      <c r="D841" s="64" t="s">
        <v>80</v>
      </c>
      <c r="E841" s="64" t="s">
        <v>81</v>
      </c>
      <c r="F841" s="64" t="s">
        <v>101</v>
      </c>
      <c r="G841" s="64" t="s">
        <v>83</v>
      </c>
      <c r="H841" s="65" t="str">
        <f>VLOOKUP(Tabla6[[#This Row],[DIRECCIÓN]],DIRECCIÓN[#All],2,0)</f>
        <v>ADMINISTRACIÓN CENTRAL</v>
      </c>
      <c r="I841" s="66" t="s">
        <v>1029</v>
      </c>
      <c r="J841" s="67">
        <v>1</v>
      </c>
      <c r="K841" s="68" t="str">
        <f>VLOOKUP(Tabla6[[#This Row],[DIRECCIÓN GENERAL / COORDINACIÓN / SUBDIRECCIÓN]],Tabla37[[#All],[Columna1]:[EOD]],2,0)</f>
        <v>266_0005</v>
      </c>
      <c r="L841" s="69">
        <f>VLOOKUP(Tabla6[[#This Row],[OBJETIVOS PND]],Listas!$A$1:$C$3,3,0)</f>
        <v>1</v>
      </c>
      <c r="M841" s="70">
        <f>VLOOKUP(Tabla6[[#This Row],[PG]],Listas2!$G$14:$K$16,5,0)</f>
        <v>0</v>
      </c>
      <c r="N841" s="71">
        <v>1</v>
      </c>
      <c r="O841" s="72">
        <v>1201</v>
      </c>
      <c r="P841" s="73" t="str">
        <f>VLOOKUP(Tabla6[[#This Row],[GEO]],Listas!$A$48:$B$77,2,0)</f>
        <v>BABAHOYO</v>
      </c>
      <c r="Q841" s="70">
        <f>VLOOKUP(Tabla6[[#This Row],[PG]],Listas2!$G$14:$K$16,3,0)</f>
        <v>1</v>
      </c>
      <c r="R841" s="73">
        <f>VLOOKUP(Tabla6[[#This Row],[PG]],Listas2!H846:'Listas2'!$G$14:$K$16,4,0)</f>
        <v>0</v>
      </c>
      <c r="S841" s="73">
        <f>VLOOKUP(Tabla6[[#This Row],[PG]],Listas2!$G$14:$K$16,2,0)</f>
        <v>0</v>
      </c>
      <c r="T841" s="66" t="s">
        <v>84</v>
      </c>
      <c r="U841" s="74">
        <v>53</v>
      </c>
      <c r="V841" s="66">
        <v>530803</v>
      </c>
      <c r="W841" s="63" t="str">
        <f>VLOOKUP(Tabla6[[#This Row],[ÍTEM PRESUPUESTARIO]],Tabla2[#All],2,0)</f>
        <v>LUBRICANTES</v>
      </c>
      <c r="X841" s="57">
        <v>4108</v>
      </c>
      <c r="Y841" s="57">
        <f>4108-4108</f>
        <v>0</v>
      </c>
      <c r="Z841" s="58">
        <v>0</v>
      </c>
      <c r="AA841" s="58">
        <v>0</v>
      </c>
      <c r="AB841" s="58">
        <v>0</v>
      </c>
      <c r="AC841" s="58">
        <v>0</v>
      </c>
      <c r="AD841" s="58">
        <v>0</v>
      </c>
      <c r="AE841" s="58">
        <v>0</v>
      </c>
      <c r="AF841" s="58">
        <v>0</v>
      </c>
      <c r="AG841" s="58">
        <v>0</v>
      </c>
      <c r="AH841" s="58">
        <v>0</v>
      </c>
      <c r="AI841" s="58">
        <v>0</v>
      </c>
      <c r="AJ841" s="58">
        <v>0</v>
      </c>
      <c r="AK841" s="58">
        <v>0</v>
      </c>
      <c r="AL841" s="75">
        <f>+SUBTOTAL(9,Tabla6[[#This Row],[ENE]:[DIC]])</f>
        <v>0</v>
      </c>
      <c r="AM841" s="76" t="str">
        <f t="shared" si="17"/>
        <v>OK</v>
      </c>
      <c r="AN841" s="60">
        <v>0</v>
      </c>
      <c r="AO841" s="61">
        <f>+Tabla6[[#This Row],[PRESUPUESTO VIGENTE]]-Tabla6[[#This Row],[CERTIFICACIÓN PAPP]]</f>
        <v>0</v>
      </c>
      <c r="AP841" s="59">
        <v>0</v>
      </c>
    </row>
    <row r="842" spans="1:42" ht="93" customHeight="1" x14ac:dyDescent="0.25">
      <c r="A842" s="62" t="s">
        <v>78</v>
      </c>
      <c r="B842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842" s="64" t="s">
        <v>79</v>
      </c>
      <c r="D842" s="64" t="s">
        <v>80</v>
      </c>
      <c r="E842" s="64" t="s">
        <v>81</v>
      </c>
      <c r="F842" s="64" t="s">
        <v>101</v>
      </c>
      <c r="G842" s="64" t="s">
        <v>83</v>
      </c>
      <c r="H842" s="65" t="str">
        <f>VLOOKUP(Tabla6[[#This Row],[DIRECCIÓN]],DIRECCIÓN[#All],2,0)</f>
        <v>ADMINISTRACIÓN CENTRAL</v>
      </c>
      <c r="I842" s="66" t="s">
        <v>1041</v>
      </c>
      <c r="J842" s="67">
        <v>2</v>
      </c>
      <c r="K842" s="68" t="str">
        <f>VLOOKUP(Tabla6[[#This Row],[DIRECCIÓN GENERAL / COORDINACIÓN / SUBDIRECCIÓN]],Tabla37[[#All],[Columna1]:[EOD]],2,0)</f>
        <v>266_0005</v>
      </c>
      <c r="L842" s="69">
        <f>VLOOKUP(Tabla6[[#This Row],[OBJETIVOS PND]],Listas!$A$1:$C$3,3,0)</f>
        <v>1</v>
      </c>
      <c r="M842" s="70">
        <f>VLOOKUP(Tabla6[[#This Row],[PG]],Listas2!$G$14:$K$16,5,0)</f>
        <v>0</v>
      </c>
      <c r="N842" s="71">
        <v>1</v>
      </c>
      <c r="O842" s="72">
        <v>1201</v>
      </c>
      <c r="P842" s="73" t="str">
        <f>VLOOKUP(Tabla6[[#This Row],[GEO]],Listas!$A$48:$B$77,2,0)</f>
        <v>BABAHOYO</v>
      </c>
      <c r="Q842" s="70">
        <f>VLOOKUP(Tabla6[[#This Row],[PG]],Listas2!$G$14:$K$16,3,0)</f>
        <v>1</v>
      </c>
      <c r="R842" s="73">
        <f>VLOOKUP(Tabla6[[#This Row],[PG]],Listas2!H847:'Listas2'!$G$14:$K$16,4,0)</f>
        <v>0</v>
      </c>
      <c r="S842" s="73">
        <f>VLOOKUP(Tabla6[[#This Row],[PG]],Listas2!$G$14:$K$16,2,0)</f>
        <v>0</v>
      </c>
      <c r="T842" s="66" t="s">
        <v>84</v>
      </c>
      <c r="U842" s="74">
        <v>53</v>
      </c>
      <c r="V842" s="66">
        <v>530804</v>
      </c>
      <c r="W842" s="63" t="str">
        <f>VLOOKUP(Tabla6[[#This Row],[ÍTEM PRESUPUESTARIO]],Tabla2[#All],2,0)</f>
        <v>MATERIALES DE OFICINA</v>
      </c>
      <c r="X842" s="57">
        <v>893</v>
      </c>
      <c r="Y842" s="57">
        <f>893-84.58</f>
        <v>808.42</v>
      </c>
      <c r="Z842" s="58">
        <v>0</v>
      </c>
      <c r="AA842" s="58">
        <v>0</v>
      </c>
      <c r="AB842" s="58">
        <v>0</v>
      </c>
      <c r="AC842" s="58">
        <v>0</v>
      </c>
      <c r="AD842" s="58">
        <v>808.42</v>
      </c>
      <c r="AE842" s="58">
        <v>0</v>
      </c>
      <c r="AF842" s="58">
        <v>0</v>
      </c>
      <c r="AG842" s="58">
        <v>0</v>
      </c>
      <c r="AH842" s="58">
        <v>0</v>
      </c>
      <c r="AI842" s="58">
        <v>0</v>
      </c>
      <c r="AJ842" s="58">
        <v>0</v>
      </c>
      <c r="AK842" s="58">
        <v>0</v>
      </c>
      <c r="AL842" s="75">
        <f>+SUBTOTAL(9,Tabla6[[#This Row],[ENE]:[DIC]])</f>
        <v>808.42</v>
      </c>
      <c r="AM842" s="76" t="str">
        <f t="shared" si="17"/>
        <v>OK</v>
      </c>
      <c r="AN842" s="60">
        <f>290.02+552-33.6</f>
        <v>808.42</v>
      </c>
      <c r="AO842" s="61">
        <f>+Tabla6[[#This Row],[PRESUPUESTO VIGENTE]]-Tabla6[[#This Row],[CERTIFICACIÓN PAPP]]</f>
        <v>0</v>
      </c>
      <c r="AP842" s="59">
        <v>0</v>
      </c>
    </row>
    <row r="843" spans="1:42" ht="93" customHeight="1" x14ac:dyDescent="0.25">
      <c r="A843" s="62" t="s">
        <v>78</v>
      </c>
      <c r="B843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843" s="64" t="s">
        <v>79</v>
      </c>
      <c r="D843" s="64" t="s">
        <v>80</v>
      </c>
      <c r="E843" s="64" t="s">
        <v>81</v>
      </c>
      <c r="F843" s="64" t="s">
        <v>101</v>
      </c>
      <c r="G843" s="64" t="s">
        <v>83</v>
      </c>
      <c r="H843" s="65" t="str">
        <f>VLOOKUP(Tabla6[[#This Row],[DIRECCIÓN]],DIRECCIÓN[#All],2,0)</f>
        <v>ADMINISTRACIÓN CENTRAL</v>
      </c>
      <c r="I843" s="66" t="s">
        <v>1036</v>
      </c>
      <c r="J843" s="67">
        <v>2</v>
      </c>
      <c r="K843" s="68" t="str">
        <f>VLOOKUP(Tabla6[[#This Row],[DIRECCIÓN GENERAL / COORDINACIÓN / SUBDIRECCIÓN]],Tabla37[[#All],[Columna1]:[EOD]],2,0)</f>
        <v>266_0005</v>
      </c>
      <c r="L843" s="69">
        <f>VLOOKUP(Tabla6[[#This Row],[OBJETIVOS PND]],Listas!$A$1:$C$3,3,0)</f>
        <v>1</v>
      </c>
      <c r="M843" s="70">
        <f>VLOOKUP(Tabla6[[#This Row],[PG]],Listas2!$G$14:$K$16,5,0)</f>
        <v>0</v>
      </c>
      <c r="N843" s="71">
        <v>1</v>
      </c>
      <c r="O843" s="72">
        <v>1201</v>
      </c>
      <c r="P843" s="73" t="str">
        <f>VLOOKUP(Tabla6[[#This Row],[GEO]],Listas!$A$48:$B$77,2,0)</f>
        <v>BABAHOYO</v>
      </c>
      <c r="Q843" s="70">
        <f>VLOOKUP(Tabla6[[#This Row],[PG]],Listas2!$G$14:$K$16,3,0)</f>
        <v>1</v>
      </c>
      <c r="R843" s="73">
        <f>VLOOKUP(Tabla6[[#This Row],[PG]],Listas2!H848:'Listas2'!$G$14:$K$16,4,0)</f>
        <v>0</v>
      </c>
      <c r="S843" s="73">
        <f>VLOOKUP(Tabla6[[#This Row],[PG]],Listas2!$G$14:$K$16,2,0)</f>
        <v>0</v>
      </c>
      <c r="T843" s="66" t="s">
        <v>84</v>
      </c>
      <c r="U843" s="74">
        <v>53</v>
      </c>
      <c r="V843" s="66">
        <v>530804</v>
      </c>
      <c r="W843" s="63" t="str">
        <f>VLOOKUP(Tabla6[[#This Row],[ÍTEM PRESUPUESTARIO]],Tabla2[#All],2,0)</f>
        <v>MATERIALES DE OFICINA</v>
      </c>
      <c r="X843" s="57">
        <v>0</v>
      </c>
      <c r="Y843" s="57">
        <f>5-5</f>
        <v>0</v>
      </c>
      <c r="Z843" s="58">
        <v>0</v>
      </c>
      <c r="AA843" s="58">
        <v>0</v>
      </c>
      <c r="AB843" s="58">
        <v>0</v>
      </c>
      <c r="AC843" s="58">
        <v>0</v>
      </c>
      <c r="AD843" s="58">
        <v>0</v>
      </c>
      <c r="AE843" s="58">
        <v>0</v>
      </c>
      <c r="AF843" s="58">
        <v>0</v>
      </c>
      <c r="AG843" s="58">
        <v>0</v>
      </c>
      <c r="AH843" s="58">
        <v>0</v>
      </c>
      <c r="AI843" s="58">
        <v>0</v>
      </c>
      <c r="AJ843" s="58">
        <v>0</v>
      </c>
      <c r="AK843" s="58">
        <v>0</v>
      </c>
      <c r="AL843" s="75">
        <f>+SUBTOTAL(9,Tabla6[[#This Row],[ENE]:[DIC]])</f>
        <v>0</v>
      </c>
      <c r="AM843" s="76" t="str">
        <f t="shared" si="17"/>
        <v>OK</v>
      </c>
      <c r="AN843" s="60">
        <v>0</v>
      </c>
      <c r="AO843" s="61">
        <f>+Tabla6[[#This Row],[PRESUPUESTO VIGENTE]]-Tabla6[[#This Row],[CERTIFICACIÓN PAPP]]</f>
        <v>0</v>
      </c>
      <c r="AP843" s="59">
        <v>0</v>
      </c>
    </row>
    <row r="844" spans="1:42" ht="93" customHeight="1" x14ac:dyDescent="0.25">
      <c r="A844" s="62" t="s">
        <v>78</v>
      </c>
      <c r="B844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844" s="64" t="s">
        <v>79</v>
      </c>
      <c r="D844" s="64" t="s">
        <v>80</v>
      </c>
      <c r="E844" s="64" t="s">
        <v>81</v>
      </c>
      <c r="F844" s="64" t="s">
        <v>101</v>
      </c>
      <c r="G844" s="64" t="s">
        <v>83</v>
      </c>
      <c r="H844" s="65" t="str">
        <f>VLOOKUP(Tabla6[[#This Row],[DIRECCIÓN]],DIRECCIÓN[#All],2,0)</f>
        <v>ADMINISTRACIÓN CENTRAL</v>
      </c>
      <c r="I844" s="66" t="s">
        <v>1039</v>
      </c>
      <c r="J844" s="67">
        <v>2</v>
      </c>
      <c r="K844" s="68" t="str">
        <f>VLOOKUP(Tabla6[[#This Row],[DIRECCIÓN GENERAL / COORDINACIÓN / SUBDIRECCIÓN]],Tabla37[[#All],[Columna1]:[EOD]],2,0)</f>
        <v>266_0005</v>
      </c>
      <c r="L844" s="69">
        <f>VLOOKUP(Tabla6[[#This Row],[OBJETIVOS PND]],Listas!$A$1:$C$3,3,0)</f>
        <v>1</v>
      </c>
      <c r="M844" s="70">
        <f>VLOOKUP(Tabla6[[#This Row],[PG]],Listas2!$G$14:$K$16,5,0)</f>
        <v>0</v>
      </c>
      <c r="N844" s="71">
        <v>1</v>
      </c>
      <c r="O844" s="72">
        <v>1201</v>
      </c>
      <c r="P844" s="73" t="str">
        <f>VLOOKUP(Tabla6[[#This Row],[GEO]],Listas!$A$48:$B$77,2,0)</f>
        <v>BABAHOYO</v>
      </c>
      <c r="Q844" s="70">
        <f>VLOOKUP(Tabla6[[#This Row],[PG]],Listas2!$G$14:$K$16,3,0)</f>
        <v>1</v>
      </c>
      <c r="R844" s="73">
        <f>VLOOKUP(Tabla6[[#This Row],[PG]],Listas2!H849:'Listas2'!$G$14:$K$16,4,0)</f>
        <v>0</v>
      </c>
      <c r="S844" s="73">
        <f>VLOOKUP(Tabla6[[#This Row],[PG]],Listas2!$G$14:$K$16,2,0)</f>
        <v>0</v>
      </c>
      <c r="T844" s="66" t="s">
        <v>84</v>
      </c>
      <c r="U844" s="74">
        <v>53</v>
      </c>
      <c r="V844" s="66">
        <v>530811</v>
      </c>
      <c r="W844" s="63" t="str">
        <f>VLOOKUP(Tabla6[[#This Row],[ÍTEM PRESUPUESTARIO]],Tabla2[#All],2,0)</f>
        <v>INSUMOS, MATERIALES Y SUMINISTROS PARA CONSTRUCCIÓN, ELECTRICIDAD, PLOMERÍA, CARPINTERÍA, SEÑALIZACIÓN VIAL, NAVEGACIÓN, CONTRA INCENDIOS Y PLACAS</v>
      </c>
      <c r="X844" s="57">
        <v>200</v>
      </c>
      <c r="Y844" s="57">
        <f>200-200</f>
        <v>0</v>
      </c>
      <c r="Z844" s="58">
        <v>0</v>
      </c>
      <c r="AA844" s="58">
        <v>0</v>
      </c>
      <c r="AB844" s="58">
        <v>0</v>
      </c>
      <c r="AC844" s="58">
        <v>0</v>
      </c>
      <c r="AD844" s="58">
        <v>0</v>
      </c>
      <c r="AE844" s="58">
        <v>0</v>
      </c>
      <c r="AF844" s="58">
        <v>0</v>
      </c>
      <c r="AG844" s="58">
        <v>0</v>
      </c>
      <c r="AH844" s="58">
        <v>0</v>
      </c>
      <c r="AI844" s="58">
        <v>0</v>
      </c>
      <c r="AJ844" s="58">
        <v>0</v>
      </c>
      <c r="AK844" s="58">
        <v>0</v>
      </c>
      <c r="AL844" s="75">
        <f>+SUBTOTAL(9,Tabla6[[#This Row],[ENE]:[DIC]])</f>
        <v>0</v>
      </c>
      <c r="AM844" s="76" t="str">
        <f t="shared" si="17"/>
        <v>OK</v>
      </c>
      <c r="AN844" s="60">
        <v>0</v>
      </c>
      <c r="AO844" s="61">
        <f>+Tabla6[[#This Row],[PRESUPUESTO VIGENTE]]-Tabla6[[#This Row],[CERTIFICACIÓN PAPP]]</f>
        <v>0</v>
      </c>
      <c r="AP844" s="59">
        <v>0</v>
      </c>
    </row>
    <row r="845" spans="1:42" ht="93" customHeight="1" x14ac:dyDescent="0.25">
      <c r="A845" s="62" t="s">
        <v>78</v>
      </c>
      <c r="B845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845" s="64" t="s">
        <v>79</v>
      </c>
      <c r="D845" s="64" t="s">
        <v>80</v>
      </c>
      <c r="E845" s="64" t="s">
        <v>81</v>
      </c>
      <c r="F845" s="64" t="s">
        <v>101</v>
      </c>
      <c r="G845" s="64" t="s">
        <v>83</v>
      </c>
      <c r="H845" s="65" t="str">
        <f>VLOOKUP(Tabla6[[#This Row],[DIRECCIÓN]],DIRECCIÓN[#All],2,0)</f>
        <v>ADMINISTRACIÓN CENTRAL</v>
      </c>
      <c r="I845" s="66" t="s">
        <v>1042</v>
      </c>
      <c r="J845" s="67">
        <v>1</v>
      </c>
      <c r="K845" s="68" t="str">
        <f>VLOOKUP(Tabla6[[#This Row],[DIRECCIÓN GENERAL / COORDINACIÓN / SUBDIRECCIÓN]],Tabla37[[#All],[Columna1]:[EOD]],2,0)</f>
        <v>266_0005</v>
      </c>
      <c r="L845" s="69">
        <f>VLOOKUP(Tabla6[[#This Row],[OBJETIVOS PND]],Listas!$A$1:$C$3,3,0)</f>
        <v>1</v>
      </c>
      <c r="M845" s="70">
        <f>VLOOKUP(Tabla6[[#This Row],[PG]],Listas2!$G$14:$K$16,5,0)</f>
        <v>0</v>
      </c>
      <c r="N845" s="71">
        <v>1</v>
      </c>
      <c r="O845" s="72">
        <v>1201</v>
      </c>
      <c r="P845" s="73" t="str">
        <f>VLOOKUP(Tabla6[[#This Row],[GEO]],Listas!$A$48:$B$77,2,0)</f>
        <v>BABAHOYO</v>
      </c>
      <c r="Q845" s="70">
        <f>VLOOKUP(Tabla6[[#This Row],[PG]],Listas2!$G$14:$K$16,3,0)</f>
        <v>1</v>
      </c>
      <c r="R845" s="73">
        <f>VLOOKUP(Tabla6[[#This Row],[PG]],Listas2!H850:'Listas2'!$G$14:$K$16,4,0)</f>
        <v>0</v>
      </c>
      <c r="S845" s="73">
        <f>VLOOKUP(Tabla6[[#This Row],[PG]],Listas2!$G$14:$K$16,2,0)</f>
        <v>0</v>
      </c>
      <c r="T845" s="66" t="s">
        <v>84</v>
      </c>
      <c r="U845" s="74">
        <v>53</v>
      </c>
      <c r="V845" s="66">
        <v>531404</v>
      </c>
      <c r="W845" s="63" t="str">
        <f>VLOOKUP(Tabla6[[#This Row],[ÍTEM PRESUPUESTARIO]],Tabla2[#All],2,0)</f>
        <v>MAQUINARIAS Y EQUIPOS</v>
      </c>
      <c r="X845" s="57">
        <v>0</v>
      </c>
      <c r="Y845" s="57">
        <f>875.28-83.28</f>
        <v>792</v>
      </c>
      <c r="Z845" s="58">
        <v>0</v>
      </c>
      <c r="AA845" s="58">
        <v>0</v>
      </c>
      <c r="AB845" s="58">
        <v>0</v>
      </c>
      <c r="AC845" s="58">
        <v>0</v>
      </c>
      <c r="AD845" s="58">
        <v>0</v>
      </c>
      <c r="AE845" s="58">
        <v>0</v>
      </c>
      <c r="AF845" s="58">
        <v>0</v>
      </c>
      <c r="AG845" s="58">
        <v>0</v>
      </c>
      <c r="AH845" s="58">
        <v>0</v>
      </c>
      <c r="AI845" s="58">
        <v>0</v>
      </c>
      <c r="AJ845" s="58">
        <v>0</v>
      </c>
      <c r="AK845" s="58">
        <v>792</v>
      </c>
      <c r="AL845" s="75">
        <f>+SUBTOTAL(9,Tabla6[[#This Row],[ENE]:[DIC]])</f>
        <v>792</v>
      </c>
      <c r="AM845" s="76" t="str">
        <f t="shared" si="17"/>
        <v>OK</v>
      </c>
      <c r="AN845" s="60">
        <v>792</v>
      </c>
      <c r="AO845" s="61">
        <f>+Tabla6[[#This Row],[PRESUPUESTO VIGENTE]]-Tabla6[[#This Row],[CERTIFICACIÓN PAPP]]</f>
        <v>0</v>
      </c>
      <c r="AP845" s="59">
        <v>0</v>
      </c>
    </row>
    <row r="846" spans="1:42" ht="93" customHeight="1" x14ac:dyDescent="0.25">
      <c r="A846" s="62" t="s">
        <v>78</v>
      </c>
      <c r="B846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846" s="64" t="s">
        <v>79</v>
      </c>
      <c r="D846" s="64" t="s">
        <v>80</v>
      </c>
      <c r="E846" s="64" t="s">
        <v>81</v>
      </c>
      <c r="F846" s="64" t="s">
        <v>101</v>
      </c>
      <c r="G846" s="64" t="s">
        <v>83</v>
      </c>
      <c r="H846" s="65" t="str">
        <f>VLOOKUP(Tabla6[[#This Row],[DIRECCIÓN]],DIRECCIÓN[#All],2,0)</f>
        <v>ADMINISTRACIÓN CENTRAL</v>
      </c>
      <c r="I846" s="66" t="s">
        <v>1043</v>
      </c>
      <c r="J846" s="67">
        <v>1</v>
      </c>
      <c r="K846" s="68" t="str">
        <f>VLOOKUP(Tabla6[[#This Row],[DIRECCIÓN GENERAL / COORDINACIÓN / SUBDIRECCIÓN]],Tabla37[[#All],[Columna1]:[EOD]],2,0)</f>
        <v>266_0005</v>
      </c>
      <c r="L846" s="69">
        <f>VLOOKUP(Tabla6[[#This Row],[OBJETIVOS PND]],Listas!$A$1:$C$3,3,0)</f>
        <v>1</v>
      </c>
      <c r="M846" s="70">
        <f>VLOOKUP(Tabla6[[#This Row],[PG]],Listas2!$G$14:$K$16,5,0)</f>
        <v>0</v>
      </c>
      <c r="N846" s="71">
        <v>1</v>
      </c>
      <c r="O846" s="72">
        <v>1201</v>
      </c>
      <c r="P846" s="73" t="str">
        <f>VLOOKUP(Tabla6[[#This Row],[GEO]],Listas!$A$48:$B$77,2,0)</f>
        <v>BABAHOYO</v>
      </c>
      <c r="Q846" s="70">
        <f>VLOOKUP(Tabla6[[#This Row],[PG]],Listas2!$G$14:$K$16,3,0)</f>
        <v>1</v>
      </c>
      <c r="R846" s="73">
        <f>VLOOKUP(Tabla6[[#This Row],[PG]],Listas2!H851:'Listas2'!$G$14:$K$16,4,0)</f>
        <v>0</v>
      </c>
      <c r="S846" s="73">
        <f>VLOOKUP(Tabla6[[#This Row],[PG]],Listas2!$G$14:$K$16,2,0)</f>
        <v>0</v>
      </c>
      <c r="T846" s="66" t="s">
        <v>84</v>
      </c>
      <c r="U846" s="74">
        <v>57</v>
      </c>
      <c r="V846" s="66">
        <v>570102</v>
      </c>
      <c r="W846" s="63" t="str">
        <f>VLOOKUP(Tabla6[[#This Row],[ÍTEM PRESUPUESTARIO]],Tabla2[#All],2,0)</f>
        <v>TASAS GENERALES, IMPUESTOS, CONTRIBUCIONES, PERMISOS, LICENCIAS Y PATENTES</v>
      </c>
      <c r="X846" s="57">
        <v>250</v>
      </c>
      <c r="Y846" s="57">
        <f>250+40-2.58</f>
        <v>287.42</v>
      </c>
      <c r="Z846" s="58">
        <v>0</v>
      </c>
      <c r="AA846" s="58">
        <v>0</v>
      </c>
      <c r="AB846" s="58">
        <v>287.42</v>
      </c>
      <c r="AC846" s="58">
        <v>0</v>
      </c>
      <c r="AD846" s="58">
        <v>0</v>
      </c>
      <c r="AE846" s="58">
        <v>0</v>
      </c>
      <c r="AF846" s="58">
        <v>0</v>
      </c>
      <c r="AG846" s="58">
        <v>0</v>
      </c>
      <c r="AH846" s="58">
        <v>0</v>
      </c>
      <c r="AI846" s="58">
        <v>0</v>
      </c>
      <c r="AJ846" s="58">
        <v>0</v>
      </c>
      <c r="AK846" s="58">
        <v>0</v>
      </c>
      <c r="AL846" s="75">
        <f>+SUBTOTAL(9,Tabla6[[#This Row],[ENE]:[DIC]])</f>
        <v>287.42</v>
      </c>
      <c r="AM846" s="76" t="str">
        <f t="shared" si="17"/>
        <v>OK</v>
      </c>
      <c r="AN846" s="60">
        <v>287.42</v>
      </c>
      <c r="AO846" s="61">
        <f>+Tabla6[[#This Row],[PRESUPUESTO VIGENTE]]-Tabla6[[#This Row],[CERTIFICACIÓN PAPP]]</f>
        <v>0</v>
      </c>
      <c r="AP846" s="59">
        <v>0</v>
      </c>
    </row>
    <row r="847" spans="1:42" ht="93" customHeight="1" x14ac:dyDescent="0.25">
      <c r="A847" s="62" t="s">
        <v>78</v>
      </c>
      <c r="B847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847" s="64" t="s">
        <v>79</v>
      </c>
      <c r="D847" s="64" t="s">
        <v>80</v>
      </c>
      <c r="E847" s="64" t="s">
        <v>81</v>
      </c>
      <c r="F847" s="64" t="s">
        <v>101</v>
      </c>
      <c r="G847" s="64" t="s">
        <v>83</v>
      </c>
      <c r="H847" s="65" t="str">
        <f>VLOOKUP(Tabla6[[#This Row],[DIRECCIÓN]],DIRECCIÓN[#All],2,0)</f>
        <v>ADMINISTRACIÓN CENTRAL</v>
      </c>
      <c r="I847" s="66" t="s">
        <v>1044</v>
      </c>
      <c r="J847" s="67">
        <v>1</v>
      </c>
      <c r="K847" s="68" t="str">
        <f>VLOOKUP(Tabla6[[#This Row],[DIRECCIÓN GENERAL / COORDINACIÓN / SUBDIRECCIÓN]],Tabla37[[#All],[Columna1]:[EOD]],2,0)</f>
        <v>266_0005</v>
      </c>
      <c r="L847" s="69">
        <f>VLOOKUP(Tabla6[[#This Row],[OBJETIVOS PND]],Listas!$A$1:$C$3,3,0)</f>
        <v>1</v>
      </c>
      <c r="M847" s="70">
        <f>VLOOKUP(Tabla6[[#This Row],[PG]],Listas2!$G$14:$K$16,5,0)</f>
        <v>0</v>
      </c>
      <c r="N847" s="71">
        <v>1</v>
      </c>
      <c r="O847" s="72">
        <v>1201</v>
      </c>
      <c r="P847" s="73" t="str">
        <f>VLOOKUP(Tabla6[[#This Row],[GEO]],Listas!$A$48:$B$77,2,0)</f>
        <v>BABAHOYO</v>
      </c>
      <c r="Q847" s="70">
        <f>VLOOKUP(Tabla6[[#This Row],[PG]],Listas2!$G$14:$K$16,3,0)</f>
        <v>1</v>
      </c>
      <c r="R847" s="73">
        <f>VLOOKUP(Tabla6[[#This Row],[PG]],Listas2!H852:'Listas2'!$G$14:$K$16,4,0)</f>
        <v>0</v>
      </c>
      <c r="S847" s="73">
        <f>VLOOKUP(Tabla6[[#This Row],[PG]],Listas2!$G$14:$K$16,2,0)</f>
        <v>0</v>
      </c>
      <c r="T847" s="66" t="s">
        <v>84</v>
      </c>
      <c r="U847" s="74">
        <v>57</v>
      </c>
      <c r="V847" s="66">
        <v>570102</v>
      </c>
      <c r="W847" s="63" t="str">
        <f>VLOOKUP(Tabla6[[#This Row],[ÍTEM PRESUPUESTARIO]],Tabla2[#All],2,0)</f>
        <v>TASAS GENERALES, IMPUESTOS, CONTRIBUCIONES, PERMISOS, LICENCIAS Y PATENTES</v>
      </c>
      <c r="X847" s="57">
        <f>180</f>
        <v>180</v>
      </c>
      <c r="Y847" s="57">
        <f>180+70-250</f>
        <v>0</v>
      </c>
      <c r="Z847" s="58">
        <v>0</v>
      </c>
      <c r="AA847" s="58">
        <v>0</v>
      </c>
      <c r="AB847" s="58">
        <v>0</v>
      </c>
      <c r="AC847" s="58">
        <v>0</v>
      </c>
      <c r="AD847" s="58">
        <v>0</v>
      </c>
      <c r="AE847" s="58">
        <v>0</v>
      </c>
      <c r="AF847" s="58">
        <v>0</v>
      </c>
      <c r="AG847" s="58">
        <v>0</v>
      </c>
      <c r="AH847" s="58">
        <v>0</v>
      </c>
      <c r="AI847" s="58">
        <v>0</v>
      </c>
      <c r="AJ847" s="58">
        <v>0</v>
      </c>
      <c r="AK847" s="58">
        <v>0</v>
      </c>
      <c r="AL847" s="75">
        <f>+SUBTOTAL(9,Tabla6[[#This Row],[ENE]:[DIC]])</f>
        <v>0</v>
      </c>
      <c r="AM847" s="76" t="str">
        <f t="shared" si="17"/>
        <v>OK</v>
      </c>
      <c r="AN847" s="60">
        <v>0</v>
      </c>
      <c r="AO847" s="61">
        <f>+Tabla6[[#This Row],[PRESUPUESTO VIGENTE]]-Tabla6[[#This Row],[CERTIFICACIÓN PAPP]]</f>
        <v>0</v>
      </c>
      <c r="AP847" s="59">
        <v>0</v>
      </c>
    </row>
    <row r="848" spans="1:42" ht="93" customHeight="1" x14ac:dyDescent="0.25">
      <c r="A848" s="62" t="s">
        <v>78</v>
      </c>
      <c r="B848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848" s="64" t="s">
        <v>79</v>
      </c>
      <c r="D848" s="64" t="s">
        <v>80</v>
      </c>
      <c r="E848" s="64" t="s">
        <v>81</v>
      </c>
      <c r="F848" s="64" t="s">
        <v>101</v>
      </c>
      <c r="G848" s="64" t="s">
        <v>83</v>
      </c>
      <c r="H848" s="65" t="str">
        <f>VLOOKUP(Tabla6[[#This Row],[DIRECCIÓN]],DIRECCIÓN[#All],2,0)</f>
        <v>ADMINISTRACIÓN CENTRAL</v>
      </c>
      <c r="I848" s="66" t="s">
        <v>1045</v>
      </c>
      <c r="J848" s="67">
        <v>1</v>
      </c>
      <c r="K848" s="68" t="str">
        <f>VLOOKUP(Tabla6[[#This Row],[DIRECCIÓN GENERAL / COORDINACIÓN / SUBDIRECCIÓN]],Tabla37[[#All],[Columna1]:[EOD]],2,0)</f>
        <v>266_0005</v>
      </c>
      <c r="L848" s="69">
        <f>VLOOKUP(Tabla6[[#This Row],[OBJETIVOS PND]],Listas!$A$1:$C$3,3,0)</f>
        <v>1</v>
      </c>
      <c r="M848" s="70">
        <f>VLOOKUP(Tabla6[[#This Row],[PG]],Listas2!$G$14:$K$16,5,0)</f>
        <v>0</v>
      </c>
      <c r="N848" s="71">
        <v>1</v>
      </c>
      <c r="O848" s="72">
        <v>1201</v>
      </c>
      <c r="P848" s="73" t="str">
        <f>VLOOKUP(Tabla6[[#This Row],[GEO]],Listas!$A$48:$B$77,2,0)</f>
        <v>BABAHOYO</v>
      </c>
      <c r="Q848" s="70">
        <f>VLOOKUP(Tabla6[[#This Row],[PG]],Listas2!$G$14:$K$16,3,0)</f>
        <v>1</v>
      </c>
      <c r="R848" s="73">
        <f>VLOOKUP(Tabla6[[#This Row],[PG]],Listas2!H853:'Listas2'!$G$14:$K$16,4,0)</f>
        <v>0</v>
      </c>
      <c r="S848" s="73">
        <f>VLOOKUP(Tabla6[[#This Row],[PG]],Listas2!$G$14:$K$16,2,0)</f>
        <v>0</v>
      </c>
      <c r="T848" s="66" t="s">
        <v>84</v>
      </c>
      <c r="U848" s="74">
        <v>57</v>
      </c>
      <c r="V848" s="66">
        <v>570102</v>
      </c>
      <c r="W848" s="63" t="str">
        <f>VLOOKUP(Tabla6[[#This Row],[ÍTEM PRESUPUESTARIO]],Tabla2[#All],2,0)</f>
        <v>TASAS GENERALES, IMPUESTOS, CONTRIBUCIONES, PERMISOS, LICENCIAS Y PATENTES</v>
      </c>
      <c r="X848" s="57">
        <v>200</v>
      </c>
      <c r="Y848" s="57">
        <f>200-200</f>
        <v>0</v>
      </c>
      <c r="Z848" s="58">
        <v>0</v>
      </c>
      <c r="AA848" s="58">
        <v>0</v>
      </c>
      <c r="AB848" s="58">
        <v>0</v>
      </c>
      <c r="AC848" s="58">
        <v>0</v>
      </c>
      <c r="AD848" s="58">
        <v>0</v>
      </c>
      <c r="AE848" s="58">
        <v>0</v>
      </c>
      <c r="AF848" s="58">
        <v>0</v>
      </c>
      <c r="AG848" s="58">
        <v>0</v>
      </c>
      <c r="AH848" s="58">
        <v>0</v>
      </c>
      <c r="AI848" s="58">
        <v>0</v>
      </c>
      <c r="AJ848" s="58">
        <v>0</v>
      </c>
      <c r="AK848" s="58">
        <v>0</v>
      </c>
      <c r="AL848" s="75">
        <f>+SUBTOTAL(9,Tabla6[[#This Row],[ENE]:[DIC]])</f>
        <v>0</v>
      </c>
      <c r="AM848" s="76" t="str">
        <f t="shared" si="17"/>
        <v>OK</v>
      </c>
      <c r="AN848" s="60">
        <v>0</v>
      </c>
      <c r="AO848" s="61">
        <f>+Tabla6[[#This Row],[PRESUPUESTO VIGENTE]]-Tabla6[[#This Row],[CERTIFICACIÓN PAPP]]</f>
        <v>0</v>
      </c>
      <c r="AP848" s="59" t="s">
        <v>87</v>
      </c>
    </row>
    <row r="849" spans="1:42" ht="93" customHeight="1" x14ac:dyDescent="0.25">
      <c r="A849" s="62" t="s">
        <v>78</v>
      </c>
      <c r="B849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849" s="64" t="s">
        <v>79</v>
      </c>
      <c r="D849" s="64" t="s">
        <v>80</v>
      </c>
      <c r="E849" s="64" t="s">
        <v>81</v>
      </c>
      <c r="F849" s="64" t="s">
        <v>101</v>
      </c>
      <c r="G849" s="64" t="s">
        <v>83</v>
      </c>
      <c r="H849" s="65" t="str">
        <f>VLOOKUP(Tabla6[[#This Row],[DIRECCIÓN]],DIRECCIÓN[#All],2,0)</f>
        <v>ADMINISTRACIÓN CENTRAL</v>
      </c>
      <c r="I849" s="66" t="s">
        <v>1046</v>
      </c>
      <c r="J849" s="67">
        <v>1</v>
      </c>
      <c r="K849" s="68" t="str">
        <f>VLOOKUP(Tabla6[[#This Row],[DIRECCIÓN GENERAL / COORDINACIÓN / SUBDIRECCIÓN]],Tabla37[[#All],[Columna1]:[EOD]],2,0)</f>
        <v>266_0005</v>
      </c>
      <c r="L849" s="69">
        <f>VLOOKUP(Tabla6[[#This Row],[OBJETIVOS PND]],Listas!$A$1:$C$3,3,0)</f>
        <v>1</v>
      </c>
      <c r="M849" s="70">
        <f>VLOOKUP(Tabla6[[#This Row],[PG]],Listas2!$G$14:$K$16,5,0)</f>
        <v>0</v>
      </c>
      <c r="N849" s="71">
        <v>1</v>
      </c>
      <c r="O849" s="72">
        <v>1201</v>
      </c>
      <c r="P849" s="73" t="str">
        <f>VLOOKUP(Tabla6[[#This Row],[GEO]],Listas!$A$48:$B$77,2,0)</f>
        <v>BABAHOYO</v>
      </c>
      <c r="Q849" s="70">
        <f>VLOOKUP(Tabla6[[#This Row],[PG]],Listas2!$G$14:$K$16,3,0)</f>
        <v>1</v>
      </c>
      <c r="R849" s="73">
        <f>VLOOKUP(Tabla6[[#This Row],[PG]],Listas2!H854:'Listas2'!$G$14:$K$16,4,0)</f>
        <v>0</v>
      </c>
      <c r="S849" s="73">
        <f>VLOOKUP(Tabla6[[#This Row],[PG]],Listas2!$G$14:$K$16,2,0)</f>
        <v>0</v>
      </c>
      <c r="T849" s="66" t="s">
        <v>84</v>
      </c>
      <c r="U849" s="74">
        <v>57</v>
      </c>
      <c r="V849" s="66">
        <v>570102</v>
      </c>
      <c r="W849" s="63" t="str">
        <f>VLOOKUP(Tabla6[[#This Row],[ÍTEM PRESUPUESTARIO]],Tabla2[#All],2,0)</f>
        <v>TASAS GENERALES, IMPUESTOS, CONTRIBUCIONES, PERMISOS, LICENCIAS Y PATENTES</v>
      </c>
      <c r="X849" s="57">
        <v>200</v>
      </c>
      <c r="Y849" s="57">
        <f>200+90-8.07</f>
        <v>281.93</v>
      </c>
      <c r="Z849" s="58">
        <v>0</v>
      </c>
      <c r="AA849" s="58">
        <v>0</v>
      </c>
      <c r="AB849" s="58">
        <v>281.93</v>
      </c>
      <c r="AC849" s="58">
        <v>0</v>
      </c>
      <c r="AD849" s="58">
        <v>0</v>
      </c>
      <c r="AE849" s="58">
        <v>0</v>
      </c>
      <c r="AF849" s="58">
        <v>0</v>
      </c>
      <c r="AG849" s="58">
        <v>0</v>
      </c>
      <c r="AH849" s="58">
        <v>0</v>
      </c>
      <c r="AI849" s="58">
        <v>0</v>
      </c>
      <c r="AJ849" s="58">
        <v>0</v>
      </c>
      <c r="AK849" s="58">
        <v>0</v>
      </c>
      <c r="AL849" s="75">
        <f>+SUBTOTAL(9,Tabla6[[#This Row],[ENE]:[DIC]])</f>
        <v>281.93</v>
      </c>
      <c r="AM849" s="76" t="str">
        <f t="shared" si="17"/>
        <v>OK</v>
      </c>
      <c r="AN849" s="60">
        <f>281.93</f>
        <v>281.93</v>
      </c>
      <c r="AO849" s="61">
        <f>+Tabla6[[#This Row],[PRESUPUESTO VIGENTE]]-Tabla6[[#This Row],[CERTIFICACIÓN PAPP]]</f>
        <v>0</v>
      </c>
      <c r="AP849" s="59">
        <v>0</v>
      </c>
    </row>
    <row r="850" spans="1:42" ht="93" customHeight="1" x14ac:dyDescent="0.25">
      <c r="A850" s="62" t="s">
        <v>78</v>
      </c>
      <c r="B850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850" s="64" t="s">
        <v>79</v>
      </c>
      <c r="D850" s="64" t="s">
        <v>80</v>
      </c>
      <c r="E850" s="64" t="s">
        <v>81</v>
      </c>
      <c r="F850" s="64" t="s">
        <v>101</v>
      </c>
      <c r="G850" s="64" t="s">
        <v>83</v>
      </c>
      <c r="H850" s="65" t="str">
        <f>VLOOKUP(Tabla6[[#This Row],[DIRECCIÓN]],DIRECCIÓN[#All],2,0)</f>
        <v>ADMINISTRACIÓN CENTRAL</v>
      </c>
      <c r="I850" s="66" t="s">
        <v>1047</v>
      </c>
      <c r="J850" s="67">
        <v>1</v>
      </c>
      <c r="K850" s="68" t="str">
        <f>VLOOKUP(Tabla6[[#This Row],[DIRECCIÓN GENERAL / COORDINACIÓN / SUBDIRECCIÓN]],Tabla37[[#All],[Columna1]:[EOD]],2,0)</f>
        <v>266_0005</v>
      </c>
      <c r="L850" s="69">
        <f>VLOOKUP(Tabla6[[#This Row],[OBJETIVOS PND]],Listas!$A$1:$C$3,3,0)</f>
        <v>1</v>
      </c>
      <c r="M850" s="70">
        <f>VLOOKUP(Tabla6[[#This Row],[PG]],Listas2!$G$14:$K$16,5,0)</f>
        <v>0</v>
      </c>
      <c r="N850" s="71">
        <v>1</v>
      </c>
      <c r="O850" s="72">
        <v>1201</v>
      </c>
      <c r="P850" s="73" t="str">
        <f>VLOOKUP(Tabla6[[#This Row],[GEO]],Listas!$A$48:$B$77,2,0)</f>
        <v>BABAHOYO</v>
      </c>
      <c r="Q850" s="70">
        <f>VLOOKUP(Tabla6[[#This Row],[PG]],Listas2!$G$14:$K$16,3,0)</f>
        <v>1</v>
      </c>
      <c r="R850" s="73">
        <f>VLOOKUP(Tabla6[[#This Row],[PG]],Listas2!H855:'Listas2'!$G$14:$K$16,4,0)</f>
        <v>0</v>
      </c>
      <c r="S850" s="73">
        <f>VLOOKUP(Tabla6[[#This Row],[PG]],Listas2!$G$14:$K$16,2,0)</f>
        <v>0</v>
      </c>
      <c r="T850" s="66" t="s">
        <v>84</v>
      </c>
      <c r="U850" s="74">
        <v>57</v>
      </c>
      <c r="V850" s="66">
        <v>570102</v>
      </c>
      <c r="W850" s="63" t="str">
        <f>VLOOKUP(Tabla6[[#This Row],[ÍTEM PRESUPUESTARIO]],Tabla2[#All],2,0)</f>
        <v>TASAS GENERALES, IMPUESTOS, CONTRIBUCIONES, PERMISOS, LICENCIAS Y PATENTES</v>
      </c>
      <c r="X850" s="57">
        <v>150</v>
      </c>
      <c r="Y850" s="57">
        <f>150-150</f>
        <v>0</v>
      </c>
      <c r="Z850" s="58">
        <v>0</v>
      </c>
      <c r="AA850" s="58">
        <v>0</v>
      </c>
      <c r="AB850" s="58">
        <v>0</v>
      </c>
      <c r="AC850" s="58">
        <v>0</v>
      </c>
      <c r="AD850" s="58">
        <v>0</v>
      </c>
      <c r="AE850" s="58">
        <v>0</v>
      </c>
      <c r="AF850" s="58">
        <v>0</v>
      </c>
      <c r="AG850" s="58">
        <v>0</v>
      </c>
      <c r="AH850" s="58">
        <v>0</v>
      </c>
      <c r="AI850" s="58">
        <v>0</v>
      </c>
      <c r="AJ850" s="58">
        <v>0</v>
      </c>
      <c r="AK850" s="58">
        <v>0</v>
      </c>
      <c r="AL850" s="75">
        <f>+SUBTOTAL(9,Tabla6[[#This Row],[ENE]:[DIC]])</f>
        <v>0</v>
      </c>
      <c r="AM850" s="76" t="str">
        <f t="shared" si="17"/>
        <v>OK</v>
      </c>
      <c r="AN850" s="60">
        <v>0</v>
      </c>
      <c r="AO850" s="61">
        <f>+Tabla6[[#This Row],[PRESUPUESTO VIGENTE]]-Tabla6[[#This Row],[CERTIFICACIÓN PAPP]]</f>
        <v>0</v>
      </c>
      <c r="AP850" s="59">
        <v>0</v>
      </c>
    </row>
    <row r="851" spans="1:42" ht="93" customHeight="1" x14ac:dyDescent="0.25">
      <c r="A851" s="62" t="s">
        <v>78</v>
      </c>
      <c r="B851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851" s="64" t="s">
        <v>79</v>
      </c>
      <c r="D851" s="64" t="s">
        <v>80</v>
      </c>
      <c r="E851" s="64" t="s">
        <v>81</v>
      </c>
      <c r="F851" s="64" t="s">
        <v>101</v>
      </c>
      <c r="G851" s="64" t="s">
        <v>83</v>
      </c>
      <c r="H851" s="65" t="str">
        <f>VLOOKUP(Tabla6[[#This Row],[DIRECCIÓN]],DIRECCIÓN[#All],2,0)</f>
        <v>ADMINISTRACIÓN CENTRAL</v>
      </c>
      <c r="I851" s="66" t="s">
        <v>1048</v>
      </c>
      <c r="J851" s="67">
        <v>1</v>
      </c>
      <c r="K851" s="68" t="str">
        <f>VLOOKUP(Tabla6[[#This Row],[DIRECCIÓN GENERAL / COORDINACIÓN / SUBDIRECCIÓN]],Tabla37[[#All],[Columna1]:[EOD]],2,0)</f>
        <v>266_0005</v>
      </c>
      <c r="L851" s="69">
        <f>VLOOKUP(Tabla6[[#This Row],[OBJETIVOS PND]],Listas!$A$1:$C$3,3,0)</f>
        <v>1</v>
      </c>
      <c r="M851" s="70">
        <f>VLOOKUP(Tabla6[[#This Row],[PG]],Listas2!$G$14:$K$16,5,0)</f>
        <v>0</v>
      </c>
      <c r="N851" s="71">
        <v>1</v>
      </c>
      <c r="O851" s="72">
        <v>1201</v>
      </c>
      <c r="P851" s="73" t="str">
        <f>VLOOKUP(Tabla6[[#This Row],[GEO]],Listas!$A$48:$B$77,2,0)</f>
        <v>BABAHOYO</v>
      </c>
      <c r="Q851" s="70">
        <f>VLOOKUP(Tabla6[[#This Row],[PG]],Listas2!$G$14:$K$16,3,0)</f>
        <v>1</v>
      </c>
      <c r="R851" s="73">
        <f>VLOOKUP(Tabla6[[#This Row],[PG]],Listas2!H856:'Listas2'!$G$14:$K$16,4,0)</f>
        <v>0</v>
      </c>
      <c r="S851" s="73">
        <f>VLOOKUP(Tabla6[[#This Row],[PG]],Listas2!$G$14:$K$16,2,0)</f>
        <v>0</v>
      </c>
      <c r="T851" s="66" t="s">
        <v>84</v>
      </c>
      <c r="U851" s="74">
        <v>57</v>
      </c>
      <c r="V851" s="66">
        <v>570102</v>
      </c>
      <c r="W851" s="63" t="str">
        <f>VLOOKUP(Tabla6[[#This Row],[ÍTEM PRESUPUESTARIO]],Tabla2[#All],2,0)</f>
        <v>TASAS GENERALES, IMPUESTOS, CONTRIBUCIONES, PERMISOS, LICENCIAS Y PATENTES</v>
      </c>
      <c r="X851" s="57">
        <v>200</v>
      </c>
      <c r="Y851" s="57">
        <f>200+166-9.47</f>
        <v>356.53</v>
      </c>
      <c r="Z851" s="58">
        <v>0</v>
      </c>
      <c r="AA851" s="58">
        <v>0</v>
      </c>
      <c r="AB851" s="58">
        <v>356.53</v>
      </c>
      <c r="AC851" s="58">
        <v>0</v>
      </c>
      <c r="AD851" s="58">
        <v>0</v>
      </c>
      <c r="AE851" s="58">
        <v>0</v>
      </c>
      <c r="AF851" s="58">
        <v>0</v>
      </c>
      <c r="AG851" s="58">
        <v>0</v>
      </c>
      <c r="AH851" s="58">
        <v>0</v>
      </c>
      <c r="AI851" s="58">
        <v>0</v>
      </c>
      <c r="AJ851" s="58">
        <v>0</v>
      </c>
      <c r="AK851" s="58">
        <v>0</v>
      </c>
      <c r="AL851" s="75">
        <f>+SUBTOTAL(9,Tabla6[[#This Row],[ENE]:[DIC]])</f>
        <v>356.53</v>
      </c>
      <c r="AM851" s="76" t="str">
        <f t="shared" si="17"/>
        <v>OK</v>
      </c>
      <c r="AN851" s="60">
        <v>356.53</v>
      </c>
      <c r="AO851" s="61">
        <f>+Tabla6[[#This Row],[PRESUPUESTO VIGENTE]]-Tabla6[[#This Row],[CERTIFICACIÓN PAPP]]</f>
        <v>0</v>
      </c>
      <c r="AP851" s="59">
        <v>0</v>
      </c>
    </row>
    <row r="852" spans="1:42" ht="93" customHeight="1" x14ac:dyDescent="0.25">
      <c r="A852" s="62" t="s">
        <v>78</v>
      </c>
      <c r="B852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852" s="64" t="s">
        <v>79</v>
      </c>
      <c r="D852" s="64" t="s">
        <v>80</v>
      </c>
      <c r="E852" s="64" t="s">
        <v>81</v>
      </c>
      <c r="F852" s="64" t="s">
        <v>101</v>
      </c>
      <c r="G852" s="64" t="s">
        <v>83</v>
      </c>
      <c r="H852" s="65" t="str">
        <f>VLOOKUP(Tabla6[[#This Row],[DIRECCIÓN]],DIRECCIÓN[#All],2,0)</f>
        <v>ADMINISTRACIÓN CENTRAL</v>
      </c>
      <c r="I852" s="66" t="s">
        <v>1049</v>
      </c>
      <c r="J852" s="67">
        <v>1</v>
      </c>
      <c r="K852" s="68" t="str">
        <f>VLOOKUP(Tabla6[[#This Row],[DIRECCIÓN GENERAL / COORDINACIÓN / SUBDIRECCIÓN]],Tabla37[[#All],[Columna1]:[EOD]],2,0)</f>
        <v>266_0005</v>
      </c>
      <c r="L852" s="69">
        <f>VLOOKUP(Tabla6[[#This Row],[OBJETIVOS PND]],Listas!$A$1:$C$3,3,0)</f>
        <v>1</v>
      </c>
      <c r="M852" s="70">
        <f>VLOOKUP(Tabla6[[#This Row],[PG]],Listas2!$G$14:$K$16,5,0)</f>
        <v>0</v>
      </c>
      <c r="N852" s="71">
        <v>1</v>
      </c>
      <c r="O852" s="72">
        <v>1201</v>
      </c>
      <c r="P852" s="73" t="str">
        <f>VLOOKUP(Tabla6[[#This Row],[GEO]],Listas!$A$48:$B$77,2,0)</f>
        <v>BABAHOYO</v>
      </c>
      <c r="Q852" s="70">
        <f>VLOOKUP(Tabla6[[#This Row],[PG]],Listas2!$G$14:$K$16,3,0)</f>
        <v>1</v>
      </c>
      <c r="R852" s="73">
        <f>VLOOKUP(Tabla6[[#This Row],[PG]],Listas2!H857:'Listas2'!$G$14:$K$16,4,0)</f>
        <v>0</v>
      </c>
      <c r="S852" s="73">
        <f>VLOOKUP(Tabla6[[#This Row],[PG]],Listas2!$G$14:$K$16,2,0)</f>
        <v>0</v>
      </c>
      <c r="T852" s="66" t="s">
        <v>84</v>
      </c>
      <c r="U852" s="74">
        <v>57</v>
      </c>
      <c r="V852" s="66">
        <v>570102</v>
      </c>
      <c r="W852" s="63" t="str">
        <f>VLOOKUP(Tabla6[[#This Row],[ÍTEM PRESUPUESTARIO]],Tabla2[#All],2,0)</f>
        <v>TASAS GENERALES, IMPUESTOS, CONTRIBUCIONES, PERMISOS, LICENCIAS Y PATENTES</v>
      </c>
      <c r="X852" s="57">
        <v>0</v>
      </c>
      <c r="Y852" s="57">
        <f>40-4.91</f>
        <v>35.090000000000003</v>
      </c>
      <c r="Z852" s="58">
        <v>0</v>
      </c>
      <c r="AA852" s="58">
        <v>0</v>
      </c>
      <c r="AB852" s="58">
        <v>35.090000000000003</v>
      </c>
      <c r="AC852" s="58">
        <v>0</v>
      </c>
      <c r="AD852" s="58">
        <v>0</v>
      </c>
      <c r="AE852" s="58">
        <v>0</v>
      </c>
      <c r="AF852" s="58">
        <v>0</v>
      </c>
      <c r="AG852" s="58">
        <v>0</v>
      </c>
      <c r="AH852" s="58">
        <v>0</v>
      </c>
      <c r="AI852" s="58">
        <v>0</v>
      </c>
      <c r="AJ852" s="58">
        <v>0</v>
      </c>
      <c r="AK852" s="58">
        <v>0</v>
      </c>
      <c r="AL852" s="75">
        <f>+SUBTOTAL(9,Tabla6[[#This Row],[ENE]:[DIC]])</f>
        <v>35.090000000000003</v>
      </c>
      <c r="AM852" s="76" t="str">
        <f t="shared" si="17"/>
        <v>OK</v>
      </c>
      <c r="AN852" s="60">
        <v>35.090000000000003</v>
      </c>
      <c r="AO852" s="61">
        <f>+Tabla6[[#This Row],[PRESUPUESTO VIGENTE]]-Tabla6[[#This Row],[CERTIFICACIÓN PAPP]]</f>
        <v>0</v>
      </c>
      <c r="AP852" s="59">
        <v>0</v>
      </c>
    </row>
    <row r="853" spans="1:42" ht="93" customHeight="1" x14ac:dyDescent="0.25">
      <c r="A853" s="62" t="s">
        <v>78</v>
      </c>
      <c r="B853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853" s="64" t="s">
        <v>79</v>
      </c>
      <c r="D853" s="64" t="s">
        <v>80</v>
      </c>
      <c r="E853" s="64" t="s">
        <v>81</v>
      </c>
      <c r="F853" s="64" t="s">
        <v>101</v>
      </c>
      <c r="G853" s="64" t="s">
        <v>83</v>
      </c>
      <c r="H853" s="65" t="str">
        <f>VLOOKUP(Tabla6[[#This Row],[DIRECCIÓN]],DIRECCIÓN[#All],2,0)</f>
        <v>ADMINISTRACIÓN CENTRAL</v>
      </c>
      <c r="I853" s="66" t="s">
        <v>1050</v>
      </c>
      <c r="J853" s="67">
        <v>1</v>
      </c>
      <c r="K853" s="68" t="str">
        <f>VLOOKUP(Tabla6[[#This Row],[DIRECCIÓN GENERAL / COORDINACIÓN / SUBDIRECCIÓN]],Tabla37[[#All],[Columna1]:[EOD]],2,0)</f>
        <v>266_0005</v>
      </c>
      <c r="L853" s="69">
        <f>VLOOKUP(Tabla6[[#This Row],[OBJETIVOS PND]],Listas!$A$1:$C$3,3,0)</f>
        <v>1</v>
      </c>
      <c r="M853" s="70">
        <f>VLOOKUP(Tabla6[[#This Row],[PG]],Listas2!$G$14:$K$16,5,0)</f>
        <v>0</v>
      </c>
      <c r="N853" s="71">
        <v>1</v>
      </c>
      <c r="O853" s="72">
        <v>1201</v>
      </c>
      <c r="P853" s="73" t="str">
        <f>VLOOKUP(Tabla6[[#This Row],[GEO]],Listas!$A$48:$B$77,2,0)</f>
        <v>BABAHOYO</v>
      </c>
      <c r="Q853" s="70">
        <f>VLOOKUP(Tabla6[[#This Row],[PG]],Listas2!$G$14:$K$16,3,0)</f>
        <v>1</v>
      </c>
      <c r="R853" s="73">
        <f>VLOOKUP(Tabla6[[#This Row],[PG]],Listas2!H858:'Listas2'!$G$14:$K$16,4,0)</f>
        <v>0</v>
      </c>
      <c r="S853" s="73">
        <f>VLOOKUP(Tabla6[[#This Row],[PG]],Listas2!$G$14:$K$16,2,0)</f>
        <v>0</v>
      </c>
      <c r="T853" s="66" t="s">
        <v>84</v>
      </c>
      <c r="U853" s="74">
        <v>57</v>
      </c>
      <c r="V853" s="66">
        <v>570102</v>
      </c>
      <c r="W853" s="63" t="str">
        <f>VLOOKUP(Tabla6[[#This Row],[ÍTEM PRESUPUESTARIO]],Tabla2[#All],2,0)</f>
        <v>TASAS GENERALES, IMPUESTOS, CONTRIBUCIONES, PERMISOS, LICENCIAS Y PATENTES</v>
      </c>
      <c r="X853" s="57">
        <v>0</v>
      </c>
      <c r="Y853" s="57">
        <f>80-63</f>
        <v>17</v>
      </c>
      <c r="Z853" s="58">
        <v>0</v>
      </c>
      <c r="AA853" s="58">
        <v>0</v>
      </c>
      <c r="AB853" s="58">
        <v>0</v>
      </c>
      <c r="AC853" s="58">
        <v>0</v>
      </c>
      <c r="AD853" s="58">
        <v>17</v>
      </c>
      <c r="AE853" s="58">
        <v>0</v>
      </c>
      <c r="AF853" s="58">
        <v>0</v>
      </c>
      <c r="AG853" s="58">
        <v>0</v>
      </c>
      <c r="AH853" s="58">
        <v>0</v>
      </c>
      <c r="AI853" s="58">
        <v>0</v>
      </c>
      <c r="AJ853" s="58">
        <v>0</v>
      </c>
      <c r="AK853" s="58">
        <v>0</v>
      </c>
      <c r="AL853" s="75">
        <f>+SUBTOTAL(9,Tabla6[[#This Row],[ENE]:[DIC]])</f>
        <v>17</v>
      </c>
      <c r="AM853" s="76" t="str">
        <f t="shared" si="17"/>
        <v>OK</v>
      </c>
      <c r="AN853" s="60">
        <f>80-63</f>
        <v>17</v>
      </c>
      <c r="AO853" s="61">
        <f>+Tabla6[[#This Row],[PRESUPUESTO VIGENTE]]-Tabla6[[#This Row],[CERTIFICACIÓN PAPP]]</f>
        <v>0</v>
      </c>
      <c r="AP853" s="59">
        <v>0</v>
      </c>
    </row>
    <row r="854" spans="1:42" ht="93" customHeight="1" x14ac:dyDescent="0.25">
      <c r="A854" s="62" t="s">
        <v>78</v>
      </c>
      <c r="B854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854" s="64" t="s">
        <v>79</v>
      </c>
      <c r="D854" s="64" t="s">
        <v>80</v>
      </c>
      <c r="E854" s="64" t="s">
        <v>81</v>
      </c>
      <c r="F854" s="64" t="s">
        <v>101</v>
      </c>
      <c r="G854" s="64" t="s">
        <v>83</v>
      </c>
      <c r="H854" s="65" t="str">
        <f>VLOOKUP(Tabla6[[#This Row],[DIRECCIÓN]],DIRECCIÓN[#All],2,0)</f>
        <v>ADMINISTRACIÓN CENTRAL</v>
      </c>
      <c r="I854" s="66" t="s">
        <v>1051</v>
      </c>
      <c r="J854" s="67">
        <v>1</v>
      </c>
      <c r="K854" s="68" t="str">
        <f>VLOOKUP(Tabla6[[#This Row],[DIRECCIÓN GENERAL / COORDINACIÓN / SUBDIRECCIÓN]],Tabla37[[#All],[Columna1]:[EOD]],2,0)</f>
        <v>266_0005</v>
      </c>
      <c r="L854" s="69">
        <f>VLOOKUP(Tabla6[[#This Row],[OBJETIVOS PND]],Listas!$A$1:$C$3,3,0)</f>
        <v>1</v>
      </c>
      <c r="M854" s="70">
        <f>VLOOKUP(Tabla6[[#This Row],[PG]],Listas2!$G$14:$K$16,5,0)</f>
        <v>0</v>
      </c>
      <c r="N854" s="71">
        <v>1</v>
      </c>
      <c r="O854" s="72">
        <v>1201</v>
      </c>
      <c r="P854" s="73" t="str">
        <f>VLOOKUP(Tabla6[[#This Row],[GEO]],Listas!$A$48:$B$77,2,0)</f>
        <v>BABAHOYO</v>
      </c>
      <c r="Q854" s="70">
        <f>VLOOKUP(Tabla6[[#This Row],[PG]],Listas2!$G$14:$K$16,3,0)</f>
        <v>1</v>
      </c>
      <c r="R854" s="73">
        <f>VLOOKUP(Tabla6[[#This Row],[PG]],Listas2!H859:'Listas2'!$G$14:$K$16,4,0)</f>
        <v>0</v>
      </c>
      <c r="S854" s="73">
        <f>VLOOKUP(Tabla6[[#This Row],[PG]],Listas2!$G$14:$K$16,2,0)</f>
        <v>0</v>
      </c>
      <c r="T854" s="66" t="s">
        <v>84</v>
      </c>
      <c r="U854" s="74">
        <v>57</v>
      </c>
      <c r="V854" s="66">
        <v>570102</v>
      </c>
      <c r="W854" s="63" t="str">
        <f>VLOOKUP(Tabla6[[#This Row],[ÍTEM PRESUPUESTARIO]],Tabla2[#All],2,0)</f>
        <v>TASAS GENERALES, IMPUESTOS, CONTRIBUCIONES, PERMISOS, LICENCIAS Y PATENTES</v>
      </c>
      <c r="X854" s="57">
        <v>250</v>
      </c>
      <c r="Y854" s="57">
        <f>250+200</f>
        <v>450</v>
      </c>
      <c r="Z854" s="58">
        <v>0</v>
      </c>
      <c r="AA854" s="58">
        <v>0</v>
      </c>
      <c r="AB854" s="58">
        <v>0</v>
      </c>
      <c r="AC854" s="58">
        <v>0</v>
      </c>
      <c r="AD854" s="58">
        <v>250</v>
      </c>
      <c r="AE854" s="58">
        <v>0</v>
      </c>
      <c r="AF854" s="58">
        <v>0</v>
      </c>
      <c r="AG854" s="58">
        <v>200</v>
      </c>
      <c r="AH854" s="58">
        <v>0</v>
      </c>
      <c r="AI854" s="58">
        <v>0</v>
      </c>
      <c r="AJ854" s="58">
        <v>0</v>
      </c>
      <c r="AK854" s="58">
        <v>0</v>
      </c>
      <c r="AL854" s="75">
        <f>+SUBTOTAL(9,Tabla6[[#This Row],[ENE]:[DIC]])</f>
        <v>450</v>
      </c>
      <c r="AM854" s="76" t="str">
        <f t="shared" si="17"/>
        <v>OK</v>
      </c>
      <c r="AN854" s="60">
        <v>450</v>
      </c>
      <c r="AO854" s="61">
        <f>+Tabla6[[#This Row],[PRESUPUESTO VIGENTE]]-Tabla6[[#This Row],[CERTIFICACIÓN PAPP]]</f>
        <v>0</v>
      </c>
      <c r="AP854" s="59">
        <v>0</v>
      </c>
    </row>
    <row r="855" spans="1:42" ht="93" customHeight="1" x14ac:dyDescent="0.25">
      <c r="A855" s="62" t="s">
        <v>78</v>
      </c>
      <c r="B855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855" s="64" t="s">
        <v>79</v>
      </c>
      <c r="D855" s="64" t="s">
        <v>80</v>
      </c>
      <c r="E855" s="64" t="s">
        <v>81</v>
      </c>
      <c r="F855" s="64" t="s">
        <v>101</v>
      </c>
      <c r="G855" s="64" t="s">
        <v>83</v>
      </c>
      <c r="H855" s="65" t="str">
        <f>VLOOKUP(Tabla6[[#This Row],[DIRECCIÓN]],DIRECCIÓN[#All],2,0)</f>
        <v>ADMINISTRACIÓN CENTRAL</v>
      </c>
      <c r="I855" s="66" t="s">
        <v>1052</v>
      </c>
      <c r="J855" s="67">
        <v>1</v>
      </c>
      <c r="K855" s="68" t="str">
        <f>VLOOKUP(Tabla6[[#This Row],[DIRECCIÓN GENERAL / COORDINACIÓN / SUBDIRECCIÓN]],Tabla37[[#All],[Columna1]:[EOD]],2,0)</f>
        <v>266_0005</v>
      </c>
      <c r="L855" s="69">
        <f>VLOOKUP(Tabla6[[#This Row],[OBJETIVOS PND]],Listas!$A$1:$C$3,3,0)</f>
        <v>1</v>
      </c>
      <c r="M855" s="70">
        <f>VLOOKUP(Tabla6[[#This Row],[PG]],Listas2!$G$14:$K$16,5,0)</f>
        <v>0</v>
      </c>
      <c r="N855" s="71">
        <v>1</v>
      </c>
      <c r="O855" s="72">
        <v>1201</v>
      </c>
      <c r="P855" s="73" t="str">
        <f>VLOOKUP(Tabla6[[#This Row],[GEO]],Listas!$A$48:$B$77,2,0)</f>
        <v>BABAHOYO</v>
      </c>
      <c r="Q855" s="70">
        <f>VLOOKUP(Tabla6[[#This Row],[PG]],Listas2!$G$14:$K$16,3,0)</f>
        <v>1</v>
      </c>
      <c r="R855" s="73">
        <f>VLOOKUP(Tabla6[[#This Row],[PG]],Listas2!H860:'Listas2'!$G$14:$K$16,4,0)</f>
        <v>0</v>
      </c>
      <c r="S855" s="73">
        <f>VLOOKUP(Tabla6[[#This Row],[PG]],Listas2!$G$14:$K$16,2,0)</f>
        <v>0</v>
      </c>
      <c r="T855" s="66" t="s">
        <v>84</v>
      </c>
      <c r="U855" s="74">
        <v>57</v>
      </c>
      <c r="V855" s="66">
        <v>570206</v>
      </c>
      <c r="W855" s="63" t="str">
        <f>VLOOKUP(Tabla6[[#This Row],[ÍTEM PRESUPUESTARIO]],Tabla2[#All],2,0)</f>
        <v>COSTAS JUDICIALES, TRÁMITES NOTARIALES,  LEGALIZACIÓN DE DOCUMENTOS Y ARREGLOS EXTRAJUDICIALES</v>
      </c>
      <c r="X855" s="57">
        <v>0</v>
      </c>
      <c r="Y855" s="57">
        <f>1000-432.4</f>
        <v>567.6</v>
      </c>
      <c r="Z855" s="58">
        <v>0</v>
      </c>
      <c r="AA855" s="58">
        <v>0</v>
      </c>
      <c r="AB855" s="58">
        <v>0</v>
      </c>
      <c r="AC855" s="58">
        <v>0</v>
      </c>
      <c r="AD855" s="58">
        <v>0</v>
      </c>
      <c r="AE855" s="58">
        <v>0</v>
      </c>
      <c r="AF855" s="58">
        <v>0</v>
      </c>
      <c r="AG855" s="58">
        <v>0</v>
      </c>
      <c r="AH855" s="58">
        <v>0</v>
      </c>
      <c r="AI855" s="58">
        <v>0</v>
      </c>
      <c r="AJ855" s="58">
        <v>567.6</v>
      </c>
      <c r="AK855" s="58">
        <v>0</v>
      </c>
      <c r="AL855" s="75">
        <f>+SUBTOTAL(9,Tabla6[[#This Row],[ENE]:[DIC]])</f>
        <v>567.6</v>
      </c>
      <c r="AM855" s="76" t="str">
        <f t="shared" si="17"/>
        <v>OK</v>
      </c>
      <c r="AN855" s="60">
        <v>567.6</v>
      </c>
      <c r="AO855" s="61">
        <f>+Tabla6[[#This Row],[PRESUPUESTO VIGENTE]]-Tabla6[[#This Row],[CERTIFICACIÓN PAPP]]</f>
        <v>0</v>
      </c>
      <c r="AP855" s="59">
        <v>0</v>
      </c>
    </row>
    <row r="856" spans="1:42" ht="93" customHeight="1" x14ac:dyDescent="0.25">
      <c r="A856" s="62" t="s">
        <v>88</v>
      </c>
      <c r="B856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856" s="64" t="s">
        <v>89</v>
      </c>
      <c r="D856" s="64" t="s">
        <v>80</v>
      </c>
      <c r="E856" s="64" t="s">
        <v>81</v>
      </c>
      <c r="F856" s="64" t="s">
        <v>101</v>
      </c>
      <c r="G856" s="64" t="s">
        <v>90</v>
      </c>
      <c r="H856" s="65" t="str">
        <f>VLOOKUP(Tabla6[[#This Row],[DIRECCIÓN]],DIRECCIÓN[#All],2,0)</f>
        <v>TECNOLOGÍA</v>
      </c>
      <c r="I856" s="66" t="s">
        <v>1053</v>
      </c>
      <c r="J856" s="67">
        <v>1</v>
      </c>
      <c r="K856" s="68" t="str">
        <f>VLOOKUP(Tabla6[[#This Row],[DIRECCIÓN GENERAL / COORDINACIÓN / SUBDIRECCIÓN]],Tabla37[[#All],[Columna1]:[EOD]],2,0)</f>
        <v>266_0005</v>
      </c>
      <c r="L856" s="69">
        <f>VLOOKUP(Tabla6[[#This Row],[OBJETIVOS PND]],Listas!$A$1:$C$3,3,0)</f>
        <v>55</v>
      </c>
      <c r="M856" s="70">
        <f>VLOOKUP(Tabla6[[#This Row],[PG]],Listas2!$G$14:$K$16,5,0)</f>
        <v>0</v>
      </c>
      <c r="N856" s="71">
        <v>3</v>
      </c>
      <c r="O856" s="72">
        <v>1201</v>
      </c>
      <c r="P856" s="73" t="str">
        <f>VLOOKUP(Tabla6[[#This Row],[GEO]],Listas!$A$48:$B$77,2,0)</f>
        <v>BABAHOYO</v>
      </c>
      <c r="Q856" s="70">
        <f>VLOOKUP(Tabla6[[#This Row],[PG]],Listas2!$G$14:$K$16,3,0)</f>
        <v>1</v>
      </c>
      <c r="R856" s="73">
        <f>VLOOKUP(Tabla6[[#This Row],[PG]],Listas2!H861:'Listas2'!$G$14:$K$16,4,0)</f>
        <v>0</v>
      </c>
      <c r="S856" s="73">
        <f>VLOOKUP(Tabla6[[#This Row],[PG]],Listas2!$G$14:$K$16,2,0)</f>
        <v>0</v>
      </c>
      <c r="T856" s="66" t="s">
        <v>84</v>
      </c>
      <c r="U856" s="74">
        <v>53</v>
      </c>
      <c r="V856" s="66">
        <v>530105</v>
      </c>
      <c r="W856" s="63" t="str">
        <f>VLOOKUP(Tabla6[[#This Row],[ÍTEM PRESUPUESTARIO]],Tabla2[#All],2,0)</f>
        <v>TELECOMUNICACIONES</v>
      </c>
      <c r="X856" s="57">
        <v>209000</v>
      </c>
      <c r="Y856" s="57">
        <f>209000-40611.22-336-28918.19-16324.98-15508.8-1500-9417.14-7846.04-1762.95-3150-5477.9-3072.1-350-2000</f>
        <v>72724.680000000008</v>
      </c>
      <c r="Z856" s="58">
        <v>0</v>
      </c>
      <c r="AA856" s="58">
        <v>28553.96</v>
      </c>
      <c r="AB856" s="58">
        <v>17260</v>
      </c>
      <c r="AC856" s="58">
        <v>11837.9</v>
      </c>
      <c r="AD856" s="58">
        <v>9999.15</v>
      </c>
      <c r="AE856" s="58">
        <v>2577.86</v>
      </c>
      <c r="AF856" s="58">
        <v>1570.02</v>
      </c>
      <c r="AG856" s="58">
        <v>925.79</v>
      </c>
      <c r="AH856" s="58">
        <v>0</v>
      </c>
      <c r="AI856" s="58">
        <v>0</v>
      </c>
      <c r="AJ856" s="58">
        <v>0</v>
      </c>
      <c r="AK856" s="58">
        <v>0</v>
      </c>
      <c r="AL856" s="75">
        <f>+SUBTOTAL(9,Tabla6[[#This Row],[ENE]:[DIC]])</f>
        <v>72724.679999999993</v>
      </c>
      <c r="AM856" s="76" t="str">
        <f t="shared" si="17"/>
        <v>OK</v>
      </c>
      <c r="AN856" s="60">
        <f>153388.78+12068.67-336-28918.19-16324.98-15508.8-7985.81-7846.04-15762.95-50</f>
        <v>72724.680000000022</v>
      </c>
      <c r="AO856" s="61">
        <f>+Tabla6[[#This Row],[PRESUPUESTO VIGENTE]]-Tabla6[[#This Row],[CERTIFICACIÓN PAPP]]</f>
        <v>0</v>
      </c>
      <c r="AP856" s="59">
        <v>0</v>
      </c>
    </row>
    <row r="857" spans="1:42" ht="93" customHeight="1" x14ac:dyDescent="0.25">
      <c r="A857" s="62" t="s">
        <v>78</v>
      </c>
      <c r="B857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857" s="64" t="s">
        <v>79</v>
      </c>
      <c r="D857" s="64" t="s">
        <v>80</v>
      </c>
      <c r="E857" s="64" t="s">
        <v>81</v>
      </c>
      <c r="F857" s="64" t="s">
        <v>101</v>
      </c>
      <c r="G857" s="64" t="s">
        <v>83</v>
      </c>
      <c r="H857" s="65" t="str">
        <f>VLOOKUP(Tabla6[[#This Row],[DIRECCIÓN]],DIRECCIÓN[#All],2,0)</f>
        <v>ADMINISTRACIÓN CENTRAL</v>
      </c>
      <c r="I857" s="66" t="s">
        <v>93</v>
      </c>
      <c r="J857" s="67">
        <v>1</v>
      </c>
      <c r="K857" s="68" t="str">
        <f>VLOOKUP(Tabla6[[#This Row],[DIRECCIÓN GENERAL / COORDINACIÓN / SUBDIRECCIÓN]],Tabla37[[#All],[Columna1]:[EOD]],2,0)</f>
        <v>266_0005</v>
      </c>
      <c r="L857" s="69">
        <f>VLOOKUP(Tabla6[[#This Row],[OBJETIVOS PND]],Listas!$A$1:$C$3,3,0)</f>
        <v>1</v>
      </c>
      <c r="M857" s="70">
        <f>VLOOKUP(Tabla6[[#This Row],[PG]],Listas2!$G$14:$K$16,5,0)</f>
        <v>0</v>
      </c>
      <c r="N857" s="71" t="s">
        <v>775</v>
      </c>
      <c r="O857" s="72">
        <v>2000</v>
      </c>
      <c r="P857" s="73" t="str">
        <f>VLOOKUP(Tabla6[[#This Row],[GEO]],Listas!$A$48:$B$77,2,0)</f>
        <v>SAN CRISTÓBAL</v>
      </c>
      <c r="Q857" s="70">
        <f>VLOOKUP(Tabla6[[#This Row],[PG]],Listas2!$G$14:$K$16,3,0)</f>
        <v>1</v>
      </c>
      <c r="R857" s="73">
        <f>VLOOKUP(Tabla6[[#This Row],[PG]],Listas2!H862:'Listas2'!$G$14:$K$16,4,0)</f>
        <v>0</v>
      </c>
      <c r="S857" s="73">
        <f>VLOOKUP(Tabla6[[#This Row],[PG]],Listas2!$G$14:$K$16,2,0)</f>
        <v>0</v>
      </c>
      <c r="T857" s="66" t="s">
        <v>84</v>
      </c>
      <c r="U857" s="74">
        <v>51</v>
      </c>
      <c r="V857" s="66">
        <v>510105</v>
      </c>
      <c r="W857" s="63" t="str">
        <f>VLOOKUP(Tabla6[[#This Row],[ÍTEM PRESUPUESTARIO]],Tabla2[#All],2,0)</f>
        <v>REMUNERACIONES UNIFICADAS</v>
      </c>
      <c r="X857" s="57">
        <v>77328</v>
      </c>
      <c r="Y857" s="57">
        <f>77328-4257.4-5+10-10</f>
        <v>73065.600000000006</v>
      </c>
      <c r="Z857" s="58">
        <v>6444</v>
      </c>
      <c r="AA857" s="58">
        <v>6444</v>
      </c>
      <c r="AB857" s="58">
        <v>6444</v>
      </c>
      <c r="AC857" s="58">
        <v>6444</v>
      </c>
      <c r="AD857" s="58">
        <v>6444</v>
      </c>
      <c r="AE857" s="58">
        <v>6444</v>
      </c>
      <c r="AF857" s="58">
        <v>6444</v>
      </c>
      <c r="AG857" s="58">
        <v>6444</v>
      </c>
      <c r="AH857" s="58">
        <v>6444</v>
      </c>
      <c r="AI857" s="58">
        <v>6444</v>
      </c>
      <c r="AJ857" s="58">
        <v>6444</v>
      </c>
      <c r="AK857" s="58">
        <v>2181.6</v>
      </c>
      <c r="AL857" s="75">
        <f>+SUBTOTAL(9,Tabla6[[#This Row],[ENE]:[DIC]])</f>
        <v>73065.600000000006</v>
      </c>
      <c r="AM857" s="76" t="str">
        <f t="shared" si="17"/>
        <v>OK</v>
      </c>
      <c r="AN857" s="60">
        <v>0</v>
      </c>
      <c r="AO857" s="61">
        <f>+Tabla6[[#This Row],[PRESUPUESTO VIGENTE]]-Tabla6[[#This Row],[CERTIFICACIÓN PAPP]]</f>
        <v>73065.600000000006</v>
      </c>
      <c r="AP857" s="59">
        <v>0</v>
      </c>
    </row>
    <row r="858" spans="1:42" ht="93" customHeight="1" x14ac:dyDescent="0.25">
      <c r="A858" s="62" t="s">
        <v>78</v>
      </c>
      <c r="B858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858" s="64" t="s">
        <v>79</v>
      </c>
      <c r="D858" s="64" t="s">
        <v>80</v>
      </c>
      <c r="E858" s="64" t="s">
        <v>81</v>
      </c>
      <c r="F858" s="64" t="s">
        <v>101</v>
      </c>
      <c r="G858" s="64" t="s">
        <v>83</v>
      </c>
      <c r="H858" s="65" t="str">
        <f>VLOOKUP(Tabla6[[#This Row],[DIRECCIÓN]],DIRECCIÓN[#All],2,0)</f>
        <v>ADMINISTRACIÓN CENTRAL</v>
      </c>
      <c r="I858" s="66" t="s">
        <v>93</v>
      </c>
      <c r="J858" s="67">
        <v>1</v>
      </c>
      <c r="K858" s="68" t="str">
        <f>VLOOKUP(Tabla6[[#This Row],[DIRECCIÓN GENERAL / COORDINACIÓN / SUBDIRECCIÓN]],Tabla37[[#All],[Columna1]:[EOD]],2,0)</f>
        <v>266_0005</v>
      </c>
      <c r="L858" s="69">
        <f>VLOOKUP(Tabla6[[#This Row],[OBJETIVOS PND]],Listas!$A$1:$C$3,3,0)</f>
        <v>1</v>
      </c>
      <c r="M858" s="70">
        <f>VLOOKUP(Tabla6[[#This Row],[PG]],Listas2!$G$14:$K$16,5,0)</f>
        <v>0</v>
      </c>
      <c r="N858" s="71" t="s">
        <v>775</v>
      </c>
      <c r="O858" s="72">
        <v>2000</v>
      </c>
      <c r="P858" s="73" t="str">
        <f>VLOOKUP(Tabla6[[#This Row],[GEO]],Listas!$A$48:$B$77,2,0)</f>
        <v>SAN CRISTÓBAL</v>
      </c>
      <c r="Q858" s="70">
        <f>VLOOKUP(Tabla6[[#This Row],[PG]],Listas2!$G$14:$K$16,3,0)</f>
        <v>1</v>
      </c>
      <c r="R858" s="73">
        <f>VLOOKUP(Tabla6[[#This Row],[PG]],Listas2!H863:'Listas2'!$G$14:$K$16,4,0)</f>
        <v>0</v>
      </c>
      <c r="S858" s="73">
        <f>VLOOKUP(Tabla6[[#This Row],[PG]],Listas2!$G$14:$K$16,2,0)</f>
        <v>0</v>
      </c>
      <c r="T858" s="66" t="s">
        <v>84</v>
      </c>
      <c r="U858" s="74">
        <v>51</v>
      </c>
      <c r="V858" s="66">
        <v>510106</v>
      </c>
      <c r="W858" s="63" t="str">
        <f>VLOOKUP(Tabla6[[#This Row],[ÍTEM PRESUPUESTARIO]],Tabla2[#All],2,0)</f>
        <v>SALARIOS UNIFICADOS</v>
      </c>
      <c r="X858" s="57">
        <v>109920</v>
      </c>
      <c r="Y858" s="57">
        <f>109920+10-9.99</f>
        <v>109920.01</v>
      </c>
      <c r="Z858" s="58">
        <v>9160</v>
      </c>
      <c r="AA858" s="58">
        <v>9160</v>
      </c>
      <c r="AB858" s="58">
        <v>9160</v>
      </c>
      <c r="AC858" s="58">
        <v>9160</v>
      </c>
      <c r="AD858" s="58">
        <v>9160</v>
      </c>
      <c r="AE858" s="58">
        <v>9160</v>
      </c>
      <c r="AF858" s="58">
        <v>9160</v>
      </c>
      <c r="AG858" s="58">
        <v>9160</v>
      </c>
      <c r="AH858" s="58">
        <v>9160</v>
      </c>
      <c r="AI858" s="58">
        <v>9160</v>
      </c>
      <c r="AJ858" s="58">
        <v>9160</v>
      </c>
      <c r="AK858" s="58">
        <v>9160.01</v>
      </c>
      <c r="AL858" s="75">
        <f>+SUBTOTAL(9,Tabla6[[#This Row],[ENE]:[DIC]])</f>
        <v>109920.01</v>
      </c>
      <c r="AM858" s="76" t="str">
        <f t="shared" si="17"/>
        <v>OK</v>
      </c>
      <c r="AN858" s="60">
        <v>0</v>
      </c>
      <c r="AO858" s="61">
        <f>+Tabla6[[#This Row],[PRESUPUESTO VIGENTE]]-Tabla6[[#This Row],[CERTIFICACIÓN PAPP]]</f>
        <v>109920.01</v>
      </c>
      <c r="AP858" s="59">
        <v>0</v>
      </c>
    </row>
    <row r="859" spans="1:42" ht="93" customHeight="1" x14ac:dyDescent="0.25">
      <c r="A859" s="62" t="s">
        <v>78</v>
      </c>
      <c r="B859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859" s="64" t="s">
        <v>79</v>
      </c>
      <c r="D859" s="64" t="s">
        <v>80</v>
      </c>
      <c r="E859" s="64" t="s">
        <v>81</v>
      </c>
      <c r="F859" s="64" t="s">
        <v>101</v>
      </c>
      <c r="G859" s="64" t="s">
        <v>83</v>
      </c>
      <c r="H859" s="65" t="str">
        <f>VLOOKUP(Tabla6[[#This Row],[DIRECCIÓN]],DIRECCIÓN[#All],2,0)</f>
        <v>ADMINISTRACIÓN CENTRAL</v>
      </c>
      <c r="I859" s="66" t="s">
        <v>93</v>
      </c>
      <c r="J859" s="67">
        <v>1</v>
      </c>
      <c r="K859" s="68" t="str">
        <f>VLOOKUP(Tabla6[[#This Row],[DIRECCIÓN GENERAL / COORDINACIÓN / SUBDIRECCIÓN]],Tabla37[[#All],[Columna1]:[EOD]],2,0)</f>
        <v>266_0005</v>
      </c>
      <c r="L859" s="69">
        <f>VLOOKUP(Tabla6[[#This Row],[OBJETIVOS PND]],Listas!$A$1:$C$3,3,0)</f>
        <v>1</v>
      </c>
      <c r="M859" s="70">
        <f>VLOOKUP(Tabla6[[#This Row],[PG]],Listas2!$G$14:$K$16,5,0)</f>
        <v>0</v>
      </c>
      <c r="N859" s="71" t="s">
        <v>775</v>
      </c>
      <c r="O859" s="72">
        <v>2000</v>
      </c>
      <c r="P859" s="73" t="str">
        <f>VLOOKUP(Tabla6[[#This Row],[GEO]],Listas!$A$48:$B$77,2,0)</f>
        <v>SAN CRISTÓBAL</v>
      </c>
      <c r="Q859" s="70">
        <f>VLOOKUP(Tabla6[[#This Row],[PG]],Listas2!$G$14:$K$16,3,0)</f>
        <v>1</v>
      </c>
      <c r="R859" s="73">
        <f>VLOOKUP(Tabla6[[#This Row],[PG]],Listas2!H864:'Listas2'!$G$14:$K$16,4,0)</f>
        <v>0</v>
      </c>
      <c r="S859" s="73">
        <f>VLOOKUP(Tabla6[[#This Row],[PG]],Listas2!$G$14:$K$16,2,0)</f>
        <v>0</v>
      </c>
      <c r="T859" s="66" t="s">
        <v>84</v>
      </c>
      <c r="U859" s="74">
        <v>51</v>
      </c>
      <c r="V859" s="66">
        <v>510203</v>
      </c>
      <c r="W859" s="63" t="str">
        <f>VLOOKUP(Tabla6[[#This Row],[ÍTEM PRESUPUESTARIO]],Tabla2[#All],2,0)</f>
        <v>DÉCIMO TERCER SUELDO</v>
      </c>
      <c r="X859" s="57">
        <v>17075</v>
      </c>
      <c r="Y859" s="57">
        <f>17074.6+1200-1479.81</f>
        <v>16794.789999999997</v>
      </c>
      <c r="Z859" s="58">
        <v>0</v>
      </c>
      <c r="AA859" s="58">
        <v>0</v>
      </c>
      <c r="AB859" s="58">
        <v>0</v>
      </c>
      <c r="AC859" s="58">
        <v>0</v>
      </c>
      <c r="AD859" s="58">
        <v>0</v>
      </c>
      <c r="AE859" s="58">
        <v>0</v>
      </c>
      <c r="AF859" s="58">
        <v>0</v>
      </c>
      <c r="AG859" s="58">
        <v>0</v>
      </c>
      <c r="AH859" s="58">
        <v>0</v>
      </c>
      <c r="AI859" s="58">
        <v>0</v>
      </c>
      <c r="AJ859" s="58">
        <v>0</v>
      </c>
      <c r="AK859" s="58">
        <v>16794.79</v>
      </c>
      <c r="AL859" s="75">
        <f>+SUBTOTAL(9,Tabla6[[#This Row],[ENE]:[DIC]])</f>
        <v>16794.79</v>
      </c>
      <c r="AM859" s="76" t="str">
        <f t="shared" si="17"/>
        <v>OK</v>
      </c>
      <c r="AN859" s="60">
        <v>0</v>
      </c>
      <c r="AO859" s="61">
        <f>+Tabla6[[#This Row],[PRESUPUESTO VIGENTE]]-Tabla6[[#This Row],[CERTIFICACIÓN PAPP]]</f>
        <v>16794.789999999997</v>
      </c>
      <c r="AP859" s="59">
        <v>0</v>
      </c>
    </row>
    <row r="860" spans="1:42" ht="93" customHeight="1" x14ac:dyDescent="0.25">
      <c r="A860" s="62" t="s">
        <v>78</v>
      </c>
      <c r="B860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860" s="64" t="s">
        <v>79</v>
      </c>
      <c r="D860" s="64" t="s">
        <v>80</v>
      </c>
      <c r="E860" s="64" t="s">
        <v>81</v>
      </c>
      <c r="F860" s="64" t="s">
        <v>101</v>
      </c>
      <c r="G860" s="64" t="s">
        <v>83</v>
      </c>
      <c r="H860" s="65" t="str">
        <f>VLOOKUP(Tabla6[[#This Row],[DIRECCIÓN]],DIRECCIÓN[#All],2,0)</f>
        <v>ADMINISTRACIÓN CENTRAL</v>
      </c>
      <c r="I860" s="66" t="s">
        <v>93</v>
      </c>
      <c r="J860" s="67">
        <v>1</v>
      </c>
      <c r="K860" s="68" t="str">
        <f>VLOOKUP(Tabla6[[#This Row],[DIRECCIÓN GENERAL / COORDINACIÓN / SUBDIRECCIÓN]],Tabla37[[#All],[Columna1]:[EOD]],2,0)</f>
        <v>266_0005</v>
      </c>
      <c r="L860" s="69">
        <f>VLOOKUP(Tabla6[[#This Row],[OBJETIVOS PND]],Listas!$A$1:$C$3,3,0)</f>
        <v>1</v>
      </c>
      <c r="M860" s="70">
        <f>VLOOKUP(Tabla6[[#This Row],[PG]],Listas2!$G$14:$K$16,5,0)</f>
        <v>0</v>
      </c>
      <c r="N860" s="71" t="s">
        <v>775</v>
      </c>
      <c r="O860" s="72">
        <v>2000</v>
      </c>
      <c r="P860" s="73" t="str">
        <f>VLOOKUP(Tabla6[[#This Row],[GEO]],Listas!$A$48:$B$77,2,0)</f>
        <v>SAN CRISTÓBAL</v>
      </c>
      <c r="Q860" s="70">
        <f>VLOOKUP(Tabla6[[#This Row],[PG]],Listas2!$G$14:$K$16,3,0)</f>
        <v>1</v>
      </c>
      <c r="R860" s="73">
        <f>VLOOKUP(Tabla6[[#This Row],[PG]],Listas2!H865:'Listas2'!$G$14:$K$16,4,0)</f>
        <v>0</v>
      </c>
      <c r="S860" s="73">
        <f>VLOOKUP(Tabla6[[#This Row],[PG]],Listas2!$G$14:$K$16,2,0)</f>
        <v>0</v>
      </c>
      <c r="T860" s="66" t="s">
        <v>84</v>
      </c>
      <c r="U860" s="74">
        <v>51</v>
      </c>
      <c r="V860" s="66">
        <v>510204</v>
      </c>
      <c r="W860" s="63" t="str">
        <f>VLOOKUP(Tabla6[[#This Row],[ÍTEM PRESUPUESTARIO]],Tabla2[#All],2,0)</f>
        <v>DÉCIMO CUARTO SUELDO</v>
      </c>
      <c r="X860" s="57">
        <v>8100</v>
      </c>
      <c r="Y860" s="57">
        <f>8100-63.4</f>
        <v>8036.6</v>
      </c>
      <c r="Z860" s="58">
        <v>0</v>
      </c>
      <c r="AA860" s="58">
        <v>0</v>
      </c>
      <c r="AB860" s="58">
        <v>0</v>
      </c>
      <c r="AC860" s="58">
        <v>8036.6</v>
      </c>
      <c r="AD860" s="58">
        <v>0</v>
      </c>
      <c r="AE860" s="58">
        <v>0</v>
      </c>
      <c r="AF860" s="58">
        <v>0</v>
      </c>
      <c r="AG860" s="58">
        <v>0</v>
      </c>
      <c r="AH860" s="58">
        <v>0</v>
      </c>
      <c r="AI860" s="58">
        <v>0</v>
      </c>
      <c r="AJ860" s="58">
        <v>0</v>
      </c>
      <c r="AK860" s="58">
        <v>0</v>
      </c>
      <c r="AL860" s="75">
        <f>+SUBTOTAL(9,Tabla6[[#This Row],[ENE]:[DIC]])</f>
        <v>8036.6</v>
      </c>
      <c r="AM860" s="76" t="str">
        <f t="shared" si="17"/>
        <v>OK</v>
      </c>
      <c r="AN860" s="60">
        <v>0</v>
      </c>
      <c r="AO860" s="61">
        <f>+Tabla6[[#This Row],[PRESUPUESTO VIGENTE]]-Tabla6[[#This Row],[CERTIFICACIÓN PAPP]]</f>
        <v>8036.6</v>
      </c>
      <c r="AP860" s="59">
        <v>0</v>
      </c>
    </row>
    <row r="861" spans="1:42" ht="93" customHeight="1" x14ac:dyDescent="0.25">
      <c r="A861" s="62" t="s">
        <v>78</v>
      </c>
      <c r="B861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861" s="64" t="s">
        <v>79</v>
      </c>
      <c r="D861" s="64" t="s">
        <v>80</v>
      </c>
      <c r="E861" s="64" t="s">
        <v>81</v>
      </c>
      <c r="F861" s="64" t="s">
        <v>101</v>
      </c>
      <c r="G861" s="64" t="s">
        <v>83</v>
      </c>
      <c r="H861" s="65" t="str">
        <f>VLOOKUP(Tabla6[[#This Row],[DIRECCIÓN]],DIRECCIÓN[#All],2,0)</f>
        <v>ADMINISTRACIÓN CENTRAL</v>
      </c>
      <c r="I861" s="66" t="s">
        <v>108</v>
      </c>
      <c r="J861" s="67">
        <v>1</v>
      </c>
      <c r="K861" s="68" t="str">
        <f>VLOOKUP(Tabla6[[#This Row],[DIRECCIÓN GENERAL / COORDINACIÓN / SUBDIRECCIÓN]],Tabla37[[#All],[Columna1]:[EOD]],2,0)</f>
        <v>266_0005</v>
      </c>
      <c r="L861" s="69">
        <f>VLOOKUP(Tabla6[[#This Row],[OBJETIVOS PND]],Listas!$A$1:$C$3,3,0)</f>
        <v>1</v>
      </c>
      <c r="M861" s="70">
        <f>VLOOKUP(Tabla6[[#This Row],[PG]],Listas2!$G$14:$K$16,5,0)</f>
        <v>0</v>
      </c>
      <c r="N861" s="71">
        <v>1</v>
      </c>
      <c r="O861" s="72">
        <v>2000</v>
      </c>
      <c r="P861" s="73" t="str">
        <f>VLOOKUP(Tabla6[[#This Row],[GEO]],Listas!$A$48:$B$77,2,0)</f>
        <v>SAN CRISTÓBAL</v>
      </c>
      <c r="Q861" s="70">
        <f>VLOOKUP(Tabla6[[#This Row],[PG]],Listas2!$G$14:$K$16,3,0)</f>
        <v>1</v>
      </c>
      <c r="R861" s="73">
        <f>VLOOKUP(Tabla6[[#This Row],[PG]],Listas2!H866:'Listas2'!$G$14:$K$16,4,0)</f>
        <v>0</v>
      </c>
      <c r="S861" s="73">
        <f>VLOOKUP(Tabla6[[#This Row],[PG]],Listas2!$G$14:$K$16,2,0)</f>
        <v>0</v>
      </c>
      <c r="T861" s="66" t="s">
        <v>84</v>
      </c>
      <c r="U861" s="74">
        <v>51</v>
      </c>
      <c r="V861" s="66">
        <v>510509</v>
      </c>
      <c r="W861" s="63" t="str">
        <f>VLOOKUP(Tabla6[[#This Row],[ÍTEM PRESUPUESTARIO]],Tabla2[#All],2,0)</f>
        <v>HORAS EXTRAORDINARIAS Y SUPLEMENTARIAS</v>
      </c>
      <c r="X861" s="57">
        <v>0</v>
      </c>
      <c r="Y861" s="57">
        <f>1000-95.36</f>
        <v>904.64</v>
      </c>
      <c r="Z861" s="58">
        <v>0</v>
      </c>
      <c r="AA861" s="58">
        <v>904.64</v>
      </c>
      <c r="AB861" s="58">
        <v>0</v>
      </c>
      <c r="AC861" s="58">
        <v>0</v>
      </c>
      <c r="AD861" s="58">
        <v>0</v>
      </c>
      <c r="AE861" s="58">
        <v>0</v>
      </c>
      <c r="AF861" s="58">
        <v>0</v>
      </c>
      <c r="AG861" s="58">
        <v>0</v>
      </c>
      <c r="AH861" s="58">
        <v>0</v>
      </c>
      <c r="AI861" s="58">
        <v>0</v>
      </c>
      <c r="AJ861" s="58">
        <v>0</v>
      </c>
      <c r="AK861" s="58">
        <v>0</v>
      </c>
      <c r="AL861" s="75">
        <f>+SUBTOTAL(9,Tabla6[[#This Row],[ENE]:[DIC]])</f>
        <v>904.64</v>
      </c>
      <c r="AM861" s="76" t="str">
        <f t="shared" si="17"/>
        <v>OK</v>
      </c>
      <c r="AN861" s="60">
        <v>0</v>
      </c>
      <c r="AO861" s="61">
        <f>+Tabla6[[#This Row],[PRESUPUESTO VIGENTE]]-Tabla6[[#This Row],[CERTIFICACIÓN PAPP]]</f>
        <v>904.64</v>
      </c>
      <c r="AP861" s="59">
        <v>0</v>
      </c>
    </row>
    <row r="862" spans="1:42" ht="93" customHeight="1" x14ac:dyDescent="0.25">
      <c r="A862" s="62" t="s">
        <v>78</v>
      </c>
      <c r="B862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862" s="64" t="s">
        <v>79</v>
      </c>
      <c r="D862" s="64" t="s">
        <v>80</v>
      </c>
      <c r="E862" s="64" t="s">
        <v>81</v>
      </c>
      <c r="F862" s="64" t="s">
        <v>101</v>
      </c>
      <c r="G862" s="64" t="s">
        <v>83</v>
      </c>
      <c r="H862" s="65" t="str">
        <f>VLOOKUP(Tabla6[[#This Row],[DIRECCIÓN]],DIRECCIÓN[#All],2,0)</f>
        <v>ADMINISTRACIÓN CENTRAL</v>
      </c>
      <c r="I862" s="66" t="s">
        <v>93</v>
      </c>
      <c r="J862" s="67">
        <v>1</v>
      </c>
      <c r="K862" s="68" t="str">
        <f>VLOOKUP(Tabla6[[#This Row],[DIRECCIÓN GENERAL / COORDINACIÓN / SUBDIRECCIÓN]],Tabla37[[#All],[Columna1]:[EOD]],2,0)</f>
        <v>266_0005</v>
      </c>
      <c r="L862" s="69">
        <f>VLOOKUP(Tabla6[[#This Row],[OBJETIVOS PND]],Listas!$A$1:$C$3,3,0)</f>
        <v>1</v>
      </c>
      <c r="M862" s="70">
        <f>VLOOKUP(Tabla6[[#This Row],[PG]],Listas2!$G$14:$K$16,5,0)</f>
        <v>0</v>
      </c>
      <c r="N862" s="71" t="s">
        <v>775</v>
      </c>
      <c r="O862" s="72">
        <v>2000</v>
      </c>
      <c r="P862" s="73" t="str">
        <f>VLOOKUP(Tabla6[[#This Row],[GEO]],Listas!$A$48:$B$77,2,0)</f>
        <v>SAN CRISTÓBAL</v>
      </c>
      <c r="Q862" s="70">
        <f>VLOOKUP(Tabla6[[#This Row],[PG]],Listas2!$G$14:$K$16,3,0)</f>
        <v>1</v>
      </c>
      <c r="R862" s="73">
        <f>VLOOKUP(Tabla6[[#This Row],[PG]],Listas2!H867:'Listas2'!$G$14:$K$16,4,0)</f>
        <v>0</v>
      </c>
      <c r="S862" s="73">
        <f>VLOOKUP(Tabla6[[#This Row],[PG]],Listas2!$G$14:$K$16,2,0)</f>
        <v>0</v>
      </c>
      <c r="T862" s="66" t="s">
        <v>84</v>
      </c>
      <c r="U862" s="74">
        <v>51</v>
      </c>
      <c r="V862" s="66">
        <v>510510</v>
      </c>
      <c r="W862" s="63" t="str">
        <f>VLOOKUP(Tabla6[[#This Row],[ÍTEM PRESUPUESTARIO]],Tabla2[#All],2,0)</f>
        <v>SERVICIOS PERSONALES POR CONTRATO</v>
      </c>
      <c r="X862" s="57">
        <v>17592</v>
      </c>
      <c r="Y862" s="57">
        <f>17592+60.2-5+10-10</f>
        <v>17647.2</v>
      </c>
      <c r="Z862" s="58">
        <v>1466</v>
      </c>
      <c r="AA862" s="58">
        <v>1466</v>
      </c>
      <c r="AB862" s="58">
        <v>1466</v>
      </c>
      <c r="AC862" s="58">
        <v>1466</v>
      </c>
      <c r="AD862" s="58">
        <v>1466</v>
      </c>
      <c r="AE862" s="58">
        <v>1466</v>
      </c>
      <c r="AF862" s="58">
        <v>1466</v>
      </c>
      <c r="AG862" s="58">
        <v>1466</v>
      </c>
      <c r="AH862" s="58">
        <v>1466</v>
      </c>
      <c r="AI862" s="58">
        <v>1466</v>
      </c>
      <c r="AJ862" s="58">
        <v>1466</v>
      </c>
      <c r="AK862" s="58">
        <v>1521.2</v>
      </c>
      <c r="AL862" s="75">
        <f>+SUBTOTAL(9,Tabla6[[#This Row],[ENE]:[DIC]])</f>
        <v>17647.2</v>
      </c>
      <c r="AM862" s="76" t="str">
        <f t="shared" si="17"/>
        <v>OK</v>
      </c>
      <c r="AN862" s="60">
        <v>0</v>
      </c>
      <c r="AO862" s="61">
        <f>+Tabla6[[#This Row],[PRESUPUESTO VIGENTE]]-Tabla6[[#This Row],[CERTIFICACIÓN PAPP]]</f>
        <v>17647.2</v>
      </c>
      <c r="AP862" s="59">
        <v>0</v>
      </c>
    </row>
    <row r="863" spans="1:42" ht="93" customHeight="1" x14ac:dyDescent="0.25">
      <c r="A863" s="62" t="s">
        <v>78</v>
      </c>
      <c r="B863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863" s="64" t="s">
        <v>79</v>
      </c>
      <c r="D863" s="64" t="s">
        <v>80</v>
      </c>
      <c r="E863" s="64" t="s">
        <v>81</v>
      </c>
      <c r="F863" s="64" t="s">
        <v>101</v>
      </c>
      <c r="G863" s="64" t="s">
        <v>83</v>
      </c>
      <c r="H863" s="65" t="str">
        <f>VLOOKUP(Tabla6[[#This Row],[DIRECCIÓN]],DIRECCIÓN[#All],2,0)</f>
        <v>ADMINISTRACIÓN CENTRAL</v>
      </c>
      <c r="I863" s="66" t="s">
        <v>93</v>
      </c>
      <c r="J863" s="67">
        <v>1</v>
      </c>
      <c r="K863" s="68" t="str">
        <f>VLOOKUP(Tabla6[[#This Row],[DIRECCIÓN GENERAL / COORDINACIÓN / SUBDIRECCIÓN]],Tabla37[[#All],[Columna1]:[EOD]],2,0)</f>
        <v>266_0005</v>
      </c>
      <c r="L863" s="69">
        <f>VLOOKUP(Tabla6[[#This Row],[OBJETIVOS PND]],Listas!$A$1:$C$3,3,0)</f>
        <v>1</v>
      </c>
      <c r="M863" s="70">
        <f>VLOOKUP(Tabla6[[#This Row],[PG]],Listas2!$G$14:$K$16,5,0)</f>
        <v>0</v>
      </c>
      <c r="N863" s="71" t="s">
        <v>775</v>
      </c>
      <c r="O863" s="72">
        <v>2000</v>
      </c>
      <c r="P863" s="73" t="str">
        <f>VLOOKUP(Tabla6[[#This Row],[GEO]],Listas!$A$48:$B$77,2,0)</f>
        <v>SAN CRISTÓBAL</v>
      </c>
      <c r="Q863" s="70">
        <f>VLOOKUP(Tabla6[[#This Row],[PG]],Listas2!$G$14:$K$16,3,0)</f>
        <v>1</v>
      </c>
      <c r="R863" s="73">
        <f>VLOOKUP(Tabla6[[#This Row],[PG]],Listas2!H868:'Listas2'!$G$14:$K$16,4,0)</f>
        <v>0</v>
      </c>
      <c r="S863" s="73">
        <f>VLOOKUP(Tabla6[[#This Row],[PG]],Listas2!$G$14:$K$16,2,0)</f>
        <v>0</v>
      </c>
      <c r="T863" s="66" t="s">
        <v>84</v>
      </c>
      <c r="U863" s="74">
        <v>51</v>
      </c>
      <c r="V863" s="66">
        <v>510601</v>
      </c>
      <c r="W863" s="63" t="str">
        <f>VLOOKUP(Tabla6[[#This Row],[ÍTEM PRESUPUESTARIO]],Tabla2[#All],2,0)</f>
        <v>APORTE PATRONAL</v>
      </c>
      <c r="X863" s="57">
        <v>22521</v>
      </c>
      <c r="Y863" s="57">
        <f>22521-290.49-11.76</f>
        <v>22218.75</v>
      </c>
      <c r="Z863" s="58">
        <v>1876</v>
      </c>
      <c r="AA863" s="58">
        <v>1876</v>
      </c>
      <c r="AB863" s="58">
        <v>1876</v>
      </c>
      <c r="AC863" s="58">
        <v>1877</v>
      </c>
      <c r="AD863" s="58">
        <v>1877</v>
      </c>
      <c r="AE863" s="58">
        <v>1877</v>
      </c>
      <c r="AF863" s="58">
        <v>1877</v>
      </c>
      <c r="AG863" s="58">
        <v>1877</v>
      </c>
      <c r="AH863" s="58">
        <v>1877</v>
      </c>
      <c r="AI863" s="58">
        <v>1877</v>
      </c>
      <c r="AJ863" s="58">
        <v>1877</v>
      </c>
      <c r="AK863" s="58">
        <v>1574.75</v>
      </c>
      <c r="AL863" s="75">
        <f>+SUBTOTAL(9,Tabla6[[#This Row],[ENE]:[DIC]])</f>
        <v>22218.75</v>
      </c>
      <c r="AM863" s="76" t="str">
        <f t="shared" si="17"/>
        <v>OK</v>
      </c>
      <c r="AN863" s="60">
        <v>0</v>
      </c>
      <c r="AO863" s="61">
        <f>+Tabla6[[#This Row],[PRESUPUESTO VIGENTE]]-Tabla6[[#This Row],[CERTIFICACIÓN PAPP]]</f>
        <v>22218.75</v>
      </c>
      <c r="AP863" s="59">
        <v>0</v>
      </c>
    </row>
    <row r="864" spans="1:42" ht="93" customHeight="1" x14ac:dyDescent="0.25">
      <c r="A864" s="62" t="s">
        <v>78</v>
      </c>
      <c r="B864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864" s="64" t="s">
        <v>79</v>
      </c>
      <c r="D864" s="64" t="s">
        <v>80</v>
      </c>
      <c r="E864" s="64" t="s">
        <v>81</v>
      </c>
      <c r="F864" s="64" t="s">
        <v>101</v>
      </c>
      <c r="G864" s="64" t="s">
        <v>83</v>
      </c>
      <c r="H864" s="65" t="str">
        <f>VLOOKUP(Tabla6[[#This Row],[DIRECCIÓN]],DIRECCIÓN[#All],2,0)</f>
        <v>ADMINISTRACIÓN CENTRAL</v>
      </c>
      <c r="I864" s="66" t="s">
        <v>93</v>
      </c>
      <c r="J864" s="67">
        <v>1</v>
      </c>
      <c r="K864" s="68" t="str">
        <f>VLOOKUP(Tabla6[[#This Row],[DIRECCIÓN GENERAL / COORDINACIÓN / SUBDIRECCIÓN]],Tabla37[[#All],[Columna1]:[EOD]],2,0)</f>
        <v>266_0005</v>
      </c>
      <c r="L864" s="69">
        <f>VLOOKUP(Tabla6[[#This Row],[OBJETIVOS PND]],Listas!$A$1:$C$3,3,0)</f>
        <v>1</v>
      </c>
      <c r="M864" s="70">
        <f>VLOOKUP(Tabla6[[#This Row],[PG]],Listas2!$G$14:$K$16,5,0)</f>
        <v>0</v>
      </c>
      <c r="N864" s="71" t="s">
        <v>775</v>
      </c>
      <c r="O864" s="72">
        <v>2000</v>
      </c>
      <c r="P864" s="73" t="str">
        <f>VLOOKUP(Tabla6[[#This Row],[GEO]],Listas!$A$48:$B$77,2,0)</f>
        <v>SAN CRISTÓBAL</v>
      </c>
      <c r="Q864" s="70">
        <f>VLOOKUP(Tabla6[[#This Row],[PG]],Listas2!$G$14:$K$16,3,0)</f>
        <v>1</v>
      </c>
      <c r="R864" s="73">
        <f>VLOOKUP(Tabla6[[#This Row],[PG]],Listas2!H869:'Listas2'!$G$14:$K$16,4,0)</f>
        <v>0</v>
      </c>
      <c r="S864" s="73">
        <f>VLOOKUP(Tabla6[[#This Row],[PG]],Listas2!$G$14:$K$16,2,0)</f>
        <v>0</v>
      </c>
      <c r="T864" s="66" t="s">
        <v>84</v>
      </c>
      <c r="U864" s="74">
        <v>51</v>
      </c>
      <c r="V864" s="66">
        <v>510602</v>
      </c>
      <c r="W864" s="63" t="str">
        <f>VLOOKUP(Tabla6[[#This Row],[ÍTEM PRESUPUESTARIO]],Tabla2[#All],2,0)</f>
        <v>FONDO DE RESERVA</v>
      </c>
      <c r="X864" s="57">
        <v>17068</v>
      </c>
      <c r="Y864" s="57">
        <f>17068+59.12-680.47-373.2</f>
        <v>16073.449999999997</v>
      </c>
      <c r="Z864" s="58">
        <v>1422</v>
      </c>
      <c r="AA864" s="58">
        <v>1422</v>
      </c>
      <c r="AB864" s="58">
        <v>1422</v>
      </c>
      <c r="AC864" s="58">
        <v>1422</v>
      </c>
      <c r="AD864" s="58">
        <v>1422</v>
      </c>
      <c r="AE864" s="58">
        <v>1422</v>
      </c>
      <c r="AF864" s="58">
        <v>1422</v>
      </c>
      <c r="AG864" s="58">
        <v>1422</v>
      </c>
      <c r="AH864" s="58">
        <v>1423</v>
      </c>
      <c r="AI864" s="58">
        <v>1423</v>
      </c>
      <c r="AJ864" s="58">
        <v>1423</v>
      </c>
      <c r="AK864" s="58">
        <v>428.45</v>
      </c>
      <c r="AL864" s="75">
        <f>+SUBTOTAL(9,Tabla6[[#This Row],[ENE]:[DIC]])</f>
        <v>16073.45</v>
      </c>
      <c r="AM864" s="76" t="str">
        <f t="shared" si="17"/>
        <v>OK</v>
      </c>
      <c r="AN864" s="60">
        <v>0</v>
      </c>
      <c r="AO864" s="61">
        <f>+Tabla6[[#This Row],[PRESUPUESTO VIGENTE]]-Tabla6[[#This Row],[CERTIFICACIÓN PAPP]]</f>
        <v>16073.449999999997</v>
      </c>
      <c r="AP864" s="59">
        <v>0</v>
      </c>
    </row>
    <row r="865" spans="1:42" ht="93" customHeight="1" x14ac:dyDescent="0.25">
      <c r="A865" s="62" t="s">
        <v>88</v>
      </c>
      <c r="B865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865" s="64" t="s">
        <v>89</v>
      </c>
      <c r="D865" s="64" t="s">
        <v>80</v>
      </c>
      <c r="E865" s="64" t="s">
        <v>81</v>
      </c>
      <c r="F865" s="64" t="s">
        <v>101</v>
      </c>
      <c r="G865" s="64" t="s">
        <v>98</v>
      </c>
      <c r="H865" s="65" t="str">
        <f>VLOOKUP(Tabla6[[#This Row],[DIRECCIÓN]],DIRECCIÓN[#All],2,0)</f>
        <v>OPERACIONES</v>
      </c>
      <c r="I865" s="66" t="s">
        <v>93</v>
      </c>
      <c r="J865" s="67">
        <v>1</v>
      </c>
      <c r="K865" s="68" t="str">
        <f>VLOOKUP(Tabla6[[#This Row],[DIRECCIÓN GENERAL / COORDINACIÓN / SUBDIRECCIÓN]],Tabla37[[#All],[Columna1]:[EOD]],2,0)</f>
        <v>266_0005</v>
      </c>
      <c r="L865" s="69">
        <f>VLOOKUP(Tabla6[[#This Row],[OBJETIVOS PND]],Listas!$A$1:$C$3,3,0)</f>
        <v>55</v>
      </c>
      <c r="M865" s="70">
        <f>VLOOKUP(Tabla6[[#This Row],[PG]],Listas2!$G$14:$K$16,5,0)</f>
        <v>0</v>
      </c>
      <c r="N865" s="71" t="s">
        <v>776</v>
      </c>
      <c r="O865" s="72">
        <v>2000</v>
      </c>
      <c r="P865" s="73" t="str">
        <f>VLOOKUP(Tabla6[[#This Row],[GEO]],Listas!$A$48:$B$77,2,0)</f>
        <v>SAN CRISTÓBAL</v>
      </c>
      <c r="Q865" s="70">
        <f>VLOOKUP(Tabla6[[#This Row],[PG]],Listas2!$G$14:$K$16,3,0)</f>
        <v>1</v>
      </c>
      <c r="R865" s="73">
        <f>VLOOKUP(Tabla6[[#This Row],[PG]],Listas2!H870:'Listas2'!$G$14:$K$16,4,0)</f>
        <v>0</v>
      </c>
      <c r="S865" s="73">
        <f>VLOOKUP(Tabla6[[#This Row],[PG]],Listas2!$G$14:$K$16,2,0)</f>
        <v>0</v>
      </c>
      <c r="T865" s="66" t="s">
        <v>84</v>
      </c>
      <c r="U865" s="74">
        <v>51</v>
      </c>
      <c r="V865" s="66">
        <v>510105</v>
      </c>
      <c r="W865" s="63" t="str">
        <f>VLOOKUP(Tabla6[[#This Row],[ÍTEM PRESUPUESTARIO]],Tabla2[#All],2,0)</f>
        <v>REMUNERACIONES UNIFICADAS</v>
      </c>
      <c r="X865" s="57">
        <v>161069</v>
      </c>
      <c r="Y865" s="57">
        <f>161069-0.2+10-10</f>
        <v>161068.79999999999</v>
      </c>
      <c r="Z865" s="58">
        <v>13422</v>
      </c>
      <c r="AA865" s="58">
        <v>13422</v>
      </c>
      <c r="AB865" s="58">
        <v>13422</v>
      </c>
      <c r="AC865" s="58">
        <v>13422</v>
      </c>
      <c r="AD865" s="58">
        <v>13422</v>
      </c>
      <c r="AE865" s="58">
        <v>13422</v>
      </c>
      <c r="AF865" s="58">
        <v>13422</v>
      </c>
      <c r="AG865" s="58">
        <v>13422</v>
      </c>
      <c r="AH865" s="58">
        <v>13423</v>
      </c>
      <c r="AI865" s="58">
        <v>13423</v>
      </c>
      <c r="AJ865" s="58">
        <v>13423</v>
      </c>
      <c r="AK865" s="58">
        <v>13423.8</v>
      </c>
      <c r="AL865" s="75">
        <f>+SUBTOTAL(9,Tabla6[[#This Row],[ENE]:[DIC]])</f>
        <v>161068.79999999999</v>
      </c>
      <c r="AM865" s="76" t="str">
        <f t="shared" si="17"/>
        <v>OK</v>
      </c>
      <c r="AN865" s="60">
        <v>0</v>
      </c>
      <c r="AO865" s="61">
        <f>+Tabla6[[#This Row],[PRESUPUESTO VIGENTE]]-Tabla6[[#This Row],[CERTIFICACIÓN PAPP]]</f>
        <v>161068.79999999999</v>
      </c>
      <c r="AP865" s="59">
        <v>0</v>
      </c>
    </row>
    <row r="866" spans="1:42" ht="93" customHeight="1" x14ac:dyDescent="0.25">
      <c r="A866" s="62" t="s">
        <v>88</v>
      </c>
      <c r="B866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866" s="64" t="s">
        <v>89</v>
      </c>
      <c r="D866" s="64" t="s">
        <v>80</v>
      </c>
      <c r="E866" s="64" t="s">
        <v>81</v>
      </c>
      <c r="F866" s="64" t="s">
        <v>101</v>
      </c>
      <c r="G866" s="64" t="s">
        <v>98</v>
      </c>
      <c r="H866" s="65" t="str">
        <f>VLOOKUP(Tabla6[[#This Row],[DIRECCIÓN]],DIRECCIÓN[#All],2,0)</f>
        <v>OPERACIONES</v>
      </c>
      <c r="I866" s="66" t="s">
        <v>93</v>
      </c>
      <c r="J866" s="67">
        <v>1</v>
      </c>
      <c r="K866" s="68" t="str">
        <f>VLOOKUP(Tabla6[[#This Row],[DIRECCIÓN GENERAL / COORDINACIÓN / SUBDIRECCIÓN]],Tabla37[[#All],[Columna1]:[EOD]],2,0)</f>
        <v>266_0005</v>
      </c>
      <c r="L866" s="69">
        <f>VLOOKUP(Tabla6[[#This Row],[OBJETIVOS PND]],Listas!$A$1:$C$3,3,0)</f>
        <v>55</v>
      </c>
      <c r="M866" s="70">
        <f>VLOOKUP(Tabla6[[#This Row],[PG]],Listas2!$G$14:$K$16,5,0)</f>
        <v>0</v>
      </c>
      <c r="N866" s="71" t="s">
        <v>776</v>
      </c>
      <c r="O866" s="72">
        <v>2000</v>
      </c>
      <c r="P866" s="73" t="str">
        <f>VLOOKUP(Tabla6[[#This Row],[GEO]],Listas!$A$48:$B$77,2,0)</f>
        <v>SAN CRISTÓBAL</v>
      </c>
      <c r="Q866" s="70">
        <f>VLOOKUP(Tabla6[[#This Row],[PG]],Listas2!$G$14:$K$16,3,0)</f>
        <v>1</v>
      </c>
      <c r="R866" s="73">
        <f>VLOOKUP(Tabla6[[#This Row],[PG]],Listas2!H871:'Listas2'!$G$14:$K$16,4,0)</f>
        <v>0</v>
      </c>
      <c r="S866" s="73">
        <f>VLOOKUP(Tabla6[[#This Row],[PG]],Listas2!$G$14:$K$16,2,0)</f>
        <v>0</v>
      </c>
      <c r="T866" s="66" t="s">
        <v>84</v>
      </c>
      <c r="U866" s="74">
        <v>51</v>
      </c>
      <c r="V866" s="66">
        <v>510203</v>
      </c>
      <c r="W866" s="63" t="str">
        <f>VLOOKUP(Tabla6[[#This Row],[ÍTEM PRESUPUESTARIO]],Tabla2[#All],2,0)</f>
        <v>DÉCIMO TERCER SUELDO</v>
      </c>
      <c r="X866" s="57">
        <v>17381</v>
      </c>
      <c r="Y866" s="57">
        <f>17381-0.41-0.03</f>
        <v>17380.560000000001</v>
      </c>
      <c r="Z866" s="58">
        <v>0</v>
      </c>
      <c r="AA866" s="58">
        <v>0</v>
      </c>
      <c r="AB866" s="58">
        <v>0</v>
      </c>
      <c r="AC866" s="58">
        <v>0</v>
      </c>
      <c r="AD866" s="58">
        <v>0</v>
      </c>
      <c r="AE866" s="58">
        <v>0</v>
      </c>
      <c r="AF866" s="58">
        <v>0</v>
      </c>
      <c r="AG866" s="58">
        <v>0</v>
      </c>
      <c r="AH866" s="58">
        <v>0</v>
      </c>
      <c r="AI866" s="58">
        <v>0</v>
      </c>
      <c r="AJ866" s="58">
        <v>0</v>
      </c>
      <c r="AK866" s="58">
        <v>17380.560000000001</v>
      </c>
      <c r="AL866" s="75">
        <f>+SUBTOTAL(9,Tabla6[[#This Row],[ENE]:[DIC]])</f>
        <v>17380.560000000001</v>
      </c>
      <c r="AM866" s="76" t="str">
        <f t="shared" si="17"/>
        <v>OK</v>
      </c>
      <c r="AN866" s="60">
        <v>0</v>
      </c>
      <c r="AO866" s="61">
        <f>+Tabla6[[#This Row],[PRESUPUESTO VIGENTE]]-Tabla6[[#This Row],[CERTIFICACIÓN PAPP]]</f>
        <v>17380.560000000001</v>
      </c>
      <c r="AP866" s="59">
        <v>0</v>
      </c>
    </row>
    <row r="867" spans="1:42" ht="93" customHeight="1" x14ac:dyDescent="0.25">
      <c r="A867" s="62" t="s">
        <v>88</v>
      </c>
      <c r="B867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867" s="64" t="s">
        <v>89</v>
      </c>
      <c r="D867" s="64" t="s">
        <v>80</v>
      </c>
      <c r="E867" s="64" t="s">
        <v>81</v>
      </c>
      <c r="F867" s="64" t="s">
        <v>101</v>
      </c>
      <c r="G867" s="64" t="s">
        <v>98</v>
      </c>
      <c r="H867" s="65" t="str">
        <f>VLOOKUP(Tabla6[[#This Row],[DIRECCIÓN]],DIRECCIÓN[#All],2,0)</f>
        <v>OPERACIONES</v>
      </c>
      <c r="I867" s="66" t="s">
        <v>93</v>
      </c>
      <c r="J867" s="67">
        <v>1</v>
      </c>
      <c r="K867" s="68" t="str">
        <f>VLOOKUP(Tabla6[[#This Row],[DIRECCIÓN GENERAL / COORDINACIÓN / SUBDIRECCIÓN]],Tabla37[[#All],[Columna1]:[EOD]],2,0)</f>
        <v>266_0005</v>
      </c>
      <c r="L867" s="69">
        <f>VLOOKUP(Tabla6[[#This Row],[OBJETIVOS PND]],Listas!$A$1:$C$3,3,0)</f>
        <v>55</v>
      </c>
      <c r="M867" s="70">
        <f>VLOOKUP(Tabla6[[#This Row],[PG]],Listas2!$G$14:$K$16,5,0)</f>
        <v>0</v>
      </c>
      <c r="N867" s="71" t="s">
        <v>776</v>
      </c>
      <c r="O867" s="72">
        <v>2000</v>
      </c>
      <c r="P867" s="73" t="str">
        <f>VLOOKUP(Tabla6[[#This Row],[GEO]],Listas!$A$48:$B$77,2,0)</f>
        <v>SAN CRISTÓBAL</v>
      </c>
      <c r="Q867" s="70">
        <f>VLOOKUP(Tabla6[[#This Row],[PG]],Listas2!$G$14:$K$16,3,0)</f>
        <v>1</v>
      </c>
      <c r="R867" s="73">
        <f>VLOOKUP(Tabla6[[#This Row],[PG]],Listas2!H872:'Listas2'!$G$14:$K$16,4,0)</f>
        <v>0</v>
      </c>
      <c r="S867" s="73">
        <f>VLOOKUP(Tabla6[[#This Row],[PG]],Listas2!$G$14:$K$16,2,0)</f>
        <v>0</v>
      </c>
      <c r="T867" s="66" t="s">
        <v>84</v>
      </c>
      <c r="U867" s="74">
        <v>51</v>
      </c>
      <c r="V867" s="66">
        <v>510204</v>
      </c>
      <c r="W867" s="63" t="str">
        <f>VLOOKUP(Tabla6[[#This Row],[ÍTEM PRESUPUESTARIO]],Tabla2[#All],2,0)</f>
        <v>DÉCIMO CUARTO SUELDO</v>
      </c>
      <c r="X867" s="57">
        <v>10080</v>
      </c>
      <c r="Y867" s="57">
        <f>10080-191+35-35</f>
        <v>9889</v>
      </c>
      <c r="Z867" s="58">
        <v>0</v>
      </c>
      <c r="AA867" s="58">
        <v>0</v>
      </c>
      <c r="AB867" s="58">
        <v>0</v>
      </c>
      <c r="AC867" s="58">
        <v>9889</v>
      </c>
      <c r="AD867" s="58">
        <v>0</v>
      </c>
      <c r="AE867" s="58">
        <v>0</v>
      </c>
      <c r="AF867" s="58">
        <v>0</v>
      </c>
      <c r="AG867" s="58">
        <v>0</v>
      </c>
      <c r="AH867" s="58">
        <v>0</v>
      </c>
      <c r="AI867" s="58">
        <v>0</v>
      </c>
      <c r="AJ867" s="58">
        <v>0</v>
      </c>
      <c r="AK867" s="58">
        <v>0</v>
      </c>
      <c r="AL867" s="75">
        <f>+SUBTOTAL(9,Tabla6[[#This Row],[ENE]:[DIC]])</f>
        <v>9889</v>
      </c>
      <c r="AM867" s="76" t="str">
        <f t="shared" si="17"/>
        <v>OK</v>
      </c>
      <c r="AN867" s="60">
        <v>0</v>
      </c>
      <c r="AO867" s="61">
        <f>+Tabla6[[#This Row],[PRESUPUESTO VIGENTE]]-Tabla6[[#This Row],[CERTIFICACIÓN PAPP]]</f>
        <v>9889</v>
      </c>
      <c r="AP867" s="59">
        <v>0</v>
      </c>
    </row>
    <row r="868" spans="1:42" ht="93" customHeight="1" x14ac:dyDescent="0.25">
      <c r="A868" s="62" t="s">
        <v>88</v>
      </c>
      <c r="B868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868" s="64" t="s">
        <v>89</v>
      </c>
      <c r="D868" s="64" t="s">
        <v>80</v>
      </c>
      <c r="E868" s="64" t="s">
        <v>81</v>
      </c>
      <c r="F868" s="64" t="s">
        <v>101</v>
      </c>
      <c r="G868" s="64" t="s">
        <v>98</v>
      </c>
      <c r="H868" s="65" t="str">
        <f>VLOOKUP(Tabla6[[#This Row],[DIRECCIÓN]],DIRECCIÓN[#All],2,0)</f>
        <v>OPERACIONES</v>
      </c>
      <c r="I868" s="66" t="s">
        <v>93</v>
      </c>
      <c r="J868" s="67">
        <v>1</v>
      </c>
      <c r="K868" s="68" t="str">
        <f>VLOOKUP(Tabla6[[#This Row],[DIRECCIÓN GENERAL / COORDINACIÓN / SUBDIRECCIÓN]],Tabla37[[#All],[Columna1]:[EOD]],2,0)</f>
        <v>266_0005</v>
      </c>
      <c r="L868" s="69">
        <f>VLOOKUP(Tabla6[[#This Row],[OBJETIVOS PND]],Listas!$A$1:$C$3,3,0)</f>
        <v>55</v>
      </c>
      <c r="M868" s="70">
        <f>VLOOKUP(Tabla6[[#This Row],[PG]],Listas2!$G$14:$K$16,5,0)</f>
        <v>0</v>
      </c>
      <c r="N868" s="71" t="s">
        <v>776</v>
      </c>
      <c r="O868" s="72">
        <v>2000</v>
      </c>
      <c r="P868" s="73" t="str">
        <f>VLOOKUP(Tabla6[[#This Row],[GEO]],Listas!$A$48:$B$77,2,0)</f>
        <v>SAN CRISTÓBAL</v>
      </c>
      <c r="Q868" s="70">
        <f>VLOOKUP(Tabla6[[#This Row],[PG]],Listas2!$G$14:$K$16,3,0)</f>
        <v>1</v>
      </c>
      <c r="R868" s="73">
        <f>VLOOKUP(Tabla6[[#This Row],[PG]],Listas2!H873:'Listas2'!$G$14:$K$16,4,0)</f>
        <v>0</v>
      </c>
      <c r="S868" s="73">
        <f>VLOOKUP(Tabla6[[#This Row],[PG]],Listas2!$G$14:$K$16,2,0)</f>
        <v>0</v>
      </c>
      <c r="T868" s="66" t="s">
        <v>84</v>
      </c>
      <c r="U868" s="74">
        <v>51</v>
      </c>
      <c r="V868" s="66">
        <v>510510</v>
      </c>
      <c r="W868" s="63" t="str">
        <f>VLOOKUP(Tabla6[[#This Row],[ÍTEM PRESUPUESTARIO]],Tabla2[#All],2,0)</f>
        <v>SERVICIOS PERSONALES POR CONTRATO</v>
      </c>
      <c r="X868" s="57">
        <v>47499</v>
      </c>
      <c r="Y868" s="57">
        <f>47499-0.6+10-10</f>
        <v>47498.400000000001</v>
      </c>
      <c r="Z868" s="58">
        <v>3958</v>
      </c>
      <c r="AA868" s="58">
        <v>3958</v>
      </c>
      <c r="AB868" s="58">
        <v>3958</v>
      </c>
      <c r="AC868" s="58">
        <v>3958</v>
      </c>
      <c r="AD868" s="58">
        <v>3958</v>
      </c>
      <c r="AE868" s="58">
        <v>3958</v>
      </c>
      <c r="AF868" s="58">
        <v>3958</v>
      </c>
      <c r="AG868" s="58">
        <v>3958</v>
      </c>
      <c r="AH868" s="58">
        <v>3958</v>
      </c>
      <c r="AI868" s="58">
        <v>3959</v>
      </c>
      <c r="AJ868" s="58">
        <v>3959</v>
      </c>
      <c r="AK868" s="58">
        <v>3958.4</v>
      </c>
      <c r="AL868" s="75">
        <f>+SUBTOTAL(9,Tabla6[[#This Row],[ENE]:[DIC]])</f>
        <v>47498.400000000001</v>
      </c>
      <c r="AM868" s="76" t="str">
        <f t="shared" si="17"/>
        <v>OK</v>
      </c>
      <c r="AN868" s="60">
        <v>0</v>
      </c>
      <c r="AO868" s="61">
        <f>+Tabla6[[#This Row],[PRESUPUESTO VIGENTE]]-Tabla6[[#This Row],[CERTIFICACIÓN PAPP]]</f>
        <v>47498.400000000001</v>
      </c>
      <c r="AP868" s="59">
        <v>0</v>
      </c>
    </row>
    <row r="869" spans="1:42" ht="93" customHeight="1" x14ac:dyDescent="0.25">
      <c r="A869" s="62" t="s">
        <v>88</v>
      </c>
      <c r="B869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869" s="64" t="s">
        <v>89</v>
      </c>
      <c r="D869" s="64" t="s">
        <v>80</v>
      </c>
      <c r="E869" s="64" t="s">
        <v>81</v>
      </c>
      <c r="F869" s="64" t="s">
        <v>101</v>
      </c>
      <c r="G869" s="64" t="s">
        <v>98</v>
      </c>
      <c r="H869" s="65" t="str">
        <f>VLOOKUP(Tabla6[[#This Row],[DIRECCIÓN]],DIRECCIÓN[#All],2,0)</f>
        <v>OPERACIONES</v>
      </c>
      <c r="I869" s="66" t="s">
        <v>93</v>
      </c>
      <c r="J869" s="67">
        <v>1</v>
      </c>
      <c r="K869" s="68" t="str">
        <f>VLOOKUP(Tabla6[[#This Row],[DIRECCIÓN GENERAL / COORDINACIÓN / SUBDIRECCIÓN]],Tabla37[[#All],[Columna1]:[EOD]],2,0)</f>
        <v>266_0005</v>
      </c>
      <c r="L869" s="69">
        <f>VLOOKUP(Tabla6[[#This Row],[OBJETIVOS PND]],Listas!$A$1:$C$3,3,0)</f>
        <v>55</v>
      </c>
      <c r="M869" s="70">
        <f>VLOOKUP(Tabla6[[#This Row],[PG]],Listas2!$G$14:$K$16,5,0)</f>
        <v>0</v>
      </c>
      <c r="N869" s="71" t="s">
        <v>776</v>
      </c>
      <c r="O869" s="72">
        <v>2000</v>
      </c>
      <c r="P869" s="73" t="str">
        <f>VLOOKUP(Tabla6[[#This Row],[GEO]],Listas!$A$48:$B$77,2,0)</f>
        <v>SAN CRISTÓBAL</v>
      </c>
      <c r="Q869" s="70">
        <f>VLOOKUP(Tabla6[[#This Row],[PG]],Listas2!$G$14:$K$16,3,0)</f>
        <v>1</v>
      </c>
      <c r="R869" s="73">
        <f>VLOOKUP(Tabla6[[#This Row],[PG]],Listas2!H874:'Listas2'!$G$14:$K$16,4,0)</f>
        <v>0</v>
      </c>
      <c r="S869" s="73">
        <f>VLOOKUP(Tabla6[[#This Row],[PG]],Listas2!$G$14:$K$16,2,0)</f>
        <v>0</v>
      </c>
      <c r="T869" s="66" t="s">
        <v>84</v>
      </c>
      <c r="U869" s="74">
        <v>51</v>
      </c>
      <c r="V869" s="66">
        <v>510601</v>
      </c>
      <c r="W869" s="63" t="str">
        <f>VLOOKUP(Tabla6[[#This Row],[ÍTEM PRESUPUESTARIO]],Tabla2[#All],2,0)</f>
        <v>APORTE PATRONAL</v>
      </c>
      <c r="X869" s="57">
        <v>20127</v>
      </c>
      <c r="Y869" s="57">
        <f>20127-0.16+1-0.48</f>
        <v>20127.36</v>
      </c>
      <c r="Z869" s="58">
        <v>1677</v>
      </c>
      <c r="AA869" s="58">
        <v>1677</v>
      </c>
      <c r="AB869" s="58">
        <v>1677</v>
      </c>
      <c r="AC869" s="58">
        <v>1677</v>
      </c>
      <c r="AD869" s="58">
        <v>1677</v>
      </c>
      <c r="AE869" s="58">
        <v>1677</v>
      </c>
      <c r="AF869" s="58">
        <v>1677</v>
      </c>
      <c r="AG869" s="58">
        <v>1677</v>
      </c>
      <c r="AH869" s="58">
        <v>1677</v>
      </c>
      <c r="AI869" s="58">
        <v>1678</v>
      </c>
      <c r="AJ869" s="58">
        <v>1678</v>
      </c>
      <c r="AK869" s="58">
        <v>1678.36</v>
      </c>
      <c r="AL869" s="75">
        <f>+SUBTOTAL(9,Tabla6[[#This Row],[ENE]:[DIC]])</f>
        <v>20127.36</v>
      </c>
      <c r="AM869" s="76" t="str">
        <f t="shared" si="17"/>
        <v>OK</v>
      </c>
      <c r="AN869" s="60">
        <v>0</v>
      </c>
      <c r="AO869" s="61">
        <f>+Tabla6[[#This Row],[PRESUPUESTO VIGENTE]]-Tabla6[[#This Row],[CERTIFICACIÓN PAPP]]</f>
        <v>20127.36</v>
      </c>
      <c r="AP869" s="59">
        <v>0</v>
      </c>
    </row>
    <row r="870" spans="1:42" ht="93" customHeight="1" x14ac:dyDescent="0.25">
      <c r="A870" s="62" t="s">
        <v>88</v>
      </c>
      <c r="B870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870" s="64" t="s">
        <v>89</v>
      </c>
      <c r="D870" s="64" t="s">
        <v>80</v>
      </c>
      <c r="E870" s="64" t="s">
        <v>81</v>
      </c>
      <c r="F870" s="64" t="s">
        <v>101</v>
      </c>
      <c r="G870" s="64" t="s">
        <v>98</v>
      </c>
      <c r="H870" s="65" t="str">
        <f>VLOOKUP(Tabla6[[#This Row],[DIRECCIÓN]],DIRECCIÓN[#All],2,0)</f>
        <v>OPERACIONES</v>
      </c>
      <c r="I870" s="66" t="s">
        <v>93</v>
      </c>
      <c r="J870" s="67">
        <v>1</v>
      </c>
      <c r="K870" s="68" t="str">
        <f>VLOOKUP(Tabla6[[#This Row],[DIRECCIÓN GENERAL / COORDINACIÓN / SUBDIRECCIÓN]],Tabla37[[#All],[Columna1]:[EOD]],2,0)</f>
        <v>266_0005</v>
      </c>
      <c r="L870" s="69">
        <f>VLOOKUP(Tabla6[[#This Row],[OBJETIVOS PND]],Listas!$A$1:$C$3,3,0)</f>
        <v>55</v>
      </c>
      <c r="M870" s="70">
        <f>VLOOKUP(Tabla6[[#This Row],[PG]],Listas2!$G$14:$K$16,5,0)</f>
        <v>0</v>
      </c>
      <c r="N870" s="71" t="s">
        <v>776</v>
      </c>
      <c r="O870" s="72">
        <v>2000</v>
      </c>
      <c r="P870" s="73" t="str">
        <f>VLOOKUP(Tabla6[[#This Row],[GEO]],Listas!$A$48:$B$77,2,0)</f>
        <v>SAN CRISTÓBAL</v>
      </c>
      <c r="Q870" s="70">
        <f>VLOOKUP(Tabla6[[#This Row],[PG]],Listas2!$G$14:$K$16,3,0)</f>
        <v>1</v>
      </c>
      <c r="R870" s="73">
        <f>VLOOKUP(Tabla6[[#This Row],[PG]],Listas2!H875:'Listas2'!$G$14:$K$16,4,0)</f>
        <v>0</v>
      </c>
      <c r="S870" s="73">
        <f>VLOOKUP(Tabla6[[#This Row],[PG]],Listas2!$G$14:$K$16,2,0)</f>
        <v>0</v>
      </c>
      <c r="T870" s="66" t="s">
        <v>84</v>
      </c>
      <c r="U870" s="74">
        <v>51</v>
      </c>
      <c r="V870" s="66">
        <v>510602</v>
      </c>
      <c r="W870" s="63" t="str">
        <f>VLOOKUP(Tabla6[[#This Row],[ÍTEM PRESUPUESTARIO]],Tabla2[#All],2,0)</f>
        <v>FONDO DE RESERVA</v>
      </c>
      <c r="X870" s="57">
        <v>17374</v>
      </c>
      <c r="Y870" s="57">
        <f>17374-685.18-408.65-5.19</f>
        <v>16274.98</v>
      </c>
      <c r="Z870" s="58">
        <v>1447</v>
      </c>
      <c r="AA870" s="58">
        <v>1447</v>
      </c>
      <c r="AB870" s="58">
        <v>1448</v>
      </c>
      <c r="AC870" s="58">
        <v>1448</v>
      </c>
      <c r="AD870" s="58">
        <v>1448</v>
      </c>
      <c r="AE870" s="58">
        <v>1448</v>
      </c>
      <c r="AF870" s="58">
        <v>1448</v>
      </c>
      <c r="AG870" s="58">
        <v>1448</v>
      </c>
      <c r="AH870" s="58">
        <v>1448</v>
      </c>
      <c r="AI870" s="58">
        <v>1448</v>
      </c>
      <c r="AJ870" s="58">
        <v>1448</v>
      </c>
      <c r="AK870" s="58">
        <v>348.98</v>
      </c>
      <c r="AL870" s="75">
        <f>+SUBTOTAL(9,Tabla6[[#This Row],[ENE]:[DIC]])</f>
        <v>16274.98</v>
      </c>
      <c r="AM870" s="76" t="str">
        <f t="shared" si="17"/>
        <v>OK</v>
      </c>
      <c r="AN870" s="60">
        <v>0</v>
      </c>
      <c r="AO870" s="61">
        <f>+Tabla6[[#This Row],[PRESUPUESTO VIGENTE]]-Tabla6[[#This Row],[CERTIFICACIÓN PAPP]]</f>
        <v>16274.98</v>
      </c>
      <c r="AP870" s="59">
        <v>0</v>
      </c>
    </row>
    <row r="871" spans="1:42" ht="93" customHeight="1" x14ac:dyDescent="0.25">
      <c r="A871" s="62" t="s">
        <v>88</v>
      </c>
      <c r="B871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871" s="64" t="s">
        <v>89</v>
      </c>
      <c r="D871" s="64" t="s">
        <v>80</v>
      </c>
      <c r="E871" s="64" t="s">
        <v>81</v>
      </c>
      <c r="F871" s="64" t="s">
        <v>101</v>
      </c>
      <c r="G871" s="64" t="s">
        <v>90</v>
      </c>
      <c r="H871" s="65" t="str">
        <f>VLOOKUP(Tabla6[[#This Row],[DIRECCIÓN]],DIRECCIÓN[#All],2,0)</f>
        <v>TECNOLOGÍA</v>
      </c>
      <c r="I871" s="66" t="s">
        <v>93</v>
      </c>
      <c r="J871" s="67">
        <v>1</v>
      </c>
      <c r="K871" s="68" t="str">
        <f>VLOOKUP(Tabla6[[#This Row],[DIRECCIÓN GENERAL / COORDINACIÓN / SUBDIRECCIÓN]],Tabla37[[#All],[Columna1]:[EOD]],2,0)</f>
        <v>266_0005</v>
      </c>
      <c r="L871" s="69">
        <f>VLOOKUP(Tabla6[[#This Row],[OBJETIVOS PND]],Listas!$A$1:$C$3,3,0)</f>
        <v>55</v>
      </c>
      <c r="M871" s="70">
        <f>VLOOKUP(Tabla6[[#This Row],[PG]],Listas2!$G$14:$K$16,5,0)</f>
        <v>0</v>
      </c>
      <c r="N871" s="71" t="s">
        <v>777</v>
      </c>
      <c r="O871" s="72">
        <v>2000</v>
      </c>
      <c r="P871" s="73" t="str">
        <f>VLOOKUP(Tabla6[[#This Row],[GEO]],Listas!$A$48:$B$77,2,0)</f>
        <v>SAN CRISTÓBAL</v>
      </c>
      <c r="Q871" s="70">
        <f>VLOOKUP(Tabla6[[#This Row],[PG]],Listas2!$G$14:$K$16,3,0)</f>
        <v>1</v>
      </c>
      <c r="R871" s="73">
        <f>VLOOKUP(Tabla6[[#This Row],[PG]],Listas2!H876:'Listas2'!$G$14:$K$16,4,0)</f>
        <v>0</v>
      </c>
      <c r="S871" s="73">
        <f>VLOOKUP(Tabla6[[#This Row],[PG]],Listas2!$G$14:$K$16,2,0)</f>
        <v>0</v>
      </c>
      <c r="T871" s="66" t="s">
        <v>84</v>
      </c>
      <c r="U871" s="74">
        <v>51</v>
      </c>
      <c r="V871" s="66">
        <v>510105</v>
      </c>
      <c r="W871" s="63" t="str">
        <f>VLOOKUP(Tabla6[[#This Row],[ÍTEM PRESUPUESTARIO]],Tabla2[#All],2,0)</f>
        <v>REMUNERACIONES UNIFICADAS</v>
      </c>
      <c r="X871" s="57">
        <v>40224</v>
      </c>
      <c r="Y871" s="57">
        <f>40224+10-10</f>
        <v>40224</v>
      </c>
      <c r="Z871" s="58">
        <v>3352</v>
      </c>
      <c r="AA871" s="58">
        <v>3352</v>
      </c>
      <c r="AB871" s="58">
        <v>3352</v>
      </c>
      <c r="AC871" s="58">
        <v>3352</v>
      </c>
      <c r="AD871" s="58">
        <v>3352</v>
      </c>
      <c r="AE871" s="58">
        <v>3352</v>
      </c>
      <c r="AF871" s="58">
        <v>3352</v>
      </c>
      <c r="AG871" s="58">
        <v>3352</v>
      </c>
      <c r="AH871" s="58">
        <v>3352</v>
      </c>
      <c r="AI871" s="58">
        <v>3352</v>
      </c>
      <c r="AJ871" s="58">
        <v>3352</v>
      </c>
      <c r="AK871" s="58">
        <v>3352</v>
      </c>
      <c r="AL871" s="75">
        <f>+SUBTOTAL(9,Tabla6[[#This Row],[ENE]:[DIC]])</f>
        <v>40224</v>
      </c>
      <c r="AM871" s="76" t="str">
        <f t="shared" si="17"/>
        <v>OK</v>
      </c>
      <c r="AN871" s="60">
        <v>0</v>
      </c>
      <c r="AO871" s="61">
        <f>+Tabla6[[#This Row],[PRESUPUESTO VIGENTE]]-Tabla6[[#This Row],[CERTIFICACIÓN PAPP]]</f>
        <v>40224</v>
      </c>
      <c r="AP871" s="59">
        <v>0</v>
      </c>
    </row>
    <row r="872" spans="1:42" ht="93" customHeight="1" x14ac:dyDescent="0.25">
      <c r="A872" s="62" t="s">
        <v>88</v>
      </c>
      <c r="B872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872" s="64" t="s">
        <v>89</v>
      </c>
      <c r="D872" s="64" t="s">
        <v>80</v>
      </c>
      <c r="E872" s="64" t="s">
        <v>81</v>
      </c>
      <c r="F872" s="64" t="s">
        <v>101</v>
      </c>
      <c r="G872" s="64" t="s">
        <v>90</v>
      </c>
      <c r="H872" s="65" t="str">
        <f>VLOOKUP(Tabla6[[#This Row],[DIRECCIÓN]],DIRECCIÓN[#All],2,0)</f>
        <v>TECNOLOGÍA</v>
      </c>
      <c r="I872" s="66" t="s">
        <v>93</v>
      </c>
      <c r="J872" s="67">
        <v>1</v>
      </c>
      <c r="K872" s="68" t="str">
        <f>VLOOKUP(Tabla6[[#This Row],[DIRECCIÓN GENERAL / COORDINACIÓN / SUBDIRECCIÓN]],Tabla37[[#All],[Columna1]:[EOD]],2,0)</f>
        <v>266_0005</v>
      </c>
      <c r="L872" s="69">
        <f>VLOOKUP(Tabla6[[#This Row],[OBJETIVOS PND]],Listas!$A$1:$C$3,3,0)</f>
        <v>55</v>
      </c>
      <c r="M872" s="70">
        <f>VLOOKUP(Tabla6[[#This Row],[PG]],Listas2!$G$14:$K$16,5,0)</f>
        <v>0</v>
      </c>
      <c r="N872" s="71" t="s">
        <v>777</v>
      </c>
      <c r="O872" s="72">
        <v>2000</v>
      </c>
      <c r="P872" s="73" t="str">
        <f>VLOOKUP(Tabla6[[#This Row],[GEO]],Listas!$A$48:$B$77,2,0)</f>
        <v>SAN CRISTÓBAL</v>
      </c>
      <c r="Q872" s="70">
        <f>VLOOKUP(Tabla6[[#This Row],[PG]],Listas2!$G$14:$K$16,3,0)</f>
        <v>1</v>
      </c>
      <c r="R872" s="73">
        <f>VLOOKUP(Tabla6[[#This Row],[PG]],Listas2!H877:'Listas2'!$G$14:$K$16,4,0)</f>
        <v>0</v>
      </c>
      <c r="S872" s="73">
        <f>VLOOKUP(Tabla6[[#This Row],[PG]],Listas2!$G$14:$K$16,2,0)</f>
        <v>0</v>
      </c>
      <c r="T872" s="66" t="s">
        <v>84</v>
      </c>
      <c r="U872" s="74">
        <v>51</v>
      </c>
      <c r="V872" s="66">
        <v>510203</v>
      </c>
      <c r="W872" s="63" t="str">
        <f>VLOOKUP(Tabla6[[#This Row],[ÍTEM PRESUPUESTARIO]],Tabla2[#All],2,0)</f>
        <v>DÉCIMO TERCER SUELDO</v>
      </c>
      <c r="X872" s="57">
        <v>3352</v>
      </c>
      <c r="Y872" s="57">
        <f>3352+75.86-0.03</f>
        <v>3427.83</v>
      </c>
      <c r="Z872" s="58">
        <v>0</v>
      </c>
      <c r="AA872" s="58">
        <v>0</v>
      </c>
      <c r="AB872" s="58">
        <v>0</v>
      </c>
      <c r="AC872" s="58">
        <v>0</v>
      </c>
      <c r="AD872" s="58">
        <v>0</v>
      </c>
      <c r="AE872" s="58">
        <v>0</v>
      </c>
      <c r="AF872" s="58">
        <v>0</v>
      </c>
      <c r="AG872" s="58">
        <v>0</v>
      </c>
      <c r="AH872" s="58">
        <v>0</v>
      </c>
      <c r="AI872" s="58">
        <v>0</v>
      </c>
      <c r="AJ872" s="58">
        <v>0</v>
      </c>
      <c r="AK872" s="58">
        <v>3427.83</v>
      </c>
      <c r="AL872" s="75">
        <f>+SUBTOTAL(9,Tabla6[[#This Row],[ENE]:[DIC]])</f>
        <v>3427.83</v>
      </c>
      <c r="AM872" s="76" t="str">
        <f t="shared" si="17"/>
        <v>OK</v>
      </c>
      <c r="AN872" s="60">
        <v>0</v>
      </c>
      <c r="AO872" s="61">
        <f>+Tabla6[[#This Row],[PRESUPUESTO VIGENTE]]-Tabla6[[#This Row],[CERTIFICACIÓN PAPP]]</f>
        <v>3427.83</v>
      </c>
      <c r="AP872" s="59">
        <v>0</v>
      </c>
    </row>
    <row r="873" spans="1:42" ht="93" customHeight="1" x14ac:dyDescent="0.25">
      <c r="A873" s="62" t="s">
        <v>88</v>
      </c>
      <c r="B873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873" s="64" t="s">
        <v>89</v>
      </c>
      <c r="D873" s="64" t="s">
        <v>80</v>
      </c>
      <c r="E873" s="64" t="s">
        <v>81</v>
      </c>
      <c r="F873" s="64" t="s">
        <v>101</v>
      </c>
      <c r="G873" s="64" t="s">
        <v>90</v>
      </c>
      <c r="H873" s="65" t="str">
        <f>VLOOKUP(Tabla6[[#This Row],[DIRECCIÓN]],DIRECCIÓN[#All],2,0)</f>
        <v>TECNOLOGÍA</v>
      </c>
      <c r="I873" s="66" t="s">
        <v>93</v>
      </c>
      <c r="J873" s="67">
        <v>1</v>
      </c>
      <c r="K873" s="68" t="str">
        <f>VLOOKUP(Tabla6[[#This Row],[DIRECCIÓN GENERAL / COORDINACIÓN / SUBDIRECCIÓN]],Tabla37[[#All],[Columna1]:[EOD]],2,0)</f>
        <v>266_0005</v>
      </c>
      <c r="L873" s="69">
        <f>VLOOKUP(Tabla6[[#This Row],[OBJETIVOS PND]],Listas!$A$1:$C$3,3,0)</f>
        <v>55</v>
      </c>
      <c r="M873" s="70">
        <f>VLOOKUP(Tabla6[[#This Row],[PG]],Listas2!$G$14:$K$16,5,0)</f>
        <v>0</v>
      </c>
      <c r="N873" s="71" t="s">
        <v>777</v>
      </c>
      <c r="O873" s="72">
        <v>2000</v>
      </c>
      <c r="P873" s="73" t="str">
        <f>VLOOKUP(Tabla6[[#This Row],[GEO]],Listas!$A$48:$B$77,2,0)</f>
        <v>SAN CRISTÓBAL</v>
      </c>
      <c r="Q873" s="70">
        <f>VLOOKUP(Tabla6[[#This Row],[PG]],Listas2!$G$14:$K$16,3,0)</f>
        <v>1</v>
      </c>
      <c r="R873" s="73">
        <f>VLOOKUP(Tabla6[[#This Row],[PG]],Listas2!H878:'Listas2'!$G$14:$K$16,4,0)</f>
        <v>0</v>
      </c>
      <c r="S873" s="73">
        <f>VLOOKUP(Tabla6[[#This Row],[PG]],Listas2!$G$14:$K$16,2,0)</f>
        <v>0</v>
      </c>
      <c r="T873" s="66" t="s">
        <v>84</v>
      </c>
      <c r="U873" s="74">
        <v>51</v>
      </c>
      <c r="V873" s="66">
        <v>510204</v>
      </c>
      <c r="W873" s="63" t="str">
        <f>VLOOKUP(Tabla6[[#This Row],[ÍTEM PRESUPUESTARIO]],Tabla2[#All],2,0)</f>
        <v>DÉCIMO CUARTO SUELDO</v>
      </c>
      <c r="X873" s="57">
        <v>900</v>
      </c>
      <c r="Y873" s="57">
        <f>900+41.6</f>
        <v>941.6</v>
      </c>
      <c r="Z873" s="58">
        <v>0</v>
      </c>
      <c r="AA873" s="58">
        <v>0</v>
      </c>
      <c r="AB873" s="58">
        <v>0</v>
      </c>
      <c r="AC873" s="58">
        <v>941.6</v>
      </c>
      <c r="AD873" s="58">
        <v>0</v>
      </c>
      <c r="AE873" s="58">
        <v>0</v>
      </c>
      <c r="AF873" s="58">
        <v>0</v>
      </c>
      <c r="AG873" s="58">
        <v>0</v>
      </c>
      <c r="AH873" s="58">
        <v>0</v>
      </c>
      <c r="AI873" s="58">
        <v>0</v>
      </c>
      <c r="AJ873" s="58">
        <v>0</v>
      </c>
      <c r="AK873" s="58">
        <v>0</v>
      </c>
      <c r="AL873" s="75">
        <f>+SUBTOTAL(9,Tabla6[[#This Row],[ENE]:[DIC]])</f>
        <v>941.6</v>
      </c>
      <c r="AM873" s="76" t="str">
        <f t="shared" si="17"/>
        <v>OK</v>
      </c>
      <c r="AN873" s="60">
        <v>0</v>
      </c>
      <c r="AO873" s="61">
        <f>+Tabla6[[#This Row],[PRESUPUESTO VIGENTE]]-Tabla6[[#This Row],[CERTIFICACIÓN PAPP]]</f>
        <v>941.6</v>
      </c>
      <c r="AP873" s="59">
        <v>0</v>
      </c>
    </row>
    <row r="874" spans="1:42" ht="93" customHeight="1" x14ac:dyDescent="0.25">
      <c r="A874" s="62" t="s">
        <v>88</v>
      </c>
      <c r="B874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874" s="64" t="s">
        <v>89</v>
      </c>
      <c r="D874" s="64" t="s">
        <v>80</v>
      </c>
      <c r="E874" s="64" t="s">
        <v>81</v>
      </c>
      <c r="F874" s="64" t="s">
        <v>101</v>
      </c>
      <c r="G874" s="64" t="s">
        <v>90</v>
      </c>
      <c r="H874" s="65" t="str">
        <f>VLOOKUP(Tabla6[[#This Row],[DIRECCIÓN]],DIRECCIÓN[#All],2,0)</f>
        <v>TECNOLOGÍA</v>
      </c>
      <c r="I874" s="66" t="s">
        <v>1054</v>
      </c>
      <c r="J874" s="67">
        <v>1</v>
      </c>
      <c r="K874" s="68" t="str">
        <f>VLOOKUP(Tabla6[[#This Row],[DIRECCIÓN GENERAL / COORDINACIÓN / SUBDIRECCIÓN]],Tabla37[[#All],[Columna1]:[EOD]],2,0)</f>
        <v>266_0005</v>
      </c>
      <c r="L874" s="69">
        <f>VLOOKUP(Tabla6[[#This Row],[OBJETIVOS PND]],Listas!$A$1:$C$3,3,0)</f>
        <v>55</v>
      </c>
      <c r="M874" s="70">
        <f>VLOOKUP(Tabla6[[#This Row],[PG]],Listas2!$G$14:$K$16,5,0)</f>
        <v>0</v>
      </c>
      <c r="N874" s="71">
        <v>3</v>
      </c>
      <c r="O874" s="72">
        <v>2000</v>
      </c>
      <c r="P874" s="73" t="str">
        <f>VLOOKUP(Tabla6[[#This Row],[GEO]],Listas!$A$48:$B$77,2,0)</f>
        <v>SAN CRISTÓBAL</v>
      </c>
      <c r="Q874" s="70">
        <f>VLOOKUP(Tabla6[[#This Row],[PG]],Listas2!$G$14:$K$16,3,0)</f>
        <v>1</v>
      </c>
      <c r="R874" s="73">
        <f>VLOOKUP(Tabla6[[#This Row],[PG]],Listas2!H879:'Listas2'!$G$14:$K$16,4,0)</f>
        <v>0</v>
      </c>
      <c r="S874" s="73">
        <f>VLOOKUP(Tabla6[[#This Row],[PG]],Listas2!$G$14:$K$16,2,0)</f>
        <v>0</v>
      </c>
      <c r="T874" s="66" t="s">
        <v>84</v>
      </c>
      <c r="U874" s="74">
        <v>51</v>
      </c>
      <c r="V874" s="66">
        <v>510304</v>
      </c>
      <c r="W874" s="63" t="str">
        <f>VLOOKUP(Tabla6[[#This Row],[ÍTEM PRESUPUESTARIO]],Tabla2[#All],2,0)</f>
        <v>COMPENSACION POR TRANSPORTE</v>
      </c>
      <c r="X874" s="57">
        <v>0</v>
      </c>
      <c r="Y874" s="57">
        <f>363-363</f>
        <v>0</v>
      </c>
      <c r="Z874" s="58">
        <v>0</v>
      </c>
      <c r="AA874" s="58">
        <f t="shared" ref="AA874:AK874" si="18">363-363</f>
        <v>0</v>
      </c>
      <c r="AB874" s="58">
        <f t="shared" si="18"/>
        <v>0</v>
      </c>
      <c r="AC874" s="58">
        <f t="shared" si="18"/>
        <v>0</v>
      </c>
      <c r="AD874" s="58">
        <f t="shared" si="18"/>
        <v>0</v>
      </c>
      <c r="AE874" s="58">
        <f t="shared" si="18"/>
        <v>0</v>
      </c>
      <c r="AF874" s="58">
        <f t="shared" si="18"/>
        <v>0</v>
      </c>
      <c r="AG874" s="58">
        <f t="shared" si="18"/>
        <v>0</v>
      </c>
      <c r="AH874" s="58">
        <f t="shared" si="18"/>
        <v>0</v>
      </c>
      <c r="AI874" s="58">
        <f t="shared" si="18"/>
        <v>0</v>
      </c>
      <c r="AJ874" s="58">
        <f t="shared" si="18"/>
        <v>0</v>
      </c>
      <c r="AK874" s="58">
        <f t="shared" si="18"/>
        <v>0</v>
      </c>
      <c r="AL874" s="75">
        <f>+SUBTOTAL(9,Tabla6[[#This Row],[ENE]:[DIC]])</f>
        <v>0</v>
      </c>
      <c r="AM874" s="76" t="str">
        <f t="shared" si="17"/>
        <v>OK</v>
      </c>
      <c r="AN874" s="60">
        <v>0</v>
      </c>
      <c r="AO874" s="61">
        <f>+Tabla6[[#This Row],[PRESUPUESTO VIGENTE]]-Tabla6[[#This Row],[CERTIFICACIÓN PAPP]]</f>
        <v>0</v>
      </c>
      <c r="AP874" s="59">
        <v>0</v>
      </c>
    </row>
    <row r="875" spans="1:42" ht="93" customHeight="1" x14ac:dyDescent="0.25">
      <c r="A875" s="62" t="s">
        <v>88</v>
      </c>
      <c r="B875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875" s="64" t="s">
        <v>89</v>
      </c>
      <c r="D875" s="64" t="s">
        <v>80</v>
      </c>
      <c r="E875" s="64" t="s">
        <v>81</v>
      </c>
      <c r="F875" s="64" t="s">
        <v>101</v>
      </c>
      <c r="G875" s="64" t="s">
        <v>90</v>
      </c>
      <c r="H875" s="65" t="str">
        <f>VLOOKUP(Tabla6[[#This Row],[DIRECCIÓN]],DIRECCIÓN[#All],2,0)</f>
        <v>TECNOLOGÍA</v>
      </c>
      <c r="I875" s="66" t="s">
        <v>1055</v>
      </c>
      <c r="J875" s="67">
        <v>1</v>
      </c>
      <c r="K875" s="68" t="str">
        <f>VLOOKUP(Tabla6[[#This Row],[DIRECCIÓN GENERAL / COORDINACIÓN / SUBDIRECCIÓN]],Tabla37[[#All],[Columna1]:[EOD]],2,0)</f>
        <v>266_0005</v>
      </c>
      <c r="L875" s="69">
        <f>VLOOKUP(Tabla6[[#This Row],[OBJETIVOS PND]],Listas!$A$1:$C$3,3,0)</f>
        <v>55</v>
      </c>
      <c r="M875" s="70">
        <f>VLOOKUP(Tabla6[[#This Row],[PG]],Listas2!$G$14:$K$16,5,0)</f>
        <v>0</v>
      </c>
      <c r="N875" s="71">
        <v>3</v>
      </c>
      <c r="O875" s="72">
        <v>2000</v>
      </c>
      <c r="P875" s="73" t="str">
        <f>VLOOKUP(Tabla6[[#This Row],[GEO]],Listas!$A$48:$B$77,2,0)</f>
        <v>SAN CRISTÓBAL</v>
      </c>
      <c r="Q875" s="70">
        <f>VLOOKUP(Tabla6[[#This Row],[PG]],Listas2!$G$14:$K$16,3,0)</f>
        <v>1</v>
      </c>
      <c r="R875" s="73">
        <f>VLOOKUP(Tabla6[[#This Row],[PG]],Listas2!H880:'Listas2'!$G$14:$K$16,4,0)</f>
        <v>0</v>
      </c>
      <c r="S875" s="73">
        <f>VLOOKUP(Tabla6[[#This Row],[PG]],Listas2!$G$14:$K$16,2,0)</f>
        <v>0</v>
      </c>
      <c r="T875" s="66" t="s">
        <v>84</v>
      </c>
      <c r="U875" s="74">
        <v>51</v>
      </c>
      <c r="V875" s="66">
        <v>510306</v>
      </c>
      <c r="W875" s="63" t="str">
        <f>VLOOKUP(Tabla6[[#This Row],[ÍTEM PRESUPUESTARIO]],Tabla2[#All],2,0)</f>
        <v>ALIMENTACION</v>
      </c>
      <c r="X875" s="57">
        <v>0</v>
      </c>
      <c r="Y875" s="57">
        <f>2640-2640</f>
        <v>0</v>
      </c>
      <c r="Z875" s="58" t="s">
        <v>778</v>
      </c>
      <c r="AA875" s="58" t="s">
        <v>778</v>
      </c>
      <c r="AB875" s="58" t="s">
        <v>778</v>
      </c>
      <c r="AC875" s="58" t="s">
        <v>778</v>
      </c>
      <c r="AD875" s="58" t="s">
        <v>778</v>
      </c>
      <c r="AE875" s="58" t="s">
        <v>778</v>
      </c>
      <c r="AF875" s="58" t="s">
        <v>778</v>
      </c>
      <c r="AG875" s="58" t="s">
        <v>778</v>
      </c>
      <c r="AH875" s="58" t="s">
        <v>778</v>
      </c>
      <c r="AI875" s="58" t="s">
        <v>778</v>
      </c>
      <c r="AJ875" s="58" t="s">
        <v>778</v>
      </c>
      <c r="AK875" s="58" t="s">
        <v>778</v>
      </c>
      <c r="AL875" s="75">
        <f>+SUBTOTAL(9,Tabla6[[#This Row],[ENE]:[DIC]])</f>
        <v>0</v>
      </c>
      <c r="AM875" s="76" t="str">
        <f t="shared" si="17"/>
        <v>OK</v>
      </c>
      <c r="AN875" s="60">
        <v>0</v>
      </c>
      <c r="AO875" s="61">
        <f>+Tabla6[[#This Row],[PRESUPUESTO VIGENTE]]-Tabla6[[#This Row],[CERTIFICACIÓN PAPP]]</f>
        <v>0</v>
      </c>
      <c r="AP875" s="59">
        <v>0</v>
      </c>
    </row>
    <row r="876" spans="1:42" ht="93" customHeight="1" x14ac:dyDescent="0.25">
      <c r="A876" s="62" t="s">
        <v>88</v>
      </c>
      <c r="B876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876" s="64" t="s">
        <v>89</v>
      </c>
      <c r="D876" s="64" t="s">
        <v>80</v>
      </c>
      <c r="E876" s="64" t="s">
        <v>81</v>
      </c>
      <c r="F876" s="64" t="s">
        <v>101</v>
      </c>
      <c r="G876" s="64" t="s">
        <v>90</v>
      </c>
      <c r="H876" s="65" t="str">
        <f>VLOOKUP(Tabla6[[#This Row],[DIRECCIÓN]],DIRECCIÓN[#All],2,0)</f>
        <v>TECNOLOGÍA</v>
      </c>
      <c r="I876" s="66" t="s">
        <v>109</v>
      </c>
      <c r="J876" s="67">
        <v>1</v>
      </c>
      <c r="K876" s="68" t="str">
        <f>VLOOKUP(Tabla6[[#This Row],[DIRECCIÓN GENERAL / COORDINACIÓN / SUBDIRECCIÓN]],Tabla37[[#All],[Columna1]:[EOD]],2,0)</f>
        <v>266_0005</v>
      </c>
      <c r="L876" s="69">
        <f>VLOOKUP(Tabla6[[#This Row],[OBJETIVOS PND]],Listas!$A$1:$C$3,3,0)</f>
        <v>55</v>
      </c>
      <c r="M876" s="70">
        <f>VLOOKUP(Tabla6[[#This Row],[PG]],Listas2!$G$14:$K$16,5,0)</f>
        <v>0</v>
      </c>
      <c r="N876" s="71">
        <v>3</v>
      </c>
      <c r="O876" s="72">
        <v>2000</v>
      </c>
      <c r="P876" s="73" t="str">
        <f>VLOOKUP(Tabla6[[#This Row],[GEO]],Listas!$A$48:$B$77,2,0)</f>
        <v>SAN CRISTÓBAL</v>
      </c>
      <c r="Q876" s="70">
        <f>VLOOKUP(Tabla6[[#This Row],[PG]],Listas2!$G$14:$K$16,3,0)</f>
        <v>1</v>
      </c>
      <c r="R876" s="73">
        <f>VLOOKUP(Tabla6[[#This Row],[PG]],Listas2!H881:'Listas2'!$G$14:$K$16,4,0)</f>
        <v>0</v>
      </c>
      <c r="S876" s="73">
        <f>VLOOKUP(Tabla6[[#This Row],[PG]],Listas2!$G$14:$K$16,2,0)</f>
        <v>0</v>
      </c>
      <c r="T876" s="66" t="s">
        <v>84</v>
      </c>
      <c r="U876" s="74">
        <v>51</v>
      </c>
      <c r="V876" s="66">
        <v>510401</v>
      </c>
      <c r="W876" s="63" t="str">
        <f>VLOOKUP(Tabla6[[#This Row],[ÍTEM PRESUPUESTARIO]],Tabla2[#All],2,0)</f>
        <v>POR CARGAS FAMILIARES</v>
      </c>
      <c r="X876" s="57">
        <v>0</v>
      </c>
      <c r="Y876" s="57">
        <f>281-281</f>
        <v>0</v>
      </c>
      <c r="Z876" s="58">
        <v>0</v>
      </c>
      <c r="AA876" s="58">
        <v>0</v>
      </c>
      <c r="AB876" s="58">
        <v>0</v>
      </c>
      <c r="AC876" s="58">
        <v>0</v>
      </c>
      <c r="AD876" s="58">
        <v>0</v>
      </c>
      <c r="AE876" s="58">
        <v>0</v>
      </c>
      <c r="AF876" s="58">
        <v>0</v>
      </c>
      <c r="AG876" s="58">
        <v>0</v>
      </c>
      <c r="AH876" s="58">
        <v>0</v>
      </c>
      <c r="AI876" s="58">
        <v>0</v>
      </c>
      <c r="AJ876" s="58">
        <v>0</v>
      </c>
      <c r="AK876" s="58">
        <v>0</v>
      </c>
      <c r="AL876" s="75">
        <f>+SUBTOTAL(9,Tabla6[[#This Row],[ENE]:[DIC]])</f>
        <v>0</v>
      </c>
      <c r="AM876" s="76" t="str">
        <f t="shared" si="17"/>
        <v>OK</v>
      </c>
      <c r="AN876" s="60">
        <v>0</v>
      </c>
      <c r="AO876" s="61">
        <f>+Tabla6[[#This Row],[PRESUPUESTO VIGENTE]]-Tabla6[[#This Row],[CERTIFICACIÓN PAPP]]</f>
        <v>0</v>
      </c>
      <c r="AP876" s="59">
        <v>0</v>
      </c>
    </row>
    <row r="877" spans="1:42" ht="93" customHeight="1" x14ac:dyDescent="0.25">
      <c r="A877" s="62" t="s">
        <v>88</v>
      </c>
      <c r="B877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877" s="64" t="s">
        <v>89</v>
      </c>
      <c r="D877" s="64" t="s">
        <v>80</v>
      </c>
      <c r="E877" s="64" t="s">
        <v>81</v>
      </c>
      <c r="F877" s="64" t="s">
        <v>101</v>
      </c>
      <c r="G877" s="64" t="s">
        <v>90</v>
      </c>
      <c r="H877" s="65" t="str">
        <f>VLOOKUP(Tabla6[[#This Row],[DIRECCIÓN]],DIRECCIÓN[#All],2,0)</f>
        <v>TECNOLOGÍA</v>
      </c>
      <c r="I877" s="66" t="s">
        <v>1056</v>
      </c>
      <c r="J877" s="67">
        <v>1</v>
      </c>
      <c r="K877" s="68" t="str">
        <f>VLOOKUP(Tabla6[[#This Row],[DIRECCIÓN GENERAL / COORDINACIÓN / SUBDIRECCIÓN]],Tabla37[[#All],[Columna1]:[EOD]],2,0)</f>
        <v>266_0005</v>
      </c>
      <c r="L877" s="69">
        <f>VLOOKUP(Tabla6[[#This Row],[OBJETIVOS PND]],Listas!$A$1:$C$3,3,0)</f>
        <v>55</v>
      </c>
      <c r="M877" s="70">
        <f>VLOOKUP(Tabla6[[#This Row],[PG]],Listas2!$G$14:$K$16,5,0)</f>
        <v>0</v>
      </c>
      <c r="N877" s="71">
        <v>3</v>
      </c>
      <c r="O877" s="72">
        <v>2000</v>
      </c>
      <c r="P877" s="73" t="str">
        <f>VLOOKUP(Tabla6[[#This Row],[GEO]],Listas!$A$48:$B$77,2,0)</f>
        <v>SAN CRISTÓBAL</v>
      </c>
      <c r="Q877" s="70">
        <f>VLOOKUP(Tabla6[[#This Row],[PG]],Listas2!$G$14:$K$16,3,0)</f>
        <v>1</v>
      </c>
      <c r="R877" s="73">
        <f>VLOOKUP(Tabla6[[#This Row],[PG]],Listas2!H882:'Listas2'!$G$14:$K$16,4,0)</f>
        <v>0</v>
      </c>
      <c r="S877" s="73">
        <f>VLOOKUP(Tabla6[[#This Row],[PG]],Listas2!$G$14:$K$16,2,0)</f>
        <v>0</v>
      </c>
      <c r="T877" s="66" t="s">
        <v>84</v>
      </c>
      <c r="U877" s="74">
        <v>51</v>
      </c>
      <c r="V877" s="66">
        <v>510408</v>
      </c>
      <c r="W877" s="63" t="str">
        <f>VLOOKUP(Tabla6[[#This Row],[ÍTEM PRESUPUESTARIO]],Tabla2[#All],2,0)</f>
        <v>SUBSIDIO DE ANTIGUEDAD</v>
      </c>
      <c r="X877" s="57">
        <v>0</v>
      </c>
      <c r="Y877" s="57">
        <f>704-704</f>
        <v>0</v>
      </c>
      <c r="Z877" s="58">
        <v>0</v>
      </c>
      <c r="AA877" s="58">
        <v>0</v>
      </c>
      <c r="AB877" s="58">
        <v>0</v>
      </c>
      <c r="AC877" s="58">
        <v>0</v>
      </c>
      <c r="AD877" s="58">
        <v>0</v>
      </c>
      <c r="AE877" s="58">
        <v>0</v>
      </c>
      <c r="AF877" s="58">
        <v>0</v>
      </c>
      <c r="AG877" s="58">
        <v>0</v>
      </c>
      <c r="AH877" s="58">
        <v>0</v>
      </c>
      <c r="AI877" s="58">
        <v>0</v>
      </c>
      <c r="AJ877" s="58">
        <v>0</v>
      </c>
      <c r="AK877" s="58">
        <v>0</v>
      </c>
      <c r="AL877" s="75">
        <f>+SUBTOTAL(9,Tabla6[[#This Row],[ENE]:[DIC]])</f>
        <v>0</v>
      </c>
      <c r="AM877" s="76" t="str">
        <f t="shared" si="17"/>
        <v>OK</v>
      </c>
      <c r="AN877" s="60">
        <v>0</v>
      </c>
      <c r="AO877" s="61">
        <f>+Tabla6[[#This Row],[PRESUPUESTO VIGENTE]]-Tabla6[[#This Row],[CERTIFICACIÓN PAPP]]</f>
        <v>0</v>
      </c>
      <c r="AP877" s="59">
        <v>0</v>
      </c>
    </row>
    <row r="878" spans="1:42" ht="93" customHeight="1" x14ac:dyDescent="0.25">
      <c r="A878" s="62" t="s">
        <v>88</v>
      </c>
      <c r="B878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878" s="64" t="s">
        <v>89</v>
      </c>
      <c r="D878" s="64" t="s">
        <v>80</v>
      </c>
      <c r="E878" s="64" t="s">
        <v>81</v>
      </c>
      <c r="F878" s="64" t="s">
        <v>101</v>
      </c>
      <c r="G878" s="64" t="s">
        <v>90</v>
      </c>
      <c r="H878" s="65" t="str">
        <f>VLOOKUP(Tabla6[[#This Row],[DIRECCIÓN]],DIRECCIÓN[#All],2,0)</f>
        <v>TECNOLOGÍA</v>
      </c>
      <c r="I878" s="66" t="s">
        <v>93</v>
      </c>
      <c r="J878" s="67">
        <v>1</v>
      </c>
      <c r="K878" s="68" t="str">
        <f>VLOOKUP(Tabla6[[#This Row],[DIRECCIÓN GENERAL / COORDINACIÓN / SUBDIRECCIÓN]],Tabla37[[#All],[Columna1]:[EOD]],2,0)</f>
        <v>266_0005</v>
      </c>
      <c r="L878" s="69">
        <f>VLOOKUP(Tabla6[[#This Row],[OBJETIVOS PND]],Listas!$A$1:$C$3,3,0)</f>
        <v>55</v>
      </c>
      <c r="M878" s="70">
        <f>VLOOKUP(Tabla6[[#This Row],[PG]],Listas2!$G$14:$K$16,5,0)</f>
        <v>0</v>
      </c>
      <c r="N878" s="71">
        <v>3</v>
      </c>
      <c r="O878" s="72">
        <v>2000</v>
      </c>
      <c r="P878" s="73" t="str">
        <f>VLOOKUP(Tabla6[[#This Row],[GEO]],Listas!$A$48:$B$77,2,0)</f>
        <v>SAN CRISTÓBAL</v>
      </c>
      <c r="Q878" s="70">
        <f>VLOOKUP(Tabla6[[#This Row],[PG]],Listas2!$G$14:$K$16,3,0)</f>
        <v>1</v>
      </c>
      <c r="R878" s="73">
        <f>VLOOKUP(Tabla6[[#This Row],[PG]],Listas2!H883:'Listas2'!$G$14:$K$16,4,0)</f>
        <v>0</v>
      </c>
      <c r="S878" s="73">
        <f>VLOOKUP(Tabla6[[#This Row],[PG]],Listas2!$G$14:$K$16,2,0)</f>
        <v>0</v>
      </c>
      <c r="T878" s="66" t="s">
        <v>84</v>
      </c>
      <c r="U878" s="74">
        <v>51</v>
      </c>
      <c r="V878" s="66">
        <v>510513</v>
      </c>
      <c r="W878" s="63" t="str">
        <f>VLOOKUP(Tabla6[[#This Row],[ÍTEM PRESUPUESTARIO]],Tabla2[#All],2,0)</f>
        <v>ENCARGOS</v>
      </c>
      <c r="X878" s="57">
        <v>0</v>
      </c>
      <c r="Y878" s="57">
        <f>911-0.6</f>
        <v>910.4</v>
      </c>
      <c r="Z878" s="58">
        <v>0</v>
      </c>
      <c r="AA878" s="58">
        <v>0</v>
      </c>
      <c r="AB878" s="58">
        <v>0</v>
      </c>
      <c r="AC878" s="58">
        <v>0</v>
      </c>
      <c r="AD878" s="58">
        <v>0</v>
      </c>
      <c r="AE878" s="58">
        <v>0</v>
      </c>
      <c r="AF878" s="58">
        <v>0</v>
      </c>
      <c r="AG878" s="58">
        <v>0</v>
      </c>
      <c r="AH878" s="58">
        <v>0</v>
      </c>
      <c r="AI878" s="58">
        <v>0</v>
      </c>
      <c r="AJ878" s="58">
        <v>0</v>
      </c>
      <c r="AK878" s="58">
        <v>910.4</v>
      </c>
      <c r="AL878" s="75">
        <f>+SUBTOTAL(9,Tabla6[[#This Row],[ENE]:[DIC]])</f>
        <v>910.4</v>
      </c>
      <c r="AM878" s="76" t="str">
        <f t="shared" si="17"/>
        <v>OK</v>
      </c>
      <c r="AN878" s="60">
        <v>0</v>
      </c>
      <c r="AO878" s="61">
        <f>+Tabla6[[#This Row],[PRESUPUESTO VIGENTE]]-Tabla6[[#This Row],[CERTIFICACIÓN PAPP]]</f>
        <v>910.4</v>
      </c>
      <c r="AP878" s="59">
        <v>0</v>
      </c>
    </row>
    <row r="879" spans="1:42" ht="93" customHeight="1" x14ac:dyDescent="0.25">
      <c r="A879" s="62" t="s">
        <v>88</v>
      </c>
      <c r="B879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879" s="64" t="s">
        <v>89</v>
      </c>
      <c r="D879" s="64" t="s">
        <v>80</v>
      </c>
      <c r="E879" s="64" t="s">
        <v>81</v>
      </c>
      <c r="F879" s="64" t="s">
        <v>101</v>
      </c>
      <c r="G879" s="64" t="s">
        <v>90</v>
      </c>
      <c r="H879" s="65" t="str">
        <f>VLOOKUP(Tabla6[[#This Row],[DIRECCIÓN]],DIRECCIÓN[#All],2,0)</f>
        <v>TECNOLOGÍA</v>
      </c>
      <c r="I879" s="66" t="s">
        <v>93</v>
      </c>
      <c r="J879" s="67">
        <v>1</v>
      </c>
      <c r="K879" s="68" t="str">
        <f>VLOOKUP(Tabla6[[#This Row],[DIRECCIÓN GENERAL / COORDINACIÓN / SUBDIRECCIÓN]],Tabla37[[#All],[Columna1]:[EOD]],2,0)</f>
        <v>266_0005</v>
      </c>
      <c r="L879" s="69">
        <f>VLOOKUP(Tabla6[[#This Row],[OBJETIVOS PND]],Listas!$A$1:$C$3,3,0)</f>
        <v>55</v>
      </c>
      <c r="M879" s="70">
        <f>VLOOKUP(Tabla6[[#This Row],[PG]],Listas2!$G$14:$K$16,5,0)</f>
        <v>0</v>
      </c>
      <c r="N879" s="71" t="s">
        <v>777</v>
      </c>
      <c r="O879" s="72">
        <v>2000</v>
      </c>
      <c r="P879" s="73" t="str">
        <f>VLOOKUP(Tabla6[[#This Row],[GEO]],Listas!$A$48:$B$77,2,0)</f>
        <v>SAN CRISTÓBAL</v>
      </c>
      <c r="Q879" s="70">
        <f>VLOOKUP(Tabla6[[#This Row],[PG]],Listas2!$G$14:$K$16,3,0)</f>
        <v>1</v>
      </c>
      <c r="R879" s="73">
        <f>VLOOKUP(Tabla6[[#This Row],[PG]],Listas2!H884:'Listas2'!$G$14:$K$16,4,0)</f>
        <v>0</v>
      </c>
      <c r="S879" s="73">
        <f>VLOOKUP(Tabla6[[#This Row],[PG]],Listas2!$G$14:$K$16,2,0)</f>
        <v>0</v>
      </c>
      <c r="T879" s="66" t="s">
        <v>84</v>
      </c>
      <c r="U879" s="74">
        <v>51</v>
      </c>
      <c r="V879" s="66">
        <v>510601</v>
      </c>
      <c r="W879" s="63" t="str">
        <f>VLOOKUP(Tabla6[[#This Row],[ÍTEM PRESUPUESTARIO]],Tabla2[#All],2,0)</f>
        <v>APORTE PATRONAL</v>
      </c>
      <c r="X879" s="57">
        <v>4082</v>
      </c>
      <c r="Y879" s="57">
        <f>4082-112.53+1-0.98</f>
        <v>3969.49</v>
      </c>
      <c r="Z879" s="58">
        <v>341</v>
      </c>
      <c r="AA879" s="58">
        <v>341</v>
      </c>
      <c r="AB879" s="58">
        <v>341</v>
      </c>
      <c r="AC879" s="58">
        <v>341</v>
      </c>
      <c r="AD879" s="58">
        <v>341</v>
      </c>
      <c r="AE879" s="58">
        <v>341</v>
      </c>
      <c r="AF879" s="58">
        <v>341</v>
      </c>
      <c r="AG879" s="58">
        <v>341</v>
      </c>
      <c r="AH879" s="58">
        <v>341</v>
      </c>
      <c r="AI879" s="58">
        <v>341</v>
      </c>
      <c r="AJ879" s="58">
        <v>341</v>
      </c>
      <c r="AK879" s="58">
        <v>218.49</v>
      </c>
      <c r="AL879" s="75">
        <f>+SUBTOTAL(9,Tabla6[[#This Row],[ENE]:[DIC]])</f>
        <v>3969.49</v>
      </c>
      <c r="AM879" s="76" t="str">
        <f t="shared" si="17"/>
        <v>OK</v>
      </c>
      <c r="AN879" s="60">
        <v>0</v>
      </c>
      <c r="AO879" s="61">
        <f>+Tabla6[[#This Row],[PRESUPUESTO VIGENTE]]-Tabla6[[#This Row],[CERTIFICACIÓN PAPP]]</f>
        <v>3969.49</v>
      </c>
      <c r="AP879" s="59">
        <v>0</v>
      </c>
    </row>
    <row r="880" spans="1:42" ht="93" customHeight="1" x14ac:dyDescent="0.25">
      <c r="A880" s="62" t="s">
        <v>88</v>
      </c>
      <c r="B880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880" s="64" t="s">
        <v>89</v>
      </c>
      <c r="D880" s="64" t="s">
        <v>80</v>
      </c>
      <c r="E880" s="64" t="s">
        <v>81</v>
      </c>
      <c r="F880" s="64" t="s">
        <v>101</v>
      </c>
      <c r="G880" s="64" t="s">
        <v>90</v>
      </c>
      <c r="H880" s="65" t="str">
        <f>VLOOKUP(Tabla6[[#This Row],[DIRECCIÓN]],DIRECCIÓN[#All],2,0)</f>
        <v>TECNOLOGÍA</v>
      </c>
      <c r="I880" s="66" t="s">
        <v>93</v>
      </c>
      <c r="J880" s="67">
        <v>1</v>
      </c>
      <c r="K880" s="68" t="str">
        <f>VLOOKUP(Tabla6[[#This Row],[DIRECCIÓN GENERAL / COORDINACIÓN / SUBDIRECCIÓN]],Tabla37[[#All],[Columna1]:[EOD]],2,0)</f>
        <v>266_0005</v>
      </c>
      <c r="L880" s="69">
        <f>VLOOKUP(Tabla6[[#This Row],[OBJETIVOS PND]],Listas!$A$1:$C$3,3,0)</f>
        <v>55</v>
      </c>
      <c r="M880" s="70">
        <f>VLOOKUP(Tabla6[[#This Row],[PG]],Listas2!$G$14:$K$16,5,0)</f>
        <v>0</v>
      </c>
      <c r="N880" s="71" t="s">
        <v>777</v>
      </c>
      <c r="O880" s="72">
        <v>2000</v>
      </c>
      <c r="P880" s="73" t="str">
        <f>VLOOKUP(Tabla6[[#This Row],[GEO]],Listas!$A$48:$B$77,2,0)</f>
        <v>SAN CRISTÓBAL</v>
      </c>
      <c r="Q880" s="70">
        <f>VLOOKUP(Tabla6[[#This Row],[PG]],Listas2!$G$14:$K$16,3,0)</f>
        <v>1</v>
      </c>
      <c r="R880" s="73">
        <f>VLOOKUP(Tabla6[[#This Row],[PG]],Listas2!H885:'Listas2'!$G$14:$K$16,4,0)</f>
        <v>0</v>
      </c>
      <c r="S880" s="73">
        <f>VLOOKUP(Tabla6[[#This Row],[PG]],Listas2!$G$14:$K$16,2,0)</f>
        <v>0</v>
      </c>
      <c r="T880" s="66" t="s">
        <v>84</v>
      </c>
      <c r="U880" s="74">
        <v>51</v>
      </c>
      <c r="V880" s="66">
        <v>510602</v>
      </c>
      <c r="W880" s="63" t="str">
        <f>VLOOKUP(Tabla6[[#This Row],[ÍTEM PRESUPUESTARIO]],Tabla2[#All],2,0)</f>
        <v>FONDO DE RESERVA</v>
      </c>
      <c r="X880" s="57">
        <v>3351</v>
      </c>
      <c r="Y880" s="57">
        <f>3351+408.72-332.11-1.13</f>
        <v>3426.48</v>
      </c>
      <c r="Z880" s="58">
        <v>279</v>
      </c>
      <c r="AA880" s="58">
        <v>279</v>
      </c>
      <c r="AB880" s="58">
        <v>279</v>
      </c>
      <c r="AC880" s="58">
        <v>279</v>
      </c>
      <c r="AD880" s="58">
        <v>279</v>
      </c>
      <c r="AE880" s="58">
        <v>279</v>
      </c>
      <c r="AF880" s="58">
        <v>279</v>
      </c>
      <c r="AG880" s="58">
        <v>279</v>
      </c>
      <c r="AH880" s="58">
        <v>279</v>
      </c>
      <c r="AI880" s="58">
        <v>280</v>
      </c>
      <c r="AJ880" s="58">
        <v>280</v>
      </c>
      <c r="AK880" s="58">
        <v>355.48</v>
      </c>
      <c r="AL880" s="75">
        <f>+SUBTOTAL(9,Tabla6[[#This Row],[ENE]:[DIC]])</f>
        <v>3426.48</v>
      </c>
      <c r="AM880" s="76" t="str">
        <f t="shared" si="17"/>
        <v>OK</v>
      </c>
      <c r="AN880" s="60">
        <v>0</v>
      </c>
      <c r="AO880" s="61">
        <f>+Tabla6[[#This Row],[PRESUPUESTO VIGENTE]]-Tabla6[[#This Row],[CERTIFICACIÓN PAPP]]</f>
        <v>3426.48</v>
      </c>
      <c r="AP880" s="59">
        <v>0</v>
      </c>
    </row>
    <row r="881" spans="1:42" ht="93" customHeight="1" x14ac:dyDescent="0.25">
      <c r="A881" s="62" t="s">
        <v>78</v>
      </c>
      <c r="B881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881" s="64" t="s">
        <v>79</v>
      </c>
      <c r="D881" s="64" t="s">
        <v>80</v>
      </c>
      <c r="E881" s="64" t="s">
        <v>81</v>
      </c>
      <c r="F881" s="64" t="s">
        <v>101</v>
      </c>
      <c r="G881" s="64" t="s">
        <v>83</v>
      </c>
      <c r="H881" s="65" t="str">
        <f>VLOOKUP(Tabla6[[#This Row],[DIRECCIÓN]],DIRECCIÓN[#All],2,0)</f>
        <v>ADMINISTRACIÓN CENTRAL</v>
      </c>
      <c r="I881" s="66" t="s">
        <v>1057</v>
      </c>
      <c r="J881" s="67">
        <v>1</v>
      </c>
      <c r="K881" s="68" t="str">
        <f>VLOOKUP(Tabla6[[#This Row],[DIRECCIÓN GENERAL / COORDINACIÓN / SUBDIRECCIÓN]],Tabla37[[#All],[Columna1]:[EOD]],2,0)</f>
        <v>266_0005</v>
      </c>
      <c r="L881" s="69">
        <f>VLOOKUP(Tabla6[[#This Row],[OBJETIVOS PND]],Listas!$A$1:$C$3,3,0)</f>
        <v>1</v>
      </c>
      <c r="M881" s="70">
        <f>VLOOKUP(Tabla6[[#This Row],[PG]],Listas2!$G$14:$K$16,5,0)</f>
        <v>0</v>
      </c>
      <c r="N881" s="71">
        <v>1</v>
      </c>
      <c r="O881" s="72">
        <v>2001</v>
      </c>
      <c r="P881" s="73" t="str">
        <f>VLOOKUP(Tabla6[[#This Row],[GEO]],Listas!$A$48:$B$77,2,0)</f>
        <v>SAN CRISTÓBAL</v>
      </c>
      <c r="Q881" s="70">
        <f>VLOOKUP(Tabla6[[#This Row],[PG]],Listas2!$G$14:$K$16,3,0)</f>
        <v>1</v>
      </c>
      <c r="R881" s="73">
        <f>VLOOKUP(Tabla6[[#This Row],[PG]],Listas2!H886:'Listas2'!$G$14:$K$16,4,0)</f>
        <v>0</v>
      </c>
      <c r="S881" s="73">
        <f>VLOOKUP(Tabla6[[#This Row],[PG]],Listas2!$G$14:$K$16,2,0)</f>
        <v>0</v>
      </c>
      <c r="T881" s="66" t="s">
        <v>84</v>
      </c>
      <c r="U881" s="74">
        <v>53</v>
      </c>
      <c r="V881" s="66">
        <v>530101</v>
      </c>
      <c r="W881" s="63" t="str">
        <f>VLOOKUP(Tabla6[[#This Row],[ÍTEM PRESUPUESTARIO]],Tabla2[#All],2,0)</f>
        <v>AGUA POTABLE</v>
      </c>
      <c r="X881" s="57">
        <v>588</v>
      </c>
      <c r="Y881" s="57">
        <f>588-375.1</f>
        <v>212.89999999999998</v>
      </c>
      <c r="Z881" s="58">
        <v>0</v>
      </c>
      <c r="AA881" s="58">
        <v>15</v>
      </c>
      <c r="AB881" s="58">
        <v>15</v>
      </c>
      <c r="AC881" s="58">
        <v>15</v>
      </c>
      <c r="AD881" s="58">
        <v>15</v>
      </c>
      <c r="AE881" s="58">
        <v>15</v>
      </c>
      <c r="AF881" s="58">
        <v>15</v>
      </c>
      <c r="AG881" s="58">
        <v>15</v>
      </c>
      <c r="AH881" s="58">
        <v>15</v>
      </c>
      <c r="AI881" s="58">
        <v>15</v>
      </c>
      <c r="AJ881" s="58">
        <v>15</v>
      </c>
      <c r="AK881" s="58">
        <v>62.9</v>
      </c>
      <c r="AL881" s="75">
        <f>+SUBTOTAL(9,Tabla6[[#This Row],[ENE]:[DIC]])</f>
        <v>212.9</v>
      </c>
      <c r="AM881" s="76" t="str">
        <f t="shared" si="17"/>
        <v>OK</v>
      </c>
      <c r="AN881" s="60">
        <f>80+100-19.98-27.12+80</f>
        <v>212.9</v>
      </c>
      <c r="AO881" s="61">
        <f>+Tabla6[[#This Row],[PRESUPUESTO VIGENTE]]-Tabla6[[#This Row],[CERTIFICACIÓN PAPP]]</f>
        <v>0</v>
      </c>
      <c r="AP881" s="59">
        <v>0</v>
      </c>
    </row>
    <row r="882" spans="1:42" ht="93" customHeight="1" x14ac:dyDescent="0.25">
      <c r="A882" s="62" t="s">
        <v>78</v>
      </c>
      <c r="B882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882" s="64" t="s">
        <v>79</v>
      </c>
      <c r="D882" s="64" t="s">
        <v>80</v>
      </c>
      <c r="E882" s="64" t="s">
        <v>81</v>
      </c>
      <c r="F882" s="64" t="s">
        <v>101</v>
      </c>
      <c r="G882" s="64" t="s">
        <v>83</v>
      </c>
      <c r="H882" s="65" t="str">
        <f>VLOOKUP(Tabla6[[#This Row],[DIRECCIÓN]],DIRECCIÓN[#All],2,0)</f>
        <v>ADMINISTRACIÓN CENTRAL</v>
      </c>
      <c r="I882" s="66" t="s">
        <v>1058</v>
      </c>
      <c r="J882" s="67">
        <v>1</v>
      </c>
      <c r="K882" s="68" t="str">
        <f>VLOOKUP(Tabla6[[#This Row],[DIRECCIÓN GENERAL / COORDINACIÓN / SUBDIRECCIÓN]],Tabla37[[#All],[Columna1]:[EOD]],2,0)</f>
        <v>266_0005</v>
      </c>
      <c r="L882" s="69">
        <f>VLOOKUP(Tabla6[[#This Row],[OBJETIVOS PND]],Listas!$A$1:$C$3,3,0)</f>
        <v>1</v>
      </c>
      <c r="M882" s="70">
        <f>VLOOKUP(Tabla6[[#This Row],[PG]],Listas2!$G$14:$K$16,5,0)</f>
        <v>0</v>
      </c>
      <c r="N882" s="71">
        <v>1</v>
      </c>
      <c r="O882" s="72">
        <v>2001</v>
      </c>
      <c r="P882" s="73" t="str">
        <f>VLOOKUP(Tabla6[[#This Row],[GEO]],Listas!$A$48:$B$77,2,0)</f>
        <v>SAN CRISTÓBAL</v>
      </c>
      <c r="Q882" s="70">
        <f>VLOOKUP(Tabla6[[#This Row],[PG]],Listas2!$G$14:$K$16,3,0)</f>
        <v>1</v>
      </c>
      <c r="R882" s="73">
        <f>VLOOKUP(Tabla6[[#This Row],[PG]],Listas2!H887:'Listas2'!$G$14:$K$16,4,0)</f>
        <v>0</v>
      </c>
      <c r="S882" s="73">
        <f>VLOOKUP(Tabla6[[#This Row],[PG]],Listas2!$G$14:$K$16,2,0)</f>
        <v>0</v>
      </c>
      <c r="T882" s="66" t="s">
        <v>84</v>
      </c>
      <c r="U882" s="74">
        <v>53</v>
      </c>
      <c r="V882" s="66">
        <v>530104</v>
      </c>
      <c r="W882" s="63" t="str">
        <f>VLOOKUP(Tabla6[[#This Row],[ÍTEM PRESUPUESTARIO]],Tabla2[#All],2,0)</f>
        <v>ENERGÍA ELÉCTRICA</v>
      </c>
      <c r="X882" s="57">
        <v>35000</v>
      </c>
      <c r="Y882" s="57">
        <f>35000-3000-200-1335-5000-544.39-400</f>
        <v>24520.61</v>
      </c>
      <c r="Z882" s="58">
        <v>0</v>
      </c>
      <c r="AA882" s="58">
        <v>2200</v>
      </c>
      <c r="AB882" s="58">
        <v>2200</v>
      </c>
      <c r="AC882" s="58">
        <v>2200</v>
      </c>
      <c r="AD882" s="58">
        <v>2200</v>
      </c>
      <c r="AE882" s="58">
        <v>2200</v>
      </c>
      <c r="AF882" s="58">
        <v>2000</v>
      </c>
      <c r="AG882" s="58">
        <v>2000</v>
      </c>
      <c r="AH882" s="58">
        <v>2500</v>
      </c>
      <c r="AI882" s="58">
        <v>2500</v>
      </c>
      <c r="AJ882" s="58">
        <v>2500</v>
      </c>
      <c r="AK882" s="58">
        <v>2020.61</v>
      </c>
      <c r="AL882" s="75">
        <f>+SUBTOTAL(9,Tabla6[[#This Row],[ENE]:[DIC]])</f>
        <v>24520.61</v>
      </c>
      <c r="AM882" s="76" t="str">
        <f t="shared" si="17"/>
        <v>OK</v>
      </c>
      <c r="AN882" s="60">
        <f>8000+10000-361.58+200-200-1717.81+8600</f>
        <v>24520.61</v>
      </c>
      <c r="AO882" s="61">
        <f>+Tabla6[[#This Row],[PRESUPUESTO VIGENTE]]-Tabla6[[#This Row],[CERTIFICACIÓN PAPP]]</f>
        <v>0</v>
      </c>
      <c r="AP882" s="59">
        <v>0</v>
      </c>
    </row>
    <row r="883" spans="1:42" ht="93" customHeight="1" x14ac:dyDescent="0.25">
      <c r="A883" s="62" t="s">
        <v>78</v>
      </c>
      <c r="B883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883" s="64" t="s">
        <v>79</v>
      </c>
      <c r="D883" s="64" t="s">
        <v>80</v>
      </c>
      <c r="E883" s="64" t="s">
        <v>81</v>
      </c>
      <c r="F883" s="64" t="s">
        <v>101</v>
      </c>
      <c r="G883" s="64" t="s">
        <v>83</v>
      </c>
      <c r="H883" s="65" t="str">
        <f>VLOOKUP(Tabla6[[#This Row],[DIRECCIÓN]],DIRECCIÓN[#All],2,0)</f>
        <v>ADMINISTRACIÓN CENTRAL</v>
      </c>
      <c r="I883" s="66" t="s">
        <v>1059</v>
      </c>
      <c r="J883" s="67">
        <v>1</v>
      </c>
      <c r="K883" s="68" t="str">
        <f>VLOOKUP(Tabla6[[#This Row],[DIRECCIÓN GENERAL / COORDINACIÓN / SUBDIRECCIÓN]],Tabla37[[#All],[Columna1]:[EOD]],2,0)</f>
        <v>266_0005</v>
      </c>
      <c r="L883" s="69">
        <f>VLOOKUP(Tabla6[[#This Row],[OBJETIVOS PND]],Listas!$A$1:$C$3,3,0)</f>
        <v>1</v>
      </c>
      <c r="M883" s="70">
        <f>VLOOKUP(Tabla6[[#This Row],[PG]],Listas2!$G$14:$K$16,5,0)</f>
        <v>0</v>
      </c>
      <c r="N883" s="71">
        <v>1</v>
      </c>
      <c r="O883" s="72">
        <v>2001</v>
      </c>
      <c r="P883" s="73" t="str">
        <f>VLOOKUP(Tabla6[[#This Row],[GEO]],Listas!$A$48:$B$77,2,0)</f>
        <v>SAN CRISTÓBAL</v>
      </c>
      <c r="Q883" s="70">
        <f>VLOOKUP(Tabla6[[#This Row],[PG]],Listas2!$G$14:$K$16,3,0)</f>
        <v>1</v>
      </c>
      <c r="R883" s="73">
        <f>VLOOKUP(Tabla6[[#This Row],[PG]],Listas2!H888:'Listas2'!$G$14:$K$16,4,0)</f>
        <v>0</v>
      </c>
      <c r="S883" s="73">
        <f>VLOOKUP(Tabla6[[#This Row],[PG]],Listas2!$G$14:$K$16,2,0)</f>
        <v>0</v>
      </c>
      <c r="T883" s="66" t="s">
        <v>84</v>
      </c>
      <c r="U883" s="74">
        <v>53</v>
      </c>
      <c r="V883" s="66">
        <v>530255</v>
      </c>
      <c r="W883" s="63" t="str">
        <f>VLOOKUP(Tabla6[[#This Row],[ÍTEM PRESUPUESTARIO]],Tabla2[#All],2,0)</f>
        <v>COMBUSTIBLES</v>
      </c>
      <c r="X883" s="57">
        <v>0</v>
      </c>
      <c r="Y883" s="57">
        <f>1430-400-56.52-56.52</f>
        <v>916.96</v>
      </c>
      <c r="Z883" s="58">
        <v>0</v>
      </c>
      <c r="AA883" s="58">
        <v>0</v>
      </c>
      <c r="AB883" s="58">
        <v>0</v>
      </c>
      <c r="AC883" s="58">
        <v>0</v>
      </c>
      <c r="AD883" s="58">
        <v>0</v>
      </c>
      <c r="AE883" s="58">
        <v>916.96</v>
      </c>
      <c r="AF883" s="58">
        <v>0</v>
      </c>
      <c r="AG883" s="58">
        <v>0</v>
      </c>
      <c r="AH883" s="58">
        <v>0</v>
      </c>
      <c r="AI883" s="58">
        <v>0</v>
      </c>
      <c r="AJ883" s="58">
        <v>0</v>
      </c>
      <c r="AK883" s="58">
        <v>0</v>
      </c>
      <c r="AL883" s="75">
        <f>+SUBTOTAL(9,Tabla6[[#This Row],[ENE]:[DIC]])</f>
        <v>916.96</v>
      </c>
      <c r="AM883" s="76" t="str">
        <f t="shared" si="17"/>
        <v>OK</v>
      </c>
      <c r="AN883" s="60">
        <v>916.96</v>
      </c>
      <c r="AO883" s="61">
        <f>+Tabla6[[#This Row],[PRESUPUESTO VIGENTE]]-Tabla6[[#This Row],[CERTIFICACIÓN PAPP]]</f>
        <v>0</v>
      </c>
      <c r="AP883" s="59">
        <v>0</v>
      </c>
    </row>
    <row r="884" spans="1:42" ht="93" customHeight="1" x14ac:dyDescent="0.25">
      <c r="A884" s="62" t="s">
        <v>78</v>
      </c>
      <c r="B884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884" s="64" t="s">
        <v>79</v>
      </c>
      <c r="D884" s="64" t="s">
        <v>80</v>
      </c>
      <c r="E884" s="64" t="s">
        <v>81</v>
      </c>
      <c r="F884" s="64" t="s">
        <v>101</v>
      </c>
      <c r="G884" s="64" t="s">
        <v>83</v>
      </c>
      <c r="H884" s="65" t="str">
        <f>VLOOKUP(Tabla6[[#This Row],[DIRECCIÓN]],DIRECCIÓN[#All],2,0)</f>
        <v>ADMINISTRACIÓN CENTRAL</v>
      </c>
      <c r="I884" s="66" t="s">
        <v>1060</v>
      </c>
      <c r="J884" s="67">
        <v>2</v>
      </c>
      <c r="K884" s="68" t="str">
        <f>VLOOKUP(Tabla6[[#This Row],[DIRECCIÓN GENERAL / COORDINACIÓN / SUBDIRECCIÓN]],Tabla37[[#All],[Columna1]:[EOD]],2,0)</f>
        <v>266_0005</v>
      </c>
      <c r="L884" s="69">
        <f>VLOOKUP(Tabla6[[#This Row],[OBJETIVOS PND]],Listas!$A$1:$C$3,3,0)</f>
        <v>1</v>
      </c>
      <c r="M884" s="70">
        <f>VLOOKUP(Tabla6[[#This Row],[PG]],Listas2!$G$14:$K$16,5,0)</f>
        <v>0</v>
      </c>
      <c r="N884" s="71">
        <v>1</v>
      </c>
      <c r="O884" s="72">
        <v>2001</v>
      </c>
      <c r="P884" s="73" t="str">
        <f>VLOOKUP(Tabla6[[#This Row],[GEO]],Listas!$A$48:$B$77,2,0)</f>
        <v>SAN CRISTÓBAL</v>
      </c>
      <c r="Q884" s="70">
        <f>VLOOKUP(Tabla6[[#This Row],[PG]],Listas2!$G$14:$K$16,3,0)</f>
        <v>1</v>
      </c>
      <c r="R884" s="73">
        <f>VLOOKUP(Tabla6[[#This Row],[PG]],Listas2!H889:'Listas2'!$G$14:$K$16,4,0)</f>
        <v>0</v>
      </c>
      <c r="S884" s="73">
        <f>VLOOKUP(Tabla6[[#This Row],[PG]],Listas2!$G$14:$K$16,2,0)</f>
        <v>0</v>
      </c>
      <c r="T884" s="66" t="s">
        <v>84</v>
      </c>
      <c r="U884" s="74">
        <v>53</v>
      </c>
      <c r="V884" s="66">
        <v>530301</v>
      </c>
      <c r="W884" s="63" t="str">
        <f>VLOOKUP(Tabla6[[#This Row],[ÍTEM PRESUPUESTARIO]],Tabla2[#All],2,0)</f>
        <v>PASAJES AL INTERIOR</v>
      </c>
      <c r="X884" s="57">
        <v>0</v>
      </c>
      <c r="Y884" s="57">
        <v>200</v>
      </c>
      <c r="Z884" s="58">
        <v>0</v>
      </c>
      <c r="AA884" s="58">
        <v>0</v>
      </c>
      <c r="AB884" s="58">
        <v>0</v>
      </c>
      <c r="AC884" s="58">
        <v>0</v>
      </c>
      <c r="AD884" s="58">
        <v>0</v>
      </c>
      <c r="AE884" s="58">
        <v>0</v>
      </c>
      <c r="AF884" s="58">
        <v>0</v>
      </c>
      <c r="AG884" s="58">
        <v>0</v>
      </c>
      <c r="AH884" s="58">
        <v>0</v>
      </c>
      <c r="AI884" s="58">
        <v>0</v>
      </c>
      <c r="AJ884" s="58">
        <v>200</v>
      </c>
      <c r="AK884" s="58">
        <v>0</v>
      </c>
      <c r="AL884" s="75">
        <f>+SUBTOTAL(9,Tabla6[[#This Row],[ENE]:[DIC]])</f>
        <v>200</v>
      </c>
      <c r="AM884" s="76" t="str">
        <f t="shared" si="17"/>
        <v>OK</v>
      </c>
      <c r="AN884" s="60">
        <v>200</v>
      </c>
      <c r="AO884" s="61">
        <f>+Tabla6[[#This Row],[PRESUPUESTO VIGENTE]]-Tabla6[[#This Row],[CERTIFICACIÓN PAPP]]</f>
        <v>0</v>
      </c>
      <c r="AP884" s="59">
        <v>0</v>
      </c>
    </row>
    <row r="885" spans="1:42" ht="93" customHeight="1" x14ac:dyDescent="0.25">
      <c r="A885" s="62" t="s">
        <v>78</v>
      </c>
      <c r="B885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885" s="64" t="s">
        <v>79</v>
      </c>
      <c r="D885" s="64" t="s">
        <v>80</v>
      </c>
      <c r="E885" s="64" t="s">
        <v>81</v>
      </c>
      <c r="F885" s="64" t="s">
        <v>101</v>
      </c>
      <c r="G885" s="64" t="s">
        <v>83</v>
      </c>
      <c r="H885" s="65" t="str">
        <f>VLOOKUP(Tabla6[[#This Row],[DIRECCIÓN]],DIRECCIÓN[#All],2,0)</f>
        <v>ADMINISTRACIÓN CENTRAL</v>
      </c>
      <c r="I885" s="66" t="s">
        <v>1061</v>
      </c>
      <c r="J885" s="67">
        <v>2</v>
      </c>
      <c r="K885" s="68" t="str">
        <f>VLOOKUP(Tabla6[[#This Row],[DIRECCIÓN GENERAL / COORDINACIÓN / SUBDIRECCIÓN]],Tabla37[[#All],[Columna1]:[EOD]],2,0)</f>
        <v>266_0005</v>
      </c>
      <c r="L885" s="69">
        <f>VLOOKUP(Tabla6[[#This Row],[OBJETIVOS PND]],Listas!$A$1:$C$3,3,0)</f>
        <v>1</v>
      </c>
      <c r="M885" s="70">
        <f>VLOOKUP(Tabla6[[#This Row],[PG]],Listas2!$G$14:$K$16,5,0)</f>
        <v>0</v>
      </c>
      <c r="N885" s="71">
        <v>1</v>
      </c>
      <c r="O885" s="72">
        <v>2001</v>
      </c>
      <c r="P885" s="73" t="str">
        <f>VLOOKUP(Tabla6[[#This Row],[GEO]],Listas!$A$48:$B$77,2,0)</f>
        <v>SAN CRISTÓBAL</v>
      </c>
      <c r="Q885" s="70">
        <f>VLOOKUP(Tabla6[[#This Row],[PG]],Listas2!$G$14:$K$16,3,0)</f>
        <v>1</v>
      </c>
      <c r="R885" s="73">
        <f>VLOOKUP(Tabla6[[#This Row],[PG]],Listas2!H890:'Listas2'!$G$14:$K$16,4,0)</f>
        <v>0</v>
      </c>
      <c r="S885" s="73">
        <f>VLOOKUP(Tabla6[[#This Row],[PG]],Listas2!$G$14:$K$16,2,0)</f>
        <v>0</v>
      </c>
      <c r="T885" s="66" t="s">
        <v>84</v>
      </c>
      <c r="U885" s="74">
        <v>53</v>
      </c>
      <c r="V885" s="66">
        <v>530301</v>
      </c>
      <c r="W885" s="63" t="str">
        <f>VLOOKUP(Tabla6[[#This Row],[ÍTEM PRESUPUESTARIO]],Tabla2[#All],2,0)</f>
        <v>PASAJES AL INTERIOR</v>
      </c>
      <c r="X885" s="57">
        <v>480</v>
      </c>
      <c r="Y885" s="57">
        <f>480+300+200-520</f>
        <v>460</v>
      </c>
      <c r="Z885" s="58">
        <v>0</v>
      </c>
      <c r="AA885" s="58">
        <v>160</v>
      </c>
      <c r="AB885" s="58">
        <v>0</v>
      </c>
      <c r="AC885" s="58">
        <v>0</v>
      </c>
      <c r="AD885" s="58">
        <v>160</v>
      </c>
      <c r="AE885" s="58">
        <v>0</v>
      </c>
      <c r="AF885" s="58">
        <v>0</v>
      </c>
      <c r="AG885" s="58">
        <v>0</v>
      </c>
      <c r="AH885" s="58">
        <v>0</v>
      </c>
      <c r="AI885" s="58">
        <v>140</v>
      </c>
      <c r="AJ885" s="58">
        <v>0</v>
      </c>
      <c r="AK885" s="58">
        <v>0</v>
      </c>
      <c r="AL885" s="75">
        <f>+SUBTOTAL(9,Tabla6[[#This Row],[ENE]:[DIC]])</f>
        <v>460</v>
      </c>
      <c r="AM885" s="76" t="str">
        <f t="shared" si="17"/>
        <v>OK</v>
      </c>
      <c r="AN885" s="60">
        <f>480+300-300-60-140+200-20</f>
        <v>460</v>
      </c>
      <c r="AO885" s="61">
        <f>+Tabla6[[#This Row],[PRESUPUESTO VIGENTE]]-Tabla6[[#This Row],[CERTIFICACIÓN PAPP]]</f>
        <v>0</v>
      </c>
      <c r="AP885" s="59">
        <v>0</v>
      </c>
    </row>
    <row r="886" spans="1:42" ht="93" customHeight="1" x14ac:dyDescent="0.25">
      <c r="A886" s="62" t="s">
        <v>78</v>
      </c>
      <c r="B886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886" s="64" t="s">
        <v>79</v>
      </c>
      <c r="D886" s="64" t="s">
        <v>80</v>
      </c>
      <c r="E886" s="64" t="s">
        <v>81</v>
      </c>
      <c r="F886" s="64" t="s">
        <v>101</v>
      </c>
      <c r="G886" s="64" t="s">
        <v>83</v>
      </c>
      <c r="H886" s="65" t="str">
        <f>VLOOKUP(Tabla6[[#This Row],[DIRECCIÓN]],DIRECCIÓN[#All],2,0)</f>
        <v>ADMINISTRACIÓN CENTRAL</v>
      </c>
      <c r="I886" s="66" t="s">
        <v>1062</v>
      </c>
      <c r="J886" s="67">
        <v>2</v>
      </c>
      <c r="K886" s="68" t="str">
        <f>VLOOKUP(Tabla6[[#This Row],[DIRECCIÓN GENERAL / COORDINACIÓN / SUBDIRECCIÓN]],Tabla37[[#All],[Columna1]:[EOD]],2,0)</f>
        <v>266_0005</v>
      </c>
      <c r="L886" s="69">
        <f>VLOOKUP(Tabla6[[#This Row],[OBJETIVOS PND]],Listas!$A$1:$C$3,3,0)</f>
        <v>1</v>
      </c>
      <c r="M886" s="70">
        <f>VLOOKUP(Tabla6[[#This Row],[PG]],Listas2!$G$14:$K$16,5,0)</f>
        <v>0</v>
      </c>
      <c r="N886" s="71">
        <v>1</v>
      </c>
      <c r="O886" s="72">
        <v>2001</v>
      </c>
      <c r="P886" s="73" t="str">
        <f>VLOOKUP(Tabla6[[#This Row],[GEO]],Listas!$A$48:$B$77,2,0)</f>
        <v>SAN CRISTÓBAL</v>
      </c>
      <c r="Q886" s="70">
        <f>VLOOKUP(Tabla6[[#This Row],[PG]],Listas2!$G$14:$K$16,3,0)</f>
        <v>1</v>
      </c>
      <c r="R886" s="73">
        <f>VLOOKUP(Tabla6[[#This Row],[PG]],Listas2!H891:'Listas2'!$G$14:$K$16,4,0)</f>
        <v>0</v>
      </c>
      <c r="S886" s="73">
        <f>VLOOKUP(Tabla6[[#This Row],[PG]],Listas2!$G$14:$K$16,2,0)</f>
        <v>0</v>
      </c>
      <c r="T886" s="66" t="s">
        <v>84</v>
      </c>
      <c r="U886" s="74">
        <v>53</v>
      </c>
      <c r="V886" s="66">
        <v>530303</v>
      </c>
      <c r="W886" s="63" t="str">
        <f>VLOOKUP(Tabla6[[#This Row],[ÍTEM PRESUPUESTARIO]],Tabla2[#All],2,0)</f>
        <v>VIÁTICOS Y SUBSISTENCIAS EN EL INTERIOR</v>
      </c>
      <c r="X886" s="57">
        <v>2500</v>
      </c>
      <c r="Y886" s="57">
        <f>2500+1000+500+1038.91-2068.24</f>
        <v>2970.67</v>
      </c>
      <c r="Z886" s="58">
        <v>0</v>
      </c>
      <c r="AA886" s="58">
        <v>834</v>
      </c>
      <c r="AB886" s="58">
        <v>0</v>
      </c>
      <c r="AC886" s="58">
        <v>0</v>
      </c>
      <c r="AD886" s="58">
        <v>834</v>
      </c>
      <c r="AE886" s="58">
        <v>0</v>
      </c>
      <c r="AF886" s="58">
        <v>0</v>
      </c>
      <c r="AG886" s="58">
        <v>0</v>
      </c>
      <c r="AH886" s="58">
        <v>500</v>
      </c>
      <c r="AI886" s="58">
        <v>500</v>
      </c>
      <c r="AJ886" s="58">
        <v>302.67</v>
      </c>
      <c r="AK886" s="58">
        <v>0</v>
      </c>
      <c r="AL886" s="75">
        <f>+SUBTOTAL(9,Tabla6[[#This Row],[ENE]:[DIC]])</f>
        <v>2970.67</v>
      </c>
      <c r="AM886" s="76" t="str">
        <f t="shared" si="17"/>
        <v>OK</v>
      </c>
      <c r="AN886" s="60">
        <f>2500+1580.2-1580.2-160+1479.33-319.33-529.33</f>
        <v>2970.67</v>
      </c>
      <c r="AO886" s="61">
        <f>+Tabla6[[#This Row],[PRESUPUESTO VIGENTE]]-Tabla6[[#This Row],[CERTIFICACIÓN PAPP]]</f>
        <v>0</v>
      </c>
      <c r="AP886" s="59">
        <v>0</v>
      </c>
    </row>
    <row r="887" spans="1:42" ht="93" customHeight="1" x14ac:dyDescent="0.25">
      <c r="A887" s="62" t="s">
        <v>78</v>
      </c>
      <c r="B887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887" s="64" t="s">
        <v>79</v>
      </c>
      <c r="D887" s="64" t="s">
        <v>80</v>
      </c>
      <c r="E887" s="64" t="s">
        <v>81</v>
      </c>
      <c r="F887" s="64" t="s">
        <v>101</v>
      </c>
      <c r="G887" s="64" t="s">
        <v>83</v>
      </c>
      <c r="H887" s="65" t="str">
        <f>VLOOKUP(Tabla6[[#This Row],[DIRECCIÓN]],DIRECCIÓN[#All],2,0)</f>
        <v>ADMINISTRACIÓN CENTRAL</v>
      </c>
      <c r="I887" s="66" t="s">
        <v>1063</v>
      </c>
      <c r="J887" s="67">
        <v>2</v>
      </c>
      <c r="K887" s="68" t="str">
        <f>VLOOKUP(Tabla6[[#This Row],[DIRECCIÓN GENERAL / COORDINACIÓN / SUBDIRECCIÓN]],Tabla37[[#All],[Columna1]:[EOD]],2,0)</f>
        <v>266_0005</v>
      </c>
      <c r="L887" s="69">
        <f>VLOOKUP(Tabla6[[#This Row],[OBJETIVOS PND]],Listas!$A$1:$C$3,3,0)</f>
        <v>1</v>
      </c>
      <c r="M887" s="70">
        <f>VLOOKUP(Tabla6[[#This Row],[PG]],Listas2!$G$14:$K$16,5,0)</f>
        <v>0</v>
      </c>
      <c r="N887" s="71">
        <v>1</v>
      </c>
      <c r="O887" s="72">
        <v>2001</v>
      </c>
      <c r="P887" s="73" t="str">
        <f>VLOOKUP(Tabla6[[#This Row],[GEO]],Listas!$A$48:$B$77,2,0)</f>
        <v>SAN CRISTÓBAL</v>
      </c>
      <c r="Q887" s="70">
        <f>VLOOKUP(Tabla6[[#This Row],[PG]],Listas2!$G$14:$K$16,3,0)</f>
        <v>1</v>
      </c>
      <c r="R887" s="73">
        <f>VLOOKUP(Tabla6[[#This Row],[PG]],Listas2!H892:'Listas2'!$G$14:$K$16,4,0)</f>
        <v>0</v>
      </c>
      <c r="S887" s="73">
        <f>VLOOKUP(Tabla6[[#This Row],[PG]],Listas2!$G$14:$K$16,2,0)</f>
        <v>0</v>
      </c>
      <c r="T887" s="66" t="s">
        <v>84</v>
      </c>
      <c r="U887" s="74">
        <v>53</v>
      </c>
      <c r="V887" s="66">
        <v>530402</v>
      </c>
      <c r="W887" s="63" t="str">
        <f>VLOOKUP(Tabla6[[#This Row],[ÍTEM PRESUPUESTARIO]],Tabla2[#All],2,0)</f>
        <v>EDIFICIOS, LOCALES, RESIDENCIAS Y CABLEADO ESTRUCTURADO (INSTALACIÓN, MANTENIMIENTO Y REPARACIÓN)</v>
      </c>
      <c r="X887" s="57">
        <v>0</v>
      </c>
      <c r="Y887" s="57">
        <f>5500-600</f>
        <v>4900</v>
      </c>
      <c r="Z887" s="58">
        <v>0</v>
      </c>
      <c r="AA887" s="58">
        <v>0</v>
      </c>
      <c r="AB887" s="58">
        <v>0</v>
      </c>
      <c r="AC887" s="58">
        <v>0</v>
      </c>
      <c r="AD887" s="58">
        <v>0</v>
      </c>
      <c r="AE887" s="58">
        <v>0</v>
      </c>
      <c r="AF887" s="58">
        <v>0</v>
      </c>
      <c r="AG887" s="58">
        <v>0</v>
      </c>
      <c r="AH887" s="58">
        <v>0</v>
      </c>
      <c r="AI887" s="58">
        <v>0</v>
      </c>
      <c r="AJ887" s="58">
        <v>4900</v>
      </c>
      <c r="AK887" s="58">
        <v>0</v>
      </c>
      <c r="AL887" s="75">
        <f>+SUBTOTAL(9,Tabla6[[#This Row],[ENE]:[DIC]])</f>
        <v>4900</v>
      </c>
      <c r="AM887" s="76" t="str">
        <f t="shared" si="17"/>
        <v>OK</v>
      </c>
      <c r="AN887" s="60">
        <f>5200-5200+4900</f>
        <v>4900</v>
      </c>
      <c r="AO887" s="61">
        <f>+Tabla6[[#This Row],[PRESUPUESTO VIGENTE]]-Tabla6[[#This Row],[CERTIFICACIÓN PAPP]]</f>
        <v>0</v>
      </c>
      <c r="AP887" s="59">
        <v>0</v>
      </c>
    </row>
    <row r="888" spans="1:42" ht="93" customHeight="1" x14ac:dyDescent="0.25">
      <c r="A888" s="62" t="s">
        <v>78</v>
      </c>
      <c r="B888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888" s="64" t="s">
        <v>79</v>
      </c>
      <c r="D888" s="64" t="s">
        <v>80</v>
      </c>
      <c r="E888" s="64" t="s">
        <v>81</v>
      </c>
      <c r="F888" s="64" t="s">
        <v>101</v>
      </c>
      <c r="G888" s="64" t="s">
        <v>83</v>
      </c>
      <c r="H888" s="65" t="str">
        <f>VLOOKUP(Tabla6[[#This Row],[DIRECCIÓN]],DIRECCIÓN[#All],2,0)</f>
        <v>ADMINISTRACIÓN CENTRAL</v>
      </c>
      <c r="I888" s="66" t="s">
        <v>1064</v>
      </c>
      <c r="J888" s="67">
        <v>2</v>
      </c>
      <c r="K888" s="68" t="str">
        <f>VLOOKUP(Tabla6[[#This Row],[DIRECCIÓN GENERAL / COORDINACIÓN / SUBDIRECCIÓN]],Tabla37[[#All],[Columna1]:[EOD]],2,0)</f>
        <v>266_0005</v>
      </c>
      <c r="L888" s="69">
        <f>VLOOKUP(Tabla6[[#This Row],[OBJETIVOS PND]],Listas!$A$1:$C$3,3,0)</f>
        <v>1</v>
      </c>
      <c r="M888" s="70">
        <f>VLOOKUP(Tabla6[[#This Row],[PG]],Listas2!$G$14:$K$16,5,0)</f>
        <v>0</v>
      </c>
      <c r="N888" s="71">
        <v>1</v>
      </c>
      <c r="O888" s="72">
        <v>2001</v>
      </c>
      <c r="P888" s="73" t="str">
        <f>VLOOKUP(Tabla6[[#This Row],[GEO]],Listas!$A$48:$B$77,2,0)</f>
        <v>SAN CRISTÓBAL</v>
      </c>
      <c r="Q888" s="70">
        <f>VLOOKUP(Tabla6[[#This Row],[PG]],Listas2!$G$14:$K$16,3,0)</f>
        <v>1</v>
      </c>
      <c r="R888" s="73">
        <f>VLOOKUP(Tabla6[[#This Row],[PG]],Listas2!H893:'Listas2'!$G$14:$K$16,4,0)</f>
        <v>0</v>
      </c>
      <c r="S888" s="73">
        <f>VLOOKUP(Tabla6[[#This Row],[PG]],Listas2!$G$14:$K$16,2,0)</f>
        <v>0</v>
      </c>
      <c r="T888" s="66" t="s">
        <v>84</v>
      </c>
      <c r="U888" s="74">
        <v>53</v>
      </c>
      <c r="V888" s="66">
        <v>530402</v>
      </c>
      <c r="W888" s="63" t="str">
        <f>VLOOKUP(Tabla6[[#This Row],[ÍTEM PRESUPUESTARIO]],Tabla2[#All],2,0)</f>
        <v>EDIFICIOS, LOCALES, RESIDENCIAS Y CABLEADO ESTRUCTURADO (INSTALACIÓN, MANTENIMIENTO Y REPARACIÓN)</v>
      </c>
      <c r="X888" s="57">
        <v>536</v>
      </c>
      <c r="Y888" s="57">
        <f>536-536</f>
        <v>0</v>
      </c>
      <c r="Z888" s="58">
        <v>0</v>
      </c>
      <c r="AA888" s="58">
        <v>0</v>
      </c>
      <c r="AB888" s="58">
        <v>0</v>
      </c>
      <c r="AC888" s="58">
        <v>0</v>
      </c>
      <c r="AD888" s="58">
        <v>0</v>
      </c>
      <c r="AE888" s="58">
        <v>0</v>
      </c>
      <c r="AF888" s="58">
        <v>0</v>
      </c>
      <c r="AG888" s="58">
        <v>0</v>
      </c>
      <c r="AH888" s="58">
        <v>0</v>
      </c>
      <c r="AI888" s="58">
        <v>0</v>
      </c>
      <c r="AJ888" s="58">
        <v>0</v>
      </c>
      <c r="AK888" s="58">
        <v>0</v>
      </c>
      <c r="AL888" s="75">
        <f>+SUBTOTAL(9,Tabla6[[#This Row],[ENE]:[DIC]])</f>
        <v>0</v>
      </c>
      <c r="AM888" s="76" t="str">
        <f t="shared" si="17"/>
        <v>OK</v>
      </c>
      <c r="AN888" s="60">
        <v>0</v>
      </c>
      <c r="AO888" s="61">
        <f>+Tabla6[[#This Row],[PRESUPUESTO VIGENTE]]-Tabla6[[#This Row],[CERTIFICACIÓN PAPP]]</f>
        <v>0</v>
      </c>
      <c r="AP888" s="59">
        <v>0</v>
      </c>
    </row>
    <row r="889" spans="1:42" ht="93" customHeight="1" x14ac:dyDescent="0.25">
      <c r="A889" s="62" t="s">
        <v>78</v>
      </c>
      <c r="B889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889" s="64" t="s">
        <v>79</v>
      </c>
      <c r="D889" s="64" t="s">
        <v>80</v>
      </c>
      <c r="E889" s="64" t="s">
        <v>81</v>
      </c>
      <c r="F889" s="64" t="s">
        <v>101</v>
      </c>
      <c r="G889" s="64" t="s">
        <v>83</v>
      </c>
      <c r="H889" s="65" t="str">
        <f>VLOOKUP(Tabla6[[#This Row],[DIRECCIÓN]],DIRECCIÓN[#All],2,0)</f>
        <v>ADMINISTRACIÓN CENTRAL</v>
      </c>
      <c r="I889" s="66" t="s">
        <v>1065</v>
      </c>
      <c r="J889" s="67">
        <v>2</v>
      </c>
      <c r="K889" s="68" t="str">
        <f>VLOOKUP(Tabla6[[#This Row],[DIRECCIÓN GENERAL / COORDINACIÓN / SUBDIRECCIÓN]],Tabla37[[#All],[Columna1]:[EOD]],2,0)</f>
        <v>266_0005</v>
      </c>
      <c r="L889" s="69">
        <f>VLOOKUP(Tabla6[[#This Row],[OBJETIVOS PND]],Listas!$A$1:$C$3,3,0)</f>
        <v>1</v>
      </c>
      <c r="M889" s="70">
        <f>VLOOKUP(Tabla6[[#This Row],[PG]],Listas2!$G$14:$K$16,5,0)</f>
        <v>0</v>
      </c>
      <c r="N889" s="71">
        <v>1</v>
      </c>
      <c r="O889" s="72">
        <v>2001</v>
      </c>
      <c r="P889" s="73" t="str">
        <f>VLOOKUP(Tabla6[[#This Row],[GEO]],Listas!$A$48:$B$77,2,0)</f>
        <v>SAN CRISTÓBAL</v>
      </c>
      <c r="Q889" s="70">
        <f>VLOOKUP(Tabla6[[#This Row],[PG]],Listas2!$G$14:$K$16,3,0)</f>
        <v>1</v>
      </c>
      <c r="R889" s="73">
        <f>VLOOKUP(Tabla6[[#This Row],[PG]],Listas2!H894:'Listas2'!$G$14:$K$16,4,0)</f>
        <v>0</v>
      </c>
      <c r="S889" s="73">
        <f>VLOOKUP(Tabla6[[#This Row],[PG]],Listas2!$G$14:$K$16,2,0)</f>
        <v>0</v>
      </c>
      <c r="T889" s="66" t="s">
        <v>84</v>
      </c>
      <c r="U889" s="74">
        <v>53</v>
      </c>
      <c r="V889" s="66">
        <v>530402</v>
      </c>
      <c r="W889" s="63" t="str">
        <f>VLOOKUP(Tabla6[[#This Row],[ÍTEM PRESUPUESTARIO]],Tabla2[#All],2,0)</f>
        <v>EDIFICIOS, LOCALES, RESIDENCIAS Y CABLEADO ESTRUCTURADO (INSTALACIÓN, MANTENIMIENTO Y REPARACIÓN)</v>
      </c>
      <c r="X889" s="57">
        <v>0</v>
      </c>
      <c r="Y889" s="57">
        <f>7185+6000-216.9-35.73</f>
        <v>12932.37</v>
      </c>
      <c r="Z889" s="58">
        <v>0</v>
      </c>
      <c r="AA889" s="58">
        <v>0</v>
      </c>
      <c r="AB889" s="58">
        <v>0</v>
      </c>
      <c r="AC889" s="58">
        <v>0</v>
      </c>
      <c r="AD889" s="58">
        <v>0</v>
      </c>
      <c r="AE889" s="58">
        <v>0</v>
      </c>
      <c r="AF889" s="58">
        <v>0</v>
      </c>
      <c r="AG889" s="58">
        <v>12932.37</v>
      </c>
      <c r="AH889" s="58">
        <v>0</v>
      </c>
      <c r="AI889" s="58">
        <v>0</v>
      </c>
      <c r="AJ889" s="58">
        <v>0</v>
      </c>
      <c r="AK889" s="58">
        <v>0</v>
      </c>
      <c r="AL889" s="75">
        <f>+SUBTOTAL(9,Tabla6[[#This Row],[ENE]:[DIC]])</f>
        <v>12932.37</v>
      </c>
      <c r="AM889" s="76" t="str">
        <f t="shared" si="17"/>
        <v>OK</v>
      </c>
      <c r="AN889" s="60">
        <f>13185-13185+12751.2+181.17</f>
        <v>12932.37</v>
      </c>
      <c r="AO889" s="61">
        <f>+Tabla6[[#This Row],[PRESUPUESTO VIGENTE]]-Tabla6[[#This Row],[CERTIFICACIÓN PAPP]]</f>
        <v>0</v>
      </c>
      <c r="AP889" s="59">
        <v>0</v>
      </c>
    </row>
    <row r="890" spans="1:42" ht="93" customHeight="1" x14ac:dyDescent="0.25">
      <c r="A890" s="62" t="s">
        <v>78</v>
      </c>
      <c r="B890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890" s="64" t="s">
        <v>79</v>
      </c>
      <c r="D890" s="64" t="s">
        <v>80</v>
      </c>
      <c r="E890" s="64" t="s">
        <v>81</v>
      </c>
      <c r="F890" s="64" t="s">
        <v>101</v>
      </c>
      <c r="G890" s="64" t="s">
        <v>83</v>
      </c>
      <c r="H890" s="65" t="str">
        <f>VLOOKUP(Tabla6[[#This Row],[DIRECCIÓN]],DIRECCIÓN[#All],2,0)</f>
        <v>ADMINISTRACIÓN CENTRAL</v>
      </c>
      <c r="I890" s="66" t="s">
        <v>1066</v>
      </c>
      <c r="J890" s="67">
        <v>1</v>
      </c>
      <c r="K890" s="68" t="str">
        <f>VLOOKUP(Tabla6[[#This Row],[DIRECCIÓN GENERAL / COORDINACIÓN / SUBDIRECCIÓN]],Tabla37[[#All],[Columna1]:[EOD]],2,0)</f>
        <v>266_0005</v>
      </c>
      <c r="L890" s="69">
        <f>VLOOKUP(Tabla6[[#This Row],[OBJETIVOS PND]],Listas!$A$1:$C$3,3,0)</f>
        <v>1</v>
      </c>
      <c r="M890" s="70">
        <f>VLOOKUP(Tabla6[[#This Row],[PG]],Listas2!$G$14:$K$16,5,0)</f>
        <v>0</v>
      </c>
      <c r="N890" s="71">
        <v>1</v>
      </c>
      <c r="O890" s="72">
        <v>2001</v>
      </c>
      <c r="P890" s="73" t="str">
        <f>VLOOKUP(Tabla6[[#This Row],[GEO]],Listas!$A$48:$B$77,2,0)</f>
        <v>SAN CRISTÓBAL</v>
      </c>
      <c r="Q890" s="70">
        <f>VLOOKUP(Tabla6[[#This Row],[PG]],Listas2!$G$14:$K$16,3,0)</f>
        <v>1</v>
      </c>
      <c r="R890" s="73">
        <f>VLOOKUP(Tabla6[[#This Row],[PG]],Listas2!H895:'Listas2'!$G$14:$K$16,4,0)</f>
        <v>0</v>
      </c>
      <c r="S890" s="73">
        <f>VLOOKUP(Tabla6[[#This Row],[PG]],Listas2!$G$14:$K$16,2,0)</f>
        <v>0</v>
      </c>
      <c r="T890" s="66" t="s">
        <v>84</v>
      </c>
      <c r="U890" s="74">
        <v>53</v>
      </c>
      <c r="V890" s="66">
        <v>530402</v>
      </c>
      <c r="W890" s="63" t="str">
        <f>VLOOKUP(Tabla6[[#This Row],[ÍTEM PRESUPUESTARIO]],Tabla2[#All],2,0)</f>
        <v>EDIFICIOS, LOCALES, RESIDENCIAS Y CABLEADO ESTRUCTURADO (INSTALACIÓN, MANTENIMIENTO Y REPARACIÓN)</v>
      </c>
      <c r="X890" s="57">
        <v>1500</v>
      </c>
      <c r="Y890" s="57">
        <f>1500-1500</f>
        <v>0</v>
      </c>
      <c r="Z890" s="58">
        <v>0</v>
      </c>
      <c r="AA890" s="58">
        <v>0</v>
      </c>
      <c r="AB890" s="58">
        <v>0</v>
      </c>
      <c r="AC890" s="58">
        <v>0</v>
      </c>
      <c r="AD890" s="58">
        <v>0</v>
      </c>
      <c r="AE890" s="58">
        <v>0</v>
      </c>
      <c r="AF890" s="58">
        <v>0</v>
      </c>
      <c r="AG890" s="58">
        <v>0</v>
      </c>
      <c r="AH890" s="58">
        <v>0</v>
      </c>
      <c r="AI890" s="58">
        <v>0</v>
      </c>
      <c r="AJ890" s="58">
        <v>0</v>
      </c>
      <c r="AK890" s="58">
        <v>0</v>
      </c>
      <c r="AL890" s="75">
        <f>+SUBTOTAL(9,Tabla6[[#This Row],[ENE]:[DIC]])</f>
        <v>0</v>
      </c>
      <c r="AM890" s="76" t="str">
        <f t="shared" si="17"/>
        <v>OK</v>
      </c>
      <c r="AN890" s="60">
        <v>0</v>
      </c>
      <c r="AO890" s="61">
        <f>+Tabla6[[#This Row],[PRESUPUESTO VIGENTE]]-Tabla6[[#This Row],[CERTIFICACIÓN PAPP]]</f>
        <v>0</v>
      </c>
      <c r="AP890" s="59">
        <v>0</v>
      </c>
    </row>
    <row r="891" spans="1:42" ht="93" customHeight="1" x14ac:dyDescent="0.25">
      <c r="A891" s="62" t="s">
        <v>78</v>
      </c>
      <c r="B891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891" s="64" t="s">
        <v>79</v>
      </c>
      <c r="D891" s="64" t="s">
        <v>80</v>
      </c>
      <c r="E891" s="64" t="s">
        <v>81</v>
      </c>
      <c r="F891" s="64" t="s">
        <v>101</v>
      </c>
      <c r="G891" s="64" t="s">
        <v>83</v>
      </c>
      <c r="H891" s="65" t="str">
        <f>VLOOKUP(Tabla6[[#This Row],[DIRECCIÓN]],DIRECCIÓN[#All],2,0)</f>
        <v>ADMINISTRACIÓN CENTRAL</v>
      </c>
      <c r="I891" s="66" t="s">
        <v>1067</v>
      </c>
      <c r="J891" s="67">
        <v>1</v>
      </c>
      <c r="K891" s="68" t="str">
        <f>VLOOKUP(Tabla6[[#This Row],[DIRECCIÓN GENERAL / COORDINACIÓN / SUBDIRECCIÓN]],Tabla37[[#All],[Columna1]:[EOD]],2,0)</f>
        <v>266_0005</v>
      </c>
      <c r="L891" s="69">
        <f>VLOOKUP(Tabla6[[#This Row],[OBJETIVOS PND]],Listas!$A$1:$C$3,3,0)</f>
        <v>1</v>
      </c>
      <c r="M891" s="70">
        <f>VLOOKUP(Tabla6[[#This Row],[PG]],Listas2!$G$14:$K$16,5,0)</f>
        <v>0</v>
      </c>
      <c r="N891" s="71">
        <v>1</v>
      </c>
      <c r="O891" s="72">
        <v>2001</v>
      </c>
      <c r="P891" s="73" t="str">
        <f>VLOOKUP(Tabla6[[#This Row],[GEO]],Listas!$A$48:$B$77,2,0)</f>
        <v>SAN CRISTÓBAL</v>
      </c>
      <c r="Q891" s="70">
        <f>VLOOKUP(Tabla6[[#This Row],[PG]],Listas2!$G$14:$K$16,3,0)</f>
        <v>1</v>
      </c>
      <c r="R891" s="73">
        <f>VLOOKUP(Tabla6[[#This Row],[PG]],Listas2!H896:'Listas2'!$G$14:$K$16,4,0)</f>
        <v>0</v>
      </c>
      <c r="S891" s="73">
        <f>VLOOKUP(Tabla6[[#This Row],[PG]],Listas2!$G$14:$K$16,2,0)</f>
        <v>0</v>
      </c>
      <c r="T891" s="66" t="s">
        <v>84</v>
      </c>
      <c r="U891" s="74">
        <v>53</v>
      </c>
      <c r="V891" s="66">
        <v>530402</v>
      </c>
      <c r="W891" s="63" t="str">
        <f>VLOOKUP(Tabla6[[#This Row],[ÍTEM PRESUPUESTARIO]],Tabla2[#All],2,0)</f>
        <v>EDIFICIOS, LOCALES, RESIDENCIAS Y CABLEADO ESTRUCTURADO (INSTALACIÓN, MANTENIMIENTO Y REPARACIÓN)</v>
      </c>
      <c r="X891" s="57">
        <v>0</v>
      </c>
      <c r="Y891" s="57">
        <f>800-800</f>
        <v>0</v>
      </c>
      <c r="Z891" s="58">
        <v>0</v>
      </c>
      <c r="AA891" s="58">
        <v>0</v>
      </c>
      <c r="AB891" s="58">
        <v>0</v>
      </c>
      <c r="AC891" s="58">
        <v>0</v>
      </c>
      <c r="AD891" s="58">
        <v>0</v>
      </c>
      <c r="AE891" s="58">
        <v>0</v>
      </c>
      <c r="AF891" s="58">
        <v>0</v>
      </c>
      <c r="AG891" s="58">
        <v>0</v>
      </c>
      <c r="AH891" s="58">
        <v>0</v>
      </c>
      <c r="AI891" s="58">
        <v>0</v>
      </c>
      <c r="AJ891" s="58">
        <v>0</v>
      </c>
      <c r="AK891" s="58">
        <v>0</v>
      </c>
      <c r="AL891" s="75">
        <f>+SUBTOTAL(9,Tabla6[[#This Row],[ENE]:[DIC]])</f>
        <v>0</v>
      </c>
      <c r="AM891" s="76" t="str">
        <f t="shared" si="17"/>
        <v>OK</v>
      </c>
      <c r="AN891" s="60">
        <v>0</v>
      </c>
      <c r="AO891" s="61">
        <f>+Tabla6[[#This Row],[PRESUPUESTO VIGENTE]]-Tabla6[[#This Row],[CERTIFICACIÓN PAPP]]</f>
        <v>0</v>
      </c>
      <c r="AP891" s="59">
        <v>0</v>
      </c>
    </row>
    <row r="892" spans="1:42" ht="93" customHeight="1" x14ac:dyDescent="0.25">
      <c r="A892" s="62" t="s">
        <v>78</v>
      </c>
      <c r="B892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892" s="64" t="s">
        <v>79</v>
      </c>
      <c r="D892" s="64" t="s">
        <v>80</v>
      </c>
      <c r="E892" s="64" t="s">
        <v>81</v>
      </c>
      <c r="F892" s="64" t="s">
        <v>101</v>
      </c>
      <c r="G892" s="64" t="s">
        <v>83</v>
      </c>
      <c r="H892" s="65" t="str">
        <f>VLOOKUP(Tabla6[[#This Row],[DIRECCIÓN]],DIRECCIÓN[#All],2,0)</f>
        <v>ADMINISTRACIÓN CENTRAL</v>
      </c>
      <c r="I892" s="66" t="s">
        <v>1068</v>
      </c>
      <c r="J892" s="67">
        <v>1</v>
      </c>
      <c r="K892" s="68" t="str">
        <f>VLOOKUP(Tabla6[[#This Row],[DIRECCIÓN GENERAL / COORDINACIÓN / SUBDIRECCIÓN]],Tabla37[[#All],[Columna1]:[EOD]],2,0)</f>
        <v>266_0005</v>
      </c>
      <c r="L892" s="69">
        <f>VLOOKUP(Tabla6[[#This Row],[OBJETIVOS PND]],Listas!$A$1:$C$3,3,0)</f>
        <v>1</v>
      </c>
      <c r="M892" s="70">
        <f>VLOOKUP(Tabla6[[#This Row],[PG]],Listas2!$G$14:$K$16,5,0)</f>
        <v>0</v>
      </c>
      <c r="N892" s="71">
        <v>1</v>
      </c>
      <c r="O892" s="72">
        <v>2001</v>
      </c>
      <c r="P892" s="73" t="str">
        <f>VLOOKUP(Tabla6[[#This Row],[GEO]],Listas!$A$48:$B$77,2,0)</f>
        <v>SAN CRISTÓBAL</v>
      </c>
      <c r="Q892" s="70">
        <f>VLOOKUP(Tabla6[[#This Row],[PG]],Listas2!$G$14:$K$16,3,0)</f>
        <v>1</v>
      </c>
      <c r="R892" s="73">
        <f>VLOOKUP(Tabla6[[#This Row],[PG]],Listas2!H897:'Listas2'!$G$14:$K$16,4,0)</f>
        <v>0</v>
      </c>
      <c r="S892" s="73">
        <f>VLOOKUP(Tabla6[[#This Row],[PG]],Listas2!$G$14:$K$16,2,0)</f>
        <v>0</v>
      </c>
      <c r="T892" s="66" t="s">
        <v>84</v>
      </c>
      <c r="U892" s="74">
        <v>53</v>
      </c>
      <c r="V892" s="66">
        <v>530405</v>
      </c>
      <c r="W892" s="63" t="str">
        <f>VLOOKUP(Tabla6[[#This Row],[ÍTEM PRESUPUESTARIO]],Tabla2[#All],2,0)</f>
        <v>VEHÍCULOS (SERVICIO PARA MANTENIMIENTO Y REPARACIÓN)</v>
      </c>
      <c r="X892" s="57">
        <v>4465</v>
      </c>
      <c r="Y892" s="57">
        <f>4465-240-240</f>
        <v>3985</v>
      </c>
      <c r="Z892" s="58">
        <v>0</v>
      </c>
      <c r="AA892" s="58">
        <v>0</v>
      </c>
      <c r="AB892" s="58">
        <v>0</v>
      </c>
      <c r="AC892" s="58">
        <v>0</v>
      </c>
      <c r="AD892" s="58">
        <v>3985</v>
      </c>
      <c r="AE892" s="58">
        <v>0</v>
      </c>
      <c r="AF892" s="58">
        <v>0</v>
      </c>
      <c r="AG892" s="58">
        <v>0</v>
      </c>
      <c r="AH892" s="58">
        <v>0</v>
      </c>
      <c r="AI892" s="58">
        <v>0</v>
      </c>
      <c r="AJ892" s="58">
        <v>0</v>
      </c>
      <c r="AK892" s="58">
        <v>0</v>
      </c>
      <c r="AL892" s="75">
        <f>+SUBTOTAL(9,Tabla6[[#This Row],[ENE]:[DIC]])</f>
        <v>3985</v>
      </c>
      <c r="AM892" s="76" t="str">
        <f t="shared" ref="AM892:AM911" si="19">IF(AL892=Y892,"OK",Y892-AL892)</f>
        <v>OK</v>
      </c>
      <c r="AN892" s="60">
        <f>3985-143.88+143.88</f>
        <v>3985</v>
      </c>
      <c r="AO892" s="61">
        <f>+Tabla6[[#This Row],[PRESUPUESTO VIGENTE]]-Tabla6[[#This Row],[CERTIFICACIÓN PAPP]]</f>
        <v>0</v>
      </c>
      <c r="AP892" s="59">
        <v>0</v>
      </c>
    </row>
    <row r="893" spans="1:42" ht="93" customHeight="1" x14ac:dyDescent="0.25">
      <c r="A893" s="62" t="s">
        <v>78</v>
      </c>
      <c r="B893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893" s="64" t="s">
        <v>79</v>
      </c>
      <c r="D893" s="64" t="s">
        <v>80</v>
      </c>
      <c r="E893" s="64" t="s">
        <v>81</v>
      </c>
      <c r="F893" s="64" t="s">
        <v>101</v>
      </c>
      <c r="G893" s="64" t="s">
        <v>83</v>
      </c>
      <c r="H893" s="65" t="str">
        <f>VLOOKUP(Tabla6[[#This Row],[DIRECCIÓN]],DIRECCIÓN[#All],2,0)</f>
        <v>ADMINISTRACIÓN CENTRAL</v>
      </c>
      <c r="I893" s="66" t="s">
        <v>1069</v>
      </c>
      <c r="J893" s="67">
        <v>1</v>
      </c>
      <c r="K893" s="68" t="str">
        <f>VLOOKUP(Tabla6[[#This Row],[DIRECCIÓN GENERAL / COORDINACIÓN / SUBDIRECCIÓN]],Tabla37[[#All],[Columna1]:[EOD]],2,0)</f>
        <v>266_0005</v>
      </c>
      <c r="L893" s="69">
        <f>VLOOKUP(Tabla6[[#This Row],[OBJETIVOS PND]],Listas!$A$1:$C$3,3,0)</f>
        <v>1</v>
      </c>
      <c r="M893" s="70">
        <f>VLOOKUP(Tabla6[[#This Row],[PG]],Listas2!$G$14:$K$16,5,0)</f>
        <v>0</v>
      </c>
      <c r="N893" s="71">
        <v>1</v>
      </c>
      <c r="O893" s="72">
        <v>2001</v>
      </c>
      <c r="P893" s="73" t="str">
        <f>VLOOKUP(Tabla6[[#This Row],[GEO]],Listas!$A$48:$B$77,2,0)</f>
        <v>SAN CRISTÓBAL</v>
      </c>
      <c r="Q893" s="70">
        <f>VLOOKUP(Tabla6[[#This Row],[PG]],Listas2!$G$14:$K$16,3,0)</f>
        <v>1</v>
      </c>
      <c r="R893" s="73">
        <f>VLOOKUP(Tabla6[[#This Row],[PG]],Listas2!H898:'Listas2'!$G$14:$K$16,4,0)</f>
        <v>0</v>
      </c>
      <c r="S893" s="73">
        <f>VLOOKUP(Tabla6[[#This Row],[PG]],Listas2!$G$14:$K$16,2,0)</f>
        <v>0</v>
      </c>
      <c r="T893" s="66" t="s">
        <v>84</v>
      </c>
      <c r="U893" s="74">
        <v>53</v>
      </c>
      <c r="V893" s="66">
        <v>530418</v>
      </c>
      <c r="W893" s="63" t="str">
        <f>VLOOKUP(Tabla6[[#This Row],[ÍTEM PRESUPUESTARIO]],Tabla2[#All],2,0)</f>
        <v>MANTENIMIENTO DE ÁREAS VERDES Y ARREGLO DE VÍAS INTERNAS</v>
      </c>
      <c r="X893" s="57">
        <v>0</v>
      </c>
      <c r="Y893" s="57">
        <f>1050+50-22.9-22.9</f>
        <v>1054.1999999999998</v>
      </c>
      <c r="Z893" s="58">
        <v>0</v>
      </c>
      <c r="AA893" s="58">
        <v>0</v>
      </c>
      <c r="AB893" s="58">
        <v>0</v>
      </c>
      <c r="AC893" s="58">
        <v>0</v>
      </c>
      <c r="AD893" s="58">
        <v>0</v>
      </c>
      <c r="AE893" s="58">
        <v>0</v>
      </c>
      <c r="AF893" s="58">
        <v>1054.2</v>
      </c>
      <c r="AG893" s="58">
        <v>0</v>
      </c>
      <c r="AH893" s="58">
        <v>0</v>
      </c>
      <c r="AI893" s="58">
        <v>0</v>
      </c>
      <c r="AJ893" s="58">
        <v>0</v>
      </c>
      <c r="AK893" s="58">
        <v>0</v>
      </c>
      <c r="AL893" s="75">
        <f>+SUBTOTAL(9,Tabla6[[#This Row],[ENE]:[DIC]])</f>
        <v>1054.2</v>
      </c>
      <c r="AM893" s="76" t="str">
        <f t="shared" si="19"/>
        <v>OK</v>
      </c>
      <c r="AN893" s="60">
        <v>1054.2</v>
      </c>
      <c r="AO893" s="61">
        <f>+Tabla6[[#This Row],[PRESUPUESTO VIGENTE]]-Tabla6[[#This Row],[CERTIFICACIÓN PAPP]]</f>
        <v>0</v>
      </c>
      <c r="AP893" s="59">
        <v>0</v>
      </c>
    </row>
    <row r="894" spans="1:42" ht="93" customHeight="1" x14ac:dyDescent="0.25">
      <c r="A894" s="62" t="s">
        <v>78</v>
      </c>
      <c r="B894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894" s="64" t="s">
        <v>79</v>
      </c>
      <c r="D894" s="64" t="s">
        <v>80</v>
      </c>
      <c r="E894" s="64" t="s">
        <v>81</v>
      </c>
      <c r="F894" s="64" t="s">
        <v>101</v>
      </c>
      <c r="G894" s="64" t="s">
        <v>83</v>
      </c>
      <c r="H894" s="65" t="str">
        <f>VLOOKUP(Tabla6[[#This Row],[DIRECCIÓN]],DIRECCIÓN[#All],2,0)</f>
        <v>ADMINISTRACIÓN CENTRAL</v>
      </c>
      <c r="I894" s="66" t="s">
        <v>1070</v>
      </c>
      <c r="J894" s="67">
        <v>2</v>
      </c>
      <c r="K894" s="68" t="str">
        <f>VLOOKUP(Tabla6[[#This Row],[DIRECCIÓN GENERAL / COORDINACIÓN / SUBDIRECCIÓN]],Tabla37[[#All],[Columna1]:[EOD]],2,0)</f>
        <v>266_0005</v>
      </c>
      <c r="L894" s="69">
        <f>VLOOKUP(Tabla6[[#This Row],[OBJETIVOS PND]],Listas!$A$1:$C$3,3,0)</f>
        <v>1</v>
      </c>
      <c r="M894" s="70">
        <f>VLOOKUP(Tabla6[[#This Row],[PG]],Listas2!$G$14:$K$16,5,0)</f>
        <v>0</v>
      </c>
      <c r="N894" s="71">
        <v>1</v>
      </c>
      <c r="O894" s="72">
        <v>2001</v>
      </c>
      <c r="P894" s="73" t="str">
        <f>VLOOKUP(Tabla6[[#This Row],[GEO]],Listas!$A$48:$B$77,2,0)</f>
        <v>SAN CRISTÓBAL</v>
      </c>
      <c r="Q894" s="70">
        <f>VLOOKUP(Tabla6[[#This Row],[PG]],Listas2!$G$14:$K$16,3,0)</f>
        <v>1</v>
      </c>
      <c r="R894" s="73">
        <f>VLOOKUP(Tabla6[[#This Row],[PG]],Listas2!H899:'Listas2'!$G$14:$K$16,4,0)</f>
        <v>0</v>
      </c>
      <c r="S894" s="73">
        <f>VLOOKUP(Tabla6[[#This Row],[PG]],Listas2!$G$14:$K$16,2,0)</f>
        <v>0</v>
      </c>
      <c r="T894" s="66" t="s">
        <v>84</v>
      </c>
      <c r="U894" s="74">
        <v>53</v>
      </c>
      <c r="V894" s="66">
        <v>530502</v>
      </c>
      <c r="W894" s="63" t="str">
        <f>VLOOKUP(Tabla6[[#This Row],[ÍTEM PRESUPUESTARIO]],Tabla2[#All],2,0)</f>
        <v>EDIFICIOS, LOCALES Y RESIDENCIAS, PARQUEADEROS, CASILLEROS JUDICIALES Y BANCARIOS (ARRENDAMIENTO)</v>
      </c>
      <c r="X894" s="57">
        <v>0</v>
      </c>
      <c r="Y894" s="57">
        <f>300.39-300.39</f>
        <v>0</v>
      </c>
      <c r="Z894" s="58">
        <v>0</v>
      </c>
      <c r="AA894" s="58">
        <v>0</v>
      </c>
      <c r="AB894" s="58">
        <v>0</v>
      </c>
      <c r="AC894" s="58">
        <v>0</v>
      </c>
      <c r="AD894" s="58">
        <v>0</v>
      </c>
      <c r="AE894" s="58">
        <v>0</v>
      </c>
      <c r="AF894" s="58">
        <v>0</v>
      </c>
      <c r="AG894" s="58">
        <v>0</v>
      </c>
      <c r="AH894" s="58">
        <v>0</v>
      </c>
      <c r="AI894" s="58">
        <v>0</v>
      </c>
      <c r="AJ894" s="58">
        <v>0</v>
      </c>
      <c r="AK894" s="58">
        <v>0</v>
      </c>
      <c r="AL894" s="75">
        <f>+SUBTOTAL(9,Tabla6[[#This Row],[ENE]:[DIC]])</f>
        <v>0</v>
      </c>
      <c r="AM894" s="76" t="str">
        <f t="shared" si="19"/>
        <v>OK</v>
      </c>
      <c r="AN894" s="60">
        <v>0</v>
      </c>
      <c r="AO894" s="61">
        <f>+Tabla6[[#This Row],[PRESUPUESTO VIGENTE]]-Tabla6[[#This Row],[CERTIFICACIÓN PAPP]]</f>
        <v>0</v>
      </c>
      <c r="AP894" s="59">
        <v>0</v>
      </c>
    </row>
    <row r="895" spans="1:42" ht="93" customHeight="1" x14ac:dyDescent="0.25">
      <c r="A895" s="62" t="s">
        <v>78</v>
      </c>
      <c r="B895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895" s="64" t="s">
        <v>79</v>
      </c>
      <c r="D895" s="64" t="s">
        <v>80</v>
      </c>
      <c r="E895" s="64" t="s">
        <v>81</v>
      </c>
      <c r="F895" s="64" t="s">
        <v>101</v>
      </c>
      <c r="G895" s="64" t="s">
        <v>83</v>
      </c>
      <c r="H895" s="65" t="str">
        <f>VLOOKUP(Tabla6[[#This Row],[DIRECCIÓN]],DIRECCIÓN[#All],2,0)</f>
        <v>ADMINISTRACIÓN CENTRAL</v>
      </c>
      <c r="I895" s="66" t="s">
        <v>1071</v>
      </c>
      <c r="J895" s="67">
        <v>2</v>
      </c>
      <c r="K895" s="68" t="str">
        <f>VLOOKUP(Tabla6[[#This Row],[DIRECCIÓN GENERAL / COORDINACIÓN / SUBDIRECCIÓN]],Tabla37[[#All],[Columna1]:[EOD]],2,0)</f>
        <v>266_0005</v>
      </c>
      <c r="L895" s="69">
        <f>VLOOKUP(Tabla6[[#This Row],[OBJETIVOS PND]],Listas!$A$1:$C$3,3,0)</f>
        <v>1</v>
      </c>
      <c r="M895" s="70">
        <f>VLOOKUP(Tabla6[[#This Row],[PG]],Listas2!$G$14:$K$16,5,0)</f>
        <v>0</v>
      </c>
      <c r="N895" s="71">
        <v>1</v>
      </c>
      <c r="O895" s="72">
        <v>2001</v>
      </c>
      <c r="P895" s="73" t="str">
        <f>VLOOKUP(Tabla6[[#This Row],[GEO]],Listas!$A$48:$B$77,2,0)</f>
        <v>SAN CRISTÓBAL</v>
      </c>
      <c r="Q895" s="70">
        <f>VLOOKUP(Tabla6[[#This Row],[PG]],Listas2!$G$14:$K$16,3,0)</f>
        <v>1</v>
      </c>
      <c r="R895" s="73">
        <f>VLOOKUP(Tabla6[[#This Row],[PG]],Listas2!H900:'Listas2'!$G$14:$K$16,4,0)</f>
        <v>0</v>
      </c>
      <c r="S895" s="73">
        <f>VLOOKUP(Tabla6[[#This Row],[PG]],Listas2!$G$14:$K$16,2,0)</f>
        <v>0</v>
      </c>
      <c r="T895" s="66" t="s">
        <v>84</v>
      </c>
      <c r="U895" s="74">
        <v>53</v>
      </c>
      <c r="V895" s="66">
        <v>530601</v>
      </c>
      <c r="W895" s="63" t="str">
        <f>VLOOKUP(Tabla6[[#This Row],[ÍTEM PRESUPUESTARIO]],Tabla2[#All],2,0)</f>
        <v>CONSULTORÍA, ASESORÍA E INVESTIGACIÓN ESPECIALIZADA</v>
      </c>
      <c r="X895" s="57">
        <v>0</v>
      </c>
      <c r="Y895" s="57">
        <f>5000+100-35.85-5064.15</f>
        <v>0</v>
      </c>
      <c r="Z895" s="58">
        <v>0</v>
      </c>
      <c r="AA895" s="58">
        <v>0</v>
      </c>
      <c r="AB895" s="58">
        <v>0</v>
      </c>
      <c r="AC895" s="58">
        <v>0</v>
      </c>
      <c r="AD895" s="58">
        <v>0</v>
      </c>
      <c r="AE895" s="58">
        <v>0</v>
      </c>
      <c r="AF895" s="58">
        <v>0</v>
      </c>
      <c r="AG895" s="58">
        <v>0</v>
      </c>
      <c r="AH895" s="58">
        <v>0</v>
      </c>
      <c r="AI895" s="58">
        <v>0</v>
      </c>
      <c r="AJ895" s="58">
        <v>0</v>
      </c>
      <c r="AK895" s="58">
        <v>0</v>
      </c>
      <c r="AL895" s="75">
        <f>+SUBTOTAL(9,Tabla6[[#This Row],[ENE]:[DIC]])</f>
        <v>0</v>
      </c>
      <c r="AM895" s="76" t="str">
        <f t="shared" si="19"/>
        <v>OK</v>
      </c>
      <c r="AN895" s="60">
        <f>5028.29-5018.29-10</f>
        <v>0</v>
      </c>
      <c r="AO895" s="61">
        <f>+Tabla6[[#This Row],[PRESUPUESTO VIGENTE]]-Tabla6[[#This Row],[CERTIFICACIÓN PAPP]]</f>
        <v>0</v>
      </c>
      <c r="AP895" s="59">
        <v>0</v>
      </c>
    </row>
    <row r="896" spans="1:42" ht="93" customHeight="1" x14ac:dyDescent="0.25">
      <c r="A896" s="62" t="s">
        <v>78</v>
      </c>
      <c r="B896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896" s="64" t="s">
        <v>79</v>
      </c>
      <c r="D896" s="64" t="s">
        <v>80</v>
      </c>
      <c r="E896" s="64" t="s">
        <v>81</v>
      </c>
      <c r="F896" s="64" t="s">
        <v>101</v>
      </c>
      <c r="G896" s="64" t="s">
        <v>83</v>
      </c>
      <c r="H896" s="65" t="str">
        <f>VLOOKUP(Tabla6[[#This Row],[DIRECCIÓN]],DIRECCIÓN[#All],2,0)</f>
        <v>ADMINISTRACIÓN CENTRAL</v>
      </c>
      <c r="I896" s="66" t="s">
        <v>1072</v>
      </c>
      <c r="J896" s="67">
        <v>1</v>
      </c>
      <c r="K896" s="68" t="str">
        <f>VLOOKUP(Tabla6[[#This Row],[DIRECCIÓN GENERAL / COORDINACIÓN / SUBDIRECCIÓN]],Tabla37[[#All],[Columna1]:[EOD]],2,0)</f>
        <v>266_0005</v>
      </c>
      <c r="L896" s="69">
        <f>VLOOKUP(Tabla6[[#This Row],[OBJETIVOS PND]],Listas!$A$1:$C$3,3,0)</f>
        <v>1</v>
      </c>
      <c r="M896" s="70">
        <f>VLOOKUP(Tabla6[[#This Row],[PG]],Listas2!$G$14:$K$16,5,0)</f>
        <v>0</v>
      </c>
      <c r="N896" s="71">
        <v>1</v>
      </c>
      <c r="O896" s="72">
        <v>2001</v>
      </c>
      <c r="P896" s="73" t="str">
        <f>VLOOKUP(Tabla6[[#This Row],[GEO]],Listas!$A$48:$B$77,2,0)</f>
        <v>SAN CRISTÓBAL</v>
      </c>
      <c r="Q896" s="70">
        <f>VLOOKUP(Tabla6[[#This Row],[PG]],Listas2!$G$14:$K$16,3,0)</f>
        <v>1</v>
      </c>
      <c r="R896" s="73">
        <f>VLOOKUP(Tabla6[[#This Row],[PG]],Listas2!H901:'Listas2'!$G$14:$K$16,4,0)</f>
        <v>0</v>
      </c>
      <c r="S896" s="73">
        <f>VLOOKUP(Tabla6[[#This Row],[PG]],Listas2!$G$14:$K$16,2,0)</f>
        <v>0</v>
      </c>
      <c r="T896" s="66" t="s">
        <v>84</v>
      </c>
      <c r="U896" s="74">
        <v>53</v>
      </c>
      <c r="V896" s="66">
        <v>530704</v>
      </c>
      <c r="W896" s="63" t="str">
        <f>VLOOKUP(Tabla6[[#This Row],[ÍTEM PRESUPUESTARIO]],Tabla2[#All],2,0)</f>
        <v xml:space="preserve">MANTENIMIENTO Y REPARACIÓN DE EQUIPOS Y SISTEMAS INFORMÁTICOS </v>
      </c>
      <c r="X896" s="57">
        <v>0</v>
      </c>
      <c r="Y896" s="57">
        <f>6250-400</f>
        <v>5850</v>
      </c>
      <c r="Z896" s="58">
        <v>0</v>
      </c>
      <c r="AA896" s="58">
        <v>0</v>
      </c>
      <c r="AB896" s="58">
        <v>0</v>
      </c>
      <c r="AC896" s="58">
        <v>0</v>
      </c>
      <c r="AD896" s="58">
        <v>0</v>
      </c>
      <c r="AE896" s="58">
        <v>0</v>
      </c>
      <c r="AF896" s="58">
        <v>0</v>
      </c>
      <c r="AG896" s="58">
        <v>0</v>
      </c>
      <c r="AH896" s="58">
        <v>0</v>
      </c>
      <c r="AI896" s="58">
        <v>0</v>
      </c>
      <c r="AJ896" s="58">
        <v>5850</v>
      </c>
      <c r="AK896" s="58">
        <v>0</v>
      </c>
      <c r="AL896" s="75">
        <f>+SUBTOTAL(9,Tabla6[[#This Row],[ENE]:[DIC]])</f>
        <v>5850</v>
      </c>
      <c r="AM896" s="76" t="str">
        <f t="shared" si="19"/>
        <v>OK</v>
      </c>
      <c r="AN896" s="60">
        <v>5850</v>
      </c>
      <c r="AO896" s="61">
        <f>+Tabla6[[#This Row],[PRESUPUESTO VIGENTE]]-Tabla6[[#This Row],[CERTIFICACIÓN PAPP]]</f>
        <v>0</v>
      </c>
      <c r="AP896" s="59">
        <v>0</v>
      </c>
    </row>
    <row r="897" spans="1:42" ht="93" customHeight="1" x14ac:dyDescent="0.25">
      <c r="A897" s="62" t="s">
        <v>78</v>
      </c>
      <c r="B897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897" s="64" t="s">
        <v>79</v>
      </c>
      <c r="D897" s="64" t="s">
        <v>80</v>
      </c>
      <c r="E897" s="64" t="s">
        <v>81</v>
      </c>
      <c r="F897" s="64" t="s">
        <v>101</v>
      </c>
      <c r="G897" s="64" t="s">
        <v>83</v>
      </c>
      <c r="H897" s="65" t="str">
        <f>VLOOKUP(Tabla6[[#This Row],[DIRECCIÓN]],DIRECCIÓN[#All],2,0)</f>
        <v>ADMINISTRACIÓN CENTRAL</v>
      </c>
      <c r="I897" s="66" t="s">
        <v>1073</v>
      </c>
      <c r="J897" s="67">
        <v>1</v>
      </c>
      <c r="K897" s="68" t="str">
        <f>VLOOKUP(Tabla6[[#This Row],[DIRECCIÓN GENERAL / COORDINACIÓN / SUBDIRECCIÓN]],Tabla37[[#All],[Columna1]:[EOD]],2,0)</f>
        <v>266_0005</v>
      </c>
      <c r="L897" s="69">
        <f>VLOOKUP(Tabla6[[#This Row],[OBJETIVOS PND]],Listas!$A$1:$C$3,3,0)</f>
        <v>1</v>
      </c>
      <c r="M897" s="70">
        <f>VLOOKUP(Tabla6[[#This Row],[PG]],Listas2!$G$14:$K$16,5,0)</f>
        <v>0</v>
      </c>
      <c r="N897" s="71">
        <v>1</v>
      </c>
      <c r="O897" s="72">
        <v>2001</v>
      </c>
      <c r="P897" s="73" t="str">
        <f>VLOOKUP(Tabla6[[#This Row],[GEO]],Listas!$A$48:$B$77,2,0)</f>
        <v>SAN CRISTÓBAL</v>
      </c>
      <c r="Q897" s="70">
        <f>VLOOKUP(Tabla6[[#This Row],[PG]],Listas2!$G$14:$K$16,3,0)</f>
        <v>1</v>
      </c>
      <c r="R897" s="73">
        <f>VLOOKUP(Tabla6[[#This Row],[PG]],Listas2!H902:'Listas2'!$G$14:$K$16,4,0)</f>
        <v>0</v>
      </c>
      <c r="S897" s="73">
        <f>VLOOKUP(Tabla6[[#This Row],[PG]],Listas2!$G$14:$K$16,2,0)</f>
        <v>0</v>
      </c>
      <c r="T897" s="66" t="s">
        <v>84</v>
      </c>
      <c r="U897" s="74">
        <v>53</v>
      </c>
      <c r="V897" s="66">
        <v>530803</v>
      </c>
      <c r="W897" s="63" t="str">
        <f>VLOOKUP(Tabla6[[#This Row],[ÍTEM PRESUPUESTARIO]],Tabla2[#All],2,0)</f>
        <v>LUBRICANTES</v>
      </c>
      <c r="X897" s="57">
        <v>1430</v>
      </c>
      <c r="Y897" s="57">
        <f>1430-1430</f>
        <v>0</v>
      </c>
      <c r="Z897" s="58">
        <v>0</v>
      </c>
      <c r="AA897" s="58">
        <v>0</v>
      </c>
      <c r="AB897" s="58">
        <v>0</v>
      </c>
      <c r="AC897" s="58">
        <v>0</v>
      </c>
      <c r="AD897" s="58">
        <v>0</v>
      </c>
      <c r="AE897" s="58">
        <v>0</v>
      </c>
      <c r="AF897" s="58">
        <v>0</v>
      </c>
      <c r="AG897" s="58">
        <v>0</v>
      </c>
      <c r="AH897" s="58">
        <v>0</v>
      </c>
      <c r="AI897" s="58">
        <v>0</v>
      </c>
      <c r="AJ897" s="58">
        <v>0</v>
      </c>
      <c r="AK897" s="58">
        <v>0</v>
      </c>
      <c r="AL897" s="75">
        <f>+SUBTOTAL(9,Tabla6[[#This Row],[ENE]:[DIC]])</f>
        <v>0</v>
      </c>
      <c r="AM897" s="76" t="str">
        <f t="shared" si="19"/>
        <v>OK</v>
      </c>
      <c r="AN897" s="60">
        <v>0</v>
      </c>
      <c r="AO897" s="61">
        <f>+Tabla6[[#This Row],[PRESUPUESTO VIGENTE]]-Tabla6[[#This Row],[CERTIFICACIÓN PAPP]]</f>
        <v>0</v>
      </c>
      <c r="AP897" s="59">
        <v>0</v>
      </c>
    </row>
    <row r="898" spans="1:42" ht="93" customHeight="1" x14ac:dyDescent="0.25">
      <c r="A898" s="62" t="s">
        <v>78</v>
      </c>
      <c r="B898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898" s="64" t="s">
        <v>79</v>
      </c>
      <c r="D898" s="64" t="s">
        <v>80</v>
      </c>
      <c r="E898" s="64" t="s">
        <v>81</v>
      </c>
      <c r="F898" s="64" t="s">
        <v>101</v>
      </c>
      <c r="G898" s="64" t="s">
        <v>83</v>
      </c>
      <c r="H898" s="65" t="str">
        <f>VLOOKUP(Tabla6[[#This Row],[DIRECCIÓN]],DIRECCIÓN[#All],2,0)</f>
        <v>ADMINISTRACIÓN CENTRAL</v>
      </c>
      <c r="I898" s="66" t="s">
        <v>1074</v>
      </c>
      <c r="J898" s="67">
        <v>2</v>
      </c>
      <c r="K898" s="68" t="str">
        <f>VLOOKUP(Tabla6[[#This Row],[DIRECCIÓN GENERAL / COORDINACIÓN / SUBDIRECCIÓN]],Tabla37[[#All],[Columna1]:[EOD]],2,0)</f>
        <v>266_0005</v>
      </c>
      <c r="L898" s="69">
        <f>VLOOKUP(Tabla6[[#This Row],[OBJETIVOS PND]],Listas!$A$1:$C$3,3,0)</f>
        <v>1</v>
      </c>
      <c r="M898" s="70">
        <f>VLOOKUP(Tabla6[[#This Row],[PG]],Listas2!$G$14:$K$16,5,0)</f>
        <v>0</v>
      </c>
      <c r="N898" s="71">
        <v>1</v>
      </c>
      <c r="O898" s="72">
        <v>2001</v>
      </c>
      <c r="P898" s="73" t="str">
        <f>VLOOKUP(Tabla6[[#This Row],[GEO]],Listas!$A$48:$B$77,2,0)</f>
        <v>SAN CRISTÓBAL</v>
      </c>
      <c r="Q898" s="70">
        <f>VLOOKUP(Tabla6[[#This Row],[PG]],Listas2!$G$14:$K$16,3,0)</f>
        <v>1</v>
      </c>
      <c r="R898" s="73">
        <f>VLOOKUP(Tabla6[[#This Row],[PG]],Listas2!H903:'Listas2'!$G$14:$K$16,4,0)</f>
        <v>0</v>
      </c>
      <c r="S898" s="73">
        <f>VLOOKUP(Tabla6[[#This Row],[PG]],Listas2!$G$14:$K$16,2,0)</f>
        <v>0</v>
      </c>
      <c r="T898" s="66" t="s">
        <v>84</v>
      </c>
      <c r="U898" s="74">
        <v>53</v>
      </c>
      <c r="V898" s="66">
        <v>530804</v>
      </c>
      <c r="W898" s="63" t="str">
        <f>VLOOKUP(Tabla6[[#This Row],[ÍTEM PRESUPUESTARIO]],Tabla2[#All],2,0)</f>
        <v>MATERIALES DE OFICINA</v>
      </c>
      <c r="X898" s="57">
        <v>2322</v>
      </c>
      <c r="Y898" s="57">
        <f>2322-1064.76-243.72</f>
        <v>1013.52</v>
      </c>
      <c r="Z898" s="58">
        <v>0</v>
      </c>
      <c r="AA898" s="58">
        <v>0</v>
      </c>
      <c r="AB898" s="58">
        <v>1013.52</v>
      </c>
      <c r="AC898" s="58">
        <v>0</v>
      </c>
      <c r="AD898" s="58">
        <v>0</v>
      </c>
      <c r="AE898" s="58">
        <v>0</v>
      </c>
      <c r="AF898" s="58">
        <v>0</v>
      </c>
      <c r="AG898" s="58">
        <v>0</v>
      </c>
      <c r="AH898" s="58">
        <v>0</v>
      </c>
      <c r="AI898" s="58">
        <v>0</v>
      </c>
      <c r="AJ898" s="58">
        <v>0</v>
      </c>
      <c r="AK898" s="58">
        <v>0</v>
      </c>
      <c r="AL898" s="75">
        <f>+SUBTOTAL(9,Tabla6[[#This Row],[ENE]:[DIC]])</f>
        <v>1013.52</v>
      </c>
      <c r="AM898" s="76" t="str">
        <f t="shared" si="19"/>
        <v>OK</v>
      </c>
      <c r="AN898" s="60">
        <f>1257.24-243.72</f>
        <v>1013.52</v>
      </c>
      <c r="AO898" s="61">
        <f>+Tabla6[[#This Row],[PRESUPUESTO VIGENTE]]-Tabla6[[#This Row],[CERTIFICACIÓN PAPP]]</f>
        <v>0</v>
      </c>
      <c r="AP898" s="59">
        <v>0</v>
      </c>
    </row>
    <row r="899" spans="1:42" ht="93" customHeight="1" x14ac:dyDescent="0.25">
      <c r="A899" s="62" t="s">
        <v>78</v>
      </c>
      <c r="B899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899" s="64" t="s">
        <v>79</v>
      </c>
      <c r="D899" s="64" t="s">
        <v>80</v>
      </c>
      <c r="E899" s="64" t="s">
        <v>81</v>
      </c>
      <c r="F899" s="64" t="s">
        <v>101</v>
      </c>
      <c r="G899" s="64" t="s">
        <v>83</v>
      </c>
      <c r="H899" s="65" t="str">
        <f>VLOOKUP(Tabla6[[#This Row],[DIRECCIÓN]],DIRECCIÓN[#All],2,0)</f>
        <v>ADMINISTRACIÓN CENTRAL</v>
      </c>
      <c r="I899" s="66" t="s">
        <v>1075</v>
      </c>
      <c r="J899" s="67">
        <v>2</v>
      </c>
      <c r="K899" s="68" t="str">
        <f>VLOOKUP(Tabla6[[#This Row],[DIRECCIÓN GENERAL / COORDINACIÓN / SUBDIRECCIÓN]],Tabla37[[#All],[Columna1]:[EOD]],2,0)</f>
        <v>266_0005</v>
      </c>
      <c r="L899" s="69">
        <f>VLOOKUP(Tabla6[[#This Row],[OBJETIVOS PND]],Listas!$A$1:$C$3,3,0)</f>
        <v>1</v>
      </c>
      <c r="M899" s="70">
        <f>VLOOKUP(Tabla6[[#This Row],[PG]],Listas2!$G$14:$K$16,5,0)</f>
        <v>0</v>
      </c>
      <c r="N899" s="71">
        <v>1</v>
      </c>
      <c r="O899" s="72">
        <v>2001</v>
      </c>
      <c r="P899" s="73" t="str">
        <f>VLOOKUP(Tabla6[[#This Row],[GEO]],Listas!$A$48:$B$77,2,0)</f>
        <v>SAN CRISTÓBAL</v>
      </c>
      <c r="Q899" s="70">
        <f>VLOOKUP(Tabla6[[#This Row],[PG]],Listas2!$G$14:$K$16,3,0)</f>
        <v>1</v>
      </c>
      <c r="R899" s="73">
        <f>VLOOKUP(Tabla6[[#This Row],[PG]],Listas2!H904:'Listas2'!$G$14:$K$16,4,0)</f>
        <v>0</v>
      </c>
      <c r="S899" s="73">
        <f>VLOOKUP(Tabla6[[#This Row],[PG]],Listas2!$G$14:$K$16,2,0)</f>
        <v>0</v>
      </c>
      <c r="T899" s="66" t="s">
        <v>84</v>
      </c>
      <c r="U899" s="74">
        <v>53</v>
      </c>
      <c r="V899" s="66">
        <v>530805</v>
      </c>
      <c r="W899" s="63" t="str">
        <f>VLOOKUP(Tabla6[[#This Row],[ÍTEM PRESUPUESTARIO]],Tabla2[#All],2,0)</f>
        <v>MATERIALES DE ASEO</v>
      </c>
      <c r="X899" s="57">
        <v>2322</v>
      </c>
      <c r="Y899" s="57">
        <f>2322-0.11-623.74</f>
        <v>1698.1499999999999</v>
      </c>
      <c r="Z899" s="58">
        <v>0</v>
      </c>
      <c r="AA899" s="58">
        <v>0</v>
      </c>
      <c r="AB899" s="58">
        <v>0</v>
      </c>
      <c r="AC899" s="58">
        <v>0</v>
      </c>
      <c r="AD899" s="58">
        <v>0</v>
      </c>
      <c r="AE899" s="58">
        <v>1698.15</v>
      </c>
      <c r="AF899" s="58">
        <v>0</v>
      </c>
      <c r="AG899" s="58">
        <v>0</v>
      </c>
      <c r="AH899" s="58">
        <v>0</v>
      </c>
      <c r="AI899" s="58">
        <v>0</v>
      </c>
      <c r="AJ899" s="58">
        <v>0</v>
      </c>
      <c r="AK899" s="58">
        <v>0</v>
      </c>
      <c r="AL899" s="75">
        <f>+SUBTOTAL(9,Tabla6[[#This Row],[ENE]:[DIC]])</f>
        <v>1698.15</v>
      </c>
      <c r="AM899" s="76" t="str">
        <f t="shared" si="19"/>
        <v>OK</v>
      </c>
      <c r="AN899" s="60">
        <f>2321.89-623.74</f>
        <v>1698.1499999999999</v>
      </c>
      <c r="AO899" s="61">
        <f>+Tabla6[[#This Row],[PRESUPUESTO VIGENTE]]-Tabla6[[#This Row],[CERTIFICACIÓN PAPP]]</f>
        <v>0</v>
      </c>
      <c r="AP899" s="59" t="s">
        <v>87</v>
      </c>
    </row>
    <row r="900" spans="1:42" ht="93" customHeight="1" x14ac:dyDescent="0.25">
      <c r="A900" s="62" t="s">
        <v>78</v>
      </c>
      <c r="B900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900" s="64" t="s">
        <v>79</v>
      </c>
      <c r="D900" s="64" t="s">
        <v>80</v>
      </c>
      <c r="E900" s="64" t="s">
        <v>81</v>
      </c>
      <c r="F900" s="64" t="s">
        <v>101</v>
      </c>
      <c r="G900" s="64" t="s">
        <v>83</v>
      </c>
      <c r="H900" s="65" t="str">
        <f>VLOOKUP(Tabla6[[#This Row],[DIRECCIÓN]],DIRECCIÓN[#All],2,0)</f>
        <v>ADMINISTRACIÓN CENTRAL</v>
      </c>
      <c r="I900" s="66" t="s">
        <v>1076</v>
      </c>
      <c r="J900" s="67">
        <v>2</v>
      </c>
      <c r="K900" s="68" t="str">
        <f>VLOOKUP(Tabla6[[#This Row],[DIRECCIÓN GENERAL / COORDINACIÓN / SUBDIRECCIÓN]],Tabla37[[#All],[Columna1]:[EOD]],2,0)</f>
        <v>266_0005</v>
      </c>
      <c r="L900" s="69">
        <f>VLOOKUP(Tabla6[[#This Row],[OBJETIVOS PND]],Listas!$A$1:$C$3,3,0)</f>
        <v>1</v>
      </c>
      <c r="M900" s="70">
        <f>VLOOKUP(Tabla6[[#This Row],[PG]],Listas2!$G$14:$K$16,5,0)</f>
        <v>0</v>
      </c>
      <c r="N900" s="71">
        <v>1</v>
      </c>
      <c r="O900" s="72">
        <v>2001</v>
      </c>
      <c r="P900" s="73" t="str">
        <f>VLOOKUP(Tabla6[[#This Row],[GEO]],Listas!$A$48:$B$77,2,0)</f>
        <v>SAN CRISTÓBAL</v>
      </c>
      <c r="Q900" s="70">
        <f>VLOOKUP(Tabla6[[#This Row],[PG]],Listas2!$G$14:$K$16,3,0)</f>
        <v>1</v>
      </c>
      <c r="R900" s="73">
        <f>VLOOKUP(Tabla6[[#This Row],[PG]],Listas2!H905:'Listas2'!$G$14:$K$16,4,0)</f>
        <v>0</v>
      </c>
      <c r="S900" s="73">
        <f>VLOOKUP(Tabla6[[#This Row],[PG]],Listas2!$G$14:$K$16,2,0)</f>
        <v>0</v>
      </c>
      <c r="T900" s="66" t="s">
        <v>84</v>
      </c>
      <c r="U900" s="74">
        <v>57</v>
      </c>
      <c r="V900" s="66">
        <v>570102</v>
      </c>
      <c r="W900" s="63" t="str">
        <f>VLOOKUP(Tabla6[[#This Row],[ÍTEM PRESUPUESTARIO]],Tabla2[#All],2,0)</f>
        <v>TASAS GENERALES, IMPUESTOS, CONTRIBUCIONES, PERMISOS, LICENCIAS Y PATENTES</v>
      </c>
      <c r="X900" s="57">
        <v>0</v>
      </c>
      <c r="Y900" s="57">
        <v>200</v>
      </c>
      <c r="Z900" s="58">
        <v>0</v>
      </c>
      <c r="AA900" s="58">
        <v>0</v>
      </c>
      <c r="AB900" s="58">
        <v>0</v>
      </c>
      <c r="AC900" s="58">
        <v>0</v>
      </c>
      <c r="AD900" s="58">
        <v>0</v>
      </c>
      <c r="AE900" s="58">
        <v>0</v>
      </c>
      <c r="AF900" s="58">
        <v>200</v>
      </c>
      <c r="AG900" s="58">
        <v>0</v>
      </c>
      <c r="AH900" s="58">
        <v>0</v>
      </c>
      <c r="AI900" s="58">
        <v>0</v>
      </c>
      <c r="AJ900" s="58">
        <v>0</v>
      </c>
      <c r="AK900" s="58">
        <v>0</v>
      </c>
      <c r="AL900" s="75">
        <f>+SUBTOTAL(9,Tabla6[[#This Row],[ENE]:[DIC]])</f>
        <v>200</v>
      </c>
      <c r="AM900" s="76" t="str">
        <f t="shared" si="19"/>
        <v>OK</v>
      </c>
      <c r="AN900" s="60">
        <v>200</v>
      </c>
      <c r="AO900" s="61">
        <f>+Tabla6[[#This Row],[PRESUPUESTO VIGENTE]]-Tabla6[[#This Row],[CERTIFICACIÓN PAPP]]</f>
        <v>0</v>
      </c>
      <c r="AP900" s="59">
        <v>0</v>
      </c>
    </row>
    <row r="901" spans="1:42" ht="93" customHeight="1" x14ac:dyDescent="0.25">
      <c r="A901" s="62" t="s">
        <v>78</v>
      </c>
      <c r="B901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901" s="64" t="s">
        <v>79</v>
      </c>
      <c r="D901" s="64" t="s">
        <v>80</v>
      </c>
      <c r="E901" s="64" t="s">
        <v>81</v>
      </c>
      <c r="F901" s="64" t="s">
        <v>101</v>
      </c>
      <c r="G901" s="64" t="s">
        <v>83</v>
      </c>
      <c r="H901" s="65" t="str">
        <f>VLOOKUP(Tabla6[[#This Row],[DIRECCIÓN]],DIRECCIÓN[#All],2,0)</f>
        <v>ADMINISTRACIÓN CENTRAL</v>
      </c>
      <c r="I901" s="66" t="s">
        <v>1077</v>
      </c>
      <c r="J901" s="67">
        <v>2</v>
      </c>
      <c r="K901" s="68" t="str">
        <f>VLOOKUP(Tabla6[[#This Row],[DIRECCIÓN GENERAL / COORDINACIÓN / SUBDIRECCIÓN]],Tabla37[[#All],[Columna1]:[EOD]],2,0)</f>
        <v>266_0005</v>
      </c>
      <c r="L901" s="69">
        <f>VLOOKUP(Tabla6[[#This Row],[OBJETIVOS PND]],Listas!$A$1:$C$3,3,0)</f>
        <v>1</v>
      </c>
      <c r="M901" s="70">
        <f>VLOOKUP(Tabla6[[#This Row],[PG]],Listas2!$G$14:$K$16,5,0)</f>
        <v>0</v>
      </c>
      <c r="N901" s="71">
        <v>1</v>
      </c>
      <c r="O901" s="72">
        <v>2001</v>
      </c>
      <c r="P901" s="73" t="str">
        <f>VLOOKUP(Tabla6[[#This Row],[GEO]],Listas!$A$48:$B$77,2,0)</f>
        <v>SAN CRISTÓBAL</v>
      </c>
      <c r="Q901" s="70">
        <f>VLOOKUP(Tabla6[[#This Row],[PG]],Listas2!$G$14:$K$16,3,0)</f>
        <v>1</v>
      </c>
      <c r="R901" s="73">
        <f>VLOOKUP(Tabla6[[#This Row],[PG]],Listas2!H906:'Listas2'!$G$14:$K$16,4,0)</f>
        <v>0</v>
      </c>
      <c r="S901" s="73">
        <f>VLOOKUP(Tabla6[[#This Row],[PG]],Listas2!$G$14:$K$16,2,0)</f>
        <v>0</v>
      </c>
      <c r="T901" s="66" t="s">
        <v>84</v>
      </c>
      <c r="U901" s="74">
        <v>57</v>
      </c>
      <c r="V901" s="66">
        <v>570102</v>
      </c>
      <c r="W901" s="63" t="str">
        <f>VLOOKUP(Tabla6[[#This Row],[ÍTEM PRESUPUESTARIO]],Tabla2[#All],2,0)</f>
        <v>TASAS GENERALES, IMPUESTOS, CONTRIBUCIONES, PERMISOS, LICENCIAS Y PATENTES</v>
      </c>
      <c r="X901" s="57">
        <v>0</v>
      </c>
      <c r="Y901" s="57">
        <v>100</v>
      </c>
      <c r="Z901" s="58">
        <v>0</v>
      </c>
      <c r="AA901" s="58">
        <v>0</v>
      </c>
      <c r="AB901" s="58">
        <v>0</v>
      </c>
      <c r="AC901" s="58">
        <v>0</v>
      </c>
      <c r="AD901" s="58">
        <v>0</v>
      </c>
      <c r="AE901" s="58">
        <v>0</v>
      </c>
      <c r="AF901" s="58">
        <v>100</v>
      </c>
      <c r="AG901" s="58">
        <v>0</v>
      </c>
      <c r="AH901" s="58">
        <v>0</v>
      </c>
      <c r="AI901" s="58">
        <v>0</v>
      </c>
      <c r="AJ901" s="58">
        <v>0</v>
      </c>
      <c r="AK901" s="58">
        <v>0</v>
      </c>
      <c r="AL901" s="75">
        <f>+SUBTOTAL(9,Tabla6[[#This Row],[ENE]:[DIC]])</f>
        <v>100</v>
      </c>
      <c r="AM901" s="76" t="str">
        <f t="shared" si="19"/>
        <v>OK</v>
      </c>
      <c r="AN901" s="60">
        <v>100</v>
      </c>
      <c r="AO901" s="61">
        <f>+Tabla6[[#This Row],[PRESUPUESTO VIGENTE]]-Tabla6[[#This Row],[CERTIFICACIÓN PAPP]]</f>
        <v>0</v>
      </c>
      <c r="AP901" s="59">
        <v>0</v>
      </c>
    </row>
    <row r="902" spans="1:42" ht="93" customHeight="1" x14ac:dyDescent="0.25">
      <c r="A902" s="62" t="s">
        <v>78</v>
      </c>
      <c r="B902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902" s="64" t="s">
        <v>79</v>
      </c>
      <c r="D902" s="64" t="s">
        <v>80</v>
      </c>
      <c r="E902" s="64" t="s">
        <v>81</v>
      </c>
      <c r="F902" s="64" t="s">
        <v>101</v>
      </c>
      <c r="G902" s="64" t="s">
        <v>83</v>
      </c>
      <c r="H902" s="65" t="str">
        <f>VLOOKUP(Tabla6[[#This Row],[DIRECCIÓN]],DIRECCIÓN[#All],2,0)</f>
        <v>ADMINISTRACIÓN CENTRAL</v>
      </c>
      <c r="I902" s="66" t="s">
        <v>1078</v>
      </c>
      <c r="J902" s="67">
        <v>2</v>
      </c>
      <c r="K902" s="68" t="str">
        <f>VLOOKUP(Tabla6[[#This Row],[DIRECCIÓN GENERAL / COORDINACIÓN / SUBDIRECCIÓN]],Tabla37[[#All],[Columna1]:[EOD]],2,0)</f>
        <v>266_0005</v>
      </c>
      <c r="L902" s="69">
        <f>VLOOKUP(Tabla6[[#This Row],[OBJETIVOS PND]],Listas!$A$1:$C$3,3,0)</f>
        <v>1</v>
      </c>
      <c r="M902" s="70">
        <f>VLOOKUP(Tabla6[[#This Row],[PG]],Listas2!$G$14:$K$16,5,0)</f>
        <v>0</v>
      </c>
      <c r="N902" s="71">
        <v>1</v>
      </c>
      <c r="O902" s="72">
        <v>2001</v>
      </c>
      <c r="P902" s="73" t="str">
        <f>VLOOKUP(Tabla6[[#This Row],[GEO]],Listas!$A$48:$B$77,2,0)</f>
        <v>SAN CRISTÓBAL</v>
      </c>
      <c r="Q902" s="70">
        <f>VLOOKUP(Tabla6[[#This Row],[PG]],Listas2!$G$14:$K$16,3,0)</f>
        <v>1</v>
      </c>
      <c r="R902" s="73">
        <f>VLOOKUP(Tabla6[[#This Row],[PG]],Listas2!H907:'Listas2'!$G$14:$K$16,4,0)</f>
        <v>0</v>
      </c>
      <c r="S902" s="73">
        <f>VLOOKUP(Tabla6[[#This Row],[PG]],Listas2!$G$14:$K$16,2,0)</f>
        <v>0</v>
      </c>
      <c r="T902" s="66" t="s">
        <v>84</v>
      </c>
      <c r="U902" s="74">
        <v>57</v>
      </c>
      <c r="V902" s="66">
        <v>570102</v>
      </c>
      <c r="W902" s="63" t="str">
        <f>VLOOKUP(Tabla6[[#This Row],[ÍTEM PRESUPUESTARIO]],Tabla2[#All],2,0)</f>
        <v>TASAS GENERALES, IMPUESTOS, CONTRIBUCIONES, PERMISOS, LICENCIAS Y PATENTES</v>
      </c>
      <c r="X902" s="57">
        <v>1000</v>
      </c>
      <c r="Y902" s="57">
        <v>1000</v>
      </c>
      <c r="Z902" s="58">
        <v>0</v>
      </c>
      <c r="AA902" s="58">
        <v>164</v>
      </c>
      <c r="AB902" s="58">
        <v>164</v>
      </c>
      <c r="AC902" s="58">
        <v>164</v>
      </c>
      <c r="AD902" s="58">
        <v>164</v>
      </c>
      <c r="AE902" s="58">
        <v>164</v>
      </c>
      <c r="AF902" s="58">
        <v>180</v>
      </c>
      <c r="AG902" s="58">
        <v>0</v>
      </c>
      <c r="AH902" s="58">
        <v>0</v>
      </c>
      <c r="AI902" s="58">
        <v>0</v>
      </c>
      <c r="AJ902" s="58">
        <v>0</v>
      </c>
      <c r="AK902" s="58">
        <v>0</v>
      </c>
      <c r="AL902" s="75">
        <f>+SUBTOTAL(9,Tabla6[[#This Row],[ENE]:[DIC]])</f>
        <v>1000</v>
      </c>
      <c r="AM902" s="76" t="str">
        <f t="shared" si="19"/>
        <v>OK</v>
      </c>
      <c r="AN902" s="60">
        <f>400+400-60-80+340</f>
        <v>1000</v>
      </c>
      <c r="AO902" s="61">
        <f>+Tabla6[[#This Row],[PRESUPUESTO VIGENTE]]-Tabla6[[#This Row],[CERTIFICACIÓN PAPP]]</f>
        <v>0</v>
      </c>
      <c r="AP902" s="59">
        <v>0</v>
      </c>
    </row>
    <row r="903" spans="1:42" ht="93" customHeight="1" x14ac:dyDescent="0.25">
      <c r="A903" s="62" t="s">
        <v>78</v>
      </c>
      <c r="B903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903" s="64" t="s">
        <v>79</v>
      </c>
      <c r="D903" s="64" t="s">
        <v>80</v>
      </c>
      <c r="E903" s="64" t="s">
        <v>81</v>
      </c>
      <c r="F903" s="64" t="s">
        <v>101</v>
      </c>
      <c r="G903" s="64" t="s">
        <v>83</v>
      </c>
      <c r="H903" s="65" t="str">
        <f>VLOOKUP(Tabla6[[#This Row],[DIRECCIÓN]],DIRECCIÓN[#All],2,0)</f>
        <v>ADMINISTRACIÓN CENTRAL</v>
      </c>
      <c r="I903" s="66" t="s">
        <v>1079</v>
      </c>
      <c r="J903" s="67">
        <v>1</v>
      </c>
      <c r="K903" s="68" t="str">
        <f>VLOOKUP(Tabla6[[#This Row],[DIRECCIÓN GENERAL / COORDINACIÓN / SUBDIRECCIÓN]],Tabla37[[#All],[Columna1]:[EOD]],2,0)</f>
        <v>266_0005</v>
      </c>
      <c r="L903" s="69">
        <f>VLOOKUP(Tabla6[[#This Row],[OBJETIVOS PND]],Listas!$A$1:$C$3,3,0)</f>
        <v>1</v>
      </c>
      <c r="M903" s="70">
        <f>VLOOKUP(Tabla6[[#This Row],[PG]],Listas2!$G$14:$K$16,5,0)</f>
        <v>0</v>
      </c>
      <c r="N903" s="71">
        <v>1</v>
      </c>
      <c r="O903" s="72">
        <v>2001</v>
      </c>
      <c r="P903" s="73" t="str">
        <f>VLOOKUP(Tabla6[[#This Row],[GEO]],Listas!$A$48:$B$77,2,0)</f>
        <v>SAN CRISTÓBAL</v>
      </c>
      <c r="Q903" s="70">
        <f>VLOOKUP(Tabla6[[#This Row],[PG]],Listas2!$G$14:$K$16,3,0)</f>
        <v>1</v>
      </c>
      <c r="R903" s="73">
        <f>VLOOKUP(Tabla6[[#This Row],[PG]],Listas2!H908:'Listas2'!$G$14:$K$16,4,0)</f>
        <v>0</v>
      </c>
      <c r="S903" s="73">
        <f>VLOOKUP(Tabla6[[#This Row],[PG]],Listas2!$G$14:$K$16,2,0)</f>
        <v>0</v>
      </c>
      <c r="T903" s="66" t="s">
        <v>84</v>
      </c>
      <c r="U903" s="74">
        <v>57</v>
      </c>
      <c r="V903" s="66">
        <v>570102</v>
      </c>
      <c r="W903" s="63" t="str">
        <f>VLOOKUP(Tabla6[[#This Row],[ÍTEM PRESUPUESTARIO]],Tabla2[#All],2,0)</f>
        <v>TASAS GENERALES, IMPUESTOS, CONTRIBUCIONES, PERMISOS, LICENCIAS Y PATENTES</v>
      </c>
      <c r="X903" s="57">
        <v>300</v>
      </c>
      <c r="Y903" s="57">
        <f>300-145.73</f>
        <v>154.27000000000001</v>
      </c>
      <c r="Z903" s="58">
        <v>0</v>
      </c>
      <c r="AA903" s="58">
        <v>0</v>
      </c>
      <c r="AB903" s="58">
        <v>0</v>
      </c>
      <c r="AC903" s="58">
        <v>154.27000000000001</v>
      </c>
      <c r="AD903" s="58">
        <v>0</v>
      </c>
      <c r="AE903" s="58">
        <v>0</v>
      </c>
      <c r="AF903" s="58">
        <v>0</v>
      </c>
      <c r="AG903" s="58">
        <v>0</v>
      </c>
      <c r="AH903" s="58">
        <v>0</v>
      </c>
      <c r="AI903" s="58">
        <v>0</v>
      </c>
      <c r="AJ903" s="58">
        <v>0</v>
      </c>
      <c r="AK903" s="58">
        <v>0</v>
      </c>
      <c r="AL903" s="75">
        <f>+SUBTOTAL(9,Tabla6[[#This Row],[ENE]:[DIC]])</f>
        <v>154.27000000000001</v>
      </c>
      <c r="AM903" s="76" t="str">
        <f t="shared" si="19"/>
        <v>OK</v>
      </c>
      <c r="AN903" s="60">
        <v>154.27000000000001</v>
      </c>
      <c r="AO903" s="61">
        <f>+Tabla6[[#This Row],[PRESUPUESTO VIGENTE]]-Tabla6[[#This Row],[CERTIFICACIÓN PAPP]]</f>
        <v>0</v>
      </c>
      <c r="AP903" s="59">
        <v>0</v>
      </c>
    </row>
    <row r="904" spans="1:42" ht="93" customHeight="1" x14ac:dyDescent="0.25">
      <c r="A904" s="62" t="s">
        <v>78</v>
      </c>
      <c r="B904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904" s="64" t="s">
        <v>79</v>
      </c>
      <c r="D904" s="64" t="s">
        <v>80</v>
      </c>
      <c r="E904" s="64" t="s">
        <v>81</v>
      </c>
      <c r="F904" s="64" t="s">
        <v>101</v>
      </c>
      <c r="G904" s="64" t="s">
        <v>83</v>
      </c>
      <c r="H904" s="65" t="str">
        <f>VLOOKUP(Tabla6[[#This Row],[DIRECCIÓN]],DIRECCIÓN[#All],2,0)</f>
        <v>ADMINISTRACIÓN CENTRAL</v>
      </c>
      <c r="I904" s="66" t="s">
        <v>1080</v>
      </c>
      <c r="J904" s="67">
        <v>1</v>
      </c>
      <c r="K904" s="68" t="str">
        <f>VLOOKUP(Tabla6[[#This Row],[DIRECCIÓN GENERAL / COORDINACIÓN / SUBDIRECCIÓN]],Tabla37[[#All],[Columna1]:[EOD]],2,0)</f>
        <v>266_0005</v>
      </c>
      <c r="L904" s="69">
        <f>VLOOKUP(Tabla6[[#This Row],[OBJETIVOS PND]],Listas!$A$1:$C$3,3,0)</f>
        <v>1</v>
      </c>
      <c r="M904" s="70">
        <f>VLOOKUP(Tabla6[[#This Row],[PG]],Listas2!$G$14:$K$16,5,0)</f>
        <v>0</v>
      </c>
      <c r="N904" s="71">
        <v>1</v>
      </c>
      <c r="O904" s="72">
        <v>2001</v>
      </c>
      <c r="P904" s="73" t="str">
        <f>VLOOKUP(Tabla6[[#This Row],[GEO]],Listas!$A$48:$B$77,2,0)</f>
        <v>SAN CRISTÓBAL</v>
      </c>
      <c r="Q904" s="70">
        <f>VLOOKUP(Tabla6[[#This Row],[PG]],Listas2!$G$14:$K$16,3,0)</f>
        <v>1</v>
      </c>
      <c r="R904" s="73">
        <f>VLOOKUP(Tabla6[[#This Row],[PG]],Listas2!H909:'Listas2'!$G$14:$K$16,4,0)</f>
        <v>0</v>
      </c>
      <c r="S904" s="73">
        <f>VLOOKUP(Tabla6[[#This Row],[PG]],Listas2!$G$14:$K$16,2,0)</f>
        <v>0</v>
      </c>
      <c r="T904" s="66" t="s">
        <v>84</v>
      </c>
      <c r="U904" s="74">
        <v>57</v>
      </c>
      <c r="V904" s="66">
        <v>570102</v>
      </c>
      <c r="W904" s="63" t="str">
        <f>VLOOKUP(Tabla6[[#This Row],[ÍTEM PRESUPUESTARIO]],Tabla2[#All],2,0)</f>
        <v>TASAS GENERALES, IMPUESTOS, CONTRIBUCIONES, PERMISOS, LICENCIAS Y PATENTES</v>
      </c>
      <c r="X904" s="57">
        <v>304</v>
      </c>
      <c r="Y904" s="57">
        <f>304-285</f>
        <v>19</v>
      </c>
      <c r="Z904" s="58">
        <v>0</v>
      </c>
      <c r="AA904" s="58">
        <v>0</v>
      </c>
      <c r="AB904" s="58">
        <v>0</v>
      </c>
      <c r="AC904" s="58">
        <v>0</v>
      </c>
      <c r="AD904" s="58">
        <v>0</v>
      </c>
      <c r="AE904" s="58">
        <v>0</v>
      </c>
      <c r="AF904" s="58">
        <v>0</v>
      </c>
      <c r="AG904" s="58">
        <v>0</v>
      </c>
      <c r="AH904" s="58">
        <v>0</v>
      </c>
      <c r="AI904" s="58">
        <v>19</v>
      </c>
      <c r="AJ904" s="58">
        <v>0</v>
      </c>
      <c r="AK904" s="58">
        <v>0</v>
      </c>
      <c r="AL904" s="75">
        <f>+SUBTOTAL(9,Tabla6[[#This Row],[ENE]:[DIC]])</f>
        <v>19</v>
      </c>
      <c r="AM904" s="76" t="str">
        <f t="shared" si="19"/>
        <v>OK</v>
      </c>
      <c r="AN904" s="60">
        <f>9+10</f>
        <v>19</v>
      </c>
      <c r="AO904" s="61">
        <f>+Tabla6[[#This Row],[PRESUPUESTO VIGENTE]]-Tabla6[[#This Row],[CERTIFICACIÓN PAPP]]</f>
        <v>0</v>
      </c>
      <c r="AP904" s="59">
        <v>0</v>
      </c>
    </row>
    <row r="905" spans="1:42" ht="93" customHeight="1" x14ac:dyDescent="0.25">
      <c r="A905" s="62" t="s">
        <v>78</v>
      </c>
      <c r="B905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905" s="64" t="s">
        <v>79</v>
      </c>
      <c r="D905" s="64" t="s">
        <v>80</v>
      </c>
      <c r="E905" s="64" t="s">
        <v>81</v>
      </c>
      <c r="F905" s="64" t="s">
        <v>101</v>
      </c>
      <c r="G905" s="64" t="s">
        <v>83</v>
      </c>
      <c r="H905" s="65" t="str">
        <f>VLOOKUP(Tabla6[[#This Row],[DIRECCIÓN]],DIRECCIÓN[#All],2,0)</f>
        <v>ADMINISTRACIÓN CENTRAL</v>
      </c>
      <c r="I905" s="66" t="s">
        <v>1081</v>
      </c>
      <c r="J905" s="67">
        <v>1</v>
      </c>
      <c r="K905" s="68" t="str">
        <f>VLOOKUP(Tabla6[[#This Row],[DIRECCIÓN GENERAL / COORDINACIÓN / SUBDIRECCIÓN]],Tabla37[[#All],[Columna1]:[EOD]],2,0)</f>
        <v>266_0005</v>
      </c>
      <c r="L905" s="69">
        <f>VLOOKUP(Tabla6[[#This Row],[OBJETIVOS PND]],Listas!$A$1:$C$3,3,0)</f>
        <v>1</v>
      </c>
      <c r="M905" s="70">
        <f>VLOOKUP(Tabla6[[#This Row],[PG]],Listas2!$G$14:$K$16,5,0)</f>
        <v>0</v>
      </c>
      <c r="N905" s="71">
        <v>1</v>
      </c>
      <c r="O905" s="72">
        <v>2001</v>
      </c>
      <c r="P905" s="73" t="str">
        <f>VLOOKUP(Tabla6[[#This Row],[GEO]],Listas!$A$48:$B$77,2,0)</f>
        <v>SAN CRISTÓBAL</v>
      </c>
      <c r="Q905" s="70">
        <f>VLOOKUP(Tabla6[[#This Row],[PG]],Listas2!$G$14:$K$16,3,0)</f>
        <v>1</v>
      </c>
      <c r="R905" s="73">
        <f>VLOOKUP(Tabla6[[#This Row],[PG]],Listas2!H910:'Listas2'!$G$14:$K$16,4,0)</f>
        <v>0</v>
      </c>
      <c r="S905" s="73">
        <f>VLOOKUP(Tabla6[[#This Row],[PG]],Listas2!$G$14:$K$16,2,0)</f>
        <v>0</v>
      </c>
      <c r="T905" s="66" t="s">
        <v>84</v>
      </c>
      <c r="U905" s="74">
        <v>57</v>
      </c>
      <c r="V905" s="66">
        <v>570102</v>
      </c>
      <c r="W905" s="63" t="str">
        <f>VLOOKUP(Tabla6[[#This Row],[ÍTEM PRESUPUESTARIO]],Tabla2[#All],2,0)</f>
        <v>TASAS GENERALES, IMPUESTOS, CONTRIBUCIONES, PERMISOS, LICENCIAS Y PATENTES</v>
      </c>
      <c r="X905" s="57">
        <v>330</v>
      </c>
      <c r="Y905" s="57">
        <f>330-30</f>
        <v>300</v>
      </c>
      <c r="Z905" s="58">
        <v>0</v>
      </c>
      <c r="AA905" s="58">
        <v>0</v>
      </c>
      <c r="AB905" s="58">
        <v>0</v>
      </c>
      <c r="AC905" s="58">
        <v>300</v>
      </c>
      <c r="AD905" s="58">
        <v>0</v>
      </c>
      <c r="AE905" s="58">
        <v>0</v>
      </c>
      <c r="AF905" s="58">
        <v>0</v>
      </c>
      <c r="AG905" s="58">
        <v>0</v>
      </c>
      <c r="AH905" s="58">
        <v>0</v>
      </c>
      <c r="AI905" s="58">
        <v>0</v>
      </c>
      <c r="AJ905" s="58">
        <v>0</v>
      </c>
      <c r="AK905" s="58">
        <v>0</v>
      </c>
      <c r="AL905" s="75">
        <f>+SUBTOTAL(9,Tabla6[[#This Row],[ENE]:[DIC]])</f>
        <v>300</v>
      </c>
      <c r="AM905" s="76" t="str">
        <f t="shared" si="19"/>
        <v>OK</v>
      </c>
      <c r="AN905" s="60">
        <v>300</v>
      </c>
      <c r="AO905" s="61">
        <f>+Tabla6[[#This Row],[PRESUPUESTO VIGENTE]]-Tabla6[[#This Row],[CERTIFICACIÓN PAPP]]</f>
        <v>0</v>
      </c>
      <c r="AP905" s="59">
        <v>0</v>
      </c>
    </row>
    <row r="906" spans="1:42" ht="93" customHeight="1" x14ac:dyDescent="0.25">
      <c r="A906" s="62" t="s">
        <v>78</v>
      </c>
      <c r="B906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906" s="64" t="s">
        <v>79</v>
      </c>
      <c r="D906" s="64" t="s">
        <v>80</v>
      </c>
      <c r="E906" s="64" t="s">
        <v>81</v>
      </c>
      <c r="F906" s="64" t="s">
        <v>101</v>
      </c>
      <c r="G906" s="64" t="s">
        <v>83</v>
      </c>
      <c r="H906" s="65" t="str">
        <f>VLOOKUP(Tabla6[[#This Row],[DIRECCIÓN]],DIRECCIÓN[#All],2,0)</f>
        <v>ADMINISTRACIÓN CENTRAL</v>
      </c>
      <c r="I906" s="66" t="s">
        <v>1082</v>
      </c>
      <c r="J906" s="67">
        <v>1</v>
      </c>
      <c r="K906" s="68" t="str">
        <f>VLOOKUP(Tabla6[[#This Row],[DIRECCIÓN GENERAL / COORDINACIÓN / SUBDIRECCIÓN]],Tabla37[[#All],[Columna1]:[EOD]],2,0)</f>
        <v>266_0005</v>
      </c>
      <c r="L906" s="69">
        <f>VLOOKUP(Tabla6[[#This Row],[OBJETIVOS PND]],Listas!$A$1:$C$3,3,0)</f>
        <v>1</v>
      </c>
      <c r="M906" s="70">
        <f>VLOOKUP(Tabla6[[#This Row],[PG]],Listas2!$G$14:$K$16,5,0)</f>
        <v>0</v>
      </c>
      <c r="N906" s="71">
        <v>1</v>
      </c>
      <c r="O906" s="72">
        <v>2001</v>
      </c>
      <c r="P906" s="73" t="str">
        <f>VLOOKUP(Tabla6[[#This Row],[GEO]],Listas!$A$48:$B$77,2,0)</f>
        <v>SAN CRISTÓBAL</v>
      </c>
      <c r="Q906" s="70">
        <f>VLOOKUP(Tabla6[[#This Row],[PG]],Listas2!$G$14:$K$16,3,0)</f>
        <v>1</v>
      </c>
      <c r="R906" s="73">
        <f>VLOOKUP(Tabla6[[#This Row],[PG]],Listas2!H911:'Listas2'!$G$14:$K$16,4,0)</f>
        <v>0</v>
      </c>
      <c r="S906" s="73">
        <f>VLOOKUP(Tabla6[[#This Row],[PG]],Listas2!$G$14:$K$16,2,0)</f>
        <v>0</v>
      </c>
      <c r="T906" s="66" t="s">
        <v>84</v>
      </c>
      <c r="U906" s="74">
        <v>57</v>
      </c>
      <c r="V906" s="66">
        <v>570102</v>
      </c>
      <c r="W906" s="63" t="str">
        <f>VLOOKUP(Tabla6[[#This Row],[ÍTEM PRESUPUESTARIO]],Tabla2[#All],2,0)</f>
        <v>TASAS GENERALES, IMPUESTOS, CONTRIBUCIONES, PERMISOS, LICENCIAS Y PATENTES</v>
      </c>
      <c r="X906" s="57">
        <v>0</v>
      </c>
      <c r="Y906" s="57">
        <f>550-550</f>
        <v>0</v>
      </c>
      <c r="Z906" s="58">
        <v>0</v>
      </c>
      <c r="AA906" s="58">
        <v>0</v>
      </c>
      <c r="AB906" s="58">
        <v>0</v>
      </c>
      <c r="AC906" s="58">
        <v>0</v>
      </c>
      <c r="AD906" s="58">
        <v>0</v>
      </c>
      <c r="AE906" s="58">
        <v>0</v>
      </c>
      <c r="AF906" s="58">
        <v>0</v>
      </c>
      <c r="AG906" s="58">
        <v>0</v>
      </c>
      <c r="AH906" s="58">
        <v>0</v>
      </c>
      <c r="AI906" s="58">
        <v>0</v>
      </c>
      <c r="AJ906" s="58">
        <v>0</v>
      </c>
      <c r="AK906" s="58">
        <v>0</v>
      </c>
      <c r="AL906" s="75">
        <f>+SUBTOTAL(9,Tabla6[[#This Row],[ENE]:[DIC]])</f>
        <v>0</v>
      </c>
      <c r="AM906" s="76" t="str">
        <f t="shared" si="19"/>
        <v>OK</v>
      </c>
      <c r="AN906" s="60">
        <v>0</v>
      </c>
      <c r="AO906" s="61">
        <f>+Tabla6[[#This Row],[PRESUPUESTO VIGENTE]]-Tabla6[[#This Row],[CERTIFICACIÓN PAPP]]</f>
        <v>0</v>
      </c>
      <c r="AP906" s="59">
        <v>0</v>
      </c>
    </row>
    <row r="907" spans="1:42" ht="93" customHeight="1" x14ac:dyDescent="0.25">
      <c r="A907" s="62" t="s">
        <v>78</v>
      </c>
      <c r="B907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907" s="64" t="s">
        <v>79</v>
      </c>
      <c r="D907" s="64" t="s">
        <v>80</v>
      </c>
      <c r="E907" s="64" t="s">
        <v>81</v>
      </c>
      <c r="F907" s="64" t="s">
        <v>101</v>
      </c>
      <c r="G907" s="64" t="s">
        <v>83</v>
      </c>
      <c r="H907" s="65" t="str">
        <f>VLOOKUP(Tabla6[[#This Row],[DIRECCIÓN]],DIRECCIÓN[#All],2,0)</f>
        <v>ADMINISTRACIÓN CENTRAL</v>
      </c>
      <c r="I907" s="66" t="s">
        <v>1083</v>
      </c>
      <c r="J907" s="67">
        <v>2</v>
      </c>
      <c r="K907" s="68" t="str">
        <f>VLOOKUP(Tabla6[[#This Row],[DIRECCIÓN GENERAL / COORDINACIÓN / SUBDIRECCIÓN]],Tabla37[[#All],[Columna1]:[EOD]],2,0)</f>
        <v>266_0005</v>
      </c>
      <c r="L907" s="69">
        <f>VLOOKUP(Tabla6[[#This Row],[OBJETIVOS PND]],Listas!$A$1:$C$3,3,0)</f>
        <v>1</v>
      </c>
      <c r="M907" s="70">
        <f>VLOOKUP(Tabla6[[#This Row],[PG]],Listas2!$G$14:$K$16,5,0)</f>
        <v>0</v>
      </c>
      <c r="N907" s="71">
        <v>1</v>
      </c>
      <c r="O907" s="72">
        <v>2001</v>
      </c>
      <c r="P907" s="73" t="str">
        <f>VLOOKUP(Tabla6[[#This Row],[GEO]],Listas!$A$48:$B$77,2,0)</f>
        <v>SAN CRISTÓBAL</v>
      </c>
      <c r="Q907" s="70">
        <f>VLOOKUP(Tabla6[[#This Row],[PG]],Listas2!$G$14:$K$16,3,0)</f>
        <v>1</v>
      </c>
      <c r="R907" s="73">
        <f>VLOOKUP(Tabla6[[#This Row],[PG]],Listas2!H912:'Listas2'!$G$14:$K$16,4,0)</f>
        <v>0</v>
      </c>
      <c r="S907" s="73">
        <f>VLOOKUP(Tabla6[[#This Row],[PG]],Listas2!$G$14:$K$16,2,0)</f>
        <v>0</v>
      </c>
      <c r="T907" s="66" t="s">
        <v>84</v>
      </c>
      <c r="U907" s="74">
        <v>57</v>
      </c>
      <c r="V907" s="66">
        <v>570102</v>
      </c>
      <c r="W907" s="63" t="str">
        <f>VLOOKUP(Tabla6[[#This Row],[ÍTEM PRESUPUESTARIO]],Tabla2[#All],2,0)</f>
        <v>TASAS GENERALES, IMPUESTOS, CONTRIBUCIONES, PERMISOS, LICENCIAS Y PATENTES</v>
      </c>
      <c r="X907" s="57">
        <v>100</v>
      </c>
      <c r="Y907" s="57">
        <f>100-100</f>
        <v>0</v>
      </c>
      <c r="Z907" s="58">
        <v>0</v>
      </c>
      <c r="AA907" s="58">
        <v>0</v>
      </c>
      <c r="AB907" s="58">
        <v>0</v>
      </c>
      <c r="AC907" s="58">
        <v>0</v>
      </c>
      <c r="AD907" s="58">
        <v>0</v>
      </c>
      <c r="AE907" s="58">
        <v>0</v>
      </c>
      <c r="AF907" s="58">
        <v>0</v>
      </c>
      <c r="AG907" s="58">
        <v>0</v>
      </c>
      <c r="AH907" s="58">
        <v>0</v>
      </c>
      <c r="AI907" s="58">
        <v>0</v>
      </c>
      <c r="AJ907" s="58">
        <v>0</v>
      </c>
      <c r="AK907" s="58">
        <v>0</v>
      </c>
      <c r="AL907" s="75">
        <f>+SUBTOTAL(9,Tabla6[[#This Row],[ENE]:[DIC]])</f>
        <v>0</v>
      </c>
      <c r="AM907" s="76" t="str">
        <f t="shared" si="19"/>
        <v>OK</v>
      </c>
      <c r="AN907" s="60">
        <v>0</v>
      </c>
      <c r="AO907" s="61">
        <f>+Tabla6[[#This Row],[PRESUPUESTO VIGENTE]]-Tabla6[[#This Row],[CERTIFICACIÓN PAPP]]</f>
        <v>0</v>
      </c>
      <c r="AP907" s="59">
        <v>0</v>
      </c>
    </row>
    <row r="908" spans="1:42" ht="93" customHeight="1" x14ac:dyDescent="0.25">
      <c r="A908" s="62" t="s">
        <v>78</v>
      </c>
      <c r="B908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908" s="64" t="s">
        <v>79</v>
      </c>
      <c r="D908" s="64" t="s">
        <v>80</v>
      </c>
      <c r="E908" s="64" t="s">
        <v>81</v>
      </c>
      <c r="F908" s="64" t="s">
        <v>101</v>
      </c>
      <c r="G908" s="64" t="s">
        <v>83</v>
      </c>
      <c r="H908" s="65" t="str">
        <f>VLOOKUP(Tabla6[[#This Row],[DIRECCIÓN]],DIRECCIÓN[#All],2,0)</f>
        <v>ADMINISTRACIÓN CENTRAL</v>
      </c>
      <c r="I908" s="66" t="s">
        <v>1082</v>
      </c>
      <c r="J908" s="67">
        <v>2</v>
      </c>
      <c r="K908" s="68" t="str">
        <f>VLOOKUP(Tabla6[[#This Row],[DIRECCIÓN GENERAL / COORDINACIÓN / SUBDIRECCIÓN]],Tabla37[[#All],[Columna1]:[EOD]],2,0)</f>
        <v>266_0005</v>
      </c>
      <c r="L908" s="69">
        <f>VLOOKUP(Tabla6[[#This Row],[OBJETIVOS PND]],Listas!$A$1:$C$3,3,0)</f>
        <v>1</v>
      </c>
      <c r="M908" s="70">
        <f>VLOOKUP(Tabla6[[#This Row],[PG]],Listas2!$G$14:$K$16,5,0)</f>
        <v>0</v>
      </c>
      <c r="N908" s="71">
        <v>1</v>
      </c>
      <c r="O908" s="72">
        <v>2001</v>
      </c>
      <c r="P908" s="73" t="str">
        <f>VLOOKUP(Tabla6[[#This Row],[GEO]],Listas!$A$48:$B$77,2,0)</f>
        <v>SAN CRISTÓBAL</v>
      </c>
      <c r="Q908" s="70">
        <f>VLOOKUP(Tabla6[[#This Row],[PG]],Listas2!$G$14:$K$16,3,0)</f>
        <v>1</v>
      </c>
      <c r="R908" s="73">
        <f>VLOOKUP(Tabla6[[#This Row],[PG]],Listas2!H913:'Listas2'!$G$14:$K$16,4,0)</f>
        <v>0</v>
      </c>
      <c r="S908" s="73">
        <f>VLOOKUP(Tabla6[[#This Row],[PG]],Listas2!$G$14:$K$16,2,0)</f>
        <v>0</v>
      </c>
      <c r="T908" s="66" t="s">
        <v>84</v>
      </c>
      <c r="U908" s="74">
        <v>57</v>
      </c>
      <c r="V908" s="66">
        <v>570102</v>
      </c>
      <c r="W908" s="63" t="str">
        <f>VLOOKUP(Tabla6[[#This Row],[ÍTEM PRESUPUESTARIO]],Tabla2[#All],2,0)</f>
        <v>TASAS GENERALES, IMPUESTOS, CONTRIBUCIONES, PERMISOS, LICENCIAS Y PATENTES</v>
      </c>
      <c r="X908" s="57">
        <v>0</v>
      </c>
      <c r="Y908" s="57">
        <f>2+25</f>
        <v>27</v>
      </c>
      <c r="Z908" s="58">
        <v>0</v>
      </c>
      <c r="AA908" s="58">
        <v>0</v>
      </c>
      <c r="AB908" s="58">
        <v>0</v>
      </c>
      <c r="AC908" s="58">
        <v>2</v>
      </c>
      <c r="AD908" s="58">
        <v>0</v>
      </c>
      <c r="AE908" s="58">
        <v>0</v>
      </c>
      <c r="AF908" s="58">
        <v>0</v>
      </c>
      <c r="AG908" s="58">
        <v>0</v>
      </c>
      <c r="AH908" s="58">
        <v>0</v>
      </c>
      <c r="AI908" s="58">
        <v>25</v>
      </c>
      <c r="AJ908" s="58">
        <v>0</v>
      </c>
      <c r="AK908" s="58">
        <v>0</v>
      </c>
      <c r="AL908" s="75">
        <f>+SUBTOTAL(9,Tabla6[[#This Row],[ENE]:[DIC]])</f>
        <v>27</v>
      </c>
      <c r="AM908" s="76" t="str">
        <f t="shared" si="19"/>
        <v>OK</v>
      </c>
      <c r="AN908" s="60">
        <f>2+25</f>
        <v>27</v>
      </c>
      <c r="AO908" s="61">
        <f>+Tabla6[[#This Row],[PRESUPUESTO VIGENTE]]-Tabla6[[#This Row],[CERTIFICACIÓN PAPP]]</f>
        <v>0</v>
      </c>
      <c r="AP908" s="59">
        <v>0</v>
      </c>
    </row>
    <row r="909" spans="1:42" ht="93" customHeight="1" x14ac:dyDescent="0.25">
      <c r="A909" s="62" t="s">
        <v>78</v>
      </c>
      <c r="B909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909" s="64" t="s">
        <v>79</v>
      </c>
      <c r="D909" s="64" t="s">
        <v>80</v>
      </c>
      <c r="E909" s="64" t="s">
        <v>81</v>
      </c>
      <c r="F909" s="64" t="s">
        <v>101</v>
      </c>
      <c r="G909" s="64" t="s">
        <v>83</v>
      </c>
      <c r="H909" s="65" t="str">
        <f>VLOOKUP(Tabla6[[#This Row],[DIRECCIÓN]],DIRECCIÓN[#All],2,0)</f>
        <v>ADMINISTRACIÓN CENTRAL</v>
      </c>
      <c r="I909" s="66" t="s">
        <v>1084</v>
      </c>
      <c r="J909" s="67">
        <v>1</v>
      </c>
      <c r="K909" s="68" t="str">
        <f>VLOOKUP(Tabla6[[#This Row],[DIRECCIÓN GENERAL / COORDINACIÓN / SUBDIRECCIÓN]],Tabla37[[#All],[Columna1]:[EOD]],2,0)</f>
        <v>266_0005</v>
      </c>
      <c r="L909" s="69">
        <f>VLOOKUP(Tabla6[[#This Row],[OBJETIVOS PND]],Listas!$A$1:$C$3,3,0)</f>
        <v>1</v>
      </c>
      <c r="M909" s="70">
        <f>VLOOKUP(Tabla6[[#This Row],[PG]],Listas2!$G$14:$K$16,5,0)</f>
        <v>0</v>
      </c>
      <c r="N909" s="71">
        <v>1</v>
      </c>
      <c r="O909" s="72">
        <v>2001</v>
      </c>
      <c r="P909" s="73" t="str">
        <f>VLOOKUP(Tabla6[[#This Row],[GEO]],Listas!$A$48:$B$77,2,0)</f>
        <v>SAN CRISTÓBAL</v>
      </c>
      <c r="Q909" s="70">
        <f>VLOOKUP(Tabla6[[#This Row],[PG]],Listas2!$G$14:$K$16,3,0)</f>
        <v>1</v>
      </c>
      <c r="R909" s="73">
        <f>VLOOKUP(Tabla6[[#This Row],[PG]],Listas2!H914:'Listas2'!$G$14:$K$16,4,0)</f>
        <v>0</v>
      </c>
      <c r="S909" s="73">
        <f>VLOOKUP(Tabla6[[#This Row],[PG]],Listas2!$G$14:$K$16,2,0)</f>
        <v>0</v>
      </c>
      <c r="T909" s="66" t="s">
        <v>84</v>
      </c>
      <c r="U909" s="74">
        <v>57</v>
      </c>
      <c r="V909" s="66">
        <v>570104</v>
      </c>
      <c r="W909" s="63" t="str">
        <f>VLOOKUP(Tabla6[[#This Row],[ÍTEM PRESUPUESTARIO]],Tabla2[#All],2,0)</f>
        <v>CONTRIBUCIONES ESPECIALES Y DE MEJORA</v>
      </c>
      <c r="X909" s="57">
        <v>300</v>
      </c>
      <c r="Y909" s="57">
        <f>300-298</f>
        <v>2</v>
      </c>
      <c r="Z909" s="58">
        <v>0</v>
      </c>
      <c r="AA909" s="58">
        <v>0</v>
      </c>
      <c r="AB909" s="58">
        <v>0</v>
      </c>
      <c r="AC909" s="58">
        <v>0</v>
      </c>
      <c r="AD909" s="58">
        <v>0</v>
      </c>
      <c r="AE909" s="58">
        <v>2</v>
      </c>
      <c r="AF909" s="58">
        <v>0</v>
      </c>
      <c r="AG909" s="58">
        <v>0</v>
      </c>
      <c r="AH909" s="58">
        <v>0</v>
      </c>
      <c r="AI909" s="58">
        <v>0</v>
      </c>
      <c r="AJ909" s="58">
        <v>0</v>
      </c>
      <c r="AK909" s="58">
        <v>0</v>
      </c>
      <c r="AL909" s="75">
        <f>+SUBTOTAL(9,Tabla6[[#This Row],[ENE]:[DIC]])</f>
        <v>2</v>
      </c>
      <c r="AM909" s="76" t="str">
        <f t="shared" si="19"/>
        <v>OK</v>
      </c>
      <c r="AN909" s="60">
        <v>2</v>
      </c>
      <c r="AO909" s="61">
        <f>+Tabla6[[#This Row],[PRESUPUESTO VIGENTE]]-Tabla6[[#This Row],[CERTIFICACIÓN PAPP]]</f>
        <v>0</v>
      </c>
      <c r="AP909" s="59">
        <v>0</v>
      </c>
    </row>
    <row r="910" spans="1:42" ht="93" customHeight="1" x14ac:dyDescent="0.25">
      <c r="A910" s="62" t="s">
        <v>88</v>
      </c>
      <c r="B910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910" s="64" t="s">
        <v>89</v>
      </c>
      <c r="D910" s="64" t="s">
        <v>80</v>
      </c>
      <c r="E910" s="64" t="s">
        <v>81</v>
      </c>
      <c r="F910" s="64" t="s">
        <v>101</v>
      </c>
      <c r="G910" s="64" t="s">
        <v>90</v>
      </c>
      <c r="H910" s="65" t="str">
        <f>VLOOKUP(Tabla6[[#This Row],[DIRECCIÓN]],DIRECCIÓN[#All],2,0)</f>
        <v>TECNOLOGÍA</v>
      </c>
      <c r="I910" s="66" t="s">
        <v>1085</v>
      </c>
      <c r="J910" s="67">
        <v>1</v>
      </c>
      <c r="K910" s="68" t="str">
        <f>VLOOKUP(Tabla6[[#This Row],[DIRECCIÓN GENERAL / COORDINACIÓN / SUBDIRECCIÓN]],Tabla37[[#All],[Columna1]:[EOD]],2,0)</f>
        <v>266_0005</v>
      </c>
      <c r="L910" s="69">
        <f>VLOOKUP(Tabla6[[#This Row],[OBJETIVOS PND]],Listas!$A$1:$C$3,3,0)</f>
        <v>55</v>
      </c>
      <c r="M910" s="70">
        <f>VLOOKUP(Tabla6[[#This Row],[PG]],Listas2!$G$14:$K$16,5,0)</f>
        <v>0</v>
      </c>
      <c r="N910" s="71">
        <v>3</v>
      </c>
      <c r="O910" s="72">
        <v>2001</v>
      </c>
      <c r="P910" s="73" t="str">
        <f>VLOOKUP(Tabla6[[#This Row],[GEO]],Listas!$A$48:$B$77,2,0)</f>
        <v>SAN CRISTÓBAL</v>
      </c>
      <c r="Q910" s="70">
        <f>VLOOKUP(Tabla6[[#This Row],[PG]],Listas2!$G$14:$K$16,3,0)</f>
        <v>1</v>
      </c>
      <c r="R910" s="73">
        <f>VLOOKUP(Tabla6[[#This Row],[PG]],Listas2!H915:'Listas2'!$G$14:$K$16,4,0)</f>
        <v>0</v>
      </c>
      <c r="S910" s="73">
        <f>VLOOKUP(Tabla6[[#This Row],[PG]],Listas2!$G$14:$K$16,2,0)</f>
        <v>0</v>
      </c>
      <c r="T910" s="66" t="s">
        <v>84</v>
      </c>
      <c r="U910" s="74">
        <v>53</v>
      </c>
      <c r="V910" s="66">
        <v>530105</v>
      </c>
      <c r="W910" s="63" t="str">
        <f>VLOOKUP(Tabla6[[#This Row],[ÍTEM PRESUPUESTARIO]],Tabla2[#All],2,0)</f>
        <v>TELECOMUNICACIONES</v>
      </c>
      <c r="X910" s="57">
        <v>123838</v>
      </c>
      <c r="Y910" s="57">
        <f>123838-11864.1-1677.4-300-5000-4015-1000-7075-500-522.44</f>
        <v>91884.06</v>
      </c>
      <c r="Z910" s="58">
        <v>11925</v>
      </c>
      <c r="AA910" s="58">
        <v>9530</v>
      </c>
      <c r="AB910" s="58">
        <v>9530</v>
      </c>
      <c r="AC910" s="58">
        <v>9530</v>
      </c>
      <c r="AD910" s="58">
        <v>9530</v>
      </c>
      <c r="AE910" s="58">
        <v>9530</v>
      </c>
      <c r="AF910" s="58">
        <v>9530</v>
      </c>
      <c r="AG910" s="58">
        <v>5515</v>
      </c>
      <c r="AH910" s="58">
        <v>5515</v>
      </c>
      <c r="AI910" s="58">
        <v>5500</v>
      </c>
      <c r="AJ910" s="58">
        <v>3524</v>
      </c>
      <c r="AK910" s="58">
        <v>2725.06</v>
      </c>
      <c r="AL910" s="75">
        <f>+SUBTOTAL(9,Tabla6[[#This Row],[ENE]:[DIC]])</f>
        <v>91884.06</v>
      </c>
      <c r="AM910" s="76" t="str">
        <f t="shared" si="19"/>
        <v>OK</v>
      </c>
      <c r="AN910" s="60">
        <f>103041.25+8785.21-1677.4-5000-1000-4015-1000-6250-1000</f>
        <v>91884.06</v>
      </c>
      <c r="AO910" s="61">
        <f>+Tabla6[[#This Row],[PRESUPUESTO VIGENTE]]-Tabla6[[#This Row],[CERTIFICACIÓN PAPP]]</f>
        <v>0</v>
      </c>
      <c r="AP910" s="59">
        <v>0</v>
      </c>
    </row>
    <row r="911" spans="1:42" ht="93" customHeight="1" x14ac:dyDescent="0.25">
      <c r="A911" s="62" t="s">
        <v>88</v>
      </c>
      <c r="B911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911" s="64" t="s">
        <v>89</v>
      </c>
      <c r="D911" s="64" t="s">
        <v>80</v>
      </c>
      <c r="E911" s="64" t="s">
        <v>81</v>
      </c>
      <c r="F911" s="64" t="s">
        <v>101</v>
      </c>
      <c r="G911" s="64" t="s">
        <v>90</v>
      </c>
      <c r="H911" s="65" t="str">
        <f>VLOOKUP(Tabla6[[#This Row],[DIRECCIÓN]],DIRECCIÓN[#All],2,0)</f>
        <v>TECNOLOGÍA</v>
      </c>
      <c r="I911" s="66" t="s">
        <v>1086</v>
      </c>
      <c r="J911" s="67">
        <v>2</v>
      </c>
      <c r="K911" s="68" t="str">
        <f>VLOOKUP(Tabla6[[#This Row],[DIRECCIÓN GENERAL / COORDINACIÓN / SUBDIRECCIÓN]],Tabla37[[#All],[Columna1]:[EOD]],2,0)</f>
        <v>266_0005</v>
      </c>
      <c r="L911" s="69">
        <f>VLOOKUP(Tabla6[[#This Row],[OBJETIVOS PND]],Listas!$A$1:$C$3,3,0)</f>
        <v>55</v>
      </c>
      <c r="M911" s="70">
        <f>VLOOKUP(Tabla6[[#This Row],[PG]],Listas2!$G$14:$K$16,5,0)</f>
        <v>0</v>
      </c>
      <c r="N911" s="71">
        <v>3</v>
      </c>
      <c r="O911" s="72">
        <v>2001</v>
      </c>
      <c r="P911" s="73" t="str">
        <f>VLOOKUP(Tabla6[[#This Row],[GEO]],Listas!$A$48:$B$77,2,0)</f>
        <v>SAN CRISTÓBAL</v>
      </c>
      <c r="Q911" s="70">
        <f>VLOOKUP(Tabla6[[#This Row],[PG]],Listas2!$G$14:$K$16,3,0)</f>
        <v>1</v>
      </c>
      <c r="R911" s="73">
        <f>VLOOKUP(Tabla6[[#This Row],[PG]],Listas2!H916:'Listas2'!$G$14:$K$16,4,0)</f>
        <v>0</v>
      </c>
      <c r="S911" s="73">
        <f>VLOOKUP(Tabla6[[#This Row],[PG]],Listas2!$G$14:$K$16,2,0)</f>
        <v>0</v>
      </c>
      <c r="T911" s="66" t="s">
        <v>84</v>
      </c>
      <c r="U911" s="74">
        <v>53</v>
      </c>
      <c r="V911" s="66">
        <v>530704</v>
      </c>
      <c r="W911" s="63" t="str">
        <f>VLOOKUP(Tabla6[[#This Row],[ÍTEM PRESUPUESTARIO]],Tabla2[#All],2,0)</f>
        <v xml:space="preserve">MANTENIMIENTO Y REPARACIÓN DE EQUIPOS Y SISTEMAS INFORMÁTICOS </v>
      </c>
      <c r="X911" s="57">
        <v>4018</v>
      </c>
      <c r="Y911" s="57">
        <f>4018-9-9</f>
        <v>4000</v>
      </c>
      <c r="Z911" s="58">
        <v>0</v>
      </c>
      <c r="AA911" s="58">
        <v>0</v>
      </c>
      <c r="AB911" s="58">
        <v>0</v>
      </c>
      <c r="AC911" s="58">
        <v>0</v>
      </c>
      <c r="AD911" s="58">
        <v>0</v>
      </c>
      <c r="AE911" s="58">
        <v>0</v>
      </c>
      <c r="AF911" s="58">
        <v>0</v>
      </c>
      <c r="AG911" s="58">
        <v>2300</v>
      </c>
      <c r="AH911" s="58">
        <v>0</v>
      </c>
      <c r="AI911" s="58">
        <v>0</v>
      </c>
      <c r="AJ911" s="58">
        <v>1700</v>
      </c>
      <c r="AK911" s="58">
        <v>0</v>
      </c>
      <c r="AL911" s="75">
        <f>+SUBTOTAL(9,Tabla6[[#This Row],[ENE]:[DIC]])</f>
        <v>4000</v>
      </c>
      <c r="AM911" s="76" t="str">
        <f t="shared" si="19"/>
        <v>OK</v>
      </c>
      <c r="AN911" s="60">
        <v>4000</v>
      </c>
      <c r="AO911" s="61">
        <f>+Tabla6[[#This Row],[PRESUPUESTO VIGENTE]]-Tabla6[[#This Row],[CERTIFICACIÓN PAPP]]</f>
        <v>0</v>
      </c>
      <c r="AP911" s="59" t="s">
        <v>87</v>
      </c>
    </row>
    <row r="912" spans="1:42" ht="93" customHeight="1" x14ac:dyDescent="0.25">
      <c r="A912" s="62" t="s">
        <v>78</v>
      </c>
      <c r="B912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912" s="64" t="s">
        <v>79</v>
      </c>
      <c r="D912" s="64" t="s">
        <v>80</v>
      </c>
      <c r="E912" s="64" t="s">
        <v>81</v>
      </c>
      <c r="F912" s="64" t="s">
        <v>110</v>
      </c>
      <c r="G912" s="64" t="s">
        <v>92</v>
      </c>
      <c r="H912" s="65" t="str">
        <f>VLOOKUP(Tabla6[[#This Row],[DIRECCIÓN]],DIRECCIÓN[#All],2,0)</f>
        <v>ADMINISTRACIÓN CENTRAL</v>
      </c>
      <c r="I912" s="66" t="s">
        <v>93</v>
      </c>
      <c r="J912" s="67">
        <v>1</v>
      </c>
      <c r="K912" s="68" t="str">
        <f>VLOOKUP(Tabla6[[#This Row],[DIRECCIÓN GENERAL / COORDINACIÓN / SUBDIRECCIÓN]],Tabla37[[#All],[Columna1]:[EOD]],2,0)</f>
        <v>266_0006</v>
      </c>
      <c r="L912" s="69">
        <f>VLOOKUP(Tabla6[[#This Row],[OBJETIVOS PND]],Listas!$A$1:$C$3,3,0)</f>
        <v>1</v>
      </c>
      <c r="M912" s="70">
        <f>VLOOKUP(Tabla6[[#This Row],[PG]],Listas2!$G$14:$K$16,5,0)</f>
        <v>0</v>
      </c>
      <c r="N912" s="71">
        <v>1</v>
      </c>
      <c r="O912" s="72">
        <v>100</v>
      </c>
      <c r="P912" s="73" t="str">
        <f>VLOOKUP(Tabla6[[#This Row],[GEO]],Listas!$A$48:$B$77,2,0)</f>
        <v>CUENCA</v>
      </c>
      <c r="Q912" s="70">
        <f>VLOOKUP(Tabla6[[#This Row],[PG]],Listas2!$G$14:$K$16,3,0)</f>
        <v>1</v>
      </c>
      <c r="R912" s="73">
        <f>VLOOKUP(Tabla6[[#This Row],[PG]],Listas2!H14:'Listas2'!$G$14:$K$16,4,0)</f>
        <v>0</v>
      </c>
      <c r="S912" s="73">
        <f>VLOOKUP(Tabla6[[#This Row],[PG]],Listas2!$G$14:$K$16,2,0)</f>
        <v>0</v>
      </c>
      <c r="T912" s="66" t="s">
        <v>84</v>
      </c>
      <c r="U912" s="74">
        <v>51</v>
      </c>
      <c r="V912" s="66">
        <v>510105</v>
      </c>
      <c r="W912" s="63" t="str">
        <f>VLOOKUP(Tabla6[[#This Row],[ÍTEM PRESUPUESTARIO]],Tabla2[#All],2,0)</f>
        <v>REMUNERACIONES UNIFICADAS</v>
      </c>
      <c r="X912" s="57">
        <v>335052</v>
      </c>
      <c r="Y912" s="57">
        <f>335052-32.87</f>
        <v>335019.13</v>
      </c>
      <c r="Z912" s="58">
        <v>27921</v>
      </c>
      <c r="AA912" s="58">
        <v>27921</v>
      </c>
      <c r="AB912" s="58">
        <v>27921</v>
      </c>
      <c r="AC912" s="58">
        <v>27921</v>
      </c>
      <c r="AD912" s="58">
        <v>27921</v>
      </c>
      <c r="AE912" s="58">
        <v>27921</v>
      </c>
      <c r="AF912" s="58">
        <v>27921</v>
      </c>
      <c r="AG912" s="58">
        <v>27921</v>
      </c>
      <c r="AH912" s="58">
        <v>27921</v>
      </c>
      <c r="AI912" s="58">
        <v>27921</v>
      </c>
      <c r="AJ912" s="58">
        <v>27921</v>
      </c>
      <c r="AK912" s="58">
        <f>27921-32.87</f>
        <v>27888.13</v>
      </c>
      <c r="AL912" s="75">
        <f>+SUBTOTAL(9,Tabla6[[#This Row],[ENE]:[DIC]])</f>
        <v>335019.13</v>
      </c>
      <c r="AM912" s="76" t="str">
        <f t="shared" ref="AM912:AM943" si="20">IF(AL912=Y912,"OK",Y912-AL912)</f>
        <v>OK</v>
      </c>
      <c r="AN912" s="60">
        <v>0</v>
      </c>
      <c r="AO912" s="61">
        <f>+Tabla6[[#This Row],[PRESUPUESTO VIGENTE]]-Tabla6[[#This Row],[CERTIFICACIÓN PAPP]]</f>
        <v>335019.13</v>
      </c>
      <c r="AP912" s="59">
        <v>0</v>
      </c>
    </row>
    <row r="913" spans="1:42" ht="93" customHeight="1" x14ac:dyDescent="0.25">
      <c r="A913" s="62" t="s">
        <v>78</v>
      </c>
      <c r="B913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913" s="64" t="s">
        <v>79</v>
      </c>
      <c r="D913" s="64" t="s">
        <v>80</v>
      </c>
      <c r="E913" s="64" t="s">
        <v>81</v>
      </c>
      <c r="F913" s="64" t="s">
        <v>110</v>
      </c>
      <c r="G913" s="64" t="s">
        <v>92</v>
      </c>
      <c r="H913" s="65" t="str">
        <f>VLOOKUP(Tabla6[[#This Row],[DIRECCIÓN]],DIRECCIÓN[#All],2,0)</f>
        <v>ADMINISTRACIÓN CENTRAL</v>
      </c>
      <c r="I913" s="66" t="s">
        <v>93</v>
      </c>
      <c r="J913" s="67">
        <v>1</v>
      </c>
      <c r="K913" s="68" t="str">
        <f>VLOOKUP(Tabla6[[#This Row],[DIRECCIÓN GENERAL / COORDINACIÓN / SUBDIRECCIÓN]],Tabla37[[#All],[Columna1]:[EOD]],2,0)</f>
        <v>266_0006</v>
      </c>
      <c r="L913" s="69">
        <f>VLOOKUP(Tabla6[[#This Row],[OBJETIVOS PND]],Listas!$A$1:$C$3,3,0)</f>
        <v>1</v>
      </c>
      <c r="M913" s="70">
        <f>VLOOKUP(Tabla6[[#This Row],[PG]],Listas2!$G$14:$K$16,5,0)</f>
        <v>0</v>
      </c>
      <c r="N913" s="71">
        <v>1</v>
      </c>
      <c r="O913" s="72">
        <v>100</v>
      </c>
      <c r="P913" s="73" t="str">
        <f>VLOOKUP(Tabla6[[#This Row],[GEO]],Listas!$A$48:$B$77,2,0)</f>
        <v>CUENCA</v>
      </c>
      <c r="Q913" s="70">
        <f>VLOOKUP(Tabla6[[#This Row],[PG]],Listas2!$G$14:$K$16,3,0)</f>
        <v>1</v>
      </c>
      <c r="R913" s="73">
        <f>VLOOKUP(Tabla6[[#This Row],[PG]],Listas2!H15:'Listas2'!$G$14:$K$16,4,0)</f>
        <v>0</v>
      </c>
      <c r="S913" s="73">
        <f>VLOOKUP(Tabla6[[#This Row],[PG]],Listas2!$G$14:$K$16,2,0)</f>
        <v>0</v>
      </c>
      <c r="T913" s="66" t="s">
        <v>84</v>
      </c>
      <c r="U913" s="74">
        <v>51</v>
      </c>
      <c r="V913" s="66">
        <v>510106</v>
      </c>
      <c r="W913" s="63" t="str">
        <f>VLOOKUP(Tabla6[[#This Row],[ÍTEM PRESUPUESTARIO]],Tabla2[#All],2,0)</f>
        <v>SALARIOS UNIFICADOS</v>
      </c>
      <c r="X913" s="57">
        <v>28968</v>
      </c>
      <c r="Y913" s="57">
        <f>28752.05-1423.9</f>
        <v>27328.149999999998</v>
      </c>
      <c r="Z913" s="58">
        <v>2396</v>
      </c>
      <c r="AA913" s="58">
        <v>2396</v>
      </c>
      <c r="AB913" s="58">
        <v>2396</v>
      </c>
      <c r="AC913" s="58">
        <v>2396</v>
      </c>
      <c r="AD913" s="58">
        <v>2396</v>
      </c>
      <c r="AE913" s="58">
        <v>2396</v>
      </c>
      <c r="AF913" s="58">
        <v>2396</v>
      </c>
      <c r="AG913" s="58">
        <v>2396</v>
      </c>
      <c r="AH913" s="58">
        <v>2396</v>
      </c>
      <c r="AI913" s="58">
        <v>2396</v>
      </c>
      <c r="AJ913" s="58">
        <v>2396</v>
      </c>
      <c r="AK913" s="58">
        <f>2396.05-1423.9</f>
        <v>972.15000000000009</v>
      </c>
      <c r="AL913" s="75">
        <f>+SUBTOTAL(9,Tabla6[[#This Row],[ENE]:[DIC]])</f>
        <v>27328.15</v>
      </c>
      <c r="AM913" s="76" t="str">
        <f t="shared" si="20"/>
        <v>OK</v>
      </c>
      <c r="AN913" s="60">
        <v>0</v>
      </c>
      <c r="AO913" s="61">
        <f>+Tabla6[[#This Row],[PRESUPUESTO VIGENTE]]-Tabla6[[#This Row],[CERTIFICACIÓN PAPP]]</f>
        <v>27328.149999999998</v>
      </c>
      <c r="AP913" s="59">
        <v>0</v>
      </c>
    </row>
    <row r="914" spans="1:42" ht="93" customHeight="1" x14ac:dyDescent="0.25">
      <c r="A914" s="62" t="s">
        <v>78</v>
      </c>
      <c r="B914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914" s="64" t="s">
        <v>79</v>
      </c>
      <c r="D914" s="64" t="s">
        <v>80</v>
      </c>
      <c r="E914" s="64" t="s">
        <v>81</v>
      </c>
      <c r="F914" s="64" t="s">
        <v>110</v>
      </c>
      <c r="G914" s="64" t="s">
        <v>92</v>
      </c>
      <c r="H914" s="65" t="str">
        <f>VLOOKUP(Tabla6[[#This Row],[DIRECCIÓN]],DIRECCIÓN[#All],2,0)</f>
        <v>ADMINISTRACIÓN CENTRAL</v>
      </c>
      <c r="I914" s="66" t="s">
        <v>93</v>
      </c>
      <c r="J914" s="67">
        <v>1</v>
      </c>
      <c r="K914" s="68" t="str">
        <f>VLOOKUP(Tabla6[[#This Row],[DIRECCIÓN GENERAL / COORDINACIÓN / SUBDIRECCIÓN]],Tabla37[[#All],[Columna1]:[EOD]],2,0)</f>
        <v>266_0006</v>
      </c>
      <c r="L914" s="69">
        <f>VLOOKUP(Tabla6[[#This Row],[OBJETIVOS PND]],Listas!$A$1:$C$3,3,0)</f>
        <v>1</v>
      </c>
      <c r="M914" s="70">
        <f>VLOOKUP(Tabla6[[#This Row],[PG]],Listas2!$G$14:$K$16,5,0)</f>
        <v>0</v>
      </c>
      <c r="N914" s="71">
        <v>1</v>
      </c>
      <c r="O914" s="72">
        <v>100</v>
      </c>
      <c r="P914" s="73" t="str">
        <f>VLOOKUP(Tabla6[[#This Row],[GEO]],Listas!$A$48:$B$77,2,0)</f>
        <v>CUENCA</v>
      </c>
      <c r="Q914" s="70">
        <f>VLOOKUP(Tabla6[[#This Row],[PG]],Listas2!$G$14:$K$16,3,0)</f>
        <v>1</v>
      </c>
      <c r="R914" s="73">
        <f>VLOOKUP(Tabla6[[#This Row],[PG]],Listas2!H16:'Listas2'!$G$14:$K$16,4,0)</f>
        <v>0</v>
      </c>
      <c r="S914" s="73">
        <f>VLOOKUP(Tabla6[[#This Row],[PG]],Listas2!$G$14:$K$16,2,0)</f>
        <v>0</v>
      </c>
      <c r="T914" s="66" t="s">
        <v>84</v>
      </c>
      <c r="U914" s="74">
        <v>51</v>
      </c>
      <c r="V914" s="66">
        <v>510203</v>
      </c>
      <c r="W914" s="63" t="str">
        <f>VLOOKUP(Tabla6[[#This Row],[ÍTEM PRESUPUESTARIO]],Tabla2[#All],2,0)</f>
        <v>DÉCIMO TERCER SUELDO</v>
      </c>
      <c r="X914" s="57">
        <v>30335</v>
      </c>
      <c r="Y914" s="57">
        <f>30320+58+100+492+164-237.64</f>
        <v>30896.36</v>
      </c>
      <c r="Z914" s="58">
        <v>0</v>
      </c>
      <c r="AA914" s="58">
        <v>0</v>
      </c>
      <c r="AB914" s="58">
        <v>0</v>
      </c>
      <c r="AC914" s="58">
        <v>0</v>
      </c>
      <c r="AD914" s="58">
        <v>0</v>
      </c>
      <c r="AE914" s="58">
        <v>0</v>
      </c>
      <c r="AF914" s="58">
        <v>0</v>
      </c>
      <c r="AG914" s="58">
        <v>0</v>
      </c>
      <c r="AH914" s="58">
        <v>0</v>
      </c>
      <c r="AI914" s="58">
        <v>0</v>
      </c>
      <c r="AJ914" s="58">
        <v>0</v>
      </c>
      <c r="AK914" s="58">
        <f>31134-237.64</f>
        <v>30896.36</v>
      </c>
      <c r="AL914" s="75">
        <f>+SUBTOTAL(9,Tabla6[[#This Row],[ENE]:[DIC]])</f>
        <v>30896.36</v>
      </c>
      <c r="AM914" s="76" t="str">
        <f t="shared" si="20"/>
        <v>OK</v>
      </c>
      <c r="AN914" s="60">
        <v>0</v>
      </c>
      <c r="AO914" s="61">
        <f>+Tabla6[[#This Row],[PRESUPUESTO VIGENTE]]-Tabla6[[#This Row],[CERTIFICACIÓN PAPP]]</f>
        <v>30896.36</v>
      </c>
      <c r="AP914" s="59">
        <v>0</v>
      </c>
    </row>
    <row r="915" spans="1:42" ht="93" customHeight="1" x14ac:dyDescent="0.25">
      <c r="A915" s="62" t="s">
        <v>78</v>
      </c>
      <c r="B915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915" s="64" t="s">
        <v>79</v>
      </c>
      <c r="D915" s="64" t="s">
        <v>80</v>
      </c>
      <c r="E915" s="64" t="s">
        <v>81</v>
      </c>
      <c r="F915" s="64" t="s">
        <v>110</v>
      </c>
      <c r="G915" s="64" t="s">
        <v>92</v>
      </c>
      <c r="H915" s="65" t="str">
        <f>VLOOKUP(Tabla6[[#This Row],[DIRECCIÓN]],DIRECCIÓN[#All],2,0)</f>
        <v>ADMINISTRACIÓN CENTRAL</v>
      </c>
      <c r="I915" s="66" t="s">
        <v>93</v>
      </c>
      <c r="J915" s="67">
        <v>1</v>
      </c>
      <c r="K915" s="68" t="str">
        <f>VLOOKUP(Tabla6[[#This Row],[DIRECCIÓN GENERAL / COORDINACIÓN / SUBDIRECCIÓN]],Tabla37[[#All],[Columna1]:[EOD]],2,0)</f>
        <v>266_0006</v>
      </c>
      <c r="L915" s="69">
        <f>VLOOKUP(Tabla6[[#This Row],[OBJETIVOS PND]],Listas!$A$1:$C$3,3,0)</f>
        <v>1</v>
      </c>
      <c r="M915" s="70">
        <f>VLOOKUP(Tabla6[[#This Row],[PG]],Listas2!$G$14:$K$16,5,0)</f>
        <v>0</v>
      </c>
      <c r="N915" s="71">
        <v>1</v>
      </c>
      <c r="O915" s="72">
        <v>100</v>
      </c>
      <c r="P915" s="73" t="str">
        <f>VLOOKUP(Tabla6[[#This Row],[GEO]],Listas!$A$48:$B$77,2,0)</f>
        <v>CUENCA</v>
      </c>
      <c r="Q915" s="70">
        <f>VLOOKUP(Tabla6[[#This Row],[PG]],Listas2!$G$14:$K$16,3,0)</f>
        <v>1</v>
      </c>
      <c r="R915" s="73">
        <f>VLOOKUP(Tabla6[[#This Row],[PG]],Listas2!H17:'Listas2'!$G$14:$K$16,4,0)</f>
        <v>0</v>
      </c>
      <c r="S915" s="73">
        <f>VLOOKUP(Tabla6[[#This Row],[PG]],Listas2!$G$14:$K$16,2,0)</f>
        <v>0</v>
      </c>
      <c r="T915" s="66" t="s">
        <v>84</v>
      </c>
      <c r="U915" s="74">
        <v>51</v>
      </c>
      <c r="V915" s="66">
        <v>510204</v>
      </c>
      <c r="W915" s="63" t="str">
        <f>VLOOKUP(Tabla6[[#This Row],[ÍTEM PRESUPUESTARIO]],Tabla2[#All],2,0)</f>
        <v>DÉCIMO CUARTO SUELDO</v>
      </c>
      <c r="X915" s="57">
        <v>10625</v>
      </c>
      <c r="Y915" s="57">
        <f>11250-750+200+86+117+450+150-52.7</f>
        <v>11450.3</v>
      </c>
      <c r="Z915" s="58">
        <v>0</v>
      </c>
      <c r="AA915" s="58">
        <v>0</v>
      </c>
      <c r="AB915" s="58">
        <v>0</v>
      </c>
      <c r="AC915" s="58">
        <v>0</v>
      </c>
      <c r="AD915" s="58">
        <v>0</v>
      </c>
      <c r="AE915" s="58">
        <v>0</v>
      </c>
      <c r="AF915" s="58">
        <v>0</v>
      </c>
      <c r="AG915" s="58">
        <f>10903+450+150-52.7</f>
        <v>11450.3</v>
      </c>
      <c r="AH915" s="58">
        <v>0</v>
      </c>
      <c r="AI915" s="58">
        <v>0</v>
      </c>
      <c r="AJ915" s="58">
        <v>0</v>
      </c>
      <c r="AK915" s="58">
        <v>0</v>
      </c>
      <c r="AL915" s="75">
        <f>+SUBTOTAL(9,Tabla6[[#This Row],[ENE]:[DIC]])</f>
        <v>11450.3</v>
      </c>
      <c r="AM915" s="76" t="str">
        <f t="shared" si="20"/>
        <v>OK</v>
      </c>
      <c r="AN915" s="60">
        <v>0</v>
      </c>
      <c r="AO915" s="61">
        <f>+Tabla6[[#This Row],[PRESUPUESTO VIGENTE]]-Tabla6[[#This Row],[CERTIFICACIÓN PAPP]]</f>
        <v>11450.3</v>
      </c>
      <c r="AP915" s="59">
        <v>0</v>
      </c>
    </row>
    <row r="916" spans="1:42" ht="93" customHeight="1" x14ac:dyDescent="0.25">
      <c r="A916" s="62" t="s">
        <v>78</v>
      </c>
      <c r="B916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916" s="64" t="s">
        <v>79</v>
      </c>
      <c r="D916" s="64" t="s">
        <v>80</v>
      </c>
      <c r="E916" s="64" t="s">
        <v>81</v>
      </c>
      <c r="F916" s="64" t="s">
        <v>110</v>
      </c>
      <c r="G916" s="64" t="s">
        <v>92</v>
      </c>
      <c r="H916" s="65" t="str">
        <f>VLOOKUP(Tabla6[[#This Row],[DIRECCIÓN]],DIRECCIÓN[#All],2,0)</f>
        <v>ADMINISTRACIÓN CENTRAL</v>
      </c>
      <c r="I916" s="66" t="s">
        <v>93</v>
      </c>
      <c r="J916" s="67">
        <v>1</v>
      </c>
      <c r="K916" s="68" t="str">
        <f>VLOOKUP(Tabla6[[#This Row],[DIRECCIÓN GENERAL / COORDINACIÓN / SUBDIRECCIÓN]],Tabla37[[#All],[Columna1]:[EOD]],2,0)</f>
        <v>266_0006</v>
      </c>
      <c r="L916" s="69">
        <f>VLOOKUP(Tabla6[[#This Row],[OBJETIVOS PND]],Listas!$A$1:$C$3,3,0)</f>
        <v>1</v>
      </c>
      <c r="M916" s="70">
        <f>VLOOKUP(Tabla6[[#This Row],[PG]],Listas2!$G$14:$K$16,5,0)</f>
        <v>0</v>
      </c>
      <c r="N916" s="71">
        <v>1</v>
      </c>
      <c r="O916" s="72">
        <v>100</v>
      </c>
      <c r="P916" s="73" t="str">
        <f>VLOOKUP(Tabla6[[#This Row],[GEO]],Listas!$A$48:$B$77,2,0)</f>
        <v>CUENCA</v>
      </c>
      <c r="Q916" s="70">
        <f>VLOOKUP(Tabla6[[#This Row],[PG]],Listas2!$G$14:$K$16,3,0)</f>
        <v>1</v>
      </c>
      <c r="R916" s="73">
        <f>VLOOKUP(Tabla6[[#This Row],[PG]],Listas2!H18:'Listas2'!$G$14:$K$16,4,0)</f>
        <v>0</v>
      </c>
      <c r="S916" s="73">
        <f>VLOOKUP(Tabla6[[#This Row],[PG]],Listas2!$G$14:$K$16,2,0)</f>
        <v>0</v>
      </c>
      <c r="T916" s="66" t="s">
        <v>84</v>
      </c>
      <c r="U916" s="74">
        <v>51</v>
      </c>
      <c r="V916" s="66">
        <v>510304</v>
      </c>
      <c r="W916" s="63" t="str">
        <f>VLOOKUP(Tabla6[[#This Row],[ÍTEM PRESUPUESTARIO]],Tabla2[#All],2,0)</f>
        <v>COMPENSACION POR TRANSPORTE</v>
      </c>
      <c r="X916" s="57">
        <v>0</v>
      </c>
      <c r="Y916" s="57">
        <f>132-132</f>
        <v>0</v>
      </c>
      <c r="Z916" s="58">
        <v>0</v>
      </c>
      <c r="AA916" s="58">
        <v>0</v>
      </c>
      <c r="AB916" s="58">
        <v>0</v>
      </c>
      <c r="AC916" s="58">
        <v>0</v>
      </c>
      <c r="AD916" s="58">
        <v>0</v>
      </c>
      <c r="AE916" s="58">
        <v>0</v>
      </c>
      <c r="AF916" s="58">
        <v>0</v>
      </c>
      <c r="AG916" s="58">
        <f>132-132</f>
        <v>0</v>
      </c>
      <c r="AH916" s="58">
        <v>0</v>
      </c>
      <c r="AI916" s="58">
        <v>0</v>
      </c>
      <c r="AJ916" s="58">
        <v>0</v>
      </c>
      <c r="AK916" s="58">
        <v>0</v>
      </c>
      <c r="AL916" s="75">
        <f>+SUBTOTAL(9,Tabla6[[#This Row],[ENE]:[DIC]])</f>
        <v>0</v>
      </c>
      <c r="AM916" s="76" t="str">
        <f t="shared" si="20"/>
        <v>OK</v>
      </c>
      <c r="AN916" s="60">
        <v>0</v>
      </c>
      <c r="AO916" s="61">
        <f>+Tabla6[[#This Row],[PRESUPUESTO VIGENTE]]-Tabla6[[#This Row],[CERTIFICACIÓN PAPP]]</f>
        <v>0</v>
      </c>
      <c r="AP916" s="59">
        <v>0</v>
      </c>
    </row>
    <row r="917" spans="1:42" ht="93" customHeight="1" x14ac:dyDescent="0.25">
      <c r="A917" s="62" t="s">
        <v>78</v>
      </c>
      <c r="B917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917" s="64" t="s">
        <v>79</v>
      </c>
      <c r="D917" s="64" t="s">
        <v>80</v>
      </c>
      <c r="E917" s="64" t="s">
        <v>81</v>
      </c>
      <c r="F917" s="64" t="s">
        <v>110</v>
      </c>
      <c r="G917" s="64" t="s">
        <v>92</v>
      </c>
      <c r="H917" s="65" t="str">
        <f>VLOOKUP(Tabla6[[#This Row],[DIRECCIÓN]],DIRECCIÓN[#All],2,0)</f>
        <v>ADMINISTRACIÓN CENTRAL</v>
      </c>
      <c r="I917" s="66" t="s">
        <v>93</v>
      </c>
      <c r="J917" s="67">
        <v>1</v>
      </c>
      <c r="K917" s="68" t="str">
        <f>VLOOKUP(Tabla6[[#This Row],[DIRECCIÓN GENERAL / COORDINACIÓN / SUBDIRECCIÓN]],Tabla37[[#All],[Columna1]:[EOD]],2,0)</f>
        <v>266_0006</v>
      </c>
      <c r="L917" s="69">
        <f>VLOOKUP(Tabla6[[#This Row],[OBJETIVOS PND]],Listas!$A$1:$C$3,3,0)</f>
        <v>1</v>
      </c>
      <c r="M917" s="70">
        <f>VLOOKUP(Tabla6[[#This Row],[PG]],Listas2!$G$14:$K$16,5,0)</f>
        <v>0</v>
      </c>
      <c r="N917" s="71">
        <v>1</v>
      </c>
      <c r="O917" s="72">
        <v>100</v>
      </c>
      <c r="P917" s="73" t="str">
        <f>VLOOKUP(Tabla6[[#This Row],[GEO]],Listas!$A$48:$B$77,2,0)</f>
        <v>CUENCA</v>
      </c>
      <c r="Q917" s="70">
        <f>VLOOKUP(Tabla6[[#This Row],[PG]],Listas2!$G$14:$K$16,3,0)</f>
        <v>1</v>
      </c>
      <c r="R917" s="73">
        <f>VLOOKUP(Tabla6[[#This Row],[PG]],Listas2!H19:'Listas2'!$G$14:$K$16,4,0)</f>
        <v>0</v>
      </c>
      <c r="S917" s="73">
        <f>VLOOKUP(Tabla6[[#This Row],[PG]],Listas2!$G$14:$K$16,2,0)</f>
        <v>0</v>
      </c>
      <c r="T917" s="66" t="s">
        <v>84</v>
      </c>
      <c r="U917" s="74">
        <v>51</v>
      </c>
      <c r="V917" s="66">
        <v>510306</v>
      </c>
      <c r="W917" s="63" t="str">
        <f>VLOOKUP(Tabla6[[#This Row],[ÍTEM PRESUPUESTARIO]],Tabla2[#All],2,0)</f>
        <v>ALIMENTACION</v>
      </c>
      <c r="X917" s="57">
        <v>0</v>
      </c>
      <c r="Y917" s="57">
        <f>660-660</f>
        <v>0</v>
      </c>
      <c r="Z917" s="58">
        <v>0</v>
      </c>
      <c r="AA917" s="58">
        <v>0</v>
      </c>
      <c r="AB917" s="58">
        <v>0</v>
      </c>
      <c r="AC917" s="58">
        <v>0</v>
      </c>
      <c r="AD917" s="58">
        <v>0</v>
      </c>
      <c r="AE917" s="58">
        <v>0</v>
      </c>
      <c r="AF917" s="58">
        <v>0</v>
      </c>
      <c r="AG917" s="58">
        <f>660-660</f>
        <v>0</v>
      </c>
      <c r="AH917" s="58">
        <v>0</v>
      </c>
      <c r="AI917" s="58">
        <v>0</v>
      </c>
      <c r="AJ917" s="58">
        <v>0</v>
      </c>
      <c r="AK917" s="58">
        <v>0</v>
      </c>
      <c r="AL917" s="75">
        <f>+SUBTOTAL(9,Tabla6[[#This Row],[ENE]:[DIC]])</f>
        <v>0</v>
      </c>
      <c r="AM917" s="76" t="str">
        <f t="shared" si="20"/>
        <v>OK</v>
      </c>
      <c r="AN917" s="60">
        <v>0</v>
      </c>
      <c r="AO917" s="61">
        <f>+Tabla6[[#This Row],[PRESUPUESTO VIGENTE]]-Tabla6[[#This Row],[CERTIFICACIÓN PAPP]]</f>
        <v>0</v>
      </c>
      <c r="AP917" s="59">
        <v>0</v>
      </c>
    </row>
    <row r="918" spans="1:42" ht="93" customHeight="1" x14ac:dyDescent="0.25">
      <c r="A918" s="62" t="s">
        <v>78</v>
      </c>
      <c r="B918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918" s="64" t="s">
        <v>79</v>
      </c>
      <c r="D918" s="64" t="s">
        <v>80</v>
      </c>
      <c r="E918" s="64" t="s">
        <v>81</v>
      </c>
      <c r="F918" s="64" t="s">
        <v>110</v>
      </c>
      <c r="G918" s="64" t="s">
        <v>92</v>
      </c>
      <c r="H918" s="65" t="str">
        <f>VLOOKUP(Tabla6[[#This Row],[DIRECCIÓN]],DIRECCIÓN[#All],2,0)</f>
        <v>ADMINISTRACIÓN CENTRAL</v>
      </c>
      <c r="I918" s="66" t="s">
        <v>93</v>
      </c>
      <c r="J918" s="67">
        <v>1</v>
      </c>
      <c r="K918" s="68" t="str">
        <f>VLOOKUP(Tabla6[[#This Row],[DIRECCIÓN GENERAL / COORDINACIÓN / SUBDIRECCIÓN]],Tabla37[[#All],[Columna1]:[EOD]],2,0)</f>
        <v>266_0006</v>
      </c>
      <c r="L918" s="69">
        <f>VLOOKUP(Tabla6[[#This Row],[OBJETIVOS PND]],Listas!$A$1:$C$3,3,0)</f>
        <v>1</v>
      </c>
      <c r="M918" s="70">
        <f>VLOOKUP(Tabla6[[#This Row],[PG]],Listas2!$G$14:$K$16,5,0)</f>
        <v>0</v>
      </c>
      <c r="N918" s="71">
        <v>1</v>
      </c>
      <c r="O918" s="72">
        <v>100</v>
      </c>
      <c r="P918" s="73" t="str">
        <f>VLOOKUP(Tabla6[[#This Row],[GEO]],Listas!$A$48:$B$77,2,0)</f>
        <v>CUENCA</v>
      </c>
      <c r="Q918" s="70">
        <f>VLOOKUP(Tabla6[[#This Row],[PG]],Listas2!$G$14:$K$16,3,0)</f>
        <v>1</v>
      </c>
      <c r="R918" s="73">
        <f>VLOOKUP(Tabla6[[#This Row],[PG]],Listas2!H20:'Listas2'!$G$14:$K$16,4,0)</f>
        <v>0</v>
      </c>
      <c r="S918" s="73">
        <f>VLOOKUP(Tabla6[[#This Row],[PG]],Listas2!$G$14:$K$16,2,0)</f>
        <v>0</v>
      </c>
      <c r="T918" s="66" t="s">
        <v>84</v>
      </c>
      <c r="U918" s="74">
        <v>51</v>
      </c>
      <c r="V918" s="66">
        <v>510401</v>
      </c>
      <c r="W918" s="63" t="str">
        <f>VLOOKUP(Tabla6[[#This Row],[ÍTEM PRESUPUESTARIO]],Tabla2[#All],2,0)</f>
        <v>POR CARGAS FAMILIARES</v>
      </c>
      <c r="X918" s="57">
        <v>0</v>
      </c>
      <c r="Y918" s="57">
        <f>51-51</f>
        <v>0</v>
      </c>
      <c r="Z918" s="58">
        <v>0</v>
      </c>
      <c r="AA918" s="58">
        <v>0</v>
      </c>
      <c r="AB918" s="58">
        <v>0</v>
      </c>
      <c r="AC918" s="58">
        <v>0</v>
      </c>
      <c r="AD918" s="58">
        <v>0</v>
      </c>
      <c r="AE918" s="58">
        <v>0</v>
      </c>
      <c r="AF918" s="58">
        <v>0</v>
      </c>
      <c r="AG918" s="58">
        <f>51-51</f>
        <v>0</v>
      </c>
      <c r="AH918" s="58">
        <v>0</v>
      </c>
      <c r="AI918" s="58">
        <v>0</v>
      </c>
      <c r="AJ918" s="58">
        <v>0</v>
      </c>
      <c r="AK918" s="58">
        <v>0</v>
      </c>
      <c r="AL918" s="75">
        <f>+SUBTOTAL(9,Tabla6[[#This Row],[ENE]:[DIC]])</f>
        <v>0</v>
      </c>
      <c r="AM918" s="76" t="str">
        <f t="shared" si="20"/>
        <v>OK</v>
      </c>
      <c r="AN918" s="60">
        <v>0</v>
      </c>
      <c r="AO918" s="61">
        <f>+Tabla6[[#This Row],[PRESUPUESTO VIGENTE]]-Tabla6[[#This Row],[CERTIFICACIÓN PAPP]]</f>
        <v>0</v>
      </c>
      <c r="AP918" s="59">
        <v>0</v>
      </c>
    </row>
    <row r="919" spans="1:42" ht="93" customHeight="1" x14ac:dyDescent="0.25">
      <c r="A919" s="62" t="s">
        <v>78</v>
      </c>
      <c r="B919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919" s="64" t="s">
        <v>79</v>
      </c>
      <c r="D919" s="64" t="s">
        <v>80</v>
      </c>
      <c r="E919" s="64" t="s">
        <v>81</v>
      </c>
      <c r="F919" s="64" t="s">
        <v>110</v>
      </c>
      <c r="G919" s="64" t="s">
        <v>92</v>
      </c>
      <c r="H919" s="65" t="str">
        <f>VLOOKUP(Tabla6[[#This Row],[DIRECCIÓN]],DIRECCIÓN[#All],2,0)</f>
        <v>ADMINISTRACIÓN CENTRAL</v>
      </c>
      <c r="I919" s="66" t="s">
        <v>93</v>
      </c>
      <c r="J919" s="67">
        <v>1</v>
      </c>
      <c r="K919" s="68" t="str">
        <f>VLOOKUP(Tabla6[[#This Row],[DIRECCIÓN GENERAL / COORDINACIÓN / SUBDIRECCIÓN]],Tabla37[[#All],[Columna1]:[EOD]],2,0)</f>
        <v>266_0006</v>
      </c>
      <c r="L919" s="69">
        <f>VLOOKUP(Tabla6[[#This Row],[OBJETIVOS PND]],Listas!$A$1:$C$3,3,0)</f>
        <v>1</v>
      </c>
      <c r="M919" s="70">
        <f>VLOOKUP(Tabla6[[#This Row],[PG]],Listas2!$G$14:$K$16,5,0)</f>
        <v>0</v>
      </c>
      <c r="N919" s="71">
        <v>1</v>
      </c>
      <c r="O919" s="72">
        <v>100</v>
      </c>
      <c r="P919" s="73" t="str">
        <f>VLOOKUP(Tabla6[[#This Row],[GEO]],Listas!$A$48:$B$77,2,0)</f>
        <v>CUENCA</v>
      </c>
      <c r="Q919" s="70">
        <f>VLOOKUP(Tabla6[[#This Row],[PG]],Listas2!$G$14:$K$16,3,0)</f>
        <v>1</v>
      </c>
      <c r="R919" s="73">
        <f>VLOOKUP(Tabla6[[#This Row],[PG]],Listas2!H21:'Listas2'!$G$14:$K$16,4,0)</f>
        <v>0</v>
      </c>
      <c r="S919" s="73">
        <f>VLOOKUP(Tabla6[[#This Row],[PG]],Listas2!$G$14:$K$16,2,0)</f>
        <v>0</v>
      </c>
      <c r="T919" s="66" t="s">
        <v>84</v>
      </c>
      <c r="U919" s="74">
        <v>51</v>
      </c>
      <c r="V919" s="66">
        <v>510408</v>
      </c>
      <c r="W919" s="63" t="str">
        <f>VLOOKUP(Tabla6[[#This Row],[ÍTEM PRESUPUESTARIO]],Tabla2[#All],2,0)</f>
        <v>SUBSIDIO DE ANTIGUEDAD</v>
      </c>
      <c r="X919" s="57">
        <v>0</v>
      </c>
      <c r="Y919" s="57">
        <f>50-50</f>
        <v>0</v>
      </c>
      <c r="Z919" s="58">
        <v>0</v>
      </c>
      <c r="AA919" s="58">
        <v>0</v>
      </c>
      <c r="AB919" s="58">
        <f>50-50</f>
        <v>0</v>
      </c>
      <c r="AC919" s="58">
        <v>0</v>
      </c>
      <c r="AD919" s="58">
        <v>0</v>
      </c>
      <c r="AE919" s="58">
        <v>0</v>
      </c>
      <c r="AF919" s="58">
        <v>0</v>
      </c>
      <c r="AG919" s="58">
        <v>0</v>
      </c>
      <c r="AH919" s="58">
        <v>0</v>
      </c>
      <c r="AI919" s="58">
        <v>0</v>
      </c>
      <c r="AJ919" s="58">
        <v>0</v>
      </c>
      <c r="AK919" s="58">
        <v>0</v>
      </c>
      <c r="AL919" s="75">
        <f>+SUBTOTAL(9,Tabla6[[#This Row],[ENE]:[DIC]])</f>
        <v>0</v>
      </c>
      <c r="AM919" s="76" t="str">
        <f t="shared" si="20"/>
        <v>OK</v>
      </c>
      <c r="AN919" s="60">
        <v>0</v>
      </c>
      <c r="AO919" s="61">
        <f>+Tabla6[[#This Row],[PRESUPUESTO VIGENTE]]-Tabla6[[#This Row],[CERTIFICACIÓN PAPP]]</f>
        <v>0</v>
      </c>
      <c r="AP919" s="59">
        <v>0</v>
      </c>
    </row>
    <row r="920" spans="1:42" ht="93" customHeight="1" x14ac:dyDescent="0.25">
      <c r="A920" s="62" t="s">
        <v>78</v>
      </c>
      <c r="B920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920" s="64" t="s">
        <v>79</v>
      </c>
      <c r="D920" s="64" t="s">
        <v>80</v>
      </c>
      <c r="E920" s="64" t="s">
        <v>81</v>
      </c>
      <c r="F920" s="64" t="s">
        <v>110</v>
      </c>
      <c r="G920" s="64" t="s">
        <v>92</v>
      </c>
      <c r="H920" s="65" t="str">
        <f>VLOOKUP(Tabla6[[#This Row],[DIRECCIÓN]],DIRECCIÓN[#All],2,0)</f>
        <v>ADMINISTRACIÓN CENTRAL</v>
      </c>
      <c r="I920" s="66" t="s">
        <v>93</v>
      </c>
      <c r="J920" s="67">
        <v>1</v>
      </c>
      <c r="K920" s="68" t="str">
        <f>VLOOKUP(Tabla6[[#This Row],[DIRECCIÓN GENERAL / COORDINACIÓN / SUBDIRECCIÓN]],Tabla37[[#All],[Columna1]:[EOD]],2,0)</f>
        <v>266_0006</v>
      </c>
      <c r="L920" s="69">
        <f>VLOOKUP(Tabla6[[#This Row],[OBJETIVOS PND]],Listas!$A$1:$C$3,3,0)</f>
        <v>1</v>
      </c>
      <c r="M920" s="70">
        <f>VLOOKUP(Tabla6[[#This Row],[PG]],Listas2!$G$14:$K$16,5,0)</f>
        <v>0</v>
      </c>
      <c r="N920" s="71">
        <v>1</v>
      </c>
      <c r="O920" s="72">
        <v>100</v>
      </c>
      <c r="P920" s="73" t="str">
        <f>VLOOKUP(Tabla6[[#This Row],[GEO]],Listas!$A$48:$B$77,2,0)</f>
        <v>CUENCA</v>
      </c>
      <c r="Q920" s="70">
        <f>VLOOKUP(Tabla6[[#This Row],[PG]],Listas2!$G$14:$K$16,3,0)</f>
        <v>1</v>
      </c>
      <c r="R920" s="73">
        <f>VLOOKUP(Tabla6[[#This Row],[PG]],Listas2!H22:'Listas2'!$G$14:$K$16,4,0)</f>
        <v>0</v>
      </c>
      <c r="S920" s="73">
        <f>VLOOKUP(Tabla6[[#This Row],[PG]],Listas2!$G$14:$K$16,2,0)</f>
        <v>0</v>
      </c>
      <c r="T920" s="66" t="s">
        <v>84</v>
      </c>
      <c r="U920" s="74">
        <v>51</v>
      </c>
      <c r="V920" s="66">
        <v>510509</v>
      </c>
      <c r="W920" s="63" t="str">
        <f>VLOOKUP(Tabla6[[#This Row],[ÍTEM PRESUPUESTARIO]],Tabla2[#All],2,0)</f>
        <v>HORAS EXTRAORDINARIAS Y SUPLEMENTARIAS</v>
      </c>
      <c r="X920" s="57">
        <v>500</v>
      </c>
      <c r="Y920" s="57">
        <f>500+500-444.15</f>
        <v>555.85</v>
      </c>
      <c r="Z920" s="58">
        <v>0</v>
      </c>
      <c r="AA920" s="58">
        <v>40</v>
      </c>
      <c r="AB920" s="58">
        <v>40</v>
      </c>
      <c r="AC920" s="58">
        <f>40+55.55</f>
        <v>95.55</v>
      </c>
      <c r="AD920" s="58">
        <f>40+55.55</f>
        <v>95.55</v>
      </c>
      <c r="AE920" s="58">
        <f>40+55.55</f>
        <v>95.55</v>
      </c>
      <c r="AF920" s="58">
        <f>50+55.55-74.03</f>
        <v>31.519999999999996</v>
      </c>
      <c r="AG920" s="58">
        <f>50+55.55-74.03</f>
        <v>31.519999999999996</v>
      </c>
      <c r="AH920" s="58">
        <f>50+55.55-74.03</f>
        <v>31.519999999999996</v>
      </c>
      <c r="AI920" s="58">
        <f>50+55.55-74.03</f>
        <v>31.519999999999996</v>
      </c>
      <c r="AJ920" s="58">
        <f>50+55.55-74.03</f>
        <v>31.519999999999996</v>
      </c>
      <c r="AK920" s="58">
        <f>50+55.6-74</f>
        <v>31.599999999999994</v>
      </c>
      <c r="AL920" s="75">
        <f>+SUBTOTAL(9,Tabla6[[#This Row],[ENE]:[DIC]])</f>
        <v>555.85</v>
      </c>
      <c r="AM920" s="76" t="str">
        <f t="shared" si="20"/>
        <v>OK</v>
      </c>
      <c r="AN920" s="60">
        <v>0</v>
      </c>
      <c r="AO920" s="61">
        <f>+Tabla6[[#This Row],[PRESUPUESTO VIGENTE]]-Tabla6[[#This Row],[CERTIFICACIÓN PAPP]]</f>
        <v>555.85</v>
      </c>
      <c r="AP920" s="59">
        <v>0</v>
      </c>
    </row>
    <row r="921" spans="1:42" ht="93" customHeight="1" x14ac:dyDescent="0.25">
      <c r="A921" s="62" t="s">
        <v>78</v>
      </c>
      <c r="B921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921" s="64" t="s">
        <v>79</v>
      </c>
      <c r="D921" s="64" t="s">
        <v>80</v>
      </c>
      <c r="E921" s="64" t="s">
        <v>81</v>
      </c>
      <c r="F921" s="64" t="s">
        <v>110</v>
      </c>
      <c r="G921" s="64" t="s">
        <v>92</v>
      </c>
      <c r="H921" s="65" t="str">
        <f>VLOOKUP(Tabla6[[#This Row],[DIRECCIÓN]],DIRECCIÓN[#All],2,0)</f>
        <v>ADMINISTRACIÓN CENTRAL</v>
      </c>
      <c r="I921" s="66" t="s">
        <v>93</v>
      </c>
      <c r="J921" s="67">
        <v>1</v>
      </c>
      <c r="K921" s="68" t="str">
        <f>VLOOKUP(Tabla6[[#This Row],[DIRECCIÓN GENERAL / COORDINACIÓN / SUBDIRECCIÓN]],Tabla37[[#All],[Columna1]:[EOD]],2,0)</f>
        <v>266_0006</v>
      </c>
      <c r="L921" s="69">
        <f>VLOOKUP(Tabla6[[#This Row],[OBJETIVOS PND]],Listas!$A$1:$C$3,3,0)</f>
        <v>1</v>
      </c>
      <c r="M921" s="70">
        <f>VLOOKUP(Tabla6[[#This Row],[PG]],Listas2!$G$14:$K$16,5,0)</f>
        <v>0</v>
      </c>
      <c r="N921" s="71">
        <v>1</v>
      </c>
      <c r="O921" s="72">
        <v>100</v>
      </c>
      <c r="P921" s="73" t="str">
        <f>VLOOKUP(Tabla6[[#This Row],[GEO]],Listas!$A$48:$B$77,2,0)</f>
        <v>CUENCA</v>
      </c>
      <c r="Q921" s="70">
        <f>VLOOKUP(Tabla6[[#This Row],[PG]],Listas2!$G$14:$K$16,3,0)</f>
        <v>1</v>
      </c>
      <c r="R921" s="73">
        <f>VLOOKUP(Tabla6[[#This Row],[PG]],Listas2!H23:'Listas2'!$G$14:$K$16,4,0)</f>
        <v>0</v>
      </c>
      <c r="S921" s="73">
        <f>VLOOKUP(Tabla6[[#This Row],[PG]],Listas2!$G$14:$K$16,2,0)</f>
        <v>0</v>
      </c>
      <c r="T921" s="66" t="s">
        <v>84</v>
      </c>
      <c r="U921" s="74">
        <v>51</v>
      </c>
      <c r="V921" s="66">
        <v>510512</v>
      </c>
      <c r="W921" s="63" t="str">
        <f>VLOOKUP(Tabla6[[#This Row],[ÍTEM PRESUPUESTARIO]],Tabla2[#All],2,0)</f>
        <v xml:space="preserve">SUBROGACIÓN </v>
      </c>
      <c r="X921" s="57">
        <v>0</v>
      </c>
      <c r="Y921" s="57">
        <f>114.5+115-153.17</f>
        <v>76.330000000000013</v>
      </c>
      <c r="Z921" s="58">
        <v>0</v>
      </c>
      <c r="AA921" s="58">
        <f>114.5-114.5</f>
        <v>0</v>
      </c>
      <c r="AB921" s="58">
        <v>0</v>
      </c>
      <c r="AC921" s="58">
        <v>0</v>
      </c>
      <c r="AD921" s="58">
        <v>0</v>
      </c>
      <c r="AE921" s="58">
        <v>0</v>
      </c>
      <c r="AF921" s="58">
        <v>0</v>
      </c>
      <c r="AG921" s="58">
        <v>0</v>
      </c>
      <c r="AH921" s="58">
        <v>0</v>
      </c>
      <c r="AI921" s="58">
        <v>0</v>
      </c>
      <c r="AJ921" s="58">
        <v>0</v>
      </c>
      <c r="AK921" s="58">
        <f>115-38.67</f>
        <v>76.33</v>
      </c>
      <c r="AL921" s="75">
        <f>+SUBTOTAL(9,Tabla6[[#This Row],[ENE]:[DIC]])</f>
        <v>76.33</v>
      </c>
      <c r="AM921" s="76" t="str">
        <f t="shared" si="20"/>
        <v>OK</v>
      </c>
      <c r="AN921" s="60">
        <v>0</v>
      </c>
      <c r="AO921" s="61">
        <f>+Tabla6[[#This Row],[PRESUPUESTO VIGENTE]]-Tabla6[[#This Row],[CERTIFICACIÓN PAPP]]</f>
        <v>76.330000000000013</v>
      </c>
      <c r="AP921" s="59">
        <v>0</v>
      </c>
    </row>
    <row r="922" spans="1:42" ht="93" customHeight="1" x14ac:dyDescent="0.25">
      <c r="A922" s="62" t="s">
        <v>78</v>
      </c>
      <c r="B922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922" s="64" t="s">
        <v>79</v>
      </c>
      <c r="D922" s="64" t="s">
        <v>80</v>
      </c>
      <c r="E922" s="64" t="s">
        <v>81</v>
      </c>
      <c r="F922" s="64" t="s">
        <v>110</v>
      </c>
      <c r="G922" s="64" t="s">
        <v>92</v>
      </c>
      <c r="H922" s="65" t="str">
        <f>VLOOKUP(Tabla6[[#This Row],[DIRECCIÓN]],DIRECCIÓN[#All],2,0)</f>
        <v>ADMINISTRACIÓN CENTRAL</v>
      </c>
      <c r="I922" s="66" t="s">
        <v>93</v>
      </c>
      <c r="J922" s="67">
        <v>1</v>
      </c>
      <c r="K922" s="68" t="str">
        <f>VLOOKUP(Tabla6[[#This Row],[DIRECCIÓN GENERAL / COORDINACIÓN / SUBDIRECCIÓN]],Tabla37[[#All],[Columna1]:[EOD]],2,0)</f>
        <v>266_0006</v>
      </c>
      <c r="L922" s="69">
        <f>VLOOKUP(Tabla6[[#This Row],[OBJETIVOS PND]],Listas!$A$1:$C$3,3,0)</f>
        <v>1</v>
      </c>
      <c r="M922" s="70">
        <f>VLOOKUP(Tabla6[[#This Row],[PG]],Listas2!$G$14:$K$16,5,0)</f>
        <v>0</v>
      </c>
      <c r="N922" s="71">
        <v>1</v>
      </c>
      <c r="O922" s="72">
        <v>100</v>
      </c>
      <c r="P922" s="73" t="str">
        <f>VLOOKUP(Tabla6[[#This Row],[GEO]],Listas!$A$48:$B$77,2,0)</f>
        <v>CUENCA</v>
      </c>
      <c r="Q922" s="70">
        <f>VLOOKUP(Tabla6[[#This Row],[PG]],Listas2!$G$14:$K$16,3,0)</f>
        <v>1</v>
      </c>
      <c r="R922" s="73">
        <f>VLOOKUP(Tabla6[[#This Row],[PG]],Listas2!H24:'Listas2'!$G$14:$K$16,4,0)</f>
        <v>0</v>
      </c>
      <c r="S922" s="73">
        <f>VLOOKUP(Tabla6[[#This Row],[PG]],Listas2!$G$14:$K$16,2,0)</f>
        <v>0</v>
      </c>
      <c r="T922" s="66" t="s">
        <v>84</v>
      </c>
      <c r="U922" s="74">
        <v>51</v>
      </c>
      <c r="V922" s="66">
        <v>510517</v>
      </c>
      <c r="W922" s="63" t="str">
        <f>VLOOKUP(Tabla6[[#This Row],[ÍTEM PRESUPUESTARIO]],Tabla2[#All],2,0)</f>
        <v>SERVICIOS PERSONALES POR CONTRATO DE PROFESIONALES DE LA SALUD</v>
      </c>
      <c r="X922" s="57">
        <v>0</v>
      </c>
      <c r="Y922" s="57">
        <v>6704</v>
      </c>
      <c r="Z922" s="58">
        <v>0</v>
      </c>
      <c r="AA922" s="58">
        <v>0</v>
      </c>
      <c r="AB922" s="58">
        <v>0</v>
      </c>
      <c r="AC922" s="58">
        <v>0</v>
      </c>
      <c r="AD922" s="58">
        <v>0</v>
      </c>
      <c r="AE922" s="58">
        <v>0</v>
      </c>
      <c r="AF922" s="58">
        <v>1118</v>
      </c>
      <c r="AG922" s="58">
        <v>1118</v>
      </c>
      <c r="AH922" s="58">
        <v>1118</v>
      </c>
      <c r="AI922" s="58">
        <v>1118</v>
      </c>
      <c r="AJ922" s="58">
        <v>1118</v>
      </c>
      <c r="AK922" s="58">
        <v>1114</v>
      </c>
      <c r="AL922" s="75">
        <f>+SUBTOTAL(9,Tabla6[[#This Row],[ENE]:[DIC]])</f>
        <v>6704</v>
      </c>
      <c r="AM922" s="76" t="str">
        <f t="shared" si="20"/>
        <v>OK</v>
      </c>
      <c r="AN922" s="60">
        <v>0</v>
      </c>
      <c r="AO922" s="61">
        <f>+Tabla6[[#This Row],[PRESUPUESTO VIGENTE]]-Tabla6[[#This Row],[CERTIFICACIÓN PAPP]]</f>
        <v>6704</v>
      </c>
      <c r="AP922" s="59">
        <v>0</v>
      </c>
    </row>
    <row r="923" spans="1:42" ht="93" customHeight="1" x14ac:dyDescent="0.25">
      <c r="A923" s="62" t="s">
        <v>78</v>
      </c>
      <c r="B923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923" s="64" t="s">
        <v>79</v>
      </c>
      <c r="D923" s="64" t="s">
        <v>80</v>
      </c>
      <c r="E923" s="64" t="s">
        <v>81</v>
      </c>
      <c r="F923" s="64" t="s">
        <v>110</v>
      </c>
      <c r="G923" s="64" t="s">
        <v>92</v>
      </c>
      <c r="H923" s="65" t="str">
        <f>VLOOKUP(Tabla6[[#This Row],[DIRECCIÓN]],DIRECCIÓN[#All],2,0)</f>
        <v>ADMINISTRACIÓN CENTRAL</v>
      </c>
      <c r="I923" s="66" t="s">
        <v>93</v>
      </c>
      <c r="J923" s="67">
        <v>1</v>
      </c>
      <c r="K923" s="68" t="str">
        <f>VLOOKUP(Tabla6[[#This Row],[DIRECCIÓN GENERAL / COORDINACIÓN / SUBDIRECCIÓN]],Tabla37[[#All],[Columna1]:[EOD]],2,0)</f>
        <v>266_0006</v>
      </c>
      <c r="L923" s="69">
        <f>VLOOKUP(Tabla6[[#This Row],[OBJETIVOS PND]],Listas!$A$1:$C$3,3,0)</f>
        <v>1</v>
      </c>
      <c r="M923" s="70">
        <f>VLOOKUP(Tabla6[[#This Row],[PG]],Listas2!$G$14:$K$16,5,0)</f>
        <v>0</v>
      </c>
      <c r="N923" s="71">
        <v>1</v>
      </c>
      <c r="O923" s="72">
        <v>100</v>
      </c>
      <c r="P923" s="73" t="str">
        <f>VLOOKUP(Tabla6[[#This Row],[GEO]],Listas!$A$48:$B$77,2,0)</f>
        <v>CUENCA</v>
      </c>
      <c r="Q923" s="70">
        <f>VLOOKUP(Tabla6[[#This Row],[PG]],Listas2!$G$14:$K$16,3,0)</f>
        <v>1</v>
      </c>
      <c r="R923" s="73">
        <f>VLOOKUP(Tabla6[[#This Row],[PG]],Listas2!H25:'Listas2'!$G$14:$K$16,4,0)</f>
        <v>0</v>
      </c>
      <c r="S923" s="73">
        <f>VLOOKUP(Tabla6[[#This Row],[PG]],Listas2!$G$14:$K$16,2,0)</f>
        <v>0</v>
      </c>
      <c r="T923" s="66" t="s">
        <v>84</v>
      </c>
      <c r="U923" s="74">
        <v>51</v>
      </c>
      <c r="V923" s="66">
        <v>510601</v>
      </c>
      <c r="W923" s="63" t="str">
        <f>VLOOKUP(Tabla6[[#This Row],[ÍTEM PRESUPUESTARIO]],Tabla2[#All],2,0)</f>
        <v>APORTE PATRONAL</v>
      </c>
      <c r="X923" s="57">
        <v>35853</v>
      </c>
      <c r="Y923" s="57">
        <f>35912+538-324.83</f>
        <v>36125.17</v>
      </c>
      <c r="Z923" s="58">
        <v>2992.66</v>
      </c>
      <c r="AA923" s="58">
        <v>2992.66</v>
      </c>
      <c r="AB923" s="58">
        <v>2992.66</v>
      </c>
      <c r="AC923" s="58">
        <v>2992.66</v>
      </c>
      <c r="AD923" s="58">
        <v>2992.67</v>
      </c>
      <c r="AE923" s="58">
        <v>2992.67</v>
      </c>
      <c r="AF923" s="58">
        <v>2992.67</v>
      </c>
      <c r="AG923" s="58">
        <v>2992.67</v>
      </c>
      <c r="AH923" s="58">
        <v>2992.67</v>
      </c>
      <c r="AI923" s="58">
        <v>2992.67</v>
      </c>
      <c r="AJ923" s="58">
        <v>2992.67</v>
      </c>
      <c r="AK923" s="58">
        <f>3530.67-324.83</f>
        <v>3205.84</v>
      </c>
      <c r="AL923" s="75">
        <f>+SUBTOTAL(9,Tabla6[[#This Row],[ENE]:[DIC]])</f>
        <v>36125.17</v>
      </c>
      <c r="AM923" s="76" t="str">
        <f t="shared" si="20"/>
        <v>OK</v>
      </c>
      <c r="AN923" s="60">
        <v>0</v>
      </c>
      <c r="AO923" s="61">
        <f>+Tabla6[[#This Row],[PRESUPUESTO VIGENTE]]-Tabla6[[#This Row],[CERTIFICACIÓN PAPP]]</f>
        <v>36125.17</v>
      </c>
      <c r="AP923" s="59">
        <v>0</v>
      </c>
    </row>
    <row r="924" spans="1:42" ht="93" customHeight="1" x14ac:dyDescent="0.25">
      <c r="A924" s="62" t="s">
        <v>78</v>
      </c>
      <c r="B924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924" s="64" t="s">
        <v>79</v>
      </c>
      <c r="D924" s="64" t="s">
        <v>80</v>
      </c>
      <c r="E924" s="64" t="s">
        <v>81</v>
      </c>
      <c r="F924" s="64" t="s">
        <v>110</v>
      </c>
      <c r="G924" s="64" t="s">
        <v>92</v>
      </c>
      <c r="H924" s="65" t="str">
        <f>VLOOKUP(Tabla6[[#This Row],[DIRECCIÓN]],DIRECCIÓN[#All],2,0)</f>
        <v>ADMINISTRACIÓN CENTRAL</v>
      </c>
      <c r="I924" s="66" t="s">
        <v>93</v>
      </c>
      <c r="J924" s="67">
        <v>1</v>
      </c>
      <c r="K924" s="68" t="str">
        <f>VLOOKUP(Tabla6[[#This Row],[DIRECCIÓN GENERAL / COORDINACIÓN / SUBDIRECCIÓN]],Tabla37[[#All],[Columna1]:[EOD]],2,0)</f>
        <v>266_0006</v>
      </c>
      <c r="L924" s="69">
        <f>VLOOKUP(Tabla6[[#This Row],[OBJETIVOS PND]],Listas!$A$1:$C$3,3,0)</f>
        <v>1</v>
      </c>
      <c r="M924" s="70">
        <f>VLOOKUP(Tabla6[[#This Row],[PG]],Listas2!$G$14:$K$16,5,0)</f>
        <v>0</v>
      </c>
      <c r="N924" s="71">
        <v>1</v>
      </c>
      <c r="O924" s="72">
        <v>100</v>
      </c>
      <c r="P924" s="73" t="str">
        <f>VLOOKUP(Tabla6[[#This Row],[GEO]],Listas!$A$48:$B$77,2,0)</f>
        <v>CUENCA</v>
      </c>
      <c r="Q924" s="70">
        <f>VLOOKUP(Tabla6[[#This Row],[PG]],Listas2!$G$14:$K$16,3,0)</f>
        <v>1</v>
      </c>
      <c r="R924" s="73">
        <f>VLOOKUP(Tabla6[[#This Row],[PG]],Listas2!H26:'Listas2'!$G$14:$K$16,4,0)</f>
        <v>0</v>
      </c>
      <c r="S924" s="73">
        <f>VLOOKUP(Tabla6[[#This Row],[PG]],Listas2!$G$14:$K$16,2,0)</f>
        <v>0</v>
      </c>
      <c r="T924" s="66" t="s">
        <v>84</v>
      </c>
      <c r="U924" s="74">
        <v>51</v>
      </c>
      <c r="V924" s="66">
        <v>510602</v>
      </c>
      <c r="W924" s="63" t="str">
        <f>VLOOKUP(Tabla6[[#This Row],[ÍTEM PRESUPUESTARIO]],Tabla2[#All],2,0)</f>
        <v>FONDO DE RESERVA</v>
      </c>
      <c r="X924" s="57">
        <v>30323</v>
      </c>
      <c r="Y924" s="57">
        <f>29158.5-500-800+308-662.08</f>
        <v>27504.42</v>
      </c>
      <c r="Z924" s="58">
        <v>2429.87</v>
      </c>
      <c r="AA924" s="58">
        <v>2429.87</v>
      </c>
      <c r="AB924" s="58">
        <v>2429.87</v>
      </c>
      <c r="AC924" s="58">
        <f>2429.87-55.55</f>
        <v>2374.3199999999997</v>
      </c>
      <c r="AD924" s="58">
        <f>2429.87-55.55</f>
        <v>2374.3199999999997</v>
      </c>
      <c r="AE924" s="58">
        <f>2429.87-55.55</f>
        <v>2374.3199999999997</v>
      </c>
      <c r="AF924" s="58">
        <f>2429.88-55.55</f>
        <v>2374.33</v>
      </c>
      <c r="AG924" s="58">
        <f>2429.88-55.55</f>
        <v>2374.33</v>
      </c>
      <c r="AH924" s="58">
        <f>2429.88-55.55-200</f>
        <v>2174.33</v>
      </c>
      <c r="AI924" s="58">
        <f>2429.88-55.55-200</f>
        <v>2174.33</v>
      </c>
      <c r="AJ924" s="58">
        <f>2429.88-55.55-200</f>
        <v>2174.33</v>
      </c>
      <c r="AK924" s="58">
        <f>2482.28-662.08</f>
        <v>1820.2000000000003</v>
      </c>
      <c r="AL924" s="75">
        <f>+SUBTOTAL(9,Tabla6[[#This Row],[ENE]:[DIC]])</f>
        <v>27504.420000000009</v>
      </c>
      <c r="AM924" s="76" t="str">
        <f t="shared" si="20"/>
        <v>OK</v>
      </c>
      <c r="AN924" s="60">
        <v>0</v>
      </c>
      <c r="AO924" s="61">
        <f>+Tabla6[[#This Row],[PRESUPUESTO VIGENTE]]-Tabla6[[#This Row],[CERTIFICACIÓN PAPP]]</f>
        <v>27504.42</v>
      </c>
      <c r="AP924" s="59">
        <v>0</v>
      </c>
    </row>
    <row r="925" spans="1:42" ht="93" customHeight="1" x14ac:dyDescent="0.25">
      <c r="A925" s="62" t="s">
        <v>78</v>
      </c>
      <c r="B925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925" s="64" t="s">
        <v>79</v>
      </c>
      <c r="D925" s="64" t="s">
        <v>80</v>
      </c>
      <c r="E925" s="64" t="s">
        <v>81</v>
      </c>
      <c r="F925" s="64" t="s">
        <v>110</v>
      </c>
      <c r="G925" s="64" t="s">
        <v>92</v>
      </c>
      <c r="H925" s="65" t="str">
        <f>VLOOKUP(Tabla6[[#This Row],[DIRECCIÓN]],DIRECCIÓN[#All],2,0)</f>
        <v>ADMINISTRACIÓN CENTRAL</v>
      </c>
      <c r="I925" s="66" t="s">
        <v>111</v>
      </c>
      <c r="J925" s="67">
        <v>1</v>
      </c>
      <c r="K925" s="68" t="str">
        <f>VLOOKUP(Tabla6[[#This Row],[DIRECCIÓN GENERAL / COORDINACIÓN / SUBDIRECCIÓN]],Tabla37[[#All],[Columna1]:[EOD]],2,0)</f>
        <v>266_0006</v>
      </c>
      <c r="L925" s="69">
        <f>VLOOKUP(Tabla6[[#This Row],[OBJETIVOS PND]],Listas!$A$1:$C$3,3,0)</f>
        <v>1</v>
      </c>
      <c r="M925" s="70">
        <f>VLOOKUP(Tabla6[[#This Row],[PG]],Listas2!$G$14:$K$16,5,0)</f>
        <v>0</v>
      </c>
      <c r="N925" s="71">
        <v>1</v>
      </c>
      <c r="O925" s="72">
        <v>100</v>
      </c>
      <c r="P925" s="73" t="str">
        <f>VLOOKUP(Tabla6[[#This Row],[GEO]],Listas!$A$48:$B$77,2,0)</f>
        <v>CUENCA</v>
      </c>
      <c r="Q925" s="70">
        <f>VLOOKUP(Tabla6[[#This Row],[PG]],Listas2!$G$14:$K$16,3,0)</f>
        <v>1</v>
      </c>
      <c r="R925" s="73">
        <f>VLOOKUP(Tabla6[[#This Row],[PG]],Listas2!H27:'Listas2'!$G$14:$K$16,4,0)</f>
        <v>0</v>
      </c>
      <c r="S925" s="73">
        <f>VLOOKUP(Tabla6[[#This Row],[PG]],Listas2!$G$14:$K$16,2,0)</f>
        <v>0</v>
      </c>
      <c r="T925" s="66" t="s">
        <v>84</v>
      </c>
      <c r="U925" s="74">
        <v>51</v>
      </c>
      <c r="V925" s="66">
        <v>510707</v>
      </c>
      <c r="W925" s="63" t="str">
        <f>VLOOKUP(Tabla6[[#This Row],[ÍTEM PRESUPUESTARIO]],Tabla2[#All],2,0)</f>
        <v>COMPENSACIÓN POR VACACIONES NO GOZADAS POR CESACIÓN DE FUNCIONES</v>
      </c>
      <c r="X925" s="57">
        <v>0</v>
      </c>
      <c r="Y925" s="57">
        <f>152+974+240+375+500-466.58</f>
        <v>1774.42</v>
      </c>
      <c r="Z925" s="58">
        <v>0</v>
      </c>
      <c r="AA925" s="58">
        <v>0</v>
      </c>
      <c r="AB925" s="58">
        <v>0</v>
      </c>
      <c r="AC925" s="58">
        <v>152</v>
      </c>
      <c r="AD925" s="58">
        <v>0</v>
      </c>
      <c r="AE925" s="58">
        <v>0</v>
      </c>
      <c r="AF925" s="58">
        <v>0</v>
      </c>
      <c r="AG925" s="58">
        <v>0</v>
      </c>
      <c r="AH925" s="58">
        <v>0</v>
      </c>
      <c r="AI925" s="58">
        <v>0</v>
      </c>
      <c r="AJ925" s="58">
        <v>0</v>
      </c>
      <c r="AK925" s="58">
        <f>1589+500-466.58</f>
        <v>1622.42</v>
      </c>
      <c r="AL925" s="75">
        <f>+SUBTOTAL(9,Tabla6[[#This Row],[ENE]:[DIC]])</f>
        <v>1774.42</v>
      </c>
      <c r="AM925" s="76" t="str">
        <f t="shared" si="20"/>
        <v>OK</v>
      </c>
      <c r="AN925" s="60">
        <v>0</v>
      </c>
      <c r="AO925" s="61">
        <f>+Tabla6[[#This Row],[PRESUPUESTO VIGENTE]]-Tabla6[[#This Row],[CERTIFICACIÓN PAPP]]</f>
        <v>1774.42</v>
      </c>
      <c r="AP925" s="59">
        <v>0</v>
      </c>
    </row>
    <row r="926" spans="1:42" ht="93" customHeight="1" x14ac:dyDescent="0.25">
      <c r="A926" s="62" t="s">
        <v>88</v>
      </c>
      <c r="B926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926" s="64" t="s">
        <v>89</v>
      </c>
      <c r="D926" s="64" t="s">
        <v>80</v>
      </c>
      <c r="E926" s="64" t="s">
        <v>81</v>
      </c>
      <c r="F926" s="64" t="s">
        <v>110</v>
      </c>
      <c r="G926" s="64" t="s">
        <v>9</v>
      </c>
      <c r="H926" s="65" t="str">
        <f>VLOOKUP(Tabla6[[#This Row],[DIRECCIÓN]],DIRECCIÓN[#All],2,0)</f>
        <v>OPERACIONES</v>
      </c>
      <c r="I926" s="66" t="s">
        <v>93</v>
      </c>
      <c r="J926" s="67">
        <v>1</v>
      </c>
      <c r="K926" s="68" t="str">
        <f>VLOOKUP(Tabla6[[#This Row],[DIRECCIÓN GENERAL / COORDINACIÓN / SUBDIRECCIÓN]],Tabla37[[#All],[Columna1]:[EOD]],2,0)</f>
        <v>266_0006</v>
      </c>
      <c r="L926" s="69">
        <f>VLOOKUP(Tabla6[[#This Row],[OBJETIVOS PND]],Listas!$A$1:$C$3,3,0)</f>
        <v>55</v>
      </c>
      <c r="M926" s="70">
        <f>VLOOKUP(Tabla6[[#This Row],[PG]],Listas2!$G$14:$K$16,5,0)</f>
        <v>0</v>
      </c>
      <c r="N926" s="71">
        <v>2</v>
      </c>
      <c r="O926" s="72">
        <v>100</v>
      </c>
      <c r="P926" s="73" t="str">
        <f>VLOOKUP(Tabla6[[#This Row],[GEO]],Listas!$A$48:$B$77,2,0)</f>
        <v>CUENCA</v>
      </c>
      <c r="Q926" s="70">
        <f>VLOOKUP(Tabla6[[#This Row],[PG]],Listas2!$G$14:$K$16,3,0)</f>
        <v>1</v>
      </c>
      <c r="R926" s="73">
        <f>VLOOKUP(Tabla6[[#This Row],[PG]],Listas2!H28:'Listas2'!$G$14:$K$16,4,0)</f>
        <v>0</v>
      </c>
      <c r="S926" s="73">
        <f>VLOOKUP(Tabla6[[#This Row],[PG]],Listas2!$G$14:$K$16,2,0)</f>
        <v>0</v>
      </c>
      <c r="T926" s="66" t="s">
        <v>84</v>
      </c>
      <c r="U926" s="74">
        <v>51</v>
      </c>
      <c r="V926" s="66">
        <v>510105</v>
      </c>
      <c r="W926" s="63" t="str">
        <f>VLOOKUP(Tabla6[[#This Row],[ÍTEM PRESUPUESTARIO]],Tabla2[#All],2,0)</f>
        <v>REMUNERACIONES UNIFICADAS</v>
      </c>
      <c r="X926" s="57">
        <v>899976</v>
      </c>
      <c r="Y926" s="57">
        <f>899976-2006-1030-2559.21</f>
        <v>894380.79</v>
      </c>
      <c r="Z926" s="58">
        <v>74998</v>
      </c>
      <c r="AA926" s="58">
        <v>74998</v>
      </c>
      <c r="AB926" s="58">
        <v>74998</v>
      </c>
      <c r="AC926" s="58">
        <v>74998</v>
      </c>
      <c r="AD926" s="58">
        <v>74998</v>
      </c>
      <c r="AE926" s="58">
        <v>74998</v>
      </c>
      <c r="AF926" s="58">
        <v>74998</v>
      </c>
      <c r="AG926" s="58">
        <f>74998-401.2</f>
        <v>74596.800000000003</v>
      </c>
      <c r="AH926" s="58">
        <f>74998-401.2</f>
        <v>74596.800000000003</v>
      </c>
      <c r="AI926" s="58">
        <f>74998-401.2</f>
        <v>74596.800000000003</v>
      </c>
      <c r="AJ926" s="58">
        <f>74998-401.2</f>
        <v>74596.800000000003</v>
      </c>
      <c r="AK926" s="58">
        <f>74998-401.2-1030-2559.21</f>
        <v>71007.59</v>
      </c>
      <c r="AL926" s="75">
        <f>+SUBTOTAL(9,Tabla6[[#This Row],[ENE]:[DIC]])</f>
        <v>894380.79000000015</v>
      </c>
      <c r="AM926" s="76" t="str">
        <f t="shared" si="20"/>
        <v>OK</v>
      </c>
      <c r="AN926" s="60">
        <v>0</v>
      </c>
      <c r="AO926" s="61">
        <f>+Tabla6[[#This Row],[PRESUPUESTO VIGENTE]]-Tabla6[[#This Row],[CERTIFICACIÓN PAPP]]</f>
        <v>894380.79</v>
      </c>
      <c r="AP926" s="59">
        <v>0</v>
      </c>
    </row>
    <row r="927" spans="1:42" ht="93" customHeight="1" x14ac:dyDescent="0.25">
      <c r="A927" s="62" t="s">
        <v>88</v>
      </c>
      <c r="B927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927" s="64" t="s">
        <v>89</v>
      </c>
      <c r="D927" s="64" t="s">
        <v>80</v>
      </c>
      <c r="E927" s="64" t="s">
        <v>81</v>
      </c>
      <c r="F927" s="64" t="s">
        <v>110</v>
      </c>
      <c r="G927" s="64" t="s">
        <v>9</v>
      </c>
      <c r="H927" s="65" t="str">
        <f>VLOOKUP(Tabla6[[#This Row],[DIRECCIÓN]],DIRECCIÓN[#All],2,0)</f>
        <v>OPERACIONES</v>
      </c>
      <c r="I927" s="66" t="s">
        <v>93</v>
      </c>
      <c r="J927" s="67">
        <v>1</v>
      </c>
      <c r="K927" s="68" t="str">
        <f>VLOOKUP(Tabla6[[#This Row],[DIRECCIÓN GENERAL / COORDINACIÓN / SUBDIRECCIÓN]],Tabla37[[#All],[Columna1]:[EOD]],2,0)</f>
        <v>266_0006</v>
      </c>
      <c r="L927" s="69">
        <f>VLOOKUP(Tabla6[[#This Row],[OBJETIVOS PND]],Listas!$A$1:$C$3,3,0)</f>
        <v>55</v>
      </c>
      <c r="M927" s="70">
        <f>VLOOKUP(Tabla6[[#This Row],[PG]],Listas2!$G$14:$K$16,5,0)</f>
        <v>0</v>
      </c>
      <c r="N927" s="71">
        <v>2</v>
      </c>
      <c r="O927" s="72">
        <v>100</v>
      </c>
      <c r="P927" s="73" t="str">
        <f>VLOOKUP(Tabla6[[#This Row],[GEO]],Listas!$A$48:$B$77,2,0)</f>
        <v>CUENCA</v>
      </c>
      <c r="Q927" s="70">
        <f>VLOOKUP(Tabla6[[#This Row],[PG]],Listas2!$G$14:$K$16,3,0)</f>
        <v>1</v>
      </c>
      <c r="R927" s="73">
        <f>VLOOKUP(Tabla6[[#This Row],[PG]],Listas2!H29:'Listas2'!$G$14:$K$16,4,0)</f>
        <v>0</v>
      </c>
      <c r="S927" s="73">
        <f>VLOOKUP(Tabla6[[#This Row],[PG]],Listas2!$G$14:$K$16,2,0)</f>
        <v>0</v>
      </c>
      <c r="T927" s="66" t="s">
        <v>84</v>
      </c>
      <c r="U927" s="74">
        <v>51</v>
      </c>
      <c r="V927" s="66">
        <v>510203</v>
      </c>
      <c r="W927" s="63" t="str">
        <f>VLOOKUP(Tabla6[[#This Row],[ÍTEM PRESUPUESTARIO]],Tabla2[#All],2,0)</f>
        <v>DÉCIMO TERCER SUELDO</v>
      </c>
      <c r="X927" s="57">
        <v>78183</v>
      </c>
      <c r="Y927" s="57">
        <f>79172-200-1075.01+50-647.41</f>
        <v>77299.58</v>
      </c>
      <c r="Z927" s="58">
        <v>0</v>
      </c>
      <c r="AA927" s="58">
        <v>0</v>
      </c>
      <c r="AB927" s="58">
        <v>0</v>
      </c>
      <c r="AC927" s="58">
        <v>0</v>
      </c>
      <c r="AD927" s="58">
        <v>0</v>
      </c>
      <c r="AE927" s="58">
        <v>0</v>
      </c>
      <c r="AF927" s="58">
        <v>0</v>
      </c>
      <c r="AG927" s="58">
        <v>0</v>
      </c>
      <c r="AH927" s="58">
        <v>0</v>
      </c>
      <c r="AI927" s="58">
        <v>0</v>
      </c>
      <c r="AJ927" s="58">
        <v>0</v>
      </c>
      <c r="AK927" s="58">
        <f>77946.99-647.41</f>
        <v>77299.58</v>
      </c>
      <c r="AL927" s="75">
        <f>+SUBTOTAL(9,Tabla6[[#This Row],[ENE]:[DIC]])</f>
        <v>77299.58</v>
      </c>
      <c r="AM927" s="76" t="str">
        <f t="shared" si="20"/>
        <v>OK</v>
      </c>
      <c r="AN927" s="60">
        <v>0</v>
      </c>
      <c r="AO927" s="61">
        <f>+Tabla6[[#This Row],[PRESUPUESTO VIGENTE]]-Tabla6[[#This Row],[CERTIFICACIÓN PAPP]]</f>
        <v>77299.58</v>
      </c>
      <c r="AP927" s="59">
        <v>0</v>
      </c>
    </row>
    <row r="928" spans="1:42" ht="93" customHeight="1" x14ac:dyDescent="0.25">
      <c r="A928" s="62" t="s">
        <v>88</v>
      </c>
      <c r="B928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928" s="64" t="s">
        <v>89</v>
      </c>
      <c r="D928" s="64" t="s">
        <v>80</v>
      </c>
      <c r="E928" s="64" t="s">
        <v>81</v>
      </c>
      <c r="F928" s="64" t="s">
        <v>110</v>
      </c>
      <c r="G928" s="64" t="s">
        <v>9</v>
      </c>
      <c r="H928" s="65" t="str">
        <f>VLOOKUP(Tabla6[[#This Row],[DIRECCIÓN]],DIRECCIÓN[#All],2,0)</f>
        <v>OPERACIONES</v>
      </c>
      <c r="I928" s="66" t="s">
        <v>93</v>
      </c>
      <c r="J928" s="67">
        <v>1</v>
      </c>
      <c r="K928" s="68" t="str">
        <f>VLOOKUP(Tabla6[[#This Row],[DIRECCIÓN GENERAL / COORDINACIÓN / SUBDIRECCIÓN]],Tabla37[[#All],[Columna1]:[EOD]],2,0)</f>
        <v>266_0006</v>
      </c>
      <c r="L928" s="69">
        <f>VLOOKUP(Tabla6[[#This Row],[OBJETIVOS PND]],Listas!$A$1:$C$3,3,0)</f>
        <v>55</v>
      </c>
      <c r="M928" s="70">
        <f>VLOOKUP(Tabla6[[#This Row],[PG]],Listas2!$G$14:$K$16,5,0)</f>
        <v>0</v>
      </c>
      <c r="N928" s="71">
        <v>2</v>
      </c>
      <c r="O928" s="72">
        <v>100</v>
      </c>
      <c r="P928" s="73" t="str">
        <f>VLOOKUP(Tabla6[[#This Row],[GEO]],Listas!$A$48:$B$77,2,0)</f>
        <v>CUENCA</v>
      </c>
      <c r="Q928" s="70">
        <f>VLOOKUP(Tabla6[[#This Row],[PG]],Listas2!$G$14:$K$16,3,0)</f>
        <v>1</v>
      </c>
      <c r="R928" s="73">
        <f>VLOOKUP(Tabla6[[#This Row],[PG]],Listas2!H30:'Listas2'!$G$14:$K$16,4,0)</f>
        <v>0</v>
      </c>
      <c r="S928" s="73">
        <f>VLOOKUP(Tabla6[[#This Row],[PG]],Listas2!$G$14:$K$16,2,0)</f>
        <v>0</v>
      </c>
      <c r="T928" s="66" t="s">
        <v>84</v>
      </c>
      <c r="U928" s="74">
        <v>51</v>
      </c>
      <c r="V928" s="66">
        <v>510204</v>
      </c>
      <c r="W928" s="63" t="str">
        <f>VLOOKUP(Tabla6[[#This Row],[ÍTEM PRESUPUESTARIO]],Tabla2[#All],2,0)</f>
        <v>DÉCIMO CUARTO SUELDO</v>
      </c>
      <c r="X928" s="57">
        <v>42500</v>
      </c>
      <c r="Y928" s="57">
        <f>45338-2900+476+500+1700+150-118.11</f>
        <v>45145.89</v>
      </c>
      <c r="Z928" s="58">
        <v>0</v>
      </c>
      <c r="AA928" s="58">
        <v>0</v>
      </c>
      <c r="AB928" s="58">
        <v>0</v>
      </c>
      <c r="AC928" s="58">
        <v>0</v>
      </c>
      <c r="AD928" s="58">
        <v>0</v>
      </c>
      <c r="AE928" s="58">
        <v>0</v>
      </c>
      <c r="AF928" s="58">
        <v>0</v>
      </c>
      <c r="AG928" s="58">
        <f>43414+1700+150-118.11</f>
        <v>45145.89</v>
      </c>
      <c r="AH928" s="58">
        <v>0</v>
      </c>
      <c r="AI928" s="58">
        <v>0</v>
      </c>
      <c r="AJ928" s="58">
        <v>0</v>
      </c>
      <c r="AK928" s="58">
        <v>0</v>
      </c>
      <c r="AL928" s="75">
        <f>+SUBTOTAL(9,Tabla6[[#This Row],[ENE]:[DIC]])</f>
        <v>45145.89</v>
      </c>
      <c r="AM928" s="76" t="str">
        <f t="shared" si="20"/>
        <v>OK</v>
      </c>
      <c r="AN928" s="60">
        <v>0</v>
      </c>
      <c r="AO928" s="61">
        <f>+Tabla6[[#This Row],[PRESUPUESTO VIGENTE]]-Tabla6[[#This Row],[CERTIFICACIÓN PAPP]]</f>
        <v>45145.89</v>
      </c>
      <c r="AP928" s="59">
        <v>0</v>
      </c>
    </row>
    <row r="929" spans="1:42" ht="93" customHeight="1" x14ac:dyDescent="0.25">
      <c r="A929" s="62" t="s">
        <v>88</v>
      </c>
      <c r="B929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929" s="64" t="s">
        <v>89</v>
      </c>
      <c r="D929" s="64" t="s">
        <v>80</v>
      </c>
      <c r="E929" s="64" t="s">
        <v>81</v>
      </c>
      <c r="F929" s="64" t="s">
        <v>110</v>
      </c>
      <c r="G929" s="64" t="s">
        <v>9</v>
      </c>
      <c r="H929" s="65" t="str">
        <f>VLOOKUP(Tabla6[[#This Row],[DIRECCIÓN]],DIRECCIÓN[#All],2,0)</f>
        <v>OPERACIONES</v>
      </c>
      <c r="I929" s="66" t="s">
        <v>93</v>
      </c>
      <c r="J929" s="67">
        <v>1</v>
      </c>
      <c r="K929" s="68" t="str">
        <f>VLOOKUP(Tabla6[[#This Row],[DIRECCIÓN GENERAL / COORDINACIÓN / SUBDIRECCIÓN]],Tabla37[[#All],[Columna1]:[EOD]],2,0)</f>
        <v>266_0006</v>
      </c>
      <c r="L929" s="69">
        <f>VLOOKUP(Tabla6[[#This Row],[OBJETIVOS PND]],Listas!$A$1:$C$3,3,0)</f>
        <v>55</v>
      </c>
      <c r="M929" s="70">
        <f>VLOOKUP(Tabla6[[#This Row],[PG]],Listas2!$G$14:$K$16,5,0)</f>
        <v>0</v>
      </c>
      <c r="N929" s="71">
        <v>2</v>
      </c>
      <c r="O929" s="72">
        <v>100</v>
      </c>
      <c r="P929" s="73" t="str">
        <f>VLOOKUP(Tabla6[[#This Row],[GEO]],Listas!$A$48:$B$77,2,0)</f>
        <v>CUENCA</v>
      </c>
      <c r="Q929" s="70">
        <f>VLOOKUP(Tabla6[[#This Row],[PG]],Listas2!$G$14:$K$16,3,0)</f>
        <v>1</v>
      </c>
      <c r="R929" s="73">
        <f>VLOOKUP(Tabla6[[#This Row],[PG]],Listas2!H31:'Listas2'!$G$14:$K$16,4,0)</f>
        <v>0</v>
      </c>
      <c r="S929" s="73">
        <f>VLOOKUP(Tabla6[[#This Row],[PG]],Listas2!$G$14:$K$16,2,0)</f>
        <v>0</v>
      </c>
      <c r="T929" s="66" t="s">
        <v>84</v>
      </c>
      <c r="U929" s="74">
        <v>51</v>
      </c>
      <c r="V929" s="66">
        <v>510510</v>
      </c>
      <c r="W929" s="63" t="str">
        <f>VLOOKUP(Tabla6[[#This Row],[ÍTEM PRESUPUESTARIO]],Tabla2[#All],2,0)</f>
        <v>SERVICIOS PERSONALES POR CONTRATO</v>
      </c>
      <c r="X929" s="57">
        <v>38220</v>
      </c>
      <c r="Y929" s="57">
        <f>50086-3636-9191.55-2220-2183.78</f>
        <v>32854.67</v>
      </c>
      <c r="Z929" s="58">
        <v>4173.83</v>
      </c>
      <c r="AA929" s="58">
        <v>4173.83</v>
      </c>
      <c r="AB929" s="58">
        <v>4173.83</v>
      </c>
      <c r="AC929" s="58">
        <f>4173.83-404</f>
        <v>3769.83</v>
      </c>
      <c r="AD929" s="58">
        <f>4173.83-404</f>
        <v>3769.83</v>
      </c>
      <c r="AE929" s="58">
        <f>4173.83-404</f>
        <v>3769.83</v>
      </c>
      <c r="AF929" s="58">
        <v>2237.91</v>
      </c>
      <c r="AG929" s="58">
        <v>2237.91</v>
      </c>
      <c r="AH929" s="58">
        <v>2237.91</v>
      </c>
      <c r="AI929" s="58">
        <v>2237.91</v>
      </c>
      <c r="AJ929" s="58">
        <f>2237.91-2183.78</f>
        <v>54.129999999999654</v>
      </c>
      <c r="AK929" s="58">
        <f>2237.92-2220</f>
        <v>17.920000000000073</v>
      </c>
      <c r="AL929" s="75">
        <f>+SUBTOTAL(9,Tabla6[[#This Row],[ENE]:[DIC]])</f>
        <v>32854.67</v>
      </c>
      <c r="AM929" s="76" t="str">
        <f t="shared" si="20"/>
        <v>OK</v>
      </c>
      <c r="AN929" s="60">
        <v>0</v>
      </c>
      <c r="AO929" s="61">
        <f>+Tabla6[[#This Row],[PRESUPUESTO VIGENTE]]-Tabla6[[#This Row],[CERTIFICACIÓN PAPP]]</f>
        <v>32854.67</v>
      </c>
      <c r="AP929" s="59">
        <v>0</v>
      </c>
    </row>
    <row r="930" spans="1:42" ht="93" customHeight="1" x14ac:dyDescent="0.25">
      <c r="A930" s="62" t="s">
        <v>88</v>
      </c>
      <c r="B930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930" s="64" t="s">
        <v>89</v>
      </c>
      <c r="D930" s="64" t="s">
        <v>80</v>
      </c>
      <c r="E930" s="64" t="s">
        <v>81</v>
      </c>
      <c r="F930" s="64" t="s">
        <v>110</v>
      </c>
      <c r="G930" s="64" t="s">
        <v>9</v>
      </c>
      <c r="H930" s="65" t="str">
        <f>VLOOKUP(Tabla6[[#This Row],[DIRECCIÓN]],DIRECCIÓN[#All],2,0)</f>
        <v>OPERACIONES</v>
      </c>
      <c r="I930" s="66" t="s">
        <v>93</v>
      </c>
      <c r="J930" s="67">
        <v>1</v>
      </c>
      <c r="K930" s="68" t="str">
        <f>VLOOKUP(Tabla6[[#This Row],[DIRECCIÓN GENERAL / COORDINACIÓN / SUBDIRECCIÓN]],Tabla37[[#All],[Columna1]:[EOD]],2,0)</f>
        <v>266_0006</v>
      </c>
      <c r="L930" s="69">
        <f>VLOOKUP(Tabla6[[#This Row],[OBJETIVOS PND]],Listas!$A$1:$C$3,3,0)</f>
        <v>55</v>
      </c>
      <c r="M930" s="70">
        <f>VLOOKUP(Tabla6[[#This Row],[PG]],Listas2!$G$14:$K$16,5,0)</f>
        <v>0</v>
      </c>
      <c r="N930" s="71">
        <v>2</v>
      </c>
      <c r="O930" s="72">
        <v>100</v>
      </c>
      <c r="P930" s="73" t="str">
        <f>VLOOKUP(Tabla6[[#This Row],[GEO]],Listas!$A$48:$B$77,2,0)</f>
        <v>CUENCA</v>
      </c>
      <c r="Q930" s="70">
        <f>VLOOKUP(Tabla6[[#This Row],[PG]],Listas2!$G$14:$K$16,3,0)</f>
        <v>1</v>
      </c>
      <c r="R930" s="73">
        <f>VLOOKUP(Tabla6[[#This Row],[PG]],Listas2!H32:'Listas2'!$G$14:$K$16,4,0)</f>
        <v>0</v>
      </c>
      <c r="S930" s="73">
        <f>VLOOKUP(Tabla6[[#This Row],[PG]],Listas2!$G$14:$K$16,2,0)</f>
        <v>0</v>
      </c>
      <c r="T930" s="66" t="s">
        <v>84</v>
      </c>
      <c r="U930" s="74">
        <v>51</v>
      </c>
      <c r="V930" s="66">
        <v>510512</v>
      </c>
      <c r="W930" s="63" t="str">
        <f>VLOOKUP(Tabla6[[#This Row],[ÍTEM PRESUPUESTARIO]],Tabla2[#All],2,0)</f>
        <v xml:space="preserve">SUBROGACIÓN </v>
      </c>
      <c r="X930" s="57">
        <v>0</v>
      </c>
      <c r="Y930" s="57">
        <f>462+1386-1340.53</f>
        <v>507.47</v>
      </c>
      <c r="Z930" s="58">
        <v>0</v>
      </c>
      <c r="AA930" s="58">
        <v>462</v>
      </c>
      <c r="AB930" s="58">
        <v>0</v>
      </c>
      <c r="AC930" s="58">
        <v>0</v>
      </c>
      <c r="AD930" s="58">
        <f>1386-1340.53</f>
        <v>45.470000000000027</v>
      </c>
      <c r="AE930" s="58">
        <v>0</v>
      </c>
      <c r="AF930" s="58">
        <v>0</v>
      </c>
      <c r="AG930" s="58">
        <v>0</v>
      </c>
      <c r="AH930" s="58">
        <v>0</v>
      </c>
      <c r="AI930" s="58">
        <v>0</v>
      </c>
      <c r="AJ930" s="58">
        <v>0</v>
      </c>
      <c r="AK930" s="58">
        <v>0</v>
      </c>
      <c r="AL930" s="75">
        <f>+SUBTOTAL(9,Tabla6[[#This Row],[ENE]:[DIC]])</f>
        <v>507.47</v>
      </c>
      <c r="AM930" s="76" t="str">
        <f t="shared" si="20"/>
        <v>OK</v>
      </c>
      <c r="AN930" s="60">
        <v>0</v>
      </c>
      <c r="AO930" s="61">
        <f>+Tabla6[[#This Row],[PRESUPUESTO VIGENTE]]-Tabla6[[#This Row],[CERTIFICACIÓN PAPP]]</f>
        <v>507.47</v>
      </c>
      <c r="AP930" s="59">
        <v>0</v>
      </c>
    </row>
    <row r="931" spans="1:42" ht="93" customHeight="1" x14ac:dyDescent="0.25">
      <c r="A931" s="62" t="s">
        <v>88</v>
      </c>
      <c r="B931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931" s="64" t="s">
        <v>89</v>
      </c>
      <c r="D931" s="64" t="s">
        <v>80</v>
      </c>
      <c r="E931" s="64" t="s">
        <v>81</v>
      </c>
      <c r="F931" s="64" t="s">
        <v>110</v>
      </c>
      <c r="G931" s="64" t="s">
        <v>9</v>
      </c>
      <c r="H931" s="65" t="str">
        <f>VLOOKUP(Tabla6[[#This Row],[DIRECCIÓN]],DIRECCIÓN[#All],2,0)</f>
        <v>OPERACIONES</v>
      </c>
      <c r="I931" s="66" t="s">
        <v>93</v>
      </c>
      <c r="J931" s="67">
        <v>1</v>
      </c>
      <c r="K931" s="68" t="str">
        <f>VLOOKUP(Tabla6[[#This Row],[DIRECCIÓN GENERAL / COORDINACIÓN / SUBDIRECCIÓN]],Tabla37[[#All],[Columna1]:[EOD]],2,0)</f>
        <v>266_0006</v>
      </c>
      <c r="L931" s="69">
        <f>VLOOKUP(Tabla6[[#This Row],[OBJETIVOS PND]],Listas!$A$1:$C$3,3,0)</f>
        <v>55</v>
      </c>
      <c r="M931" s="70">
        <f>VLOOKUP(Tabla6[[#This Row],[PG]],Listas2!$G$14:$K$16,5,0)</f>
        <v>0</v>
      </c>
      <c r="N931" s="71">
        <v>2</v>
      </c>
      <c r="O931" s="72">
        <v>100</v>
      </c>
      <c r="P931" s="73" t="str">
        <f>VLOOKUP(Tabla6[[#This Row],[GEO]],Listas!$A$48:$B$77,2,0)</f>
        <v>CUENCA</v>
      </c>
      <c r="Q931" s="70">
        <f>VLOOKUP(Tabla6[[#This Row],[PG]],Listas2!$G$14:$K$16,3,0)</f>
        <v>1</v>
      </c>
      <c r="R931" s="73">
        <f>VLOOKUP(Tabla6[[#This Row],[PG]],Listas2!H33:'Listas2'!$G$14:$K$16,4,0)</f>
        <v>0</v>
      </c>
      <c r="S931" s="73">
        <f>VLOOKUP(Tabla6[[#This Row],[PG]],Listas2!$G$14:$K$16,2,0)</f>
        <v>0</v>
      </c>
      <c r="T931" s="66" t="s">
        <v>84</v>
      </c>
      <c r="U931" s="74">
        <v>51</v>
      </c>
      <c r="V931" s="66">
        <v>510601</v>
      </c>
      <c r="W931" s="63" t="str">
        <f>VLOOKUP(Tabla6[[#This Row],[ÍTEM PRESUPUESTARIO]],Tabla2[#All],2,0)</f>
        <v>APORTE PATRONAL</v>
      </c>
      <c r="X931" s="57">
        <v>90536</v>
      </c>
      <c r="Y931" s="57">
        <f>91681-100-1100-947.04</f>
        <v>89533.96</v>
      </c>
      <c r="Z931" s="58">
        <v>7640.08</v>
      </c>
      <c r="AA931" s="58">
        <v>7640.08</v>
      </c>
      <c r="AB931" s="58">
        <v>7640.08</v>
      </c>
      <c r="AC931" s="58">
        <f t="shared" ref="AC931:AH931" si="21">7640.08-11.11</f>
        <v>7628.97</v>
      </c>
      <c r="AD931" s="58">
        <f t="shared" si="21"/>
        <v>7628.97</v>
      </c>
      <c r="AE931" s="58">
        <f t="shared" si="21"/>
        <v>7628.97</v>
      </c>
      <c r="AF931" s="58">
        <f t="shared" si="21"/>
        <v>7628.97</v>
      </c>
      <c r="AG931" s="58">
        <f t="shared" si="21"/>
        <v>7628.97</v>
      </c>
      <c r="AH931" s="58">
        <f t="shared" si="21"/>
        <v>7628.97</v>
      </c>
      <c r="AI931" s="58">
        <f>7640.08-11.11-370</f>
        <v>7258.97</v>
      </c>
      <c r="AJ931" s="58">
        <f>7640.08-11.11-370</f>
        <v>7258.97</v>
      </c>
      <c r="AK931" s="58">
        <f>7640.12-11.12-360-947.04</f>
        <v>6321.96</v>
      </c>
      <c r="AL931" s="75">
        <f>+SUBTOTAL(9,Tabla6[[#This Row],[ENE]:[DIC]])</f>
        <v>89533.96</v>
      </c>
      <c r="AM931" s="76" t="str">
        <f t="shared" si="20"/>
        <v>OK</v>
      </c>
      <c r="AN931" s="60">
        <v>0</v>
      </c>
      <c r="AO931" s="61">
        <f>+Tabla6[[#This Row],[PRESUPUESTO VIGENTE]]-Tabla6[[#This Row],[CERTIFICACIÓN PAPP]]</f>
        <v>89533.96</v>
      </c>
      <c r="AP931" s="59">
        <v>0</v>
      </c>
    </row>
    <row r="932" spans="1:42" ht="93" customHeight="1" x14ac:dyDescent="0.25">
      <c r="A932" s="62" t="s">
        <v>88</v>
      </c>
      <c r="B932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932" s="64" t="s">
        <v>89</v>
      </c>
      <c r="D932" s="64" t="s">
        <v>80</v>
      </c>
      <c r="E932" s="64" t="s">
        <v>81</v>
      </c>
      <c r="F932" s="64" t="s">
        <v>110</v>
      </c>
      <c r="G932" s="64" t="s">
        <v>9</v>
      </c>
      <c r="H932" s="65" t="str">
        <f>VLOOKUP(Tabla6[[#This Row],[DIRECCIÓN]],DIRECCIÓN[#All],2,0)</f>
        <v>OPERACIONES</v>
      </c>
      <c r="I932" s="66" t="s">
        <v>93</v>
      </c>
      <c r="J932" s="67">
        <v>1</v>
      </c>
      <c r="K932" s="68" t="str">
        <f>VLOOKUP(Tabla6[[#This Row],[DIRECCIÓN GENERAL / COORDINACIÓN / SUBDIRECCIÓN]],Tabla37[[#All],[Columna1]:[EOD]],2,0)</f>
        <v>266_0006</v>
      </c>
      <c r="L932" s="69">
        <f>VLOOKUP(Tabla6[[#This Row],[OBJETIVOS PND]],Listas!$A$1:$C$3,3,0)</f>
        <v>55</v>
      </c>
      <c r="M932" s="70">
        <f>VLOOKUP(Tabla6[[#This Row],[PG]],Listas2!$G$14:$K$16,5,0)</f>
        <v>0</v>
      </c>
      <c r="N932" s="71">
        <v>2</v>
      </c>
      <c r="O932" s="72">
        <v>100</v>
      </c>
      <c r="P932" s="73" t="str">
        <f>VLOOKUP(Tabla6[[#This Row],[GEO]],Listas!$A$48:$B$77,2,0)</f>
        <v>CUENCA</v>
      </c>
      <c r="Q932" s="70">
        <f>VLOOKUP(Tabla6[[#This Row],[PG]],Listas2!$G$14:$K$16,3,0)</f>
        <v>1</v>
      </c>
      <c r="R932" s="73">
        <f>VLOOKUP(Tabla6[[#This Row],[PG]],Listas2!H34:'Listas2'!$G$14:$K$16,4,0)</f>
        <v>0</v>
      </c>
      <c r="S932" s="73">
        <f>VLOOKUP(Tabla6[[#This Row],[PG]],Listas2!$G$14:$K$16,2,0)</f>
        <v>0</v>
      </c>
      <c r="T932" s="66" t="s">
        <v>84</v>
      </c>
      <c r="U932" s="74">
        <v>51</v>
      </c>
      <c r="V932" s="66">
        <v>510602</v>
      </c>
      <c r="W932" s="63" t="str">
        <f>VLOOKUP(Tabla6[[#This Row],[ÍTEM PRESUPUESTARIO]],Tabla2[#All],2,0)</f>
        <v>FONDO DE RESERVA</v>
      </c>
      <c r="X932" s="57">
        <v>55059</v>
      </c>
      <c r="Y932" s="57">
        <f>64285+7770-240+277-1100-1070.88</f>
        <v>69921.119999999995</v>
      </c>
      <c r="Z932" s="58">
        <v>5357.08</v>
      </c>
      <c r="AA932" s="58">
        <v>5357.08</v>
      </c>
      <c r="AB932" s="58">
        <v>5357.08</v>
      </c>
      <c r="AC932" s="58">
        <f>5357.08+863.33</f>
        <v>6220.41</v>
      </c>
      <c r="AD932" s="58">
        <f>5357.08+863.33</f>
        <v>6220.41</v>
      </c>
      <c r="AE932" s="58">
        <f>5357.08+863.33</f>
        <v>6220.41</v>
      </c>
      <c r="AF932" s="58">
        <f>5357.08+863.33-40</f>
        <v>6180.41</v>
      </c>
      <c r="AG932" s="58">
        <f>5357.08+863.33-40</f>
        <v>6180.41</v>
      </c>
      <c r="AH932" s="58">
        <f>5357.08+863.33-40</f>
        <v>6180.41</v>
      </c>
      <c r="AI932" s="58">
        <f>5357.08+863.33-40-370</f>
        <v>5810.41</v>
      </c>
      <c r="AJ932" s="58">
        <f>5357.08+863.33-40-370</f>
        <v>5810.41</v>
      </c>
      <c r="AK932" s="58">
        <f>6457.48-360-1070.88</f>
        <v>5026.5999999999995</v>
      </c>
      <c r="AL932" s="75">
        <f>+SUBTOTAL(9,Tabla6[[#This Row],[ENE]:[DIC]])</f>
        <v>69921.120000000024</v>
      </c>
      <c r="AM932" s="76" t="str">
        <f t="shared" si="20"/>
        <v>OK</v>
      </c>
      <c r="AN932" s="60">
        <v>0</v>
      </c>
      <c r="AO932" s="61">
        <f>+Tabla6[[#This Row],[PRESUPUESTO VIGENTE]]-Tabla6[[#This Row],[CERTIFICACIÓN PAPP]]</f>
        <v>69921.119999999995</v>
      </c>
      <c r="AP932" s="59">
        <v>0</v>
      </c>
    </row>
    <row r="933" spans="1:42" ht="93" customHeight="1" x14ac:dyDescent="0.25">
      <c r="A933" s="62" t="s">
        <v>88</v>
      </c>
      <c r="B933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933" s="64" t="s">
        <v>89</v>
      </c>
      <c r="D933" s="64" t="s">
        <v>80</v>
      </c>
      <c r="E933" s="64" t="s">
        <v>81</v>
      </c>
      <c r="F933" s="64" t="s">
        <v>110</v>
      </c>
      <c r="G933" s="64" t="s">
        <v>9</v>
      </c>
      <c r="H933" s="65" t="str">
        <f>VLOOKUP(Tabla6[[#This Row],[DIRECCIÓN]],DIRECCIÓN[#All],2,0)</f>
        <v>OPERACIONES</v>
      </c>
      <c r="I933" s="66" t="s">
        <v>93</v>
      </c>
      <c r="J933" s="67">
        <v>1</v>
      </c>
      <c r="K933" s="68" t="str">
        <f>VLOOKUP(Tabla6[[#This Row],[DIRECCIÓN GENERAL / COORDINACIÓN / SUBDIRECCIÓN]],Tabla37[[#All],[Columna1]:[EOD]],2,0)</f>
        <v>266_0006</v>
      </c>
      <c r="L933" s="69">
        <f>VLOOKUP(Tabla6[[#This Row],[OBJETIVOS PND]],Listas!$A$1:$C$3,3,0)</f>
        <v>55</v>
      </c>
      <c r="M933" s="70">
        <f>VLOOKUP(Tabla6[[#This Row],[PG]],Listas2!$G$14:$K$16,5,0)</f>
        <v>0</v>
      </c>
      <c r="N933" s="71">
        <v>2</v>
      </c>
      <c r="O933" s="72">
        <v>100</v>
      </c>
      <c r="P933" s="73" t="str">
        <f>VLOOKUP(Tabla6[[#This Row],[GEO]],Listas!$A$48:$B$77,2,0)</f>
        <v>CUENCA</v>
      </c>
      <c r="Q933" s="70">
        <f>VLOOKUP(Tabla6[[#This Row],[PG]],Listas2!$G$14:$K$16,3,0)</f>
        <v>1</v>
      </c>
      <c r="R933" s="73">
        <f>VLOOKUP(Tabla6[[#This Row],[PG]],Listas2!H35:'Listas2'!$G$14:$K$16,4,0)</f>
        <v>0</v>
      </c>
      <c r="S933" s="73">
        <f>VLOOKUP(Tabla6[[#This Row],[PG]],Listas2!$G$14:$K$16,2,0)</f>
        <v>0</v>
      </c>
      <c r="T933" s="66" t="s">
        <v>84</v>
      </c>
      <c r="U933" s="74">
        <v>51</v>
      </c>
      <c r="V933" s="66">
        <v>510707</v>
      </c>
      <c r="W933" s="63" t="str">
        <f>VLOOKUP(Tabla6[[#This Row],[ÍTEM PRESUPUESTARIO]],Tabla2[#All],2,0)</f>
        <v>COMPENSACIÓN POR VACACIONES NO GOZADAS POR CESACIÓN DE FUNCIONES</v>
      </c>
      <c r="X933" s="57">
        <v>0</v>
      </c>
      <c r="Y933" s="57">
        <f>32.72+274+200+300+300+400-54.24</f>
        <v>1452.48</v>
      </c>
      <c r="Z933" s="58">
        <v>0</v>
      </c>
      <c r="AA933" s="58">
        <v>0</v>
      </c>
      <c r="AB933" s="58">
        <v>32.72</v>
      </c>
      <c r="AC933" s="58">
        <v>0</v>
      </c>
      <c r="AD933" s="58">
        <v>0</v>
      </c>
      <c r="AE933" s="58">
        <v>0</v>
      </c>
      <c r="AF933" s="58">
        <v>0</v>
      </c>
      <c r="AG933" s="58">
        <v>0</v>
      </c>
      <c r="AH933" s="58">
        <v>0</v>
      </c>
      <c r="AI933" s="58">
        <v>0</v>
      </c>
      <c r="AJ933" s="58">
        <v>0</v>
      </c>
      <c r="AK933" s="58">
        <f>774+300+400-54.24</f>
        <v>1419.76</v>
      </c>
      <c r="AL933" s="75">
        <f>+SUBTOTAL(9,Tabla6[[#This Row],[ENE]:[DIC]])</f>
        <v>1452.48</v>
      </c>
      <c r="AM933" s="76" t="str">
        <f t="shared" si="20"/>
        <v>OK</v>
      </c>
      <c r="AN933" s="60">
        <v>0</v>
      </c>
      <c r="AO933" s="61">
        <f>+Tabla6[[#This Row],[PRESUPUESTO VIGENTE]]-Tabla6[[#This Row],[CERTIFICACIÓN PAPP]]</f>
        <v>1452.48</v>
      </c>
      <c r="AP933" s="59">
        <v>0</v>
      </c>
    </row>
    <row r="934" spans="1:42" ht="93" customHeight="1" x14ac:dyDescent="0.25">
      <c r="A934" s="62" t="s">
        <v>88</v>
      </c>
      <c r="B934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934" s="64" t="s">
        <v>89</v>
      </c>
      <c r="D934" s="64" t="s">
        <v>80</v>
      </c>
      <c r="E934" s="64" t="s">
        <v>81</v>
      </c>
      <c r="F934" s="64" t="s">
        <v>110</v>
      </c>
      <c r="G934" s="64" t="s">
        <v>10</v>
      </c>
      <c r="H934" s="65" t="str">
        <f>VLOOKUP(Tabla6[[#This Row],[DIRECCIÓN]],DIRECCIÓN[#All],2,0)</f>
        <v>TECNOLOGÍA</v>
      </c>
      <c r="I934" s="66" t="s">
        <v>93</v>
      </c>
      <c r="J934" s="67">
        <v>1</v>
      </c>
      <c r="K934" s="68" t="str">
        <f>VLOOKUP(Tabla6[[#This Row],[DIRECCIÓN GENERAL / COORDINACIÓN / SUBDIRECCIÓN]],Tabla37[[#All],[Columna1]:[EOD]],2,0)</f>
        <v>266_0006</v>
      </c>
      <c r="L934" s="69">
        <f>VLOOKUP(Tabla6[[#This Row],[OBJETIVOS PND]],Listas!$A$1:$C$3,3,0)</f>
        <v>55</v>
      </c>
      <c r="M934" s="70">
        <f>VLOOKUP(Tabla6[[#This Row],[PG]],Listas2!$G$14:$K$16,5,0)</f>
        <v>0</v>
      </c>
      <c r="N934" s="71">
        <v>3</v>
      </c>
      <c r="O934" s="72">
        <v>100</v>
      </c>
      <c r="P934" s="73" t="str">
        <f>VLOOKUP(Tabla6[[#This Row],[GEO]],Listas!$A$48:$B$77,2,0)</f>
        <v>CUENCA</v>
      </c>
      <c r="Q934" s="70">
        <f>VLOOKUP(Tabla6[[#This Row],[PG]],Listas2!$G$14:$K$16,3,0)</f>
        <v>1</v>
      </c>
      <c r="R934" s="73">
        <f>VLOOKUP(Tabla6[[#This Row],[PG]],Listas2!H36:'Listas2'!$G$14:$K$16,4,0)</f>
        <v>0</v>
      </c>
      <c r="S934" s="73">
        <f>VLOOKUP(Tabla6[[#This Row],[PG]],Listas2!$G$14:$K$16,2,0)</f>
        <v>0</v>
      </c>
      <c r="T934" s="66" t="s">
        <v>84</v>
      </c>
      <c r="U934" s="74">
        <v>51</v>
      </c>
      <c r="V934" s="66">
        <v>510105</v>
      </c>
      <c r="W934" s="63" t="str">
        <f>VLOOKUP(Tabla6[[#This Row],[ÍTEM PRESUPUESTARIO]],Tabla2[#All],2,0)</f>
        <v>REMUNERACIONES UNIFICADAS</v>
      </c>
      <c r="X934" s="57">
        <v>63744</v>
      </c>
      <c r="Y934" s="57">
        <v>63744</v>
      </c>
      <c r="Z934" s="58">
        <v>5312</v>
      </c>
      <c r="AA934" s="58">
        <v>5312</v>
      </c>
      <c r="AB934" s="58">
        <v>5312</v>
      </c>
      <c r="AC934" s="58">
        <v>5312</v>
      </c>
      <c r="AD934" s="58">
        <v>5312</v>
      </c>
      <c r="AE934" s="58">
        <v>5312</v>
      </c>
      <c r="AF934" s="58">
        <v>5312</v>
      </c>
      <c r="AG934" s="58">
        <v>5312</v>
      </c>
      <c r="AH934" s="58">
        <v>5312</v>
      </c>
      <c r="AI934" s="58">
        <v>5312</v>
      </c>
      <c r="AJ934" s="58">
        <v>5312</v>
      </c>
      <c r="AK934" s="58">
        <v>5312</v>
      </c>
      <c r="AL934" s="75">
        <f>+SUBTOTAL(9,Tabla6[[#This Row],[ENE]:[DIC]])</f>
        <v>63744</v>
      </c>
      <c r="AM934" s="76" t="str">
        <f t="shared" si="20"/>
        <v>OK</v>
      </c>
      <c r="AN934" s="60">
        <v>0</v>
      </c>
      <c r="AO934" s="61">
        <f>+Tabla6[[#This Row],[PRESUPUESTO VIGENTE]]-Tabla6[[#This Row],[CERTIFICACIÓN PAPP]]</f>
        <v>63744</v>
      </c>
      <c r="AP934" s="59">
        <v>0</v>
      </c>
    </row>
    <row r="935" spans="1:42" ht="93" customHeight="1" x14ac:dyDescent="0.25">
      <c r="A935" s="62" t="s">
        <v>88</v>
      </c>
      <c r="B935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935" s="64" t="s">
        <v>89</v>
      </c>
      <c r="D935" s="64" t="s">
        <v>80</v>
      </c>
      <c r="E935" s="64" t="s">
        <v>81</v>
      </c>
      <c r="F935" s="64" t="s">
        <v>110</v>
      </c>
      <c r="G935" s="64" t="s">
        <v>10</v>
      </c>
      <c r="H935" s="65" t="str">
        <f>VLOOKUP(Tabla6[[#This Row],[DIRECCIÓN]],DIRECCIÓN[#All],2,0)</f>
        <v>TECNOLOGÍA</v>
      </c>
      <c r="I935" s="66" t="s">
        <v>93</v>
      </c>
      <c r="J935" s="67">
        <v>1</v>
      </c>
      <c r="K935" s="68" t="str">
        <f>VLOOKUP(Tabla6[[#This Row],[DIRECCIÓN GENERAL / COORDINACIÓN / SUBDIRECCIÓN]],Tabla37[[#All],[Columna1]:[EOD]],2,0)</f>
        <v>266_0006</v>
      </c>
      <c r="L935" s="69">
        <f>VLOOKUP(Tabla6[[#This Row],[OBJETIVOS PND]],Listas!$A$1:$C$3,3,0)</f>
        <v>55</v>
      </c>
      <c r="M935" s="70">
        <f>VLOOKUP(Tabla6[[#This Row],[PG]],Listas2!$G$14:$K$16,5,0)</f>
        <v>0</v>
      </c>
      <c r="N935" s="71">
        <v>3</v>
      </c>
      <c r="O935" s="72">
        <v>100</v>
      </c>
      <c r="P935" s="73" t="str">
        <f>VLOOKUP(Tabla6[[#This Row],[GEO]],Listas!$A$48:$B$77,2,0)</f>
        <v>CUENCA</v>
      </c>
      <c r="Q935" s="70">
        <f>VLOOKUP(Tabla6[[#This Row],[PG]],Listas2!$G$14:$K$16,3,0)</f>
        <v>1</v>
      </c>
      <c r="R935" s="73">
        <f>VLOOKUP(Tabla6[[#This Row],[PG]],Listas2!H37:'Listas2'!$G$14:$K$16,4,0)</f>
        <v>0</v>
      </c>
      <c r="S935" s="73">
        <f>VLOOKUP(Tabla6[[#This Row],[PG]],Listas2!$G$14:$K$16,2,0)</f>
        <v>0</v>
      </c>
      <c r="T935" s="66" t="s">
        <v>84</v>
      </c>
      <c r="U935" s="74">
        <v>51</v>
      </c>
      <c r="V935" s="66">
        <v>510203</v>
      </c>
      <c r="W935" s="63" t="str">
        <f>VLOOKUP(Tabla6[[#This Row],[ÍTEM PRESUPUESTARIO]],Tabla2[#All],2,0)</f>
        <v>DÉCIMO TERCER SUELDO</v>
      </c>
      <c r="X935" s="57">
        <v>5312</v>
      </c>
      <c r="Y935" s="57">
        <f>5312+58-50.31</f>
        <v>5319.69</v>
      </c>
      <c r="Z935" s="58">
        <v>0</v>
      </c>
      <c r="AA935" s="58">
        <v>0</v>
      </c>
      <c r="AB935" s="58">
        <v>0</v>
      </c>
      <c r="AC935" s="58">
        <v>0</v>
      </c>
      <c r="AD935" s="58">
        <v>0</v>
      </c>
      <c r="AE935" s="58">
        <v>0</v>
      </c>
      <c r="AF935" s="58">
        <v>0</v>
      </c>
      <c r="AG935" s="58">
        <v>0</v>
      </c>
      <c r="AH935" s="58">
        <v>0</v>
      </c>
      <c r="AI935" s="58">
        <v>0</v>
      </c>
      <c r="AJ935" s="58">
        <v>0</v>
      </c>
      <c r="AK935" s="58">
        <f>5312+58-50.31</f>
        <v>5319.69</v>
      </c>
      <c r="AL935" s="75">
        <f>+SUBTOTAL(9,Tabla6[[#This Row],[ENE]:[DIC]])</f>
        <v>5319.69</v>
      </c>
      <c r="AM935" s="76" t="str">
        <f t="shared" si="20"/>
        <v>OK</v>
      </c>
      <c r="AN935" s="60">
        <v>0</v>
      </c>
      <c r="AO935" s="61">
        <f>+Tabla6[[#This Row],[PRESUPUESTO VIGENTE]]-Tabla6[[#This Row],[CERTIFICACIÓN PAPP]]</f>
        <v>5319.69</v>
      </c>
      <c r="AP935" s="59">
        <v>0</v>
      </c>
    </row>
    <row r="936" spans="1:42" ht="93" customHeight="1" x14ac:dyDescent="0.25">
      <c r="A936" s="62" t="s">
        <v>88</v>
      </c>
      <c r="B936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936" s="64" t="s">
        <v>89</v>
      </c>
      <c r="D936" s="64" t="s">
        <v>80</v>
      </c>
      <c r="E936" s="64" t="s">
        <v>81</v>
      </c>
      <c r="F936" s="64" t="s">
        <v>110</v>
      </c>
      <c r="G936" s="64" t="s">
        <v>10</v>
      </c>
      <c r="H936" s="65" t="str">
        <f>VLOOKUP(Tabla6[[#This Row],[DIRECCIÓN]],DIRECCIÓN[#All],2,0)</f>
        <v>TECNOLOGÍA</v>
      </c>
      <c r="I936" s="66" t="s">
        <v>93</v>
      </c>
      <c r="J936" s="67">
        <v>1</v>
      </c>
      <c r="K936" s="68" t="str">
        <f>VLOOKUP(Tabla6[[#This Row],[DIRECCIÓN GENERAL / COORDINACIÓN / SUBDIRECCIÓN]],Tabla37[[#All],[Columna1]:[EOD]],2,0)</f>
        <v>266_0006</v>
      </c>
      <c r="L936" s="69">
        <f>VLOOKUP(Tabla6[[#This Row],[OBJETIVOS PND]],Listas!$A$1:$C$3,3,0)</f>
        <v>55</v>
      </c>
      <c r="M936" s="70">
        <f>VLOOKUP(Tabla6[[#This Row],[PG]],Listas2!$G$14:$K$16,5,0)</f>
        <v>0</v>
      </c>
      <c r="N936" s="71">
        <v>3</v>
      </c>
      <c r="O936" s="72">
        <v>100</v>
      </c>
      <c r="P936" s="73" t="str">
        <f>VLOOKUP(Tabla6[[#This Row],[GEO]],Listas!$A$48:$B$77,2,0)</f>
        <v>CUENCA</v>
      </c>
      <c r="Q936" s="70">
        <f>VLOOKUP(Tabla6[[#This Row],[PG]],Listas2!$G$14:$K$16,3,0)</f>
        <v>1</v>
      </c>
      <c r="R936" s="73">
        <f>VLOOKUP(Tabla6[[#This Row],[PG]],Listas2!H38:'Listas2'!$G$14:$K$16,4,0)</f>
        <v>0</v>
      </c>
      <c r="S936" s="73">
        <f>VLOOKUP(Tabla6[[#This Row],[PG]],Listas2!$G$14:$K$16,2,0)</f>
        <v>0</v>
      </c>
      <c r="T936" s="66" t="s">
        <v>84</v>
      </c>
      <c r="U936" s="74">
        <v>51</v>
      </c>
      <c r="V936" s="66">
        <v>510204</v>
      </c>
      <c r="W936" s="63" t="str">
        <f>VLOOKUP(Tabla6[[#This Row],[ÍTEM PRESUPUESTARIO]],Tabla2[#All],2,0)</f>
        <v>DÉCIMO CUARTO SUELDO</v>
      </c>
      <c r="X936" s="57">
        <v>1700</v>
      </c>
      <c r="Y936" s="57">
        <f>1800-90+1+1.5+100-2.1</f>
        <v>1810.4</v>
      </c>
      <c r="Z936" s="58">
        <v>0</v>
      </c>
      <c r="AA936" s="58">
        <v>0</v>
      </c>
      <c r="AB936" s="58">
        <v>0</v>
      </c>
      <c r="AC936" s="58">
        <v>0</v>
      </c>
      <c r="AD936" s="58">
        <v>0</v>
      </c>
      <c r="AE936" s="58">
        <v>0</v>
      </c>
      <c r="AF936" s="58">
        <v>0</v>
      </c>
      <c r="AG936" s="58">
        <f>1712.5+100-2.1</f>
        <v>1810.4</v>
      </c>
      <c r="AH936" s="58">
        <v>0</v>
      </c>
      <c r="AI936" s="58">
        <v>0</v>
      </c>
      <c r="AJ936" s="58">
        <v>0</v>
      </c>
      <c r="AK936" s="58">
        <v>0</v>
      </c>
      <c r="AL936" s="75">
        <f>+SUBTOTAL(9,Tabla6[[#This Row],[ENE]:[DIC]])</f>
        <v>1810.4</v>
      </c>
      <c r="AM936" s="76" t="str">
        <f t="shared" si="20"/>
        <v>OK</v>
      </c>
      <c r="AN936" s="60">
        <v>0</v>
      </c>
      <c r="AO936" s="61">
        <f>+Tabla6[[#This Row],[PRESUPUESTO VIGENTE]]-Tabla6[[#This Row],[CERTIFICACIÓN PAPP]]</f>
        <v>1810.4</v>
      </c>
      <c r="AP936" s="59">
        <v>0</v>
      </c>
    </row>
    <row r="937" spans="1:42" ht="93" customHeight="1" x14ac:dyDescent="0.25">
      <c r="A937" s="62" t="s">
        <v>88</v>
      </c>
      <c r="B937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937" s="64" t="s">
        <v>89</v>
      </c>
      <c r="D937" s="64" t="s">
        <v>80</v>
      </c>
      <c r="E937" s="64" t="s">
        <v>81</v>
      </c>
      <c r="F937" s="64" t="s">
        <v>110</v>
      </c>
      <c r="G937" s="64" t="s">
        <v>10</v>
      </c>
      <c r="H937" s="65" t="str">
        <f>VLOOKUP(Tabla6[[#This Row],[DIRECCIÓN]],DIRECCIÓN[#All],2,0)</f>
        <v>TECNOLOGÍA</v>
      </c>
      <c r="I937" s="66" t="s">
        <v>93</v>
      </c>
      <c r="J937" s="67">
        <v>1</v>
      </c>
      <c r="K937" s="68" t="str">
        <f>VLOOKUP(Tabla6[[#This Row],[DIRECCIÓN GENERAL / COORDINACIÓN / SUBDIRECCIÓN]],Tabla37[[#All],[Columna1]:[EOD]],2,0)</f>
        <v>266_0006</v>
      </c>
      <c r="L937" s="69">
        <f>VLOOKUP(Tabla6[[#This Row],[OBJETIVOS PND]],Listas!$A$1:$C$3,3,0)</f>
        <v>55</v>
      </c>
      <c r="M937" s="70">
        <f>VLOOKUP(Tabla6[[#This Row],[PG]],Listas2!$G$14:$K$16,5,0)</f>
        <v>0</v>
      </c>
      <c r="N937" s="71">
        <v>3</v>
      </c>
      <c r="O937" s="72">
        <v>100</v>
      </c>
      <c r="P937" s="73" t="str">
        <f>VLOOKUP(Tabla6[[#This Row],[GEO]],Listas!$A$48:$B$77,2,0)</f>
        <v>CUENCA</v>
      </c>
      <c r="Q937" s="70">
        <f>VLOOKUP(Tabla6[[#This Row],[PG]],Listas2!$G$14:$K$16,3,0)</f>
        <v>1</v>
      </c>
      <c r="R937" s="73">
        <f>VLOOKUP(Tabla6[[#This Row],[PG]],Listas2!H39:'Listas2'!$G$14:$K$16,4,0)</f>
        <v>0</v>
      </c>
      <c r="S937" s="73">
        <f>VLOOKUP(Tabla6[[#This Row],[PG]],Listas2!$G$14:$K$16,2,0)</f>
        <v>0</v>
      </c>
      <c r="T937" s="66" t="s">
        <v>84</v>
      </c>
      <c r="U937" s="74">
        <v>51</v>
      </c>
      <c r="V937" s="66">
        <v>510512</v>
      </c>
      <c r="W937" s="63" t="str">
        <f>VLOOKUP(Tabla6[[#This Row],[ÍTEM PRESUPUESTARIO]],Tabla2[#All],2,0)</f>
        <v xml:space="preserve">SUBROGACIÓN </v>
      </c>
      <c r="X937" s="57">
        <v>0</v>
      </c>
      <c r="Y937" s="57">
        <f>346+346-599.73</f>
        <v>92.269999999999982</v>
      </c>
      <c r="Z937" s="58">
        <v>0</v>
      </c>
      <c r="AA937" s="58">
        <f>346-346</f>
        <v>0</v>
      </c>
      <c r="AB937" s="58">
        <v>0</v>
      </c>
      <c r="AC937" s="58">
        <v>0</v>
      </c>
      <c r="AD937" s="58">
        <v>0</v>
      </c>
      <c r="AE937" s="58">
        <v>0</v>
      </c>
      <c r="AF937" s="58">
        <v>0</v>
      </c>
      <c r="AG937" s="58">
        <v>0</v>
      </c>
      <c r="AH937" s="58">
        <v>0</v>
      </c>
      <c r="AI937" s="58">
        <v>0</v>
      </c>
      <c r="AJ937" s="58">
        <v>0</v>
      </c>
      <c r="AK937" s="58">
        <f>346-253.73</f>
        <v>92.27000000000001</v>
      </c>
      <c r="AL937" s="75">
        <f>+SUBTOTAL(9,Tabla6[[#This Row],[ENE]:[DIC]])</f>
        <v>92.27000000000001</v>
      </c>
      <c r="AM937" s="76" t="str">
        <f t="shared" si="20"/>
        <v>OK</v>
      </c>
      <c r="AN937" s="60">
        <v>0</v>
      </c>
      <c r="AO937" s="61">
        <f>+Tabla6[[#This Row],[PRESUPUESTO VIGENTE]]-Tabla6[[#This Row],[CERTIFICACIÓN PAPP]]</f>
        <v>92.269999999999982</v>
      </c>
      <c r="AP937" s="59">
        <v>0</v>
      </c>
    </row>
    <row r="938" spans="1:42" ht="93" customHeight="1" x14ac:dyDescent="0.25">
      <c r="A938" s="62" t="s">
        <v>88</v>
      </c>
      <c r="B938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938" s="64" t="s">
        <v>89</v>
      </c>
      <c r="D938" s="64" t="s">
        <v>80</v>
      </c>
      <c r="E938" s="64" t="s">
        <v>81</v>
      </c>
      <c r="F938" s="64" t="s">
        <v>110</v>
      </c>
      <c r="G938" s="64" t="s">
        <v>10</v>
      </c>
      <c r="H938" s="65" t="str">
        <f>VLOOKUP(Tabla6[[#This Row],[DIRECCIÓN]],DIRECCIÓN[#All],2,0)</f>
        <v>TECNOLOGÍA</v>
      </c>
      <c r="I938" s="66" t="s">
        <v>93</v>
      </c>
      <c r="J938" s="67">
        <v>1</v>
      </c>
      <c r="K938" s="68" t="str">
        <f>VLOOKUP(Tabla6[[#This Row],[DIRECCIÓN GENERAL / COORDINACIÓN / SUBDIRECCIÓN]],Tabla37[[#All],[Columna1]:[EOD]],2,0)</f>
        <v>266_0006</v>
      </c>
      <c r="L938" s="69">
        <f>VLOOKUP(Tabla6[[#This Row],[OBJETIVOS PND]],Listas!$A$1:$C$3,3,0)</f>
        <v>55</v>
      </c>
      <c r="M938" s="70">
        <f>VLOOKUP(Tabla6[[#This Row],[PG]],Listas2!$G$14:$K$16,5,0)</f>
        <v>0</v>
      </c>
      <c r="N938" s="71">
        <v>3</v>
      </c>
      <c r="O938" s="72">
        <v>100</v>
      </c>
      <c r="P938" s="73" t="str">
        <f>VLOOKUP(Tabla6[[#This Row],[GEO]],Listas!$A$48:$B$77,2,0)</f>
        <v>CUENCA</v>
      </c>
      <c r="Q938" s="70">
        <f>VLOOKUP(Tabla6[[#This Row],[PG]],Listas2!$G$14:$K$16,3,0)</f>
        <v>1</v>
      </c>
      <c r="R938" s="73">
        <f>VLOOKUP(Tabla6[[#This Row],[PG]],Listas2!H40:'Listas2'!$G$14:$K$16,4,0)</f>
        <v>0</v>
      </c>
      <c r="S938" s="73">
        <f>VLOOKUP(Tabla6[[#This Row],[PG]],Listas2!$G$14:$K$16,2,0)</f>
        <v>0</v>
      </c>
      <c r="T938" s="66" t="s">
        <v>84</v>
      </c>
      <c r="U938" s="74">
        <v>51</v>
      </c>
      <c r="V938" s="66">
        <v>510601</v>
      </c>
      <c r="W938" s="63" t="str">
        <f>VLOOKUP(Tabla6[[#This Row],[ÍTEM PRESUPUESTARIO]],Tabla2[#All],2,0)</f>
        <v>APORTE PATRONAL</v>
      </c>
      <c r="X938" s="57">
        <v>6152</v>
      </c>
      <c r="Y938" s="57">
        <f>6152+70-62.24</f>
        <v>6159.76</v>
      </c>
      <c r="Z938" s="58">
        <v>512</v>
      </c>
      <c r="AA938" s="58">
        <v>512</v>
      </c>
      <c r="AB938" s="58">
        <v>512</v>
      </c>
      <c r="AC938" s="58">
        <f>512+7.77</f>
        <v>519.77</v>
      </c>
      <c r="AD938" s="58">
        <f t="shared" ref="AD938:AJ938" si="22">513+7.77</f>
        <v>520.77</v>
      </c>
      <c r="AE938" s="58">
        <f t="shared" si="22"/>
        <v>520.77</v>
      </c>
      <c r="AF938" s="58">
        <f t="shared" si="22"/>
        <v>520.77</v>
      </c>
      <c r="AG938" s="58">
        <f t="shared" si="22"/>
        <v>520.77</v>
      </c>
      <c r="AH938" s="58">
        <f t="shared" si="22"/>
        <v>520.77</v>
      </c>
      <c r="AI938" s="58">
        <f t="shared" si="22"/>
        <v>520.77</v>
      </c>
      <c r="AJ938" s="58">
        <f t="shared" si="22"/>
        <v>520.77</v>
      </c>
      <c r="AK938" s="58">
        <f>513+7.84-62.24</f>
        <v>458.6</v>
      </c>
      <c r="AL938" s="75">
        <f>+SUBTOTAL(9,Tabla6[[#This Row],[ENE]:[DIC]])</f>
        <v>6159.760000000002</v>
      </c>
      <c r="AM938" s="76" t="str">
        <f t="shared" si="20"/>
        <v>OK</v>
      </c>
      <c r="AN938" s="60">
        <v>0</v>
      </c>
      <c r="AO938" s="61">
        <f>+Tabla6[[#This Row],[PRESUPUESTO VIGENTE]]-Tabla6[[#This Row],[CERTIFICACIÓN PAPP]]</f>
        <v>6159.76</v>
      </c>
      <c r="AP938" s="59">
        <v>0</v>
      </c>
    </row>
    <row r="939" spans="1:42" ht="93" customHeight="1" x14ac:dyDescent="0.25">
      <c r="A939" s="62" t="s">
        <v>88</v>
      </c>
      <c r="B939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939" s="64" t="s">
        <v>89</v>
      </c>
      <c r="D939" s="64" t="s">
        <v>80</v>
      </c>
      <c r="E939" s="64" t="s">
        <v>81</v>
      </c>
      <c r="F939" s="64" t="s">
        <v>110</v>
      </c>
      <c r="G939" s="64" t="s">
        <v>10</v>
      </c>
      <c r="H939" s="65" t="str">
        <f>VLOOKUP(Tabla6[[#This Row],[DIRECCIÓN]],DIRECCIÓN[#All],2,0)</f>
        <v>TECNOLOGÍA</v>
      </c>
      <c r="I939" s="66" t="s">
        <v>93</v>
      </c>
      <c r="J939" s="67">
        <v>1</v>
      </c>
      <c r="K939" s="68" t="str">
        <f>VLOOKUP(Tabla6[[#This Row],[DIRECCIÓN GENERAL / COORDINACIÓN / SUBDIRECCIÓN]],Tabla37[[#All],[Columna1]:[EOD]],2,0)</f>
        <v>266_0006</v>
      </c>
      <c r="L939" s="69">
        <f>VLOOKUP(Tabla6[[#This Row],[OBJETIVOS PND]],Listas!$A$1:$C$3,3,0)</f>
        <v>55</v>
      </c>
      <c r="M939" s="70">
        <f>VLOOKUP(Tabla6[[#This Row],[PG]],Listas2!$G$14:$K$16,5,0)</f>
        <v>0</v>
      </c>
      <c r="N939" s="71">
        <v>3</v>
      </c>
      <c r="O939" s="72">
        <v>100</v>
      </c>
      <c r="P939" s="73" t="str">
        <f>VLOOKUP(Tabla6[[#This Row],[GEO]],Listas!$A$48:$B$77,2,0)</f>
        <v>CUENCA</v>
      </c>
      <c r="Q939" s="70">
        <f>VLOOKUP(Tabla6[[#This Row],[PG]],Listas2!$G$14:$K$16,3,0)</f>
        <v>1</v>
      </c>
      <c r="R939" s="73">
        <f>VLOOKUP(Tabla6[[#This Row],[PG]],Listas2!H41:'Listas2'!$G$14:$K$16,4,0)</f>
        <v>0</v>
      </c>
      <c r="S939" s="73">
        <f>VLOOKUP(Tabla6[[#This Row],[PG]],Listas2!$G$14:$K$16,2,0)</f>
        <v>0</v>
      </c>
      <c r="T939" s="66" t="s">
        <v>84</v>
      </c>
      <c r="U939" s="74">
        <v>51</v>
      </c>
      <c r="V939" s="66">
        <v>510602</v>
      </c>
      <c r="W939" s="63" t="str">
        <f>VLOOKUP(Tabla6[[#This Row],[ÍTEM PRESUPUESTARIO]],Tabla2[#All],2,0)</f>
        <v>FONDO DE RESERVA</v>
      </c>
      <c r="X939" s="57">
        <v>5310</v>
      </c>
      <c r="Y939" s="57">
        <f>4908+460-50.43</f>
        <v>5317.57</v>
      </c>
      <c r="Z939" s="58">
        <v>409</v>
      </c>
      <c r="AA939" s="58">
        <v>409</v>
      </c>
      <c r="AB939" s="58">
        <v>409</v>
      </c>
      <c r="AC939" s="58">
        <f t="shared" ref="AC939:AJ939" si="23">409+51.11</f>
        <v>460.11</v>
      </c>
      <c r="AD939" s="58">
        <f t="shared" si="23"/>
        <v>460.11</v>
      </c>
      <c r="AE939" s="58">
        <f t="shared" si="23"/>
        <v>460.11</v>
      </c>
      <c r="AF939" s="58">
        <f t="shared" si="23"/>
        <v>460.11</v>
      </c>
      <c r="AG939" s="58">
        <f t="shared" si="23"/>
        <v>460.11</v>
      </c>
      <c r="AH939" s="58">
        <f t="shared" si="23"/>
        <v>460.11</v>
      </c>
      <c r="AI939" s="58">
        <f t="shared" si="23"/>
        <v>460.11</v>
      </c>
      <c r="AJ939" s="58">
        <f t="shared" si="23"/>
        <v>460.11</v>
      </c>
      <c r="AK939" s="58">
        <f>409+51.12-50.43</f>
        <v>409.69</v>
      </c>
      <c r="AL939" s="75">
        <f>+SUBTOTAL(9,Tabla6[[#This Row],[ENE]:[DIC]])</f>
        <v>5317.57</v>
      </c>
      <c r="AM939" s="76" t="str">
        <f t="shared" si="20"/>
        <v>OK</v>
      </c>
      <c r="AN939" s="60">
        <v>0</v>
      </c>
      <c r="AO939" s="61">
        <f>+Tabla6[[#This Row],[PRESUPUESTO VIGENTE]]-Tabla6[[#This Row],[CERTIFICACIÓN PAPP]]</f>
        <v>5317.57</v>
      </c>
      <c r="AP939" s="59">
        <v>0</v>
      </c>
    </row>
    <row r="940" spans="1:42" ht="93" customHeight="1" x14ac:dyDescent="0.25">
      <c r="A940" s="62" t="s">
        <v>78</v>
      </c>
      <c r="B940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940" s="64" t="s">
        <v>79</v>
      </c>
      <c r="D940" s="64" t="s">
        <v>80</v>
      </c>
      <c r="E940" s="64" t="s">
        <v>81</v>
      </c>
      <c r="F940" s="64" t="s">
        <v>110</v>
      </c>
      <c r="G940" s="64" t="s">
        <v>92</v>
      </c>
      <c r="H940" s="65" t="str">
        <f>VLOOKUP(Tabla6[[#This Row],[DIRECCIÓN]],DIRECCIÓN[#All],2,0)</f>
        <v>ADMINISTRACIÓN CENTRAL</v>
      </c>
      <c r="I940" s="66" t="s">
        <v>424</v>
      </c>
      <c r="J940" s="67">
        <v>1</v>
      </c>
      <c r="K940" s="68" t="str">
        <f>VLOOKUP(Tabla6[[#This Row],[DIRECCIÓN GENERAL / COORDINACIÓN / SUBDIRECCIÓN]],Tabla37[[#All],[Columna1]:[EOD]],2,0)</f>
        <v>266_0006</v>
      </c>
      <c r="L940" s="69">
        <f>VLOOKUP(Tabla6[[#This Row],[OBJETIVOS PND]],Listas!$A$1:$C$3,3,0)</f>
        <v>1</v>
      </c>
      <c r="M940" s="70">
        <f>VLOOKUP(Tabla6[[#This Row],[PG]],Listas2!$G$14:$K$16,5,0)</f>
        <v>0</v>
      </c>
      <c r="N940" s="71">
        <v>1</v>
      </c>
      <c r="O940" s="72">
        <v>101</v>
      </c>
      <c r="P940" s="73" t="str">
        <f>VLOOKUP(Tabla6[[#This Row],[GEO]],Listas!$A$48:$B$77,2,0)</f>
        <v>CUENCA</v>
      </c>
      <c r="Q940" s="70">
        <f>VLOOKUP(Tabla6[[#This Row],[PG]],Listas2!$G$14:$K$16,3,0)</f>
        <v>1</v>
      </c>
      <c r="R940" s="73">
        <f>VLOOKUP(Tabla6[[#This Row],[PG]],Listas2!H42:'Listas2'!$G$14:$K$16,4,0)</f>
        <v>0</v>
      </c>
      <c r="S940" s="73">
        <f>VLOOKUP(Tabla6[[#This Row],[PG]],Listas2!$G$14:$K$16,2,0)</f>
        <v>0</v>
      </c>
      <c r="T940" s="66" t="s">
        <v>84</v>
      </c>
      <c r="U940" s="74">
        <v>53</v>
      </c>
      <c r="V940" s="66">
        <v>530101</v>
      </c>
      <c r="W940" s="63" t="str">
        <f>VLOOKUP(Tabla6[[#This Row],[ÍTEM PRESUPUESTARIO]],Tabla2[#All],2,0)</f>
        <v>AGUA POTABLE</v>
      </c>
      <c r="X940" s="57">
        <v>3360</v>
      </c>
      <c r="Y940" s="57">
        <f>3360-410.34</f>
        <v>2949.66</v>
      </c>
      <c r="Z940" s="58">
        <v>280</v>
      </c>
      <c r="AA940" s="58">
        <v>280</v>
      </c>
      <c r="AB940" s="58">
        <v>280</v>
      </c>
      <c r="AC940" s="58">
        <v>280</v>
      </c>
      <c r="AD940" s="58">
        <v>280</v>
      </c>
      <c r="AE940" s="58">
        <v>280</v>
      </c>
      <c r="AF940" s="58">
        <f t="shared" ref="AF940:AK940" si="24">280-68.39</f>
        <v>211.61</v>
      </c>
      <c r="AG940" s="58">
        <f t="shared" si="24"/>
        <v>211.61</v>
      </c>
      <c r="AH940" s="58">
        <f t="shared" si="24"/>
        <v>211.61</v>
      </c>
      <c r="AI940" s="58">
        <f t="shared" si="24"/>
        <v>211.61</v>
      </c>
      <c r="AJ940" s="58">
        <f t="shared" si="24"/>
        <v>211.61</v>
      </c>
      <c r="AK940" s="58">
        <f t="shared" si="24"/>
        <v>211.61</v>
      </c>
      <c r="AL940" s="75">
        <f>+SUBTOTAL(9,Tabla6[[#This Row],[ENE]:[DIC]])</f>
        <v>2949.6600000000008</v>
      </c>
      <c r="AM940" s="76" t="str">
        <f t="shared" si="20"/>
        <v>OK</v>
      </c>
      <c r="AN940" s="60">
        <f>500+2860-410.34</f>
        <v>2949.66</v>
      </c>
      <c r="AO940" s="61">
        <f>+Tabla6[[#This Row],[PRESUPUESTO VIGENTE]]-Tabla6[[#This Row],[CERTIFICACIÓN PAPP]]</f>
        <v>0</v>
      </c>
      <c r="AP940" s="59">
        <v>0</v>
      </c>
    </row>
    <row r="941" spans="1:42" ht="93" customHeight="1" x14ac:dyDescent="0.25">
      <c r="A941" s="62" t="s">
        <v>78</v>
      </c>
      <c r="B941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941" s="64" t="s">
        <v>79</v>
      </c>
      <c r="D941" s="64" t="s">
        <v>80</v>
      </c>
      <c r="E941" s="64" t="s">
        <v>81</v>
      </c>
      <c r="F941" s="64" t="s">
        <v>110</v>
      </c>
      <c r="G941" s="64" t="s">
        <v>92</v>
      </c>
      <c r="H941" s="65" t="str">
        <f>VLOOKUP(Tabla6[[#This Row],[DIRECCIÓN]],DIRECCIÓN[#All],2,0)</f>
        <v>ADMINISTRACIÓN CENTRAL</v>
      </c>
      <c r="I941" s="66" t="s">
        <v>424</v>
      </c>
      <c r="J941" s="67">
        <v>1</v>
      </c>
      <c r="K941" s="68" t="str">
        <f>VLOOKUP(Tabla6[[#This Row],[DIRECCIÓN GENERAL / COORDINACIÓN / SUBDIRECCIÓN]],Tabla37[[#All],[Columna1]:[EOD]],2,0)</f>
        <v>266_0006</v>
      </c>
      <c r="L941" s="69">
        <f>VLOOKUP(Tabla6[[#This Row],[OBJETIVOS PND]],Listas!$A$1:$C$3,3,0)</f>
        <v>1</v>
      </c>
      <c r="M941" s="70">
        <f>VLOOKUP(Tabla6[[#This Row],[PG]],Listas2!$G$14:$K$16,5,0)</f>
        <v>0</v>
      </c>
      <c r="N941" s="71">
        <v>1</v>
      </c>
      <c r="O941" s="72">
        <v>101</v>
      </c>
      <c r="P941" s="73" t="str">
        <f>VLOOKUP(Tabla6[[#This Row],[GEO]],Listas!$A$48:$B$77,2,0)</f>
        <v>CUENCA</v>
      </c>
      <c r="Q941" s="70">
        <f>VLOOKUP(Tabla6[[#This Row],[PG]],Listas2!$G$14:$K$16,3,0)</f>
        <v>1</v>
      </c>
      <c r="R941" s="73">
        <f>VLOOKUP(Tabla6[[#This Row],[PG]],Listas2!H43:'Listas2'!$G$14:$K$16,4,0)</f>
        <v>0</v>
      </c>
      <c r="S941" s="73">
        <f>VLOOKUP(Tabla6[[#This Row],[PG]],Listas2!$G$14:$K$16,2,0)</f>
        <v>0</v>
      </c>
      <c r="T941" s="66" t="s">
        <v>84</v>
      </c>
      <c r="U941" s="74">
        <v>53</v>
      </c>
      <c r="V941" s="66">
        <v>530104</v>
      </c>
      <c r="W941" s="63" t="str">
        <f>VLOOKUP(Tabla6[[#This Row],[ÍTEM PRESUPUESTARIO]],Tabla2[#All],2,0)</f>
        <v>ENERGÍA ELÉCTRICA</v>
      </c>
      <c r="X941" s="57">
        <v>54000</v>
      </c>
      <c r="Y941" s="57">
        <f>54000-5322.29</f>
        <v>48677.71</v>
      </c>
      <c r="Z941" s="58">
        <v>4500</v>
      </c>
      <c r="AA941" s="58">
        <v>4500</v>
      </c>
      <c r="AB941" s="58">
        <v>4500</v>
      </c>
      <c r="AC941" s="58">
        <v>4500</v>
      </c>
      <c r="AD941" s="58">
        <v>4500</v>
      </c>
      <c r="AE941" s="58">
        <v>4500</v>
      </c>
      <c r="AF941" s="58">
        <f>4500-887.05</f>
        <v>3612.95</v>
      </c>
      <c r="AG941" s="58">
        <f>4500-887.05</f>
        <v>3612.95</v>
      </c>
      <c r="AH941" s="58">
        <f>4500-887.05</f>
        <v>3612.95</v>
      </c>
      <c r="AI941" s="58">
        <f>4500-887.05</f>
        <v>3612.95</v>
      </c>
      <c r="AJ941" s="58">
        <f>4500-887.05</f>
        <v>3612.95</v>
      </c>
      <c r="AK941" s="58">
        <f>4500-887.04</f>
        <v>3612.96</v>
      </c>
      <c r="AL941" s="75">
        <f>+SUBTOTAL(9,Tabla6[[#This Row],[ENE]:[DIC]])</f>
        <v>48677.709999999992</v>
      </c>
      <c r="AM941" s="76" t="str">
        <f t="shared" si="20"/>
        <v>OK</v>
      </c>
      <c r="AN941" s="60">
        <f>4373.74+49626.26-5322.29</f>
        <v>48677.71</v>
      </c>
      <c r="AO941" s="61">
        <f>+Tabla6[[#This Row],[PRESUPUESTO VIGENTE]]-Tabla6[[#This Row],[CERTIFICACIÓN PAPP]]</f>
        <v>0</v>
      </c>
      <c r="AP941" s="59">
        <v>0</v>
      </c>
    </row>
    <row r="942" spans="1:42" ht="93" customHeight="1" x14ac:dyDescent="0.25">
      <c r="A942" s="62" t="s">
        <v>78</v>
      </c>
      <c r="B942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942" s="64" t="s">
        <v>79</v>
      </c>
      <c r="D942" s="64" t="s">
        <v>80</v>
      </c>
      <c r="E942" s="64" t="s">
        <v>81</v>
      </c>
      <c r="F942" s="64" t="s">
        <v>110</v>
      </c>
      <c r="G942" s="64" t="s">
        <v>92</v>
      </c>
      <c r="H942" s="65" t="str">
        <f>VLOOKUP(Tabla6[[#This Row],[DIRECCIÓN]],DIRECCIÓN[#All],2,0)</f>
        <v>ADMINISTRACIÓN CENTRAL</v>
      </c>
      <c r="I942" s="66" t="s">
        <v>425</v>
      </c>
      <c r="J942" s="67">
        <v>1</v>
      </c>
      <c r="K942" s="68" t="str">
        <f>VLOOKUP(Tabla6[[#This Row],[DIRECCIÓN GENERAL / COORDINACIÓN / SUBDIRECCIÓN]],Tabla37[[#All],[Columna1]:[EOD]],2,0)</f>
        <v>266_0006</v>
      </c>
      <c r="L942" s="69">
        <f>VLOOKUP(Tabla6[[#This Row],[OBJETIVOS PND]],Listas!$A$1:$C$3,3,0)</f>
        <v>1</v>
      </c>
      <c r="M942" s="70">
        <f>VLOOKUP(Tabla6[[#This Row],[PG]],Listas2!$G$14:$K$16,5,0)</f>
        <v>0</v>
      </c>
      <c r="N942" s="71">
        <v>1</v>
      </c>
      <c r="O942" s="72">
        <v>101</v>
      </c>
      <c r="P942" s="73" t="str">
        <f>VLOOKUP(Tabla6[[#This Row],[GEO]],Listas!$A$48:$B$77,2,0)</f>
        <v>CUENCA</v>
      </c>
      <c r="Q942" s="70">
        <f>VLOOKUP(Tabla6[[#This Row],[PG]],Listas2!$G$14:$K$16,3,0)</f>
        <v>1</v>
      </c>
      <c r="R942" s="73">
        <f>VLOOKUP(Tabla6[[#This Row],[PG]],Listas2!H44:'Listas2'!$G$14:$K$16,4,0)</f>
        <v>0</v>
      </c>
      <c r="S942" s="73">
        <f>VLOOKUP(Tabla6[[#This Row],[PG]],Listas2!$G$14:$K$16,2,0)</f>
        <v>0</v>
      </c>
      <c r="T942" s="66" t="s">
        <v>84</v>
      </c>
      <c r="U942" s="74">
        <v>53</v>
      </c>
      <c r="V942" s="66">
        <v>530106</v>
      </c>
      <c r="W942" s="63" t="str">
        <f>VLOOKUP(Tabla6[[#This Row],[ÍTEM PRESUPUESTARIO]],Tabla2[#All],2,0)</f>
        <v>SERVICIO DE CORREO</v>
      </c>
      <c r="X942" s="57">
        <v>480</v>
      </c>
      <c r="Y942" s="57">
        <f>480-240.75-100.2</f>
        <v>139.05000000000001</v>
      </c>
      <c r="Z942" s="58">
        <f>40-8.35</f>
        <v>31.65</v>
      </c>
      <c r="AA942" s="58">
        <f>40-8.35</f>
        <v>31.65</v>
      </c>
      <c r="AB942" s="58">
        <f>15.92-8.35</f>
        <v>7.57</v>
      </c>
      <c r="AC942" s="58">
        <f>15.92-8.35</f>
        <v>7.57</v>
      </c>
      <c r="AD942" s="58">
        <f>15.92-8.35</f>
        <v>7.57</v>
      </c>
      <c r="AE942" s="58">
        <f>15.92-8.35</f>
        <v>7.57</v>
      </c>
      <c r="AF942" s="58">
        <f>15.92-8.35</f>
        <v>7.57</v>
      </c>
      <c r="AG942" s="58">
        <f>15.92-8.34</f>
        <v>7.58</v>
      </c>
      <c r="AH942" s="58">
        <f>15.92-8.34</f>
        <v>7.58</v>
      </c>
      <c r="AI942" s="58">
        <f>15.92-8.34</f>
        <v>7.58</v>
      </c>
      <c r="AJ942" s="58">
        <f>15.92-8.34</f>
        <v>7.58</v>
      </c>
      <c r="AK942" s="58">
        <f>15.92-8.34</f>
        <v>7.58</v>
      </c>
      <c r="AL942" s="75">
        <f>+SUBTOTAL(9,Tabla6[[#This Row],[ENE]:[DIC]])</f>
        <v>139.04999999999998</v>
      </c>
      <c r="AM942" s="76" t="str">
        <f t="shared" si="20"/>
        <v>OK</v>
      </c>
      <c r="AN942" s="60">
        <f>239.25-100.2</f>
        <v>139.05000000000001</v>
      </c>
      <c r="AO942" s="61">
        <f>+Tabla6[[#This Row],[PRESUPUESTO VIGENTE]]-Tabla6[[#This Row],[CERTIFICACIÓN PAPP]]</f>
        <v>0</v>
      </c>
      <c r="AP942" s="59" t="s">
        <v>87</v>
      </c>
    </row>
    <row r="943" spans="1:42" ht="93" customHeight="1" x14ac:dyDescent="0.25">
      <c r="A943" s="62" t="s">
        <v>78</v>
      </c>
      <c r="B943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943" s="64" t="s">
        <v>79</v>
      </c>
      <c r="D943" s="64" t="s">
        <v>80</v>
      </c>
      <c r="E943" s="64" t="s">
        <v>81</v>
      </c>
      <c r="F943" s="64" t="s">
        <v>110</v>
      </c>
      <c r="G943" s="64" t="s">
        <v>92</v>
      </c>
      <c r="H943" s="65" t="str">
        <f>VLOOKUP(Tabla6[[#This Row],[DIRECCIÓN]],DIRECCIÓN[#All],2,0)</f>
        <v>ADMINISTRACIÓN CENTRAL</v>
      </c>
      <c r="I943" s="66" t="s">
        <v>426</v>
      </c>
      <c r="J943" s="67">
        <v>1</v>
      </c>
      <c r="K943" s="68" t="str">
        <f>VLOOKUP(Tabla6[[#This Row],[DIRECCIÓN GENERAL / COORDINACIÓN / SUBDIRECCIÓN]],Tabla37[[#All],[Columna1]:[EOD]],2,0)</f>
        <v>266_0006</v>
      </c>
      <c r="L943" s="69">
        <f>VLOOKUP(Tabla6[[#This Row],[OBJETIVOS PND]],Listas!$A$1:$C$3,3,0)</f>
        <v>1</v>
      </c>
      <c r="M943" s="70">
        <f>VLOOKUP(Tabla6[[#This Row],[PG]],Listas2!$G$14:$K$16,5,0)</f>
        <v>0</v>
      </c>
      <c r="N943" s="71">
        <v>1</v>
      </c>
      <c r="O943" s="72">
        <v>101</v>
      </c>
      <c r="P943" s="73" t="str">
        <f>VLOOKUP(Tabla6[[#This Row],[GEO]],Listas!$A$48:$B$77,2,0)</f>
        <v>CUENCA</v>
      </c>
      <c r="Q943" s="70">
        <f>VLOOKUP(Tabla6[[#This Row],[PG]],Listas2!$G$14:$K$16,3,0)</f>
        <v>1</v>
      </c>
      <c r="R943" s="73">
        <f>VLOOKUP(Tabla6[[#This Row],[PG]],Listas2!H45:'Listas2'!$G$14:$K$16,4,0)</f>
        <v>0</v>
      </c>
      <c r="S943" s="73">
        <f>VLOOKUP(Tabla6[[#This Row],[PG]],Listas2!$G$14:$K$16,2,0)</f>
        <v>0</v>
      </c>
      <c r="T943" s="66" t="s">
        <v>84</v>
      </c>
      <c r="U943" s="74">
        <v>53</v>
      </c>
      <c r="V943" s="66">
        <v>530201</v>
      </c>
      <c r="W943" s="63" t="str">
        <f>VLOOKUP(Tabla6[[#This Row],[ÍTEM PRESUPUESTARIO]],Tabla2[#All],2,0)</f>
        <v>TRANSPORTE DE PERSONAL</v>
      </c>
      <c r="X943" s="57">
        <v>27600</v>
      </c>
      <c r="Y943" s="57">
        <f>27600-2399.67+0.01</f>
        <v>25200.34</v>
      </c>
      <c r="Z943" s="58">
        <v>2100.0300000000002</v>
      </c>
      <c r="AA943" s="58">
        <v>2100.0300000000002</v>
      </c>
      <c r="AB943" s="58">
        <v>2100.0300000000002</v>
      </c>
      <c r="AC943" s="58">
        <v>2100.0300000000002</v>
      </c>
      <c r="AD943" s="58">
        <v>2100.0300000000002</v>
      </c>
      <c r="AE943" s="58">
        <v>2100.0300000000002</v>
      </c>
      <c r="AF943" s="58">
        <v>2100.0300000000002</v>
      </c>
      <c r="AG943" s="58">
        <v>2100.0300000000002</v>
      </c>
      <c r="AH943" s="58">
        <v>2100.0300000000002</v>
      </c>
      <c r="AI943" s="58">
        <v>2100.0300000000002</v>
      </c>
      <c r="AJ943" s="58">
        <v>2100.0100000000002</v>
      </c>
      <c r="AK943" s="58">
        <f>2100.02+0.01</f>
        <v>2100.0300000000002</v>
      </c>
      <c r="AL943" s="75">
        <f>+SUBTOTAL(9,Tabla6[[#This Row],[ENE]:[DIC]])</f>
        <v>25200.339999999997</v>
      </c>
      <c r="AM943" s="76" t="str">
        <f t="shared" si="20"/>
        <v>OK</v>
      </c>
      <c r="AN943" s="60">
        <f>25200.33</f>
        <v>25200.33</v>
      </c>
      <c r="AO943" s="61">
        <f>+Tabla6[[#This Row],[PRESUPUESTO VIGENTE]]-Tabla6[[#This Row],[CERTIFICACIÓN PAPP]]</f>
        <v>9.9999999983992893E-3</v>
      </c>
      <c r="AP943" s="59">
        <v>0</v>
      </c>
    </row>
    <row r="944" spans="1:42" ht="93" customHeight="1" x14ac:dyDescent="0.25">
      <c r="A944" s="62" t="s">
        <v>78</v>
      </c>
      <c r="B944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944" s="64" t="s">
        <v>79</v>
      </c>
      <c r="D944" s="64" t="s">
        <v>80</v>
      </c>
      <c r="E944" s="64" t="s">
        <v>81</v>
      </c>
      <c r="F944" s="64" t="s">
        <v>110</v>
      </c>
      <c r="G944" s="64" t="s">
        <v>92</v>
      </c>
      <c r="H944" s="65" t="str">
        <f>VLOOKUP(Tabla6[[#This Row],[DIRECCIÓN]],DIRECCIÓN[#All],2,0)</f>
        <v>ADMINISTRACIÓN CENTRAL</v>
      </c>
      <c r="I944" s="66" t="s">
        <v>427</v>
      </c>
      <c r="J944" s="67">
        <v>1</v>
      </c>
      <c r="K944" s="68" t="str">
        <f>VLOOKUP(Tabla6[[#This Row],[DIRECCIÓN GENERAL / COORDINACIÓN / SUBDIRECCIÓN]],Tabla37[[#All],[Columna1]:[EOD]],2,0)</f>
        <v>266_0006</v>
      </c>
      <c r="L944" s="69">
        <f>VLOOKUP(Tabla6[[#This Row],[OBJETIVOS PND]],Listas!$A$1:$C$3,3,0)</f>
        <v>1</v>
      </c>
      <c r="M944" s="70">
        <f>VLOOKUP(Tabla6[[#This Row],[PG]],Listas2!$G$14:$K$16,5,0)</f>
        <v>0</v>
      </c>
      <c r="N944" s="71">
        <v>1</v>
      </c>
      <c r="O944" s="72">
        <v>101</v>
      </c>
      <c r="P944" s="73" t="str">
        <f>VLOOKUP(Tabla6[[#This Row],[GEO]],Listas!$A$48:$B$77,2,0)</f>
        <v>CUENCA</v>
      </c>
      <c r="Q944" s="70">
        <f>VLOOKUP(Tabla6[[#This Row],[PG]],Listas2!$G$14:$K$16,3,0)</f>
        <v>1</v>
      </c>
      <c r="R944" s="73">
        <f>VLOOKUP(Tabla6[[#This Row],[PG]],Listas2!H46:'Listas2'!$G$14:$K$16,4,0)</f>
        <v>0</v>
      </c>
      <c r="S944" s="73">
        <f>VLOOKUP(Tabla6[[#This Row],[PG]],Listas2!$G$14:$K$16,2,0)</f>
        <v>0</v>
      </c>
      <c r="T944" s="66" t="s">
        <v>84</v>
      </c>
      <c r="U944" s="74">
        <v>53</v>
      </c>
      <c r="V944" s="66">
        <v>530203</v>
      </c>
      <c r="W944" s="63" t="str">
        <f>VLOOKUP(Tabla6[[#This Row],[ÍTEM PRESUPUESTARIO]],Tabla2[#All],2,0)</f>
        <v>ALMACENAMIENTO, EMBALAJE, DESEMBALAJE, ENVASE, DESENVASE Y RECARGA DE EXTINTORES</v>
      </c>
      <c r="X944" s="57">
        <v>170</v>
      </c>
      <c r="Y944" s="57">
        <f>170-12.81-12.81</f>
        <v>144.38</v>
      </c>
      <c r="Z944" s="58">
        <v>0</v>
      </c>
      <c r="AA944" s="58">
        <v>0</v>
      </c>
      <c r="AB944" s="58">
        <v>0</v>
      </c>
      <c r="AC944" s="58">
        <v>0</v>
      </c>
      <c r="AD944" s="58">
        <v>0</v>
      </c>
      <c r="AE944" s="58">
        <v>0</v>
      </c>
      <c r="AF944" s="58">
        <v>0</v>
      </c>
      <c r="AG944" s="58">
        <v>0</v>
      </c>
      <c r="AH944" s="58">
        <v>0</v>
      </c>
      <c r="AI944" s="58">
        <f>170-12.81-12.81</f>
        <v>144.38</v>
      </c>
      <c r="AJ944" s="58">
        <v>0</v>
      </c>
      <c r="AK944" s="58">
        <v>0</v>
      </c>
      <c r="AL944" s="75">
        <f>+SUBTOTAL(9,Tabla6[[#This Row],[ENE]:[DIC]])</f>
        <v>144.38</v>
      </c>
      <c r="AM944" s="76" t="str">
        <f t="shared" ref="AM944:AM975" si="25">IF(AL944=Y944,"OK",Y944-AL944)</f>
        <v>OK</v>
      </c>
      <c r="AN944" s="60">
        <v>144.38</v>
      </c>
      <c r="AO944" s="61">
        <f>+Tabla6[[#This Row],[PRESUPUESTO VIGENTE]]-Tabla6[[#This Row],[CERTIFICACIÓN PAPP]]</f>
        <v>0</v>
      </c>
      <c r="AP944" s="59">
        <v>0</v>
      </c>
    </row>
    <row r="945" spans="1:42" ht="93" customHeight="1" x14ac:dyDescent="0.25">
      <c r="A945" s="62" t="s">
        <v>78</v>
      </c>
      <c r="B945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945" s="64" t="s">
        <v>79</v>
      </c>
      <c r="D945" s="64" t="s">
        <v>80</v>
      </c>
      <c r="E945" s="64" t="s">
        <v>81</v>
      </c>
      <c r="F945" s="64" t="s">
        <v>110</v>
      </c>
      <c r="G945" s="64" t="s">
        <v>92</v>
      </c>
      <c r="H945" s="65" t="str">
        <f>VLOOKUP(Tabla6[[#This Row],[DIRECCIÓN]],DIRECCIÓN[#All],2,0)</f>
        <v>ADMINISTRACIÓN CENTRAL</v>
      </c>
      <c r="I945" s="66" t="s">
        <v>428</v>
      </c>
      <c r="J945" s="67">
        <v>1</v>
      </c>
      <c r="K945" s="68" t="str">
        <f>VLOOKUP(Tabla6[[#This Row],[DIRECCIÓN GENERAL / COORDINACIÓN / SUBDIRECCIÓN]],Tabla37[[#All],[Columna1]:[EOD]],2,0)</f>
        <v>266_0006</v>
      </c>
      <c r="L945" s="69">
        <f>VLOOKUP(Tabla6[[#This Row],[OBJETIVOS PND]],Listas!$A$1:$C$3,3,0)</f>
        <v>1</v>
      </c>
      <c r="M945" s="70">
        <f>VLOOKUP(Tabla6[[#This Row],[PG]],Listas2!$G$14:$K$16,5,0)</f>
        <v>0</v>
      </c>
      <c r="N945" s="71">
        <v>1</v>
      </c>
      <c r="O945" s="72">
        <v>101</v>
      </c>
      <c r="P945" s="73" t="str">
        <f>VLOOKUP(Tabla6[[#This Row],[GEO]],Listas!$A$48:$B$77,2,0)</f>
        <v>CUENCA</v>
      </c>
      <c r="Q945" s="70">
        <f>VLOOKUP(Tabla6[[#This Row],[PG]],Listas2!$G$14:$K$16,3,0)</f>
        <v>1</v>
      </c>
      <c r="R945" s="73">
        <f>VLOOKUP(Tabla6[[#This Row],[PG]],Listas2!H47:'Listas2'!$G$14:$K$16,4,0)</f>
        <v>0</v>
      </c>
      <c r="S945" s="73">
        <f>VLOOKUP(Tabla6[[#This Row],[PG]],Listas2!$G$14:$K$16,2,0)</f>
        <v>0</v>
      </c>
      <c r="T945" s="66" t="s">
        <v>84</v>
      </c>
      <c r="U945" s="74">
        <v>53</v>
      </c>
      <c r="V945" s="66">
        <v>530204</v>
      </c>
      <c r="W945" s="63" t="str">
        <f>VLOOKUP(Tabla6[[#This Row],[ÍTEM PRESUPUESTARIO]],Tabla2[#All],2,0)</f>
        <v>EDICIÓN, IMPRESIÓN, REPRODUCCIÓN, PUBLICACIONES, SUSCRIPCIONES, FOTOCOPIADO, TRADUCCIÓN, EMPASTADO, ENMARCACIÓN, SERIGRAFÍA, FOTOGRAFÍA, CARNETIZACIÓN, FILMACIÓN E IMÁGENES SATELITALES</v>
      </c>
      <c r="X945" s="57">
        <v>0</v>
      </c>
      <c r="Y945" s="57">
        <f>15850-15000-850</f>
        <v>0</v>
      </c>
      <c r="Z945" s="58">
        <v>0</v>
      </c>
      <c r="AA945" s="58">
        <v>0</v>
      </c>
      <c r="AB945" s="58">
        <v>0</v>
      </c>
      <c r="AC945" s="58">
        <v>0</v>
      </c>
      <c r="AD945" s="58">
        <v>0</v>
      </c>
      <c r="AE945" s="58">
        <v>0</v>
      </c>
      <c r="AF945" s="58">
        <v>0</v>
      </c>
      <c r="AG945" s="58">
        <v>0</v>
      </c>
      <c r="AH945" s="58">
        <v>0</v>
      </c>
      <c r="AI945" s="58">
        <v>0</v>
      </c>
      <c r="AJ945" s="58">
        <f>15850-15000-850</f>
        <v>0</v>
      </c>
      <c r="AK945" s="58">
        <v>0</v>
      </c>
      <c r="AL945" s="75">
        <f>+SUBTOTAL(9,Tabla6[[#This Row],[ENE]:[DIC]])</f>
        <v>0</v>
      </c>
      <c r="AM945" s="76" t="str">
        <f t="shared" si="25"/>
        <v>OK</v>
      </c>
      <c r="AN945" s="60">
        <v>0</v>
      </c>
      <c r="AO945" s="61">
        <f>+Tabla6[[#This Row],[PRESUPUESTO VIGENTE]]-Tabla6[[#This Row],[CERTIFICACIÓN PAPP]]</f>
        <v>0</v>
      </c>
      <c r="AP945" s="59">
        <v>0</v>
      </c>
    </row>
    <row r="946" spans="1:42" ht="93" customHeight="1" x14ac:dyDescent="0.25">
      <c r="A946" s="62" t="s">
        <v>78</v>
      </c>
      <c r="B946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946" s="64" t="s">
        <v>79</v>
      </c>
      <c r="D946" s="64" t="s">
        <v>80</v>
      </c>
      <c r="E946" s="64" t="s">
        <v>81</v>
      </c>
      <c r="F946" s="64" t="s">
        <v>110</v>
      </c>
      <c r="G946" s="64" t="s">
        <v>92</v>
      </c>
      <c r="H946" s="65" t="str">
        <f>VLOOKUP(Tabla6[[#This Row],[DIRECCIÓN]],DIRECCIÓN[#All],2,0)</f>
        <v>ADMINISTRACIÓN CENTRAL</v>
      </c>
      <c r="I946" s="66" t="s">
        <v>429</v>
      </c>
      <c r="J946" s="67">
        <v>1</v>
      </c>
      <c r="K946" s="68" t="str">
        <f>VLOOKUP(Tabla6[[#This Row],[DIRECCIÓN GENERAL / COORDINACIÓN / SUBDIRECCIÓN]],Tabla37[[#All],[Columna1]:[EOD]],2,0)</f>
        <v>266_0006</v>
      </c>
      <c r="L946" s="69">
        <f>VLOOKUP(Tabla6[[#This Row],[OBJETIVOS PND]],Listas!$A$1:$C$3,3,0)</f>
        <v>1</v>
      </c>
      <c r="M946" s="70">
        <f>VLOOKUP(Tabla6[[#This Row],[PG]],Listas2!$G$14:$K$16,5,0)</f>
        <v>0</v>
      </c>
      <c r="N946" s="71">
        <v>1</v>
      </c>
      <c r="O946" s="72">
        <v>101</v>
      </c>
      <c r="P946" s="73" t="str">
        <f>VLOOKUP(Tabla6[[#This Row],[GEO]],Listas!$A$48:$B$77,2,0)</f>
        <v>CUENCA</v>
      </c>
      <c r="Q946" s="70">
        <f>VLOOKUP(Tabla6[[#This Row],[PG]],Listas2!$G$14:$K$16,3,0)</f>
        <v>1</v>
      </c>
      <c r="R946" s="73">
        <f>VLOOKUP(Tabla6[[#This Row],[PG]],Listas2!H48:'Listas2'!$G$14:$K$16,4,0)</f>
        <v>0</v>
      </c>
      <c r="S946" s="73">
        <f>VLOOKUP(Tabla6[[#This Row],[PG]],Listas2!$G$14:$K$16,2,0)</f>
        <v>0</v>
      </c>
      <c r="T946" s="66" t="s">
        <v>84</v>
      </c>
      <c r="U946" s="74">
        <v>53</v>
      </c>
      <c r="V946" s="66">
        <v>530204</v>
      </c>
      <c r="W946" s="63" t="str">
        <f>VLOOKUP(Tabla6[[#This Row],[ÍTEM PRESUPUESTARIO]],Tabla2[#All],2,0)</f>
        <v>EDICIÓN, IMPRESIÓN, REPRODUCCIÓN, PUBLICACIONES, SUSCRIPCIONES, FOTOCOPIADO, TRADUCCIÓN, EMPASTADO, ENMARCACIÓN, SERIGRAFÍA, FOTOGRAFÍA, CARNETIZACIÓN, FILMACIÓN E IMÁGENES SATELITALES</v>
      </c>
      <c r="X946" s="57">
        <v>500</v>
      </c>
      <c r="Y946" s="57">
        <f>500+3500+2500-185-185</f>
        <v>6130</v>
      </c>
      <c r="Z946" s="58">
        <v>0</v>
      </c>
      <c r="AA946" s="58">
        <v>0</v>
      </c>
      <c r="AB946" s="58">
        <v>0</v>
      </c>
      <c r="AC946" s="58">
        <v>0</v>
      </c>
      <c r="AD946" s="58">
        <v>0</v>
      </c>
      <c r="AE946" s="58">
        <v>0</v>
      </c>
      <c r="AF946" s="58">
        <v>0</v>
      </c>
      <c r="AG946" s="58">
        <v>0</v>
      </c>
      <c r="AH946" s="58">
        <v>0</v>
      </c>
      <c r="AI946" s="58">
        <v>0</v>
      </c>
      <c r="AJ946" s="58">
        <v>0</v>
      </c>
      <c r="AK946" s="58">
        <f>4000+2500-185-185</f>
        <v>6130</v>
      </c>
      <c r="AL946" s="75">
        <f>+SUBTOTAL(9,Tabla6[[#This Row],[ENE]:[DIC]])</f>
        <v>6130</v>
      </c>
      <c r="AM946" s="76" t="str">
        <f t="shared" si="25"/>
        <v>OK</v>
      </c>
      <c r="AN946" s="60">
        <v>6130</v>
      </c>
      <c r="AO946" s="61">
        <f>+Tabla6[[#This Row],[PRESUPUESTO VIGENTE]]-Tabla6[[#This Row],[CERTIFICACIÓN PAPP]]</f>
        <v>0</v>
      </c>
      <c r="AP946" s="59">
        <v>0</v>
      </c>
    </row>
    <row r="947" spans="1:42" ht="93" customHeight="1" x14ac:dyDescent="0.25">
      <c r="A947" s="62" t="s">
        <v>78</v>
      </c>
      <c r="B947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947" s="64" t="s">
        <v>79</v>
      </c>
      <c r="D947" s="64" t="s">
        <v>80</v>
      </c>
      <c r="E947" s="64" t="s">
        <v>81</v>
      </c>
      <c r="F947" s="64" t="s">
        <v>110</v>
      </c>
      <c r="G947" s="64" t="s">
        <v>92</v>
      </c>
      <c r="H947" s="65" t="str">
        <f>VLOOKUP(Tabla6[[#This Row],[DIRECCIÓN]],DIRECCIÓN[#All],2,0)</f>
        <v>ADMINISTRACIÓN CENTRAL</v>
      </c>
      <c r="I947" s="66" t="s">
        <v>430</v>
      </c>
      <c r="J947" s="67">
        <v>1</v>
      </c>
      <c r="K947" s="68" t="str">
        <f>VLOOKUP(Tabla6[[#This Row],[DIRECCIÓN GENERAL / COORDINACIÓN / SUBDIRECCIÓN]],Tabla37[[#All],[Columna1]:[EOD]],2,0)</f>
        <v>266_0006</v>
      </c>
      <c r="L947" s="69">
        <f>VLOOKUP(Tabla6[[#This Row],[OBJETIVOS PND]],Listas!$A$1:$C$3,3,0)</f>
        <v>1</v>
      </c>
      <c r="M947" s="70">
        <f>VLOOKUP(Tabla6[[#This Row],[PG]],Listas2!$G$14:$K$16,5,0)</f>
        <v>0</v>
      </c>
      <c r="N947" s="71">
        <v>1</v>
      </c>
      <c r="O947" s="72">
        <v>101</v>
      </c>
      <c r="P947" s="73" t="str">
        <f>VLOOKUP(Tabla6[[#This Row],[GEO]],Listas!$A$48:$B$77,2,0)</f>
        <v>CUENCA</v>
      </c>
      <c r="Q947" s="70">
        <f>VLOOKUP(Tabla6[[#This Row],[PG]],Listas2!$G$14:$K$16,3,0)</f>
        <v>1</v>
      </c>
      <c r="R947" s="73">
        <f>VLOOKUP(Tabla6[[#This Row],[PG]],Listas2!H49:'Listas2'!$G$14:$K$16,4,0)</f>
        <v>0</v>
      </c>
      <c r="S947" s="73">
        <f>VLOOKUP(Tabla6[[#This Row],[PG]],Listas2!$G$14:$K$16,2,0)</f>
        <v>0</v>
      </c>
      <c r="T947" s="66" t="s">
        <v>84</v>
      </c>
      <c r="U947" s="74">
        <v>53</v>
      </c>
      <c r="V947" s="66">
        <v>530208</v>
      </c>
      <c r="W947" s="63" t="str">
        <f>VLOOKUP(Tabla6[[#This Row],[ÍTEM PRESUPUESTARIO]],Tabla2[#All],2,0)</f>
        <v>SERVICIO DE SEGURIDAD Y VIGILANCIA</v>
      </c>
      <c r="X947" s="57">
        <v>93540</v>
      </c>
      <c r="Y947" s="57">
        <f>93540-11308.26-2691.6+44496-641.71+0.01</f>
        <v>123394.43999999999</v>
      </c>
      <c r="Z947" s="58">
        <v>10611.47</v>
      </c>
      <c r="AA947" s="58">
        <v>10611.47</v>
      </c>
      <c r="AB947" s="58">
        <v>10611.47</v>
      </c>
      <c r="AC947" s="58">
        <f>10611.47-299.07</f>
        <v>10312.4</v>
      </c>
      <c r="AD947" s="58">
        <f>10611.47-299.07</f>
        <v>10312.4</v>
      </c>
      <c r="AE947" s="58">
        <f>10611.47-299.07</f>
        <v>10312.4</v>
      </c>
      <c r="AF947" s="58">
        <f>10611.47-299.07+7416</f>
        <v>17728.400000000001</v>
      </c>
      <c r="AG947" s="58">
        <f>1590.29-299.07+7416</f>
        <v>8707.2199999999993</v>
      </c>
      <c r="AH947" s="58">
        <f>1590.29-299.07+7416</f>
        <v>8707.2199999999993</v>
      </c>
      <c r="AI947" s="58">
        <f>1590.29-299.07+7416</f>
        <v>8707.2199999999993</v>
      </c>
      <c r="AJ947" s="58">
        <f>1590.29-299.07+7416</f>
        <v>8707.2199999999993</v>
      </c>
      <c r="AK947" s="58">
        <f>1590.29-299.04+7416-641.71+0.01</f>
        <v>8065.55</v>
      </c>
      <c r="AL947" s="75">
        <f>+SUBTOTAL(9,Tabla6[[#This Row],[ENE]:[DIC]])</f>
        <v>123394.44000000002</v>
      </c>
      <c r="AM947" s="76" t="str">
        <f t="shared" si="25"/>
        <v>OK</v>
      </c>
      <c r="AN947" s="60">
        <f>59615.2+64420.94-641.71+0.01</f>
        <v>123394.43999999999</v>
      </c>
      <c r="AO947" s="61">
        <f>+Tabla6[[#This Row],[PRESUPUESTO VIGENTE]]-Tabla6[[#This Row],[CERTIFICACIÓN PAPP]]</f>
        <v>0</v>
      </c>
      <c r="AP947" s="59" t="s">
        <v>87</v>
      </c>
    </row>
    <row r="948" spans="1:42" ht="93" customHeight="1" x14ac:dyDescent="0.25">
      <c r="A948" s="62" t="s">
        <v>78</v>
      </c>
      <c r="B948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948" s="64" t="s">
        <v>79</v>
      </c>
      <c r="D948" s="64" t="s">
        <v>80</v>
      </c>
      <c r="E948" s="64" t="s">
        <v>81</v>
      </c>
      <c r="F948" s="64" t="s">
        <v>110</v>
      </c>
      <c r="G948" s="64" t="s">
        <v>92</v>
      </c>
      <c r="H948" s="65" t="str">
        <f>VLOOKUP(Tabla6[[#This Row],[DIRECCIÓN]],DIRECCIÓN[#All],2,0)</f>
        <v>ADMINISTRACIÓN CENTRAL</v>
      </c>
      <c r="I948" s="66" t="s">
        <v>431</v>
      </c>
      <c r="J948" s="67">
        <v>1</v>
      </c>
      <c r="K948" s="68" t="str">
        <f>VLOOKUP(Tabla6[[#This Row],[DIRECCIÓN GENERAL / COORDINACIÓN / SUBDIRECCIÓN]],Tabla37[[#All],[Columna1]:[EOD]],2,0)</f>
        <v>266_0006</v>
      </c>
      <c r="L948" s="69">
        <f>VLOOKUP(Tabla6[[#This Row],[OBJETIVOS PND]],Listas!$A$1:$C$3,3,0)</f>
        <v>1</v>
      </c>
      <c r="M948" s="70">
        <f>VLOOKUP(Tabla6[[#This Row],[PG]],Listas2!$G$14:$K$16,5,0)</f>
        <v>0</v>
      </c>
      <c r="N948" s="71">
        <v>1</v>
      </c>
      <c r="O948" s="72">
        <v>101</v>
      </c>
      <c r="P948" s="73" t="str">
        <f>VLOOKUP(Tabla6[[#This Row],[GEO]],Listas!$A$48:$B$77,2,0)</f>
        <v>CUENCA</v>
      </c>
      <c r="Q948" s="70">
        <f>VLOOKUP(Tabla6[[#This Row],[PG]],Listas2!$G$14:$K$16,3,0)</f>
        <v>1</v>
      </c>
      <c r="R948" s="73">
        <f>VLOOKUP(Tabla6[[#This Row],[PG]],Listas2!H50:'Listas2'!$G$14:$K$16,4,0)</f>
        <v>0</v>
      </c>
      <c r="S948" s="73">
        <f>VLOOKUP(Tabla6[[#This Row],[PG]],Listas2!$G$14:$K$16,2,0)</f>
        <v>0</v>
      </c>
      <c r="T948" s="66" t="s">
        <v>84</v>
      </c>
      <c r="U948" s="74">
        <v>53</v>
      </c>
      <c r="V948" s="66">
        <v>530209</v>
      </c>
      <c r="W948" s="63" t="str">
        <f>VLOOKUP(Tabla6[[#This Row],[ÍTEM PRESUPUESTARIO]],Tabla2[#All],2,0)</f>
        <v>SERVICIOS DE ASEO, LAVADO DE VESTIMENTA DE TRABAJO, FUMIGACIÓN, DESINFECCIÓN, LIMPIEZA DE INSTALACIONES, MANEJO DE DESECHOS CONTAMINADOS, RECUPERACIÓN Y CLASIFICACIÓN DE MATERIALES RECICLABLES</v>
      </c>
      <c r="X948" s="57">
        <v>17586</v>
      </c>
      <c r="Y948" s="57">
        <f>17586+476.88</f>
        <v>18062.88</v>
      </c>
      <c r="Z948" s="58">
        <v>3010.48</v>
      </c>
      <c r="AA948" s="58">
        <v>3010.48</v>
      </c>
      <c r="AB948" s="58">
        <v>1204.19</v>
      </c>
      <c r="AC948" s="58">
        <v>1204.19</v>
      </c>
      <c r="AD948" s="58">
        <v>1204.19</v>
      </c>
      <c r="AE948" s="58">
        <v>1204.19</v>
      </c>
      <c r="AF948" s="58">
        <v>1204.19</v>
      </c>
      <c r="AG948" s="58">
        <v>1204.19</v>
      </c>
      <c r="AH948" s="58">
        <v>1204.19</v>
      </c>
      <c r="AI948" s="58">
        <v>1204.19</v>
      </c>
      <c r="AJ948" s="58">
        <v>1204.19</v>
      </c>
      <c r="AK948" s="58">
        <v>1204.21</v>
      </c>
      <c r="AL948" s="75">
        <f>+SUBTOTAL(9,Tabla6[[#This Row],[ENE]:[DIC]])</f>
        <v>18062.88</v>
      </c>
      <c r="AM948" s="76" t="str">
        <f t="shared" si="25"/>
        <v>OK</v>
      </c>
      <c r="AN948" s="60">
        <f>9031.44+9031.44</f>
        <v>18062.88</v>
      </c>
      <c r="AO948" s="61">
        <f>+Tabla6[[#This Row],[PRESUPUESTO VIGENTE]]-Tabla6[[#This Row],[CERTIFICACIÓN PAPP]]</f>
        <v>0</v>
      </c>
      <c r="AP948" s="59" t="s">
        <v>87</v>
      </c>
    </row>
    <row r="949" spans="1:42" ht="93" customHeight="1" x14ac:dyDescent="0.25">
      <c r="A949" s="62" t="s">
        <v>78</v>
      </c>
      <c r="B949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949" s="64" t="s">
        <v>79</v>
      </c>
      <c r="D949" s="64" t="s">
        <v>80</v>
      </c>
      <c r="E949" s="64" t="s">
        <v>81</v>
      </c>
      <c r="F949" s="64" t="s">
        <v>110</v>
      </c>
      <c r="G949" s="64" t="s">
        <v>92</v>
      </c>
      <c r="H949" s="65" t="str">
        <f>VLOOKUP(Tabla6[[#This Row],[DIRECCIÓN]],DIRECCIÓN[#All],2,0)</f>
        <v>ADMINISTRACIÓN CENTRAL</v>
      </c>
      <c r="I949" s="66" t="s">
        <v>432</v>
      </c>
      <c r="J949" s="67">
        <v>1</v>
      </c>
      <c r="K949" s="68" t="str">
        <f>VLOOKUP(Tabla6[[#This Row],[DIRECCIÓN GENERAL / COORDINACIÓN / SUBDIRECCIÓN]],Tabla37[[#All],[Columna1]:[EOD]],2,0)</f>
        <v>266_0006</v>
      </c>
      <c r="L949" s="69">
        <f>VLOOKUP(Tabla6[[#This Row],[OBJETIVOS PND]],Listas!$A$1:$C$3,3,0)</f>
        <v>1</v>
      </c>
      <c r="M949" s="70">
        <f>VLOOKUP(Tabla6[[#This Row],[PG]],Listas2!$G$14:$K$16,5,0)</f>
        <v>0</v>
      </c>
      <c r="N949" s="71">
        <v>1</v>
      </c>
      <c r="O949" s="72">
        <v>101</v>
      </c>
      <c r="P949" s="73" t="str">
        <f>VLOOKUP(Tabla6[[#This Row],[GEO]],Listas!$A$48:$B$77,2,0)</f>
        <v>CUENCA</v>
      </c>
      <c r="Q949" s="70">
        <f>VLOOKUP(Tabla6[[#This Row],[PG]],Listas2!$G$14:$K$16,3,0)</f>
        <v>1</v>
      </c>
      <c r="R949" s="73">
        <f>VLOOKUP(Tabla6[[#This Row],[PG]],Listas2!H51:'Listas2'!$G$14:$K$16,4,0)</f>
        <v>0</v>
      </c>
      <c r="S949" s="73">
        <f>VLOOKUP(Tabla6[[#This Row],[PG]],Listas2!$G$14:$K$16,2,0)</f>
        <v>0</v>
      </c>
      <c r="T949" s="66" t="s">
        <v>84</v>
      </c>
      <c r="U949" s="74">
        <v>53</v>
      </c>
      <c r="V949" s="66">
        <v>530209</v>
      </c>
      <c r="W949" s="63" t="str">
        <f>VLOOKUP(Tabla6[[#This Row],[ÍTEM PRESUPUESTARIO]],Tabla2[#All],2,0)</f>
        <v>SERVICIOS DE ASEO, LAVADO DE VESTIMENTA DE TRABAJO, FUMIGACIÓN, DESINFECCIÓN, LIMPIEZA DE INSTALACIONES, MANEJO DE DESECHOS CONTAMINADOS, RECUPERACIÓN Y CLASIFICACIÓN DE MATERIALES RECICLABLES</v>
      </c>
      <c r="X949" s="57">
        <v>1020</v>
      </c>
      <c r="Y949" s="57">
        <f>1020+1080</f>
        <v>2100</v>
      </c>
      <c r="Z949" s="58">
        <v>350</v>
      </c>
      <c r="AA949" s="58">
        <v>350</v>
      </c>
      <c r="AB949" s="58">
        <v>140</v>
      </c>
      <c r="AC949" s="58">
        <v>140</v>
      </c>
      <c r="AD949" s="58">
        <v>140</v>
      </c>
      <c r="AE949" s="58">
        <v>140</v>
      </c>
      <c r="AF949" s="58">
        <v>140</v>
      </c>
      <c r="AG949" s="58">
        <v>140</v>
      </c>
      <c r="AH949" s="58">
        <v>140</v>
      </c>
      <c r="AI949" s="58">
        <v>140</v>
      </c>
      <c r="AJ949" s="58">
        <v>140</v>
      </c>
      <c r="AK949" s="58">
        <v>140</v>
      </c>
      <c r="AL949" s="75">
        <f>+SUBTOTAL(9,Tabla6[[#This Row],[ENE]:[DIC]])</f>
        <v>2100</v>
      </c>
      <c r="AM949" s="76" t="str">
        <f t="shared" si="25"/>
        <v>OK</v>
      </c>
      <c r="AN949" s="60">
        <f>168.46+1931.54</f>
        <v>2100</v>
      </c>
      <c r="AO949" s="61">
        <f>+Tabla6[[#This Row],[PRESUPUESTO VIGENTE]]-Tabla6[[#This Row],[CERTIFICACIÓN PAPP]]</f>
        <v>0</v>
      </c>
      <c r="AP949" s="59" t="s">
        <v>87</v>
      </c>
    </row>
    <row r="950" spans="1:42" ht="93" customHeight="1" x14ac:dyDescent="0.25">
      <c r="A950" s="62" t="s">
        <v>78</v>
      </c>
      <c r="B950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950" s="64" t="s">
        <v>79</v>
      </c>
      <c r="D950" s="64" t="s">
        <v>80</v>
      </c>
      <c r="E950" s="64" t="s">
        <v>81</v>
      </c>
      <c r="F950" s="64" t="s">
        <v>110</v>
      </c>
      <c r="G950" s="64" t="s">
        <v>92</v>
      </c>
      <c r="H950" s="65" t="str">
        <f>VLOOKUP(Tabla6[[#This Row],[DIRECCIÓN]],DIRECCIÓN[#All],2,0)</f>
        <v>ADMINISTRACIÓN CENTRAL</v>
      </c>
      <c r="I950" s="66" t="s">
        <v>433</v>
      </c>
      <c r="J950" s="67">
        <v>1</v>
      </c>
      <c r="K950" s="68" t="str">
        <f>VLOOKUP(Tabla6[[#This Row],[DIRECCIÓN GENERAL / COORDINACIÓN / SUBDIRECCIÓN]],Tabla37[[#All],[Columna1]:[EOD]],2,0)</f>
        <v>266_0006</v>
      </c>
      <c r="L950" s="69">
        <f>VLOOKUP(Tabla6[[#This Row],[OBJETIVOS PND]],Listas!$A$1:$C$3,3,0)</f>
        <v>1</v>
      </c>
      <c r="M950" s="70">
        <f>VLOOKUP(Tabla6[[#This Row],[PG]],Listas2!$G$14:$K$16,5,0)</f>
        <v>0</v>
      </c>
      <c r="N950" s="71">
        <v>1</v>
      </c>
      <c r="O950" s="72">
        <v>101</v>
      </c>
      <c r="P950" s="73" t="str">
        <f>VLOOKUP(Tabla6[[#This Row],[GEO]],Listas!$A$48:$B$77,2,0)</f>
        <v>CUENCA</v>
      </c>
      <c r="Q950" s="70">
        <f>VLOOKUP(Tabla6[[#This Row],[PG]],Listas2!$G$14:$K$16,3,0)</f>
        <v>1</v>
      </c>
      <c r="R950" s="73">
        <f>VLOOKUP(Tabla6[[#This Row],[PG]],Listas2!H52:'Listas2'!$G$14:$K$16,4,0)</f>
        <v>0</v>
      </c>
      <c r="S950" s="73">
        <f>VLOOKUP(Tabla6[[#This Row],[PG]],Listas2!$G$14:$K$16,2,0)</f>
        <v>0</v>
      </c>
      <c r="T950" s="66" t="s">
        <v>84</v>
      </c>
      <c r="U950" s="74">
        <v>53</v>
      </c>
      <c r="V950" s="66">
        <v>530209</v>
      </c>
      <c r="W950" s="63" t="str">
        <f>VLOOKUP(Tabla6[[#This Row],[ÍTEM PRESUPUESTARIO]],Tabla2[#All],2,0)</f>
        <v>SERVICIOS DE ASEO, LAVADO DE VESTIMENTA DE TRABAJO, FUMIGACIÓN, DESINFECCIÓN, LIMPIEZA DE INSTALACIONES, MANEJO DE DESECHOS CONTAMINADOS, RECUPERACIÓN Y CLASIFICACIÓN DE MATERIALES RECICLABLES</v>
      </c>
      <c r="X950" s="57">
        <v>270</v>
      </c>
      <c r="Y950" s="57">
        <f>270-1.5-0.07-10.54</f>
        <v>257.89</v>
      </c>
      <c r="Z950" s="58">
        <v>0</v>
      </c>
      <c r="AA950" s="58">
        <v>90</v>
      </c>
      <c r="AB950" s="58">
        <v>0</v>
      </c>
      <c r="AC950" s="58">
        <v>35.4</v>
      </c>
      <c r="AD950" s="58">
        <v>0</v>
      </c>
      <c r="AE950" s="58">
        <v>35.4</v>
      </c>
      <c r="AF950" s="58">
        <v>0</v>
      </c>
      <c r="AG950" s="58">
        <v>35.4</v>
      </c>
      <c r="AH950" s="58">
        <v>0</v>
      </c>
      <c r="AI950" s="58">
        <v>35.4</v>
      </c>
      <c r="AJ950" s="58">
        <v>0</v>
      </c>
      <c r="AK950" s="58">
        <f>38.4-1.5-0.07-10.54</f>
        <v>26.29</v>
      </c>
      <c r="AL950" s="75">
        <f>+SUBTOTAL(9,Tabla6[[#This Row],[ENE]:[DIC]])</f>
        <v>257.89000000000004</v>
      </c>
      <c r="AM950" s="76" t="str">
        <f t="shared" si="25"/>
        <v>OK</v>
      </c>
      <c r="AN950" s="60">
        <f>267+0.01-9.13+0.01</f>
        <v>257.89</v>
      </c>
      <c r="AO950" s="61">
        <f>+Tabla6[[#This Row],[PRESUPUESTO VIGENTE]]-Tabla6[[#This Row],[CERTIFICACIÓN PAPP]]</f>
        <v>0</v>
      </c>
      <c r="AP950" s="59" t="s">
        <v>87</v>
      </c>
    </row>
    <row r="951" spans="1:42" ht="93" customHeight="1" x14ac:dyDescent="0.25">
      <c r="A951" s="62" t="s">
        <v>78</v>
      </c>
      <c r="B951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951" s="64" t="s">
        <v>79</v>
      </c>
      <c r="D951" s="64" t="s">
        <v>80</v>
      </c>
      <c r="E951" s="64" t="s">
        <v>81</v>
      </c>
      <c r="F951" s="64" t="s">
        <v>110</v>
      </c>
      <c r="G951" s="64" t="s">
        <v>92</v>
      </c>
      <c r="H951" s="65" t="str">
        <f>VLOOKUP(Tabla6[[#This Row],[DIRECCIÓN]],DIRECCIÓN[#All],2,0)</f>
        <v>ADMINISTRACIÓN CENTRAL</v>
      </c>
      <c r="I951" s="66" t="s">
        <v>434</v>
      </c>
      <c r="J951" s="67">
        <v>1</v>
      </c>
      <c r="K951" s="68" t="str">
        <f>VLOOKUP(Tabla6[[#This Row],[DIRECCIÓN GENERAL / COORDINACIÓN / SUBDIRECCIÓN]],Tabla37[[#All],[Columna1]:[EOD]],2,0)</f>
        <v>266_0006</v>
      </c>
      <c r="L951" s="69">
        <f>VLOOKUP(Tabla6[[#This Row],[OBJETIVOS PND]],Listas!$A$1:$C$3,3,0)</f>
        <v>1</v>
      </c>
      <c r="M951" s="70">
        <f>VLOOKUP(Tabla6[[#This Row],[PG]],Listas2!$G$14:$K$16,5,0)</f>
        <v>0</v>
      </c>
      <c r="N951" s="71">
        <v>1</v>
      </c>
      <c r="O951" s="72">
        <v>101</v>
      </c>
      <c r="P951" s="73" t="str">
        <f>VLOOKUP(Tabla6[[#This Row],[GEO]],Listas!$A$48:$B$77,2,0)</f>
        <v>CUENCA</v>
      </c>
      <c r="Q951" s="70">
        <f>VLOOKUP(Tabla6[[#This Row],[PG]],Listas2!$G$14:$K$16,3,0)</f>
        <v>1</v>
      </c>
      <c r="R951" s="73">
        <f>VLOOKUP(Tabla6[[#This Row],[PG]],Listas2!H53:'Listas2'!$G$14:$K$16,4,0)</f>
        <v>0</v>
      </c>
      <c r="S951" s="73">
        <f>VLOOKUP(Tabla6[[#This Row],[PG]],Listas2!$G$14:$K$16,2,0)</f>
        <v>0</v>
      </c>
      <c r="T951" s="66" t="s">
        <v>84</v>
      </c>
      <c r="U951" s="74">
        <v>53</v>
      </c>
      <c r="V951" s="66">
        <v>530210</v>
      </c>
      <c r="W951" s="63" t="str">
        <f>VLOOKUP(Tabla6[[#This Row],[ÍTEM PRESUPUESTARIO]],Tabla2[#All],2,0)</f>
        <v>SERVICIO DE GUARDERÍA</v>
      </c>
      <c r="X951" s="57">
        <v>0</v>
      </c>
      <c r="Y951" s="57">
        <f>5580-4371-372</f>
        <v>837</v>
      </c>
      <c r="Z951" s="58">
        <v>0</v>
      </c>
      <c r="AA951" s="58">
        <v>0</v>
      </c>
      <c r="AB951" s="58">
        <v>0</v>
      </c>
      <c r="AC951" s="58">
        <v>0</v>
      </c>
      <c r="AD951" s="58">
        <v>0</v>
      </c>
      <c r="AE951" s="58">
        <v>0</v>
      </c>
      <c r="AF951" s="58">
        <v>0</v>
      </c>
      <c r="AG951" s="58">
        <v>0</v>
      </c>
      <c r="AH951" s="58">
        <v>0</v>
      </c>
      <c r="AI951" s="58">
        <v>0</v>
      </c>
      <c r="AJ951" s="58">
        <f>1209/2-186</f>
        <v>418.5</v>
      </c>
      <c r="AK951" s="58">
        <f>604.5-186</f>
        <v>418.5</v>
      </c>
      <c r="AL951" s="75">
        <f>+SUBTOTAL(9,Tabla6[[#This Row],[ENE]:[DIC]])</f>
        <v>837</v>
      </c>
      <c r="AM951" s="76" t="str">
        <f t="shared" si="25"/>
        <v>OK</v>
      </c>
      <c r="AN951" s="60">
        <f>744+93</f>
        <v>837</v>
      </c>
      <c r="AO951" s="61">
        <f>+Tabla6[[#This Row],[PRESUPUESTO VIGENTE]]-Tabla6[[#This Row],[CERTIFICACIÓN PAPP]]</f>
        <v>0</v>
      </c>
      <c r="AP951" s="59">
        <v>0</v>
      </c>
    </row>
    <row r="952" spans="1:42" ht="93" customHeight="1" x14ac:dyDescent="0.25">
      <c r="A952" s="62" t="s">
        <v>78</v>
      </c>
      <c r="B952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952" s="64" t="s">
        <v>79</v>
      </c>
      <c r="D952" s="64" t="s">
        <v>80</v>
      </c>
      <c r="E952" s="64" t="s">
        <v>81</v>
      </c>
      <c r="F952" s="64" t="s">
        <v>110</v>
      </c>
      <c r="G952" s="64" t="s">
        <v>92</v>
      </c>
      <c r="H952" s="65" t="str">
        <f>VLOOKUP(Tabla6[[#This Row],[DIRECCIÓN]],DIRECCIÓN[#All],2,0)</f>
        <v>ADMINISTRACIÓN CENTRAL</v>
      </c>
      <c r="I952" s="66" t="s">
        <v>435</v>
      </c>
      <c r="J952" s="67">
        <v>1</v>
      </c>
      <c r="K952" s="68" t="str">
        <f>VLOOKUP(Tabla6[[#This Row],[DIRECCIÓN GENERAL / COORDINACIÓN / SUBDIRECCIÓN]],Tabla37[[#All],[Columna1]:[EOD]],2,0)</f>
        <v>266_0006</v>
      </c>
      <c r="L952" s="69">
        <f>VLOOKUP(Tabla6[[#This Row],[OBJETIVOS PND]],Listas!$A$1:$C$3,3,0)</f>
        <v>1</v>
      </c>
      <c r="M952" s="70">
        <f>VLOOKUP(Tabla6[[#This Row],[PG]],Listas2!$G$14:$K$16,5,0)</f>
        <v>0</v>
      </c>
      <c r="N952" s="71">
        <v>1</v>
      </c>
      <c r="O952" s="72">
        <v>101</v>
      </c>
      <c r="P952" s="73" t="str">
        <f>VLOOKUP(Tabla6[[#This Row],[GEO]],Listas!$A$48:$B$77,2,0)</f>
        <v>CUENCA</v>
      </c>
      <c r="Q952" s="70">
        <f>VLOOKUP(Tabla6[[#This Row],[PG]],Listas2!$G$14:$K$16,3,0)</f>
        <v>1</v>
      </c>
      <c r="R952" s="73">
        <f>VLOOKUP(Tabla6[[#This Row],[PG]],Listas2!H54:'Listas2'!$G$14:$K$16,4,0)</f>
        <v>0</v>
      </c>
      <c r="S952" s="73">
        <f>VLOOKUP(Tabla6[[#This Row],[PG]],Listas2!$G$14:$K$16,2,0)</f>
        <v>0</v>
      </c>
      <c r="T952" s="66" t="s">
        <v>84</v>
      </c>
      <c r="U952" s="74">
        <v>53</v>
      </c>
      <c r="V952" s="66">
        <v>530246</v>
      </c>
      <c r="W952" s="63" t="str">
        <f>VLOOKUP(Tabla6[[#This Row],[ÍTEM PRESUPUESTARIO]],Tabla2[#All],2,0)</f>
        <v>SERVICIOS DE IDENTIFICACIÓN, MARCACIÓN, AUTENTIFICACIÓN, RASTREO, MONITOREO, SEGUIMIENTO Y/O TRAZABILIDAD</v>
      </c>
      <c r="X952" s="57">
        <v>0</v>
      </c>
      <c r="Y952" s="57">
        <f>1000-280+0.01</f>
        <v>720.01</v>
      </c>
      <c r="Z952" s="58">
        <v>0</v>
      </c>
      <c r="AA952" s="58">
        <v>0</v>
      </c>
      <c r="AB952" s="58">
        <v>0</v>
      </c>
      <c r="AC952" s="58">
        <f t="shared" ref="AC952:AJ952" si="26">111.1-31.11</f>
        <v>79.989999999999995</v>
      </c>
      <c r="AD952" s="58">
        <f t="shared" si="26"/>
        <v>79.989999999999995</v>
      </c>
      <c r="AE952" s="58">
        <f t="shared" si="26"/>
        <v>79.989999999999995</v>
      </c>
      <c r="AF952" s="58">
        <f t="shared" si="26"/>
        <v>79.989999999999995</v>
      </c>
      <c r="AG952" s="58">
        <f t="shared" si="26"/>
        <v>79.989999999999995</v>
      </c>
      <c r="AH952" s="58">
        <f t="shared" si="26"/>
        <v>79.989999999999995</v>
      </c>
      <c r="AI952" s="58">
        <f t="shared" si="26"/>
        <v>79.989999999999995</v>
      </c>
      <c r="AJ952" s="58">
        <f t="shared" si="26"/>
        <v>79.989999999999995</v>
      </c>
      <c r="AK952" s="58">
        <f>111.2-31.12+0.01</f>
        <v>80.09</v>
      </c>
      <c r="AL952" s="75">
        <f>+SUBTOTAL(9,Tabla6[[#This Row],[ENE]:[DIC]])</f>
        <v>720.01</v>
      </c>
      <c r="AM952" s="76" t="str">
        <f t="shared" si="25"/>
        <v>OK</v>
      </c>
      <c r="AN952" s="60">
        <f>720+0.01</f>
        <v>720.01</v>
      </c>
      <c r="AO952" s="61">
        <f>+Tabla6[[#This Row],[PRESUPUESTO VIGENTE]]-Tabla6[[#This Row],[CERTIFICACIÓN PAPP]]</f>
        <v>0</v>
      </c>
      <c r="AP952" s="59">
        <v>0</v>
      </c>
    </row>
    <row r="953" spans="1:42" ht="93" customHeight="1" x14ac:dyDescent="0.25">
      <c r="A953" s="62" t="s">
        <v>78</v>
      </c>
      <c r="B953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953" s="64" t="s">
        <v>79</v>
      </c>
      <c r="D953" s="64" t="s">
        <v>80</v>
      </c>
      <c r="E953" s="64" t="s">
        <v>81</v>
      </c>
      <c r="F953" s="64" t="s">
        <v>110</v>
      </c>
      <c r="G953" s="64" t="s">
        <v>92</v>
      </c>
      <c r="H953" s="65" t="str">
        <f>VLOOKUP(Tabla6[[#This Row],[DIRECCIÓN]],DIRECCIÓN[#All],2,0)</f>
        <v>ADMINISTRACIÓN CENTRAL</v>
      </c>
      <c r="I953" s="66" t="s">
        <v>436</v>
      </c>
      <c r="J953" s="67">
        <v>1</v>
      </c>
      <c r="K953" s="68" t="str">
        <f>VLOOKUP(Tabla6[[#This Row],[DIRECCIÓN GENERAL / COORDINACIÓN / SUBDIRECCIÓN]],Tabla37[[#All],[Columna1]:[EOD]],2,0)</f>
        <v>266_0006</v>
      </c>
      <c r="L953" s="69">
        <f>VLOOKUP(Tabla6[[#This Row],[OBJETIVOS PND]],Listas!$A$1:$C$3,3,0)</f>
        <v>1</v>
      </c>
      <c r="M953" s="70">
        <f>VLOOKUP(Tabla6[[#This Row],[PG]],Listas2!$G$14:$K$16,5,0)</f>
        <v>0</v>
      </c>
      <c r="N953" s="71">
        <v>1</v>
      </c>
      <c r="O953" s="72">
        <v>101</v>
      </c>
      <c r="P953" s="73" t="str">
        <f>VLOOKUP(Tabla6[[#This Row],[GEO]],Listas!$A$48:$B$77,2,0)</f>
        <v>CUENCA</v>
      </c>
      <c r="Q953" s="70">
        <f>VLOOKUP(Tabla6[[#This Row],[PG]],Listas2!$G$14:$K$16,3,0)</f>
        <v>1</v>
      </c>
      <c r="R953" s="73">
        <f>VLOOKUP(Tabla6[[#This Row],[PG]],Listas2!H55:'Listas2'!$G$14:$K$16,4,0)</f>
        <v>0</v>
      </c>
      <c r="S953" s="73">
        <f>VLOOKUP(Tabla6[[#This Row],[PG]],Listas2!$G$14:$K$16,2,0)</f>
        <v>0</v>
      </c>
      <c r="T953" s="66" t="s">
        <v>84</v>
      </c>
      <c r="U953" s="74">
        <v>53</v>
      </c>
      <c r="V953" s="66">
        <v>530255</v>
      </c>
      <c r="W953" s="63" t="str">
        <f>VLOOKUP(Tabla6[[#This Row],[ÍTEM PRESUPUESTARIO]],Tabla2[#All],2,0)</f>
        <v>COMBUSTIBLES</v>
      </c>
      <c r="X953" s="57">
        <v>0</v>
      </c>
      <c r="Y953" s="57">
        <f>3400-2840.49</f>
        <v>559.51000000000022</v>
      </c>
      <c r="Z953" s="58">
        <v>0</v>
      </c>
      <c r="AA953" s="58">
        <v>186.5</v>
      </c>
      <c r="AB953" s="58">
        <v>186.5</v>
      </c>
      <c r="AC953" s="58">
        <v>186.51</v>
      </c>
      <c r="AD953" s="58">
        <v>0</v>
      </c>
      <c r="AE953" s="58">
        <v>0</v>
      </c>
      <c r="AF953" s="58">
        <v>0</v>
      </c>
      <c r="AG953" s="58">
        <v>0</v>
      </c>
      <c r="AH953" s="58">
        <v>0</v>
      </c>
      <c r="AI953" s="58">
        <v>0</v>
      </c>
      <c r="AJ953" s="58">
        <v>0</v>
      </c>
      <c r="AK953" s="58">
        <v>0</v>
      </c>
      <c r="AL953" s="75">
        <f>+SUBTOTAL(9,Tabla6[[#This Row],[ENE]:[DIC]])</f>
        <v>559.51</v>
      </c>
      <c r="AM953" s="76" t="str">
        <f t="shared" si="25"/>
        <v>OK</v>
      </c>
      <c r="AN953" s="60">
        <v>559.51</v>
      </c>
      <c r="AO953" s="61">
        <f>+Tabla6[[#This Row],[PRESUPUESTO VIGENTE]]-Tabla6[[#This Row],[CERTIFICACIÓN PAPP]]</f>
        <v>0</v>
      </c>
      <c r="AP953" s="59">
        <v>0</v>
      </c>
    </row>
    <row r="954" spans="1:42" ht="93" customHeight="1" x14ac:dyDescent="0.25">
      <c r="A954" s="62" t="s">
        <v>78</v>
      </c>
      <c r="B954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954" s="64" t="s">
        <v>79</v>
      </c>
      <c r="D954" s="64" t="s">
        <v>80</v>
      </c>
      <c r="E954" s="64" t="s">
        <v>81</v>
      </c>
      <c r="F954" s="64" t="s">
        <v>110</v>
      </c>
      <c r="G954" s="64" t="s">
        <v>92</v>
      </c>
      <c r="H954" s="65" t="str">
        <f>VLOOKUP(Tabla6[[#This Row],[DIRECCIÓN]],DIRECCIÓN[#All],2,0)</f>
        <v>ADMINISTRACIÓN CENTRAL</v>
      </c>
      <c r="I954" s="66" t="s">
        <v>437</v>
      </c>
      <c r="J954" s="67">
        <v>1</v>
      </c>
      <c r="K954" s="68" t="str">
        <f>VLOOKUP(Tabla6[[#This Row],[DIRECCIÓN GENERAL / COORDINACIÓN / SUBDIRECCIÓN]],Tabla37[[#All],[Columna1]:[EOD]],2,0)</f>
        <v>266_0006</v>
      </c>
      <c r="L954" s="69">
        <f>VLOOKUP(Tabla6[[#This Row],[OBJETIVOS PND]],Listas!$A$1:$C$3,3,0)</f>
        <v>1</v>
      </c>
      <c r="M954" s="70">
        <f>VLOOKUP(Tabla6[[#This Row],[PG]],Listas2!$G$14:$K$16,5,0)</f>
        <v>0</v>
      </c>
      <c r="N954" s="71">
        <v>1</v>
      </c>
      <c r="O954" s="72">
        <v>101</v>
      </c>
      <c r="P954" s="73" t="str">
        <f>VLOOKUP(Tabla6[[#This Row],[GEO]],Listas!$A$48:$B$77,2,0)</f>
        <v>CUENCA</v>
      </c>
      <c r="Q954" s="70">
        <f>VLOOKUP(Tabla6[[#This Row],[PG]],Listas2!$G$14:$K$16,3,0)</f>
        <v>1</v>
      </c>
      <c r="R954" s="73">
        <f>VLOOKUP(Tabla6[[#This Row],[PG]],Listas2!H56:'Listas2'!$G$14:$K$16,4,0)</f>
        <v>0</v>
      </c>
      <c r="S954" s="73">
        <f>VLOOKUP(Tabla6[[#This Row],[PG]],Listas2!$G$14:$K$16,2,0)</f>
        <v>0</v>
      </c>
      <c r="T954" s="66" t="s">
        <v>84</v>
      </c>
      <c r="U954" s="74">
        <v>53</v>
      </c>
      <c r="V954" s="66">
        <v>530255</v>
      </c>
      <c r="W954" s="63" t="str">
        <f>VLOOKUP(Tabla6[[#This Row],[ÍTEM PRESUPUESTARIO]],Tabla2[#All],2,0)</f>
        <v>COMBUSTIBLES</v>
      </c>
      <c r="X954" s="57">
        <v>0</v>
      </c>
      <c r="Y954" s="57">
        <f>2840.49+0.01-1788.55-5.55</f>
        <v>1046.4000000000001</v>
      </c>
      <c r="Z954" s="58">
        <v>0</v>
      </c>
      <c r="AA954" s="58">
        <v>0</v>
      </c>
      <c r="AB954" s="58">
        <v>0</v>
      </c>
      <c r="AC954" s="58">
        <v>0</v>
      </c>
      <c r="AD954" s="58">
        <f t="shared" ref="AD954:AK954" si="27">355.06-224.26</f>
        <v>130.80000000000001</v>
      </c>
      <c r="AE954" s="58">
        <f t="shared" si="27"/>
        <v>130.80000000000001</v>
      </c>
      <c r="AF954" s="58">
        <f t="shared" si="27"/>
        <v>130.80000000000001</v>
      </c>
      <c r="AG954" s="58">
        <f t="shared" si="27"/>
        <v>130.80000000000001</v>
      </c>
      <c r="AH954" s="58">
        <f t="shared" si="27"/>
        <v>130.80000000000001</v>
      </c>
      <c r="AI954" s="58">
        <f t="shared" si="27"/>
        <v>130.80000000000001</v>
      </c>
      <c r="AJ954" s="58">
        <f t="shared" si="27"/>
        <v>130.80000000000001</v>
      </c>
      <c r="AK954" s="58">
        <f t="shared" si="27"/>
        <v>130.80000000000001</v>
      </c>
      <c r="AL954" s="75">
        <f>+SUBTOTAL(9,Tabla6[[#This Row],[ENE]:[DIC]])</f>
        <v>1046.3999999999999</v>
      </c>
      <c r="AM954" s="76" t="str">
        <f t="shared" si="25"/>
        <v>OK</v>
      </c>
      <c r="AN954" s="60">
        <f>2839.06-1787.11-5.55</f>
        <v>1046.4000000000001</v>
      </c>
      <c r="AO954" s="61">
        <f>+Tabla6[[#This Row],[PRESUPUESTO VIGENTE]]-Tabla6[[#This Row],[CERTIFICACIÓN PAPP]]</f>
        <v>0</v>
      </c>
      <c r="AP954" s="59">
        <v>0</v>
      </c>
    </row>
    <row r="955" spans="1:42" ht="93" customHeight="1" x14ac:dyDescent="0.25">
      <c r="A955" s="62" t="s">
        <v>78</v>
      </c>
      <c r="B955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955" s="64" t="s">
        <v>79</v>
      </c>
      <c r="D955" s="64" t="s">
        <v>80</v>
      </c>
      <c r="E955" s="64" t="s">
        <v>81</v>
      </c>
      <c r="F955" s="64" t="s">
        <v>110</v>
      </c>
      <c r="G955" s="64" t="s">
        <v>92</v>
      </c>
      <c r="H955" s="65" t="str">
        <f>VLOOKUP(Tabla6[[#This Row],[DIRECCIÓN]],DIRECCIÓN[#All],2,0)</f>
        <v>ADMINISTRACIÓN CENTRAL</v>
      </c>
      <c r="I955" s="66" t="s">
        <v>438</v>
      </c>
      <c r="J955" s="67">
        <v>1</v>
      </c>
      <c r="K955" s="68" t="str">
        <f>VLOOKUP(Tabla6[[#This Row],[DIRECCIÓN GENERAL / COORDINACIÓN / SUBDIRECCIÓN]],Tabla37[[#All],[Columna1]:[EOD]],2,0)</f>
        <v>266_0006</v>
      </c>
      <c r="L955" s="69">
        <f>VLOOKUP(Tabla6[[#This Row],[OBJETIVOS PND]],Listas!$A$1:$C$3,3,0)</f>
        <v>1</v>
      </c>
      <c r="M955" s="70">
        <f>VLOOKUP(Tabla6[[#This Row],[PG]],Listas2!$G$14:$K$16,5,0)</f>
        <v>0</v>
      </c>
      <c r="N955" s="71">
        <v>1</v>
      </c>
      <c r="O955" s="72">
        <v>101</v>
      </c>
      <c r="P955" s="73" t="str">
        <f>VLOOKUP(Tabla6[[#This Row],[GEO]],Listas!$A$48:$B$77,2,0)</f>
        <v>CUENCA</v>
      </c>
      <c r="Q955" s="70">
        <f>VLOOKUP(Tabla6[[#This Row],[PG]],Listas2!$G$14:$K$16,3,0)</f>
        <v>1</v>
      </c>
      <c r="R955" s="73">
        <f>VLOOKUP(Tabla6[[#This Row],[PG]],Listas2!H57:'Listas2'!$G$14:$K$16,4,0)</f>
        <v>0</v>
      </c>
      <c r="S955" s="73">
        <f>VLOOKUP(Tabla6[[#This Row],[PG]],Listas2!$G$14:$K$16,2,0)</f>
        <v>0</v>
      </c>
      <c r="T955" s="66" t="s">
        <v>84</v>
      </c>
      <c r="U955" s="74">
        <v>53</v>
      </c>
      <c r="V955" s="66">
        <v>530255</v>
      </c>
      <c r="W955" s="63" t="str">
        <f>VLOOKUP(Tabla6[[#This Row],[ÍTEM PRESUPUESTARIO]],Tabla2[#All],2,0)</f>
        <v>COMBUSTIBLES</v>
      </c>
      <c r="X955" s="57">
        <v>0</v>
      </c>
      <c r="Y955" s="57">
        <f>200-200</f>
        <v>0</v>
      </c>
      <c r="Z955" s="58">
        <v>0</v>
      </c>
      <c r="AA955" s="58">
        <v>0</v>
      </c>
      <c r="AB955" s="58">
        <v>0</v>
      </c>
      <c r="AC955" s="58">
        <v>0</v>
      </c>
      <c r="AD955" s="58">
        <v>0</v>
      </c>
      <c r="AE955" s="58">
        <v>0</v>
      </c>
      <c r="AF955" s="58">
        <v>0</v>
      </c>
      <c r="AG955" s="58">
        <v>0</v>
      </c>
      <c r="AH955" s="58">
        <v>0</v>
      </c>
      <c r="AI955" s="58">
        <v>0</v>
      </c>
      <c r="AJ955" s="58">
        <v>0</v>
      </c>
      <c r="AK955" s="58">
        <v>0</v>
      </c>
      <c r="AL955" s="75">
        <f>+SUBTOTAL(9,Tabla6[[#This Row],[ENE]:[DIC]])</f>
        <v>0</v>
      </c>
      <c r="AM955" s="76" t="str">
        <f t="shared" si="25"/>
        <v>OK</v>
      </c>
      <c r="AN955" s="60">
        <v>0</v>
      </c>
      <c r="AO955" s="61">
        <f>+Tabla6[[#This Row],[PRESUPUESTO VIGENTE]]-Tabla6[[#This Row],[CERTIFICACIÓN PAPP]]</f>
        <v>0</v>
      </c>
      <c r="AP955" s="59">
        <v>0</v>
      </c>
    </row>
    <row r="956" spans="1:42" ht="93" customHeight="1" x14ac:dyDescent="0.25">
      <c r="A956" s="62" t="s">
        <v>78</v>
      </c>
      <c r="B956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956" s="64" t="s">
        <v>79</v>
      </c>
      <c r="D956" s="64" t="s">
        <v>80</v>
      </c>
      <c r="E956" s="64" t="s">
        <v>81</v>
      </c>
      <c r="F956" s="64" t="s">
        <v>110</v>
      </c>
      <c r="G956" s="64" t="s">
        <v>92</v>
      </c>
      <c r="H956" s="65" t="str">
        <f>VLOOKUP(Tabla6[[#This Row],[DIRECCIÓN]],DIRECCIÓN[#All],2,0)</f>
        <v>ADMINISTRACIÓN CENTRAL</v>
      </c>
      <c r="I956" s="66" t="s">
        <v>439</v>
      </c>
      <c r="J956" s="67">
        <v>1</v>
      </c>
      <c r="K956" s="68" t="str">
        <f>VLOOKUP(Tabla6[[#This Row],[DIRECCIÓN GENERAL / COORDINACIÓN / SUBDIRECCIÓN]],Tabla37[[#All],[Columna1]:[EOD]],2,0)</f>
        <v>266_0006</v>
      </c>
      <c r="L956" s="69">
        <f>VLOOKUP(Tabla6[[#This Row],[OBJETIVOS PND]],Listas!$A$1:$C$3,3,0)</f>
        <v>1</v>
      </c>
      <c r="M956" s="70">
        <f>VLOOKUP(Tabla6[[#This Row],[PG]],Listas2!$G$14:$K$16,5,0)</f>
        <v>0</v>
      </c>
      <c r="N956" s="71">
        <v>1</v>
      </c>
      <c r="O956" s="72">
        <v>101</v>
      </c>
      <c r="P956" s="73" t="str">
        <f>VLOOKUP(Tabla6[[#This Row],[GEO]],Listas!$A$48:$B$77,2,0)</f>
        <v>CUENCA</v>
      </c>
      <c r="Q956" s="70">
        <f>VLOOKUP(Tabla6[[#This Row],[PG]],Listas2!$G$14:$K$16,3,0)</f>
        <v>1</v>
      </c>
      <c r="R956" s="73">
        <f>VLOOKUP(Tabla6[[#This Row],[PG]],Listas2!H58:'Listas2'!$G$14:$K$16,4,0)</f>
        <v>0</v>
      </c>
      <c r="S956" s="73">
        <f>VLOOKUP(Tabla6[[#This Row],[PG]],Listas2!$G$14:$K$16,2,0)</f>
        <v>0</v>
      </c>
      <c r="T956" s="66" t="s">
        <v>84</v>
      </c>
      <c r="U956" s="74">
        <v>53</v>
      </c>
      <c r="V956" s="66">
        <v>530255</v>
      </c>
      <c r="W956" s="63" t="str">
        <f>VLOOKUP(Tabla6[[#This Row],[ÍTEM PRESUPUESTARIO]],Tabla2[#All],2,0)</f>
        <v>COMBUSTIBLES</v>
      </c>
      <c r="X956" s="57">
        <v>0</v>
      </c>
      <c r="Y956" s="57">
        <f>200-6.96+0.02</f>
        <v>193.06</v>
      </c>
      <c r="Z956" s="58">
        <v>0</v>
      </c>
      <c r="AA956" s="58">
        <v>0</v>
      </c>
      <c r="AB956" s="58">
        <v>0</v>
      </c>
      <c r="AC956" s="58">
        <v>0</v>
      </c>
      <c r="AD956" s="58">
        <f>200-6.96+0.02</f>
        <v>193.06</v>
      </c>
      <c r="AE956" s="58">
        <v>0</v>
      </c>
      <c r="AF956" s="58">
        <v>0</v>
      </c>
      <c r="AG956" s="58">
        <v>0</v>
      </c>
      <c r="AH956" s="58">
        <v>0</v>
      </c>
      <c r="AI956" s="58">
        <v>0</v>
      </c>
      <c r="AJ956" s="58">
        <v>0</v>
      </c>
      <c r="AK956" s="58">
        <v>0</v>
      </c>
      <c r="AL956" s="75">
        <f>+SUBTOTAL(9,Tabla6[[#This Row],[ENE]:[DIC]])</f>
        <v>193.06</v>
      </c>
      <c r="AM956" s="76" t="str">
        <f t="shared" si="25"/>
        <v>OK</v>
      </c>
      <c r="AN956" s="60">
        <f>187.5+5.56</f>
        <v>193.06</v>
      </c>
      <c r="AO956" s="61">
        <f>+Tabla6[[#This Row],[PRESUPUESTO VIGENTE]]-Tabla6[[#This Row],[CERTIFICACIÓN PAPP]]</f>
        <v>0</v>
      </c>
      <c r="AP956" s="59">
        <v>0</v>
      </c>
    </row>
    <row r="957" spans="1:42" ht="93" customHeight="1" x14ac:dyDescent="0.25">
      <c r="A957" s="62" t="s">
        <v>78</v>
      </c>
      <c r="B957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957" s="64" t="s">
        <v>79</v>
      </c>
      <c r="D957" s="64" t="s">
        <v>80</v>
      </c>
      <c r="E957" s="64" t="s">
        <v>81</v>
      </c>
      <c r="F957" s="64" t="s">
        <v>110</v>
      </c>
      <c r="G957" s="64" t="s">
        <v>92</v>
      </c>
      <c r="H957" s="65" t="str">
        <f>VLOOKUP(Tabla6[[#This Row],[DIRECCIÓN]],DIRECCIÓN[#All],2,0)</f>
        <v>ADMINISTRACIÓN CENTRAL</v>
      </c>
      <c r="I957" s="66" t="s">
        <v>440</v>
      </c>
      <c r="J957" s="67">
        <v>1</v>
      </c>
      <c r="K957" s="68" t="str">
        <f>VLOOKUP(Tabla6[[#This Row],[DIRECCIÓN GENERAL / COORDINACIÓN / SUBDIRECCIÓN]],Tabla37[[#All],[Columna1]:[EOD]],2,0)</f>
        <v>266_0006</v>
      </c>
      <c r="L957" s="69">
        <f>VLOOKUP(Tabla6[[#This Row],[OBJETIVOS PND]],Listas!$A$1:$C$3,3,0)</f>
        <v>1</v>
      </c>
      <c r="M957" s="70">
        <f>VLOOKUP(Tabla6[[#This Row],[PG]],Listas2!$G$14:$K$16,5,0)</f>
        <v>0</v>
      </c>
      <c r="N957" s="71">
        <v>1</v>
      </c>
      <c r="O957" s="72">
        <v>101</v>
      </c>
      <c r="P957" s="73" t="str">
        <f>VLOOKUP(Tabla6[[#This Row],[GEO]],Listas!$A$48:$B$77,2,0)</f>
        <v>CUENCA</v>
      </c>
      <c r="Q957" s="70">
        <f>VLOOKUP(Tabla6[[#This Row],[PG]],Listas2!$G$14:$K$16,3,0)</f>
        <v>1</v>
      </c>
      <c r="R957" s="73">
        <f>VLOOKUP(Tabla6[[#This Row],[PG]],Listas2!H59:'Listas2'!$G$14:$K$16,4,0)</f>
        <v>0</v>
      </c>
      <c r="S957" s="73">
        <f>VLOOKUP(Tabla6[[#This Row],[PG]],Listas2!$G$14:$K$16,2,0)</f>
        <v>0</v>
      </c>
      <c r="T957" s="66" t="s">
        <v>84</v>
      </c>
      <c r="U957" s="74">
        <v>53</v>
      </c>
      <c r="V957" s="66">
        <v>530255</v>
      </c>
      <c r="W957" s="63" t="str">
        <f>VLOOKUP(Tabla6[[#This Row],[ÍTEM PRESUPUESTARIO]],Tabla2[#All],2,0)</f>
        <v>COMBUSTIBLES</v>
      </c>
      <c r="X957" s="57">
        <v>0</v>
      </c>
      <c r="Y957" s="57">
        <v>100</v>
      </c>
      <c r="Z957" s="58">
        <v>0</v>
      </c>
      <c r="AA957" s="58">
        <v>0</v>
      </c>
      <c r="AB957" s="58">
        <v>0</v>
      </c>
      <c r="AC957" s="58">
        <v>0</v>
      </c>
      <c r="AD957" s="58">
        <v>0</v>
      </c>
      <c r="AE957" s="58">
        <v>0</v>
      </c>
      <c r="AF957" s="58">
        <v>0</v>
      </c>
      <c r="AG957" s="58">
        <v>0</v>
      </c>
      <c r="AH957" s="58">
        <v>0</v>
      </c>
      <c r="AI957" s="58">
        <v>0</v>
      </c>
      <c r="AJ957" s="58">
        <v>0</v>
      </c>
      <c r="AK957" s="58">
        <v>100</v>
      </c>
      <c r="AL957" s="75">
        <f>+SUBTOTAL(9,Tabla6[[#This Row],[ENE]:[DIC]])</f>
        <v>100</v>
      </c>
      <c r="AM957" s="76" t="str">
        <f t="shared" si="25"/>
        <v>OK</v>
      </c>
      <c r="AN957" s="60">
        <v>100</v>
      </c>
      <c r="AO957" s="61">
        <f>+Tabla6[[#This Row],[PRESUPUESTO VIGENTE]]-Tabla6[[#This Row],[CERTIFICACIÓN PAPP]]</f>
        <v>0</v>
      </c>
      <c r="AP957" s="59">
        <v>0</v>
      </c>
    </row>
    <row r="958" spans="1:42" ht="93" customHeight="1" x14ac:dyDescent="0.25">
      <c r="A958" s="62" t="s">
        <v>78</v>
      </c>
      <c r="B958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958" s="64" t="s">
        <v>79</v>
      </c>
      <c r="D958" s="64" t="s">
        <v>80</v>
      </c>
      <c r="E958" s="64" t="s">
        <v>81</v>
      </c>
      <c r="F958" s="64" t="s">
        <v>110</v>
      </c>
      <c r="G958" s="64" t="s">
        <v>92</v>
      </c>
      <c r="H958" s="65" t="str">
        <f>VLOOKUP(Tabla6[[#This Row],[DIRECCIÓN]],DIRECCIÓN[#All],2,0)</f>
        <v>ADMINISTRACIÓN CENTRAL</v>
      </c>
      <c r="I958" s="66" t="s">
        <v>441</v>
      </c>
      <c r="J958" s="67">
        <v>1</v>
      </c>
      <c r="K958" s="68" t="str">
        <f>VLOOKUP(Tabla6[[#This Row],[DIRECCIÓN GENERAL / COORDINACIÓN / SUBDIRECCIÓN]],Tabla37[[#All],[Columna1]:[EOD]],2,0)</f>
        <v>266_0006</v>
      </c>
      <c r="L958" s="69">
        <f>VLOOKUP(Tabla6[[#This Row],[OBJETIVOS PND]],Listas!$A$1:$C$3,3,0)</f>
        <v>1</v>
      </c>
      <c r="M958" s="70">
        <f>VLOOKUP(Tabla6[[#This Row],[PG]],Listas2!$G$14:$K$16,5,0)</f>
        <v>0</v>
      </c>
      <c r="N958" s="71">
        <v>1</v>
      </c>
      <c r="O958" s="72">
        <v>101</v>
      </c>
      <c r="P958" s="73" t="str">
        <f>VLOOKUP(Tabla6[[#This Row],[GEO]],Listas!$A$48:$B$77,2,0)</f>
        <v>CUENCA</v>
      </c>
      <c r="Q958" s="70">
        <f>VLOOKUP(Tabla6[[#This Row],[PG]],Listas2!$G$14:$K$16,3,0)</f>
        <v>1</v>
      </c>
      <c r="R958" s="73">
        <f>VLOOKUP(Tabla6[[#This Row],[PG]],Listas2!H60:'Listas2'!$G$14:$K$16,4,0)</f>
        <v>0</v>
      </c>
      <c r="S958" s="73">
        <f>VLOOKUP(Tabla6[[#This Row],[PG]],Listas2!$G$14:$K$16,2,0)</f>
        <v>0</v>
      </c>
      <c r="T958" s="66" t="s">
        <v>84</v>
      </c>
      <c r="U958" s="74">
        <v>53</v>
      </c>
      <c r="V958" s="66">
        <v>530301</v>
      </c>
      <c r="W958" s="63" t="str">
        <f>VLOOKUP(Tabla6[[#This Row],[ÍTEM PRESUPUESTARIO]],Tabla2[#All],2,0)</f>
        <v>PASAJES AL INTERIOR</v>
      </c>
      <c r="X958" s="57">
        <v>0</v>
      </c>
      <c r="Y958" s="57">
        <f>3000+0.01-2102.8</f>
        <v>897.21</v>
      </c>
      <c r="Z958" s="58">
        <v>0</v>
      </c>
      <c r="AA958" s="58">
        <v>0</v>
      </c>
      <c r="AB958" s="58">
        <v>0</v>
      </c>
      <c r="AC958" s="58">
        <v>0</v>
      </c>
      <c r="AD958" s="58">
        <v>0</v>
      </c>
      <c r="AE958" s="58">
        <v>0</v>
      </c>
      <c r="AF958" s="58">
        <v>0</v>
      </c>
      <c r="AG958" s="58">
        <v>0</v>
      </c>
      <c r="AH958" s="58">
        <v>0</v>
      </c>
      <c r="AI958" s="58">
        <v>0</v>
      </c>
      <c r="AJ958" s="58">
        <v>0</v>
      </c>
      <c r="AK958" s="58">
        <f>3000+0.01-2102.8</f>
        <v>897.21</v>
      </c>
      <c r="AL958" s="75">
        <f>+SUBTOTAL(9,Tabla6[[#This Row],[ENE]:[DIC]])</f>
        <v>897.21</v>
      </c>
      <c r="AM958" s="76" t="str">
        <f t="shared" si="25"/>
        <v>OK</v>
      </c>
      <c r="AN958" s="60">
        <f>3000-2102.79</f>
        <v>897.21</v>
      </c>
      <c r="AO958" s="61">
        <f>+Tabla6[[#This Row],[PRESUPUESTO VIGENTE]]-Tabla6[[#This Row],[CERTIFICACIÓN PAPP]]</f>
        <v>0</v>
      </c>
      <c r="AP958" s="59" t="s">
        <v>87</v>
      </c>
    </row>
    <row r="959" spans="1:42" ht="93" customHeight="1" x14ac:dyDescent="0.25">
      <c r="A959" s="62" t="s">
        <v>78</v>
      </c>
      <c r="B959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959" s="64" t="s">
        <v>79</v>
      </c>
      <c r="D959" s="64" t="s">
        <v>80</v>
      </c>
      <c r="E959" s="64" t="s">
        <v>81</v>
      </c>
      <c r="F959" s="64" t="s">
        <v>110</v>
      </c>
      <c r="G959" s="64" t="s">
        <v>92</v>
      </c>
      <c r="H959" s="65" t="str">
        <f>VLOOKUP(Tabla6[[#This Row],[DIRECCIÓN]],DIRECCIÓN[#All],2,0)</f>
        <v>ADMINISTRACIÓN CENTRAL</v>
      </c>
      <c r="I959" s="66" t="s">
        <v>442</v>
      </c>
      <c r="J959" s="67">
        <v>1</v>
      </c>
      <c r="K959" s="68" t="str">
        <f>VLOOKUP(Tabla6[[#This Row],[DIRECCIÓN GENERAL / COORDINACIÓN / SUBDIRECCIÓN]],Tabla37[[#All],[Columna1]:[EOD]],2,0)</f>
        <v>266_0006</v>
      </c>
      <c r="L959" s="69">
        <f>VLOOKUP(Tabla6[[#This Row],[OBJETIVOS PND]],Listas!$A$1:$C$3,3,0)</f>
        <v>1</v>
      </c>
      <c r="M959" s="70">
        <f>VLOOKUP(Tabla6[[#This Row],[PG]],Listas2!$G$14:$K$16,5,0)</f>
        <v>0</v>
      </c>
      <c r="N959" s="71">
        <v>1</v>
      </c>
      <c r="O959" s="72">
        <v>101</v>
      </c>
      <c r="P959" s="73" t="str">
        <f>VLOOKUP(Tabla6[[#This Row],[GEO]],Listas!$A$48:$B$77,2,0)</f>
        <v>CUENCA</v>
      </c>
      <c r="Q959" s="70">
        <f>VLOOKUP(Tabla6[[#This Row],[PG]],Listas2!$G$14:$K$16,3,0)</f>
        <v>1</v>
      </c>
      <c r="R959" s="73">
        <f>VLOOKUP(Tabla6[[#This Row],[PG]],Listas2!H61:'Listas2'!$G$14:$K$16,4,0)</f>
        <v>0</v>
      </c>
      <c r="S959" s="73">
        <f>VLOOKUP(Tabla6[[#This Row],[PG]],Listas2!$G$14:$K$16,2,0)</f>
        <v>0</v>
      </c>
      <c r="T959" s="66" t="s">
        <v>84</v>
      </c>
      <c r="U959" s="74">
        <v>53</v>
      </c>
      <c r="V959" s="66">
        <v>530301</v>
      </c>
      <c r="W959" s="63" t="str">
        <f>VLOOKUP(Tabla6[[#This Row],[ÍTEM PRESUPUESTARIO]],Tabla2[#All],2,0)</f>
        <v>PASAJES AL INTERIOR</v>
      </c>
      <c r="X959" s="57">
        <v>1200</v>
      </c>
      <c r="Y959" s="57">
        <f>1200-600-392</f>
        <v>208</v>
      </c>
      <c r="Z959" s="58">
        <v>0</v>
      </c>
      <c r="AA959" s="58">
        <v>0</v>
      </c>
      <c r="AB959" s="58">
        <v>0</v>
      </c>
      <c r="AC959" s="58">
        <v>0</v>
      </c>
      <c r="AD959" s="58">
        <v>0</v>
      </c>
      <c r="AE959" s="58">
        <v>0</v>
      </c>
      <c r="AF959" s="58">
        <v>0</v>
      </c>
      <c r="AG959" s="58">
        <v>0</v>
      </c>
      <c r="AH959" s="58">
        <v>0</v>
      </c>
      <c r="AI959" s="58">
        <v>0</v>
      </c>
      <c r="AJ959" s="58">
        <v>0</v>
      </c>
      <c r="AK959" s="58">
        <f>600-392</f>
        <v>208</v>
      </c>
      <c r="AL959" s="75">
        <f>+SUBTOTAL(9,Tabla6[[#This Row],[ENE]:[DIC]])</f>
        <v>208</v>
      </c>
      <c r="AM959" s="76" t="str">
        <f t="shared" si="25"/>
        <v>OK</v>
      </c>
      <c r="AN959" s="60">
        <f>208-61.14+61.14</f>
        <v>208</v>
      </c>
      <c r="AO959" s="61">
        <f>+Tabla6[[#This Row],[PRESUPUESTO VIGENTE]]-Tabla6[[#This Row],[CERTIFICACIÓN PAPP]]</f>
        <v>0</v>
      </c>
      <c r="AP959" s="59">
        <v>0</v>
      </c>
    </row>
    <row r="960" spans="1:42" ht="93" customHeight="1" x14ac:dyDescent="0.25">
      <c r="A960" s="62" t="s">
        <v>78</v>
      </c>
      <c r="B960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960" s="64" t="s">
        <v>79</v>
      </c>
      <c r="D960" s="64" t="s">
        <v>80</v>
      </c>
      <c r="E960" s="64" t="s">
        <v>81</v>
      </c>
      <c r="F960" s="64" t="s">
        <v>110</v>
      </c>
      <c r="G960" s="64" t="s">
        <v>92</v>
      </c>
      <c r="H960" s="65" t="str">
        <f>VLOOKUP(Tabla6[[#This Row],[DIRECCIÓN]],DIRECCIÓN[#All],2,0)</f>
        <v>ADMINISTRACIÓN CENTRAL</v>
      </c>
      <c r="I960" s="66" t="s">
        <v>443</v>
      </c>
      <c r="J960" s="67">
        <v>1</v>
      </c>
      <c r="K960" s="68" t="str">
        <f>VLOOKUP(Tabla6[[#This Row],[DIRECCIÓN GENERAL / COORDINACIÓN / SUBDIRECCIÓN]],Tabla37[[#All],[Columna1]:[EOD]],2,0)</f>
        <v>266_0006</v>
      </c>
      <c r="L960" s="69">
        <f>VLOOKUP(Tabla6[[#This Row],[OBJETIVOS PND]],Listas!$A$1:$C$3,3,0)</f>
        <v>1</v>
      </c>
      <c r="M960" s="70">
        <f>VLOOKUP(Tabla6[[#This Row],[PG]],Listas2!$G$14:$K$16,5,0)</f>
        <v>0</v>
      </c>
      <c r="N960" s="71">
        <v>1</v>
      </c>
      <c r="O960" s="72">
        <v>101</v>
      </c>
      <c r="P960" s="73" t="str">
        <f>VLOOKUP(Tabla6[[#This Row],[GEO]],Listas!$A$48:$B$77,2,0)</f>
        <v>CUENCA</v>
      </c>
      <c r="Q960" s="70">
        <f>VLOOKUP(Tabla6[[#This Row],[PG]],Listas2!$G$14:$K$16,3,0)</f>
        <v>1</v>
      </c>
      <c r="R960" s="73">
        <f>VLOOKUP(Tabla6[[#This Row],[PG]],Listas2!H62:'Listas2'!$G$14:$K$16,4,0)</f>
        <v>0</v>
      </c>
      <c r="S960" s="73">
        <f>VLOOKUP(Tabla6[[#This Row],[PG]],Listas2!$G$14:$K$16,2,0)</f>
        <v>0</v>
      </c>
      <c r="T960" s="66" t="s">
        <v>84</v>
      </c>
      <c r="U960" s="74">
        <v>53</v>
      </c>
      <c r="V960" s="66">
        <v>530303</v>
      </c>
      <c r="W960" s="63" t="str">
        <f>VLOOKUP(Tabla6[[#This Row],[ÍTEM PRESUPUESTARIO]],Tabla2[#All],2,0)</f>
        <v>VIÁTICOS Y SUBSISTENCIAS EN EL INTERIOR</v>
      </c>
      <c r="X960" s="57">
        <v>2500</v>
      </c>
      <c r="Y960" s="57">
        <f>2500+4000-734.56-27.85-2578.91</f>
        <v>3158.6800000000003</v>
      </c>
      <c r="Z960" s="58">
        <v>0</v>
      </c>
      <c r="AA960" s="58">
        <v>0</v>
      </c>
      <c r="AB960" s="58">
        <v>0</v>
      </c>
      <c r="AC960" s="58">
        <v>0</v>
      </c>
      <c r="AD960" s="58">
        <v>0</v>
      </c>
      <c r="AE960" s="58">
        <v>0</v>
      </c>
      <c r="AF960" s="58">
        <v>600</v>
      </c>
      <c r="AG960" s="58">
        <v>600</v>
      </c>
      <c r="AH960" s="58">
        <v>600</v>
      </c>
      <c r="AI960" s="58">
        <v>600</v>
      </c>
      <c r="AJ960" s="58">
        <v>600</v>
      </c>
      <c r="AK960" s="58">
        <f>2500+1000-734.56-27.85-2578.91</f>
        <v>158.68000000000029</v>
      </c>
      <c r="AL960" s="75">
        <f>+SUBTOTAL(9,Tabla6[[#This Row],[ENE]:[DIC]])</f>
        <v>3158.6800000000003</v>
      </c>
      <c r="AM960" s="76" t="str">
        <f t="shared" si="25"/>
        <v>OK</v>
      </c>
      <c r="AN960" s="60">
        <f>2500+500+3000-996.97-1844.35</f>
        <v>3158.68</v>
      </c>
      <c r="AO960" s="61">
        <f>+Tabla6[[#This Row],[PRESUPUESTO VIGENTE]]-Tabla6[[#This Row],[CERTIFICACIÓN PAPP]]</f>
        <v>0</v>
      </c>
      <c r="AP960" s="59">
        <v>0</v>
      </c>
    </row>
    <row r="961" spans="1:42" ht="93" customHeight="1" x14ac:dyDescent="0.25">
      <c r="A961" s="62" t="s">
        <v>78</v>
      </c>
      <c r="B961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961" s="64" t="s">
        <v>79</v>
      </c>
      <c r="D961" s="64" t="s">
        <v>80</v>
      </c>
      <c r="E961" s="64" t="s">
        <v>81</v>
      </c>
      <c r="F961" s="64" t="s">
        <v>110</v>
      </c>
      <c r="G961" s="64" t="s">
        <v>92</v>
      </c>
      <c r="H961" s="65" t="str">
        <f>VLOOKUP(Tabla6[[#This Row],[DIRECCIÓN]],DIRECCIÓN[#All],2,0)</f>
        <v>ADMINISTRACIÓN CENTRAL</v>
      </c>
      <c r="I961" s="66" t="s">
        <v>444</v>
      </c>
      <c r="J961" s="67">
        <v>1</v>
      </c>
      <c r="K961" s="68" t="str">
        <f>VLOOKUP(Tabla6[[#This Row],[DIRECCIÓN GENERAL / COORDINACIÓN / SUBDIRECCIÓN]],Tabla37[[#All],[Columna1]:[EOD]],2,0)</f>
        <v>266_0006</v>
      </c>
      <c r="L961" s="69">
        <f>VLOOKUP(Tabla6[[#This Row],[OBJETIVOS PND]],Listas!$A$1:$C$3,3,0)</f>
        <v>1</v>
      </c>
      <c r="M961" s="70">
        <f>VLOOKUP(Tabla6[[#This Row],[PG]],Listas2!$G$14:$K$16,5,0)</f>
        <v>0</v>
      </c>
      <c r="N961" s="71">
        <v>1</v>
      </c>
      <c r="O961" s="72">
        <v>101</v>
      </c>
      <c r="P961" s="73" t="str">
        <f>VLOOKUP(Tabla6[[#This Row],[GEO]],Listas!$A$48:$B$77,2,0)</f>
        <v>CUENCA</v>
      </c>
      <c r="Q961" s="70">
        <f>VLOOKUP(Tabla6[[#This Row],[PG]],Listas2!$G$14:$K$16,3,0)</f>
        <v>1</v>
      </c>
      <c r="R961" s="73">
        <f>VLOOKUP(Tabla6[[#This Row],[PG]],Listas2!H63:'Listas2'!$G$14:$K$16,4,0)</f>
        <v>0</v>
      </c>
      <c r="S961" s="73">
        <f>VLOOKUP(Tabla6[[#This Row],[PG]],Listas2!$G$14:$K$16,2,0)</f>
        <v>0</v>
      </c>
      <c r="T961" s="66" t="s">
        <v>84</v>
      </c>
      <c r="U961" s="74">
        <v>53</v>
      </c>
      <c r="V961" s="66">
        <v>530402</v>
      </c>
      <c r="W961" s="63" t="str">
        <f>VLOOKUP(Tabla6[[#This Row],[ÍTEM PRESUPUESTARIO]],Tabla2[#All],2,0)</f>
        <v>EDIFICIOS, LOCALES, RESIDENCIAS Y CABLEADO ESTRUCTURADO (INSTALACIÓN, MANTENIMIENTO Y REPARACIÓN)</v>
      </c>
      <c r="X961" s="57">
        <v>0</v>
      </c>
      <c r="Y961" s="57">
        <f>200-52</f>
        <v>148</v>
      </c>
      <c r="Z961" s="58">
        <v>0</v>
      </c>
      <c r="AA961" s="58">
        <v>0</v>
      </c>
      <c r="AB961" s="58">
        <v>100</v>
      </c>
      <c r="AC961" s="58">
        <v>0</v>
      </c>
      <c r="AD961" s="58">
        <v>0</v>
      </c>
      <c r="AE961" s="58">
        <v>0</v>
      </c>
      <c r="AF961" s="58">
        <v>0</v>
      </c>
      <c r="AG961" s="58">
        <v>0</v>
      </c>
      <c r="AH961" s="58">
        <v>0</v>
      </c>
      <c r="AI961" s="58">
        <v>0</v>
      </c>
      <c r="AJ961" s="58">
        <f>100-52</f>
        <v>48</v>
      </c>
      <c r="AK961" s="58">
        <v>0</v>
      </c>
      <c r="AL961" s="75">
        <f>+SUBTOTAL(9,Tabla6[[#This Row],[ENE]:[DIC]])</f>
        <v>148</v>
      </c>
      <c r="AM961" s="76" t="str">
        <f t="shared" si="25"/>
        <v>OK</v>
      </c>
      <c r="AN961" s="60">
        <v>148</v>
      </c>
      <c r="AO961" s="61">
        <f>+Tabla6[[#This Row],[PRESUPUESTO VIGENTE]]-Tabla6[[#This Row],[CERTIFICACIÓN PAPP]]</f>
        <v>0</v>
      </c>
      <c r="AP961" s="59">
        <v>0</v>
      </c>
    </row>
    <row r="962" spans="1:42" ht="93" customHeight="1" x14ac:dyDescent="0.25">
      <c r="A962" s="62" t="s">
        <v>78</v>
      </c>
      <c r="B962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962" s="64" t="s">
        <v>79</v>
      </c>
      <c r="D962" s="64" t="s">
        <v>80</v>
      </c>
      <c r="E962" s="64" t="s">
        <v>81</v>
      </c>
      <c r="F962" s="64" t="s">
        <v>110</v>
      </c>
      <c r="G962" s="64" t="s">
        <v>92</v>
      </c>
      <c r="H962" s="65" t="str">
        <f>VLOOKUP(Tabla6[[#This Row],[DIRECCIÓN]],DIRECCIÓN[#All],2,0)</f>
        <v>ADMINISTRACIÓN CENTRAL</v>
      </c>
      <c r="I962" s="66" t="s">
        <v>445</v>
      </c>
      <c r="J962" s="67">
        <v>1</v>
      </c>
      <c r="K962" s="68" t="str">
        <f>VLOOKUP(Tabla6[[#This Row],[DIRECCIÓN GENERAL / COORDINACIÓN / SUBDIRECCIÓN]],Tabla37[[#All],[Columna1]:[EOD]],2,0)</f>
        <v>266_0006</v>
      </c>
      <c r="L962" s="69">
        <f>VLOOKUP(Tabla6[[#This Row],[OBJETIVOS PND]],Listas!$A$1:$C$3,3,0)</f>
        <v>1</v>
      </c>
      <c r="M962" s="70">
        <f>VLOOKUP(Tabla6[[#This Row],[PG]],Listas2!$G$14:$K$16,5,0)</f>
        <v>0</v>
      </c>
      <c r="N962" s="71">
        <v>1</v>
      </c>
      <c r="O962" s="72">
        <v>101</v>
      </c>
      <c r="P962" s="73" t="str">
        <f>VLOOKUP(Tabla6[[#This Row],[GEO]],Listas!$A$48:$B$77,2,0)</f>
        <v>CUENCA</v>
      </c>
      <c r="Q962" s="70">
        <f>VLOOKUP(Tabla6[[#This Row],[PG]],Listas2!$G$14:$K$16,3,0)</f>
        <v>1</v>
      </c>
      <c r="R962" s="73">
        <f>VLOOKUP(Tabla6[[#This Row],[PG]],Listas2!H64:'Listas2'!$G$14:$K$16,4,0)</f>
        <v>0</v>
      </c>
      <c r="S962" s="73">
        <f>VLOOKUP(Tabla6[[#This Row],[PG]],Listas2!$G$14:$K$16,2,0)</f>
        <v>0</v>
      </c>
      <c r="T962" s="66" t="s">
        <v>84</v>
      </c>
      <c r="U962" s="74">
        <v>53</v>
      </c>
      <c r="V962" s="66">
        <v>530402</v>
      </c>
      <c r="W962" s="63" t="str">
        <f>VLOOKUP(Tabla6[[#This Row],[ÍTEM PRESUPUESTARIO]],Tabla2[#All],2,0)</f>
        <v>EDIFICIOS, LOCALES, RESIDENCIAS Y CABLEADO ESTRUCTURADO (INSTALACIÓN, MANTENIMIENTO Y REPARACIÓN)</v>
      </c>
      <c r="X962" s="57">
        <v>20000</v>
      </c>
      <c r="Y962" s="57">
        <f>20000+16000-7451.27+6000+18500-19945.61-4000-5931.27</f>
        <v>23171.849999999995</v>
      </c>
      <c r="Z962" s="58">
        <v>0</v>
      </c>
      <c r="AA962" s="58">
        <v>0</v>
      </c>
      <c r="AB962" s="58">
        <v>0</v>
      </c>
      <c r="AC962" s="58">
        <v>0</v>
      </c>
      <c r="AD962" s="58">
        <f>44873.73-19945.61-1756.27</f>
        <v>23171.850000000002</v>
      </c>
      <c r="AE962" s="58">
        <v>0</v>
      </c>
      <c r="AF962" s="58">
        <v>0</v>
      </c>
      <c r="AG962" s="58">
        <v>0</v>
      </c>
      <c r="AH962" s="58">
        <v>0</v>
      </c>
      <c r="AI962" s="58">
        <v>0</v>
      </c>
      <c r="AJ962" s="58">
        <f>8175-4000-4175</f>
        <v>0</v>
      </c>
      <c r="AK962" s="58">
        <v>0</v>
      </c>
      <c r="AL962" s="75">
        <f>+SUBTOTAL(9,Tabla6[[#This Row],[ENE]:[DIC]])</f>
        <v>23171.850000000002</v>
      </c>
      <c r="AM962" s="76" t="str">
        <f t="shared" si="25"/>
        <v>OK</v>
      </c>
      <c r="AN962" s="60">
        <f>53000-28500-1328.15</f>
        <v>23171.85</v>
      </c>
      <c r="AO962" s="61">
        <f>+Tabla6[[#This Row],[PRESUPUESTO VIGENTE]]-Tabla6[[#This Row],[CERTIFICACIÓN PAPP]]</f>
        <v>0</v>
      </c>
      <c r="AP962" s="59" t="s">
        <v>87</v>
      </c>
    </row>
    <row r="963" spans="1:42" ht="93" customHeight="1" x14ac:dyDescent="0.25">
      <c r="A963" s="62" t="s">
        <v>78</v>
      </c>
      <c r="B963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963" s="64" t="s">
        <v>79</v>
      </c>
      <c r="D963" s="64" t="s">
        <v>80</v>
      </c>
      <c r="E963" s="64" t="s">
        <v>81</v>
      </c>
      <c r="F963" s="64" t="s">
        <v>110</v>
      </c>
      <c r="G963" s="64" t="s">
        <v>92</v>
      </c>
      <c r="H963" s="65" t="str">
        <f>VLOOKUP(Tabla6[[#This Row],[DIRECCIÓN]],DIRECCIÓN[#All],2,0)</f>
        <v>ADMINISTRACIÓN CENTRAL</v>
      </c>
      <c r="I963" s="66" t="s">
        <v>446</v>
      </c>
      <c r="J963" s="67">
        <v>1</v>
      </c>
      <c r="K963" s="68" t="str">
        <f>VLOOKUP(Tabla6[[#This Row],[DIRECCIÓN GENERAL / COORDINACIÓN / SUBDIRECCIÓN]],Tabla37[[#All],[Columna1]:[EOD]],2,0)</f>
        <v>266_0006</v>
      </c>
      <c r="L963" s="69">
        <f>VLOOKUP(Tabla6[[#This Row],[OBJETIVOS PND]],Listas!$A$1:$C$3,3,0)</f>
        <v>1</v>
      </c>
      <c r="M963" s="70">
        <f>VLOOKUP(Tabla6[[#This Row],[PG]],Listas2!$G$14:$K$16,5,0)</f>
        <v>0</v>
      </c>
      <c r="N963" s="71">
        <v>1</v>
      </c>
      <c r="O963" s="72">
        <v>101</v>
      </c>
      <c r="P963" s="73" t="str">
        <f>VLOOKUP(Tabla6[[#This Row],[GEO]],Listas!$A$48:$B$77,2,0)</f>
        <v>CUENCA</v>
      </c>
      <c r="Q963" s="70">
        <f>VLOOKUP(Tabla6[[#This Row],[PG]],Listas2!$G$14:$K$16,3,0)</f>
        <v>1</v>
      </c>
      <c r="R963" s="73">
        <f>VLOOKUP(Tabla6[[#This Row],[PG]],Listas2!H65:'Listas2'!$G$14:$K$16,4,0)</f>
        <v>0</v>
      </c>
      <c r="S963" s="73">
        <f>VLOOKUP(Tabla6[[#This Row],[PG]],Listas2!$G$14:$K$16,2,0)</f>
        <v>0</v>
      </c>
      <c r="T963" s="66" t="s">
        <v>84</v>
      </c>
      <c r="U963" s="74">
        <v>53</v>
      </c>
      <c r="V963" s="66">
        <v>530402</v>
      </c>
      <c r="W963" s="63" t="str">
        <f>VLOOKUP(Tabla6[[#This Row],[ÍTEM PRESUPUESTARIO]],Tabla2[#All],2,0)</f>
        <v>EDIFICIOS, LOCALES, RESIDENCIAS Y CABLEADO ESTRUCTURADO (INSTALACIÓN, MANTENIMIENTO Y REPARACIÓN)</v>
      </c>
      <c r="X963" s="57">
        <v>3500</v>
      </c>
      <c r="Y963" s="57">
        <f>3500+16106.77+2500+9332.75-17351-89.52+745-745</f>
        <v>13999</v>
      </c>
      <c r="Z963" s="58">
        <v>0</v>
      </c>
      <c r="AA963" s="58">
        <v>0</v>
      </c>
      <c r="AB963" s="58">
        <v>0</v>
      </c>
      <c r="AC963" s="58">
        <v>0</v>
      </c>
      <c r="AD963" s="58">
        <f>20000-17351</f>
        <v>2649</v>
      </c>
      <c r="AE963" s="58">
        <v>0</v>
      </c>
      <c r="AF963" s="58">
        <v>0</v>
      </c>
      <c r="AG963" s="58">
        <f>6739.52-89.52</f>
        <v>6650</v>
      </c>
      <c r="AH963" s="58">
        <v>0</v>
      </c>
      <c r="AI963" s="58">
        <v>0</v>
      </c>
      <c r="AJ963" s="58">
        <v>0</v>
      </c>
      <c r="AK963" s="58">
        <f>4700+745-745</f>
        <v>4700</v>
      </c>
      <c r="AL963" s="75">
        <f>+SUBTOTAL(9,Tabla6[[#This Row],[ENE]:[DIC]])</f>
        <v>13999</v>
      </c>
      <c r="AM963" s="76" t="str">
        <f t="shared" si="25"/>
        <v>OK</v>
      </c>
      <c r="AN963" s="60">
        <f>31350-17351</f>
        <v>13999</v>
      </c>
      <c r="AO963" s="61">
        <f>+Tabla6[[#This Row],[PRESUPUESTO VIGENTE]]-Tabla6[[#This Row],[CERTIFICACIÓN PAPP]]</f>
        <v>0</v>
      </c>
      <c r="AP963" s="59">
        <v>0</v>
      </c>
    </row>
    <row r="964" spans="1:42" ht="93" customHeight="1" x14ac:dyDescent="0.25">
      <c r="A964" s="62" t="s">
        <v>78</v>
      </c>
      <c r="B964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964" s="64" t="s">
        <v>79</v>
      </c>
      <c r="D964" s="64" t="s">
        <v>80</v>
      </c>
      <c r="E964" s="64" t="s">
        <v>81</v>
      </c>
      <c r="F964" s="64" t="s">
        <v>110</v>
      </c>
      <c r="G964" s="64" t="s">
        <v>92</v>
      </c>
      <c r="H964" s="65" t="str">
        <f>VLOOKUP(Tabla6[[#This Row],[DIRECCIÓN]],DIRECCIÓN[#All],2,0)</f>
        <v>ADMINISTRACIÓN CENTRAL</v>
      </c>
      <c r="I964" s="66" t="s">
        <v>447</v>
      </c>
      <c r="J964" s="67">
        <v>1</v>
      </c>
      <c r="K964" s="68" t="str">
        <f>VLOOKUP(Tabla6[[#This Row],[DIRECCIÓN GENERAL / COORDINACIÓN / SUBDIRECCIÓN]],Tabla37[[#All],[Columna1]:[EOD]],2,0)</f>
        <v>266_0006</v>
      </c>
      <c r="L964" s="69">
        <f>VLOOKUP(Tabla6[[#This Row],[OBJETIVOS PND]],Listas!$A$1:$C$3,3,0)</f>
        <v>1</v>
      </c>
      <c r="M964" s="70">
        <f>VLOOKUP(Tabla6[[#This Row],[PG]],Listas2!$G$14:$K$16,5,0)</f>
        <v>0</v>
      </c>
      <c r="N964" s="71">
        <v>1</v>
      </c>
      <c r="O964" s="72">
        <v>101</v>
      </c>
      <c r="P964" s="73" t="str">
        <f>VLOOKUP(Tabla6[[#This Row],[GEO]],Listas!$A$48:$B$77,2,0)</f>
        <v>CUENCA</v>
      </c>
      <c r="Q964" s="70">
        <f>VLOOKUP(Tabla6[[#This Row],[PG]],Listas2!$G$14:$K$16,3,0)</f>
        <v>1</v>
      </c>
      <c r="R964" s="73">
        <f>VLOOKUP(Tabla6[[#This Row],[PG]],Listas2!H66:'Listas2'!$G$14:$K$16,4,0)</f>
        <v>0</v>
      </c>
      <c r="S964" s="73">
        <f>VLOOKUP(Tabla6[[#This Row],[PG]],Listas2!$G$14:$K$16,2,0)</f>
        <v>0</v>
      </c>
      <c r="T964" s="66" t="s">
        <v>84</v>
      </c>
      <c r="U964" s="74">
        <v>53</v>
      </c>
      <c r="V964" s="66">
        <v>530402</v>
      </c>
      <c r="W964" s="63" t="str">
        <f>VLOOKUP(Tabla6[[#This Row],[ÍTEM PRESUPUESTARIO]],Tabla2[#All],2,0)</f>
        <v>EDIFICIOS, LOCALES, RESIDENCIAS Y CABLEADO ESTRUCTURADO (INSTALACIÓN, MANTENIMIENTO Y REPARACIÓN)</v>
      </c>
      <c r="X964" s="57">
        <v>2000</v>
      </c>
      <c r="Y964" s="57">
        <f>2000+16800+500+2924-88.13</f>
        <v>22135.87</v>
      </c>
      <c r="Z964" s="58">
        <v>0</v>
      </c>
      <c r="AA964" s="58">
        <v>0</v>
      </c>
      <c r="AB964" s="58">
        <v>0</v>
      </c>
      <c r="AC964" s="58">
        <v>0</v>
      </c>
      <c r="AD964" s="58">
        <v>0</v>
      </c>
      <c r="AE964" s="58">
        <f>19300+2924-88.13</f>
        <v>22135.87</v>
      </c>
      <c r="AF964" s="58">
        <v>0</v>
      </c>
      <c r="AG964" s="58">
        <v>0</v>
      </c>
      <c r="AH964" s="58">
        <v>0</v>
      </c>
      <c r="AI964" s="58">
        <v>0</v>
      </c>
      <c r="AJ964" s="58">
        <v>0</v>
      </c>
      <c r="AK964" s="58">
        <v>0</v>
      </c>
      <c r="AL964" s="75">
        <f>+SUBTOTAL(9,Tabla6[[#This Row],[ENE]:[DIC]])</f>
        <v>22135.87</v>
      </c>
      <c r="AM964" s="76" t="str">
        <f t="shared" si="25"/>
        <v>OK</v>
      </c>
      <c r="AN964" s="60">
        <v>22135.87</v>
      </c>
      <c r="AO964" s="61">
        <f>+Tabla6[[#This Row],[PRESUPUESTO VIGENTE]]-Tabla6[[#This Row],[CERTIFICACIÓN PAPP]]</f>
        <v>0</v>
      </c>
      <c r="AP964" s="59">
        <v>0</v>
      </c>
    </row>
    <row r="965" spans="1:42" ht="93" customHeight="1" x14ac:dyDescent="0.25">
      <c r="A965" s="62" t="s">
        <v>78</v>
      </c>
      <c r="B965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965" s="64" t="s">
        <v>79</v>
      </c>
      <c r="D965" s="64" t="s">
        <v>80</v>
      </c>
      <c r="E965" s="64" t="s">
        <v>81</v>
      </c>
      <c r="F965" s="64" t="s">
        <v>110</v>
      </c>
      <c r="G965" s="64" t="s">
        <v>92</v>
      </c>
      <c r="H965" s="65" t="str">
        <f>VLOOKUP(Tabla6[[#This Row],[DIRECCIÓN]],DIRECCIÓN[#All],2,0)</f>
        <v>ADMINISTRACIÓN CENTRAL</v>
      </c>
      <c r="I965" s="66" t="s">
        <v>448</v>
      </c>
      <c r="J965" s="67">
        <v>1</v>
      </c>
      <c r="K965" s="68" t="str">
        <f>VLOOKUP(Tabla6[[#This Row],[DIRECCIÓN GENERAL / COORDINACIÓN / SUBDIRECCIÓN]],Tabla37[[#All],[Columna1]:[EOD]],2,0)</f>
        <v>266_0006</v>
      </c>
      <c r="L965" s="69">
        <f>VLOOKUP(Tabla6[[#This Row],[OBJETIVOS PND]],Listas!$A$1:$C$3,3,0)</f>
        <v>1</v>
      </c>
      <c r="M965" s="70">
        <f>VLOOKUP(Tabla6[[#This Row],[PG]],Listas2!$G$14:$K$16,5,0)</f>
        <v>0</v>
      </c>
      <c r="N965" s="71">
        <v>1</v>
      </c>
      <c r="O965" s="72">
        <v>101</v>
      </c>
      <c r="P965" s="73" t="str">
        <f>VLOOKUP(Tabla6[[#This Row],[GEO]],Listas!$A$48:$B$77,2,0)</f>
        <v>CUENCA</v>
      </c>
      <c r="Q965" s="70">
        <f>VLOOKUP(Tabla6[[#This Row],[PG]],Listas2!$G$14:$K$16,3,0)</f>
        <v>1</v>
      </c>
      <c r="R965" s="73">
        <f>VLOOKUP(Tabla6[[#This Row],[PG]],Listas2!H67:'Listas2'!$G$14:$K$16,4,0)</f>
        <v>0</v>
      </c>
      <c r="S965" s="73">
        <f>VLOOKUP(Tabla6[[#This Row],[PG]],Listas2!$G$14:$K$16,2,0)</f>
        <v>0</v>
      </c>
      <c r="T965" s="66" t="s">
        <v>84</v>
      </c>
      <c r="U965" s="74">
        <v>53</v>
      </c>
      <c r="V965" s="66">
        <v>530402</v>
      </c>
      <c r="W965" s="63" t="str">
        <f>VLOOKUP(Tabla6[[#This Row],[ÍTEM PRESUPUESTARIO]],Tabla2[#All],2,0)</f>
        <v>EDIFICIOS, LOCALES, RESIDENCIAS Y CABLEADO ESTRUCTURADO (INSTALACIÓN, MANTENIMIENTO Y REPARACIÓN)</v>
      </c>
      <c r="X965" s="57">
        <v>8659</v>
      </c>
      <c r="Y965" s="57">
        <f>8659+6341+10000-7945.62-49.38</f>
        <v>17005</v>
      </c>
      <c r="Z965" s="58">
        <v>0</v>
      </c>
      <c r="AA965" s="58">
        <v>0</v>
      </c>
      <c r="AB965" s="58">
        <v>0</v>
      </c>
      <c r="AC965" s="58">
        <v>0</v>
      </c>
      <c r="AD965" s="58">
        <v>0</v>
      </c>
      <c r="AE965" s="58">
        <f>15000+10000-7945.62-49.38</f>
        <v>17005</v>
      </c>
      <c r="AF965" s="58">
        <v>0</v>
      </c>
      <c r="AG965" s="58">
        <v>0</v>
      </c>
      <c r="AH965" s="58">
        <v>0</v>
      </c>
      <c r="AI965" s="58">
        <v>0</v>
      </c>
      <c r="AJ965" s="58">
        <v>0</v>
      </c>
      <c r="AK965" s="58">
        <v>0</v>
      </c>
      <c r="AL965" s="75">
        <f>+SUBTOTAL(9,Tabla6[[#This Row],[ENE]:[DIC]])</f>
        <v>17005</v>
      </c>
      <c r="AM965" s="76" t="str">
        <f t="shared" si="25"/>
        <v>OK</v>
      </c>
      <c r="AN965" s="60">
        <f>24950.62-7945.62</f>
        <v>17005</v>
      </c>
      <c r="AO965" s="61">
        <f>+Tabla6[[#This Row],[PRESUPUESTO VIGENTE]]-Tabla6[[#This Row],[CERTIFICACIÓN PAPP]]</f>
        <v>0</v>
      </c>
      <c r="AP965" s="59">
        <v>0</v>
      </c>
    </row>
    <row r="966" spans="1:42" ht="93" customHeight="1" x14ac:dyDescent="0.25">
      <c r="A966" s="62" t="s">
        <v>78</v>
      </c>
      <c r="B966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966" s="64" t="s">
        <v>79</v>
      </c>
      <c r="D966" s="64" t="s">
        <v>80</v>
      </c>
      <c r="E966" s="64" t="s">
        <v>81</v>
      </c>
      <c r="F966" s="64" t="s">
        <v>110</v>
      </c>
      <c r="G966" s="64" t="s">
        <v>92</v>
      </c>
      <c r="H966" s="65" t="str">
        <f>VLOOKUP(Tabla6[[#This Row],[DIRECCIÓN]],DIRECCIÓN[#All],2,0)</f>
        <v>ADMINISTRACIÓN CENTRAL</v>
      </c>
      <c r="I966" s="66" t="s">
        <v>449</v>
      </c>
      <c r="J966" s="67">
        <v>1</v>
      </c>
      <c r="K966" s="68" t="str">
        <f>VLOOKUP(Tabla6[[#This Row],[DIRECCIÓN GENERAL / COORDINACIÓN / SUBDIRECCIÓN]],Tabla37[[#All],[Columna1]:[EOD]],2,0)</f>
        <v>266_0006</v>
      </c>
      <c r="L966" s="69">
        <f>VLOOKUP(Tabla6[[#This Row],[OBJETIVOS PND]],Listas!$A$1:$C$3,3,0)</f>
        <v>1</v>
      </c>
      <c r="M966" s="70">
        <f>VLOOKUP(Tabla6[[#This Row],[PG]],Listas2!$G$14:$K$16,5,0)</f>
        <v>0</v>
      </c>
      <c r="N966" s="71">
        <v>1</v>
      </c>
      <c r="O966" s="72">
        <v>101</v>
      </c>
      <c r="P966" s="73" t="str">
        <f>VLOOKUP(Tabla6[[#This Row],[GEO]],Listas!$A$48:$B$77,2,0)</f>
        <v>CUENCA</v>
      </c>
      <c r="Q966" s="70">
        <f>VLOOKUP(Tabla6[[#This Row],[PG]],Listas2!$G$14:$K$16,3,0)</f>
        <v>1</v>
      </c>
      <c r="R966" s="73">
        <f>VLOOKUP(Tabla6[[#This Row],[PG]],Listas2!H68:'Listas2'!$G$14:$K$16,4,0)</f>
        <v>0</v>
      </c>
      <c r="S966" s="73">
        <f>VLOOKUP(Tabla6[[#This Row],[PG]],Listas2!$G$14:$K$16,2,0)</f>
        <v>0</v>
      </c>
      <c r="T966" s="66" t="s">
        <v>84</v>
      </c>
      <c r="U966" s="74">
        <v>53</v>
      </c>
      <c r="V966" s="66">
        <v>530402</v>
      </c>
      <c r="W966" s="63" t="str">
        <f>VLOOKUP(Tabla6[[#This Row],[ÍTEM PRESUPUESTARIO]],Tabla2[#All],2,0)</f>
        <v>EDIFICIOS, LOCALES, RESIDENCIAS Y CABLEADO ESTRUCTURADO (INSTALACIÓN, MANTENIMIENTO Y REPARACIÓN)</v>
      </c>
      <c r="X966" s="57">
        <v>3050</v>
      </c>
      <c r="Y966" s="57">
        <f>3050+2237.4-474.68+0.01</f>
        <v>4812.7299999999996</v>
      </c>
      <c r="Z966" s="58">
        <v>0</v>
      </c>
      <c r="AA966" s="58">
        <v>802.12</v>
      </c>
      <c r="AB966" s="58">
        <v>401.06</v>
      </c>
      <c r="AC966" s="58">
        <v>401.06</v>
      </c>
      <c r="AD966" s="58">
        <v>401.06</v>
      </c>
      <c r="AE966" s="58">
        <v>401.06</v>
      </c>
      <c r="AF966" s="58">
        <v>401.06</v>
      </c>
      <c r="AG966" s="58">
        <v>401.06</v>
      </c>
      <c r="AH966" s="58">
        <v>401.06</v>
      </c>
      <c r="AI966" s="58">
        <v>401.06</v>
      </c>
      <c r="AJ966" s="58">
        <v>401.06</v>
      </c>
      <c r="AK966" s="58">
        <f>401.06+0.01</f>
        <v>401.07</v>
      </c>
      <c r="AL966" s="75">
        <f>+SUBTOTAL(9,Tabla6[[#This Row],[ENE]:[DIC]])</f>
        <v>4812.7299999999996</v>
      </c>
      <c r="AM966" s="76" t="str">
        <f t="shared" si="25"/>
        <v>OK</v>
      </c>
      <c r="AN966" s="60">
        <f>4812.72+0.01</f>
        <v>4812.7300000000005</v>
      </c>
      <c r="AO966" s="61">
        <f>+Tabla6[[#This Row],[PRESUPUESTO VIGENTE]]-Tabla6[[#This Row],[CERTIFICACIÓN PAPP]]</f>
        <v>0</v>
      </c>
      <c r="AP966" s="59">
        <v>0</v>
      </c>
    </row>
    <row r="967" spans="1:42" ht="93" customHeight="1" x14ac:dyDescent="0.25">
      <c r="A967" s="62" t="s">
        <v>78</v>
      </c>
      <c r="B967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967" s="64" t="s">
        <v>79</v>
      </c>
      <c r="D967" s="64" t="s">
        <v>80</v>
      </c>
      <c r="E967" s="64" t="s">
        <v>81</v>
      </c>
      <c r="F967" s="64" t="s">
        <v>110</v>
      </c>
      <c r="G967" s="64" t="s">
        <v>92</v>
      </c>
      <c r="H967" s="65" t="str">
        <f>VLOOKUP(Tabla6[[#This Row],[DIRECCIÓN]],DIRECCIÓN[#All],2,0)</f>
        <v>ADMINISTRACIÓN CENTRAL</v>
      </c>
      <c r="I967" s="66" t="s">
        <v>450</v>
      </c>
      <c r="J967" s="67">
        <v>1</v>
      </c>
      <c r="K967" s="68" t="str">
        <f>VLOOKUP(Tabla6[[#This Row],[DIRECCIÓN GENERAL / COORDINACIÓN / SUBDIRECCIÓN]],Tabla37[[#All],[Columna1]:[EOD]],2,0)</f>
        <v>266_0006</v>
      </c>
      <c r="L967" s="69">
        <f>VLOOKUP(Tabla6[[#This Row],[OBJETIVOS PND]],Listas!$A$1:$C$3,3,0)</f>
        <v>1</v>
      </c>
      <c r="M967" s="70">
        <f>VLOOKUP(Tabla6[[#This Row],[PG]],Listas2!$G$14:$K$16,5,0)</f>
        <v>0</v>
      </c>
      <c r="N967" s="71">
        <v>1</v>
      </c>
      <c r="O967" s="72">
        <v>101</v>
      </c>
      <c r="P967" s="73" t="str">
        <f>VLOOKUP(Tabla6[[#This Row],[GEO]],Listas!$A$48:$B$77,2,0)</f>
        <v>CUENCA</v>
      </c>
      <c r="Q967" s="70">
        <f>VLOOKUP(Tabla6[[#This Row],[PG]],Listas2!$G$14:$K$16,3,0)</f>
        <v>1</v>
      </c>
      <c r="R967" s="73">
        <f>VLOOKUP(Tabla6[[#This Row],[PG]],Listas2!H69:'Listas2'!$G$14:$K$16,4,0)</f>
        <v>0</v>
      </c>
      <c r="S967" s="73">
        <f>VLOOKUP(Tabla6[[#This Row],[PG]],Listas2!$G$14:$K$16,2,0)</f>
        <v>0</v>
      </c>
      <c r="T967" s="66" t="s">
        <v>84</v>
      </c>
      <c r="U967" s="74">
        <v>53</v>
      </c>
      <c r="V967" s="66">
        <v>530403</v>
      </c>
      <c r="W967" s="63" t="str">
        <f>VLOOKUP(Tabla6[[#This Row],[ÍTEM PRESUPUESTARIO]],Tabla2[#All],2,0)</f>
        <v>MOBILIARIOS (INSTALACIÓN, MANTENIMIENTO Y REPARACIÓN)</v>
      </c>
      <c r="X967" s="57">
        <v>0</v>
      </c>
      <c r="Y967" s="57">
        <f>4027.41+1000-5027.41</f>
        <v>0</v>
      </c>
      <c r="Z967" s="58">
        <v>0</v>
      </c>
      <c r="AA967" s="58">
        <v>0</v>
      </c>
      <c r="AB967" s="58">
        <v>0</v>
      </c>
      <c r="AC967" s="58">
        <v>0</v>
      </c>
      <c r="AD967" s="58">
        <v>0</v>
      </c>
      <c r="AE967" s="58">
        <v>0</v>
      </c>
      <c r="AF967" s="58">
        <v>0</v>
      </c>
      <c r="AG967" s="58">
        <v>0</v>
      </c>
      <c r="AH967" s="58">
        <v>0</v>
      </c>
      <c r="AI967" s="58">
        <v>0</v>
      </c>
      <c r="AJ967" s="58">
        <f>4027.41+1000-5027.41</f>
        <v>0</v>
      </c>
      <c r="AK967" s="58">
        <v>0</v>
      </c>
      <c r="AL967" s="75">
        <f>+SUBTOTAL(9,Tabla6[[#This Row],[ENE]:[DIC]])</f>
        <v>0</v>
      </c>
      <c r="AM967" s="76" t="str">
        <f t="shared" si="25"/>
        <v>OK</v>
      </c>
      <c r="AN967" s="60">
        <v>0</v>
      </c>
      <c r="AO967" s="61">
        <f>+Tabla6[[#This Row],[PRESUPUESTO VIGENTE]]-Tabla6[[#This Row],[CERTIFICACIÓN PAPP]]</f>
        <v>0</v>
      </c>
      <c r="AP967" s="59">
        <v>0</v>
      </c>
    </row>
    <row r="968" spans="1:42" ht="93" customHeight="1" x14ac:dyDescent="0.25">
      <c r="A968" s="62" t="s">
        <v>78</v>
      </c>
      <c r="B968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968" s="64" t="s">
        <v>79</v>
      </c>
      <c r="D968" s="64" t="s">
        <v>80</v>
      </c>
      <c r="E968" s="64" t="s">
        <v>81</v>
      </c>
      <c r="F968" s="64" t="s">
        <v>110</v>
      </c>
      <c r="G968" s="64" t="s">
        <v>92</v>
      </c>
      <c r="H968" s="65" t="str">
        <f>VLOOKUP(Tabla6[[#This Row],[DIRECCIÓN]],DIRECCIÓN[#All],2,0)</f>
        <v>ADMINISTRACIÓN CENTRAL</v>
      </c>
      <c r="I968" s="66" t="s">
        <v>444</v>
      </c>
      <c r="J968" s="67">
        <v>1</v>
      </c>
      <c r="K968" s="68" t="str">
        <f>VLOOKUP(Tabla6[[#This Row],[DIRECCIÓN GENERAL / COORDINACIÓN / SUBDIRECCIÓN]],Tabla37[[#All],[Columna1]:[EOD]],2,0)</f>
        <v>266_0006</v>
      </c>
      <c r="L968" s="69">
        <f>VLOOKUP(Tabla6[[#This Row],[OBJETIVOS PND]],Listas!$A$1:$C$3,3,0)</f>
        <v>1</v>
      </c>
      <c r="M968" s="70">
        <f>VLOOKUP(Tabla6[[#This Row],[PG]],Listas2!$G$14:$K$16,5,0)</f>
        <v>0</v>
      </c>
      <c r="N968" s="71">
        <v>1</v>
      </c>
      <c r="O968" s="72">
        <v>101</v>
      </c>
      <c r="P968" s="73" t="str">
        <f>VLOOKUP(Tabla6[[#This Row],[GEO]],Listas!$A$48:$B$77,2,0)</f>
        <v>CUENCA</v>
      </c>
      <c r="Q968" s="70">
        <f>VLOOKUP(Tabla6[[#This Row],[PG]],Listas2!$G$14:$K$16,3,0)</f>
        <v>1</v>
      </c>
      <c r="R968" s="73">
        <f>VLOOKUP(Tabla6[[#This Row],[PG]],Listas2!H70:'Listas2'!$G$14:$K$16,4,0)</f>
        <v>0</v>
      </c>
      <c r="S968" s="73">
        <f>VLOOKUP(Tabla6[[#This Row],[PG]],Listas2!$G$14:$K$16,2,0)</f>
        <v>0</v>
      </c>
      <c r="T968" s="66" t="s">
        <v>84</v>
      </c>
      <c r="U968" s="74">
        <v>53</v>
      </c>
      <c r="V968" s="66">
        <v>530405</v>
      </c>
      <c r="W968" s="63" t="str">
        <f>VLOOKUP(Tabla6[[#This Row],[ÍTEM PRESUPUESTARIO]],Tabla2[#All],2,0)</f>
        <v>VEHÍCULOS (SERVICIO PARA MANTENIMIENTO Y REPARACIÓN)</v>
      </c>
      <c r="X968" s="57">
        <v>0</v>
      </c>
      <c r="Y968" s="57">
        <f>200-60</f>
        <v>140</v>
      </c>
      <c r="Z968" s="58">
        <v>0</v>
      </c>
      <c r="AA968" s="58">
        <v>0</v>
      </c>
      <c r="AB968" s="58">
        <f>100</f>
        <v>100</v>
      </c>
      <c r="AC968" s="58">
        <v>0</v>
      </c>
      <c r="AD968" s="58">
        <v>0</v>
      </c>
      <c r="AE968" s="58">
        <v>0</v>
      </c>
      <c r="AF968" s="58">
        <v>0</v>
      </c>
      <c r="AG968" s="58">
        <v>0</v>
      </c>
      <c r="AH968" s="58">
        <v>0</v>
      </c>
      <c r="AI968" s="58">
        <v>0</v>
      </c>
      <c r="AJ968" s="58">
        <f>100-60</f>
        <v>40</v>
      </c>
      <c r="AK968" s="58">
        <v>0</v>
      </c>
      <c r="AL968" s="75">
        <f>+SUBTOTAL(9,Tabla6[[#This Row],[ENE]:[DIC]])</f>
        <v>140</v>
      </c>
      <c r="AM968" s="76" t="str">
        <f t="shared" si="25"/>
        <v>OK</v>
      </c>
      <c r="AN968" s="60">
        <f>80+60</f>
        <v>140</v>
      </c>
      <c r="AO968" s="61">
        <f>+Tabla6[[#This Row],[PRESUPUESTO VIGENTE]]-Tabla6[[#This Row],[CERTIFICACIÓN PAPP]]</f>
        <v>0</v>
      </c>
      <c r="AP968" s="59">
        <v>0</v>
      </c>
    </row>
    <row r="969" spans="1:42" ht="93" customHeight="1" x14ac:dyDescent="0.25">
      <c r="A969" s="62" t="s">
        <v>78</v>
      </c>
      <c r="B969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969" s="64" t="s">
        <v>79</v>
      </c>
      <c r="D969" s="64" t="s">
        <v>80</v>
      </c>
      <c r="E969" s="64" t="s">
        <v>81</v>
      </c>
      <c r="F969" s="64" t="s">
        <v>110</v>
      </c>
      <c r="G969" s="64" t="s">
        <v>92</v>
      </c>
      <c r="H969" s="65" t="str">
        <f>VLOOKUP(Tabla6[[#This Row],[DIRECCIÓN]],DIRECCIÓN[#All],2,0)</f>
        <v>ADMINISTRACIÓN CENTRAL</v>
      </c>
      <c r="I969" s="66" t="s">
        <v>451</v>
      </c>
      <c r="J969" s="67">
        <v>1</v>
      </c>
      <c r="K969" s="68" t="str">
        <f>VLOOKUP(Tabla6[[#This Row],[DIRECCIÓN GENERAL / COORDINACIÓN / SUBDIRECCIÓN]],Tabla37[[#All],[Columna1]:[EOD]],2,0)</f>
        <v>266_0006</v>
      </c>
      <c r="L969" s="69">
        <f>VLOOKUP(Tabla6[[#This Row],[OBJETIVOS PND]],Listas!$A$1:$C$3,3,0)</f>
        <v>1</v>
      </c>
      <c r="M969" s="70">
        <f>VLOOKUP(Tabla6[[#This Row],[PG]],Listas2!$G$14:$K$16,5,0)</f>
        <v>0</v>
      </c>
      <c r="N969" s="71">
        <v>1</v>
      </c>
      <c r="O969" s="72">
        <v>101</v>
      </c>
      <c r="P969" s="73" t="str">
        <f>VLOOKUP(Tabla6[[#This Row],[GEO]],Listas!$A$48:$B$77,2,0)</f>
        <v>CUENCA</v>
      </c>
      <c r="Q969" s="70">
        <f>VLOOKUP(Tabla6[[#This Row],[PG]],Listas2!$G$14:$K$16,3,0)</f>
        <v>1</v>
      </c>
      <c r="R969" s="73">
        <f>VLOOKUP(Tabla6[[#This Row],[PG]],Listas2!H71:'Listas2'!$G$14:$K$16,4,0)</f>
        <v>0</v>
      </c>
      <c r="S969" s="73">
        <f>VLOOKUP(Tabla6[[#This Row],[PG]],Listas2!$G$14:$K$16,2,0)</f>
        <v>0</v>
      </c>
      <c r="T969" s="66" t="s">
        <v>84</v>
      </c>
      <c r="U969" s="74">
        <v>53</v>
      </c>
      <c r="V969" s="66">
        <v>530405</v>
      </c>
      <c r="W969" s="63" t="str">
        <f>VLOOKUP(Tabla6[[#This Row],[ÍTEM PRESUPUESTARIO]],Tabla2[#All],2,0)</f>
        <v>VEHÍCULOS (SERVICIO PARA MANTENIMIENTO Y REPARACIÓN)</v>
      </c>
      <c r="X969" s="57">
        <v>2000</v>
      </c>
      <c r="Y969" s="57">
        <f>2000+4000-524.85+0.01-960.93</f>
        <v>4514.2299999999996</v>
      </c>
      <c r="Z969" s="58">
        <v>0</v>
      </c>
      <c r="AA969" s="58">
        <v>0</v>
      </c>
      <c r="AB969" s="58">
        <f>2000-800.93+0.16</f>
        <v>1199.2300000000002</v>
      </c>
      <c r="AC969" s="58">
        <v>0</v>
      </c>
      <c r="AD969" s="58">
        <v>0</v>
      </c>
      <c r="AE969" s="58">
        <f>2000-262.43-100.16-60</f>
        <v>1577.4099999999999</v>
      </c>
      <c r="AF969" s="58">
        <v>0</v>
      </c>
      <c r="AG969" s="58">
        <v>0</v>
      </c>
      <c r="AH969" s="58">
        <v>0</v>
      </c>
      <c r="AI969" s="58">
        <v>0</v>
      </c>
      <c r="AJ969" s="58">
        <v>0</v>
      </c>
      <c r="AK969" s="58">
        <f>2000-262.42+0.01</f>
        <v>1737.59</v>
      </c>
      <c r="AL969" s="75">
        <f>+SUBTOTAL(9,Tabla6[[#This Row],[ENE]:[DIC]])</f>
        <v>4514.2300000000005</v>
      </c>
      <c r="AM969" s="76" t="str">
        <f t="shared" si="25"/>
        <v>OK</v>
      </c>
      <c r="AN969" s="60">
        <f>5475.15-900.92+800.77-860.77</f>
        <v>4514.2299999999996</v>
      </c>
      <c r="AO969" s="61">
        <f>+Tabla6[[#This Row],[PRESUPUESTO VIGENTE]]-Tabla6[[#This Row],[CERTIFICACIÓN PAPP]]</f>
        <v>0</v>
      </c>
      <c r="AP969" s="59" t="s">
        <v>87</v>
      </c>
    </row>
    <row r="970" spans="1:42" ht="93" customHeight="1" x14ac:dyDescent="0.25">
      <c r="A970" s="62" t="s">
        <v>78</v>
      </c>
      <c r="B970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970" s="64" t="s">
        <v>79</v>
      </c>
      <c r="D970" s="64" t="s">
        <v>80</v>
      </c>
      <c r="E970" s="64" t="s">
        <v>81</v>
      </c>
      <c r="F970" s="64" t="s">
        <v>110</v>
      </c>
      <c r="G970" s="64" t="s">
        <v>92</v>
      </c>
      <c r="H970" s="65" t="str">
        <f>VLOOKUP(Tabla6[[#This Row],[DIRECCIÓN]],DIRECCIÓN[#All],2,0)</f>
        <v>ADMINISTRACIÓN CENTRAL</v>
      </c>
      <c r="I970" s="66" t="s">
        <v>452</v>
      </c>
      <c r="J970" s="67">
        <v>1</v>
      </c>
      <c r="K970" s="68" t="str">
        <f>VLOOKUP(Tabla6[[#This Row],[DIRECCIÓN GENERAL / COORDINACIÓN / SUBDIRECCIÓN]],Tabla37[[#All],[Columna1]:[EOD]],2,0)</f>
        <v>266_0006</v>
      </c>
      <c r="L970" s="69">
        <f>VLOOKUP(Tabla6[[#This Row],[OBJETIVOS PND]],Listas!$A$1:$C$3,3,0)</f>
        <v>1</v>
      </c>
      <c r="M970" s="70">
        <f>VLOOKUP(Tabla6[[#This Row],[PG]],Listas2!$G$14:$K$16,5,0)</f>
        <v>0</v>
      </c>
      <c r="N970" s="71">
        <v>1</v>
      </c>
      <c r="O970" s="72">
        <v>101</v>
      </c>
      <c r="P970" s="73" t="str">
        <f>VLOOKUP(Tabla6[[#This Row],[GEO]],Listas!$A$48:$B$77,2,0)</f>
        <v>CUENCA</v>
      </c>
      <c r="Q970" s="70">
        <f>VLOOKUP(Tabla6[[#This Row],[PG]],Listas2!$G$14:$K$16,3,0)</f>
        <v>1</v>
      </c>
      <c r="R970" s="73">
        <f>VLOOKUP(Tabla6[[#This Row],[PG]],Listas2!H72:'Listas2'!$G$14:$K$16,4,0)</f>
        <v>0</v>
      </c>
      <c r="S970" s="73">
        <f>VLOOKUP(Tabla6[[#This Row],[PG]],Listas2!$G$14:$K$16,2,0)</f>
        <v>0</v>
      </c>
      <c r="T970" s="66" t="s">
        <v>84</v>
      </c>
      <c r="U970" s="74">
        <v>53</v>
      </c>
      <c r="V970" s="66">
        <v>530802</v>
      </c>
      <c r="W970" s="63" t="str">
        <f>VLOOKUP(Tabla6[[#This Row],[ÍTEM PRESUPUESTARIO]],Tabla2[#All],2,0)</f>
        <v>VESTUARIO, LENCERÍA, PRENDAS DE PROTECCIÓN Y ACCESORIOS PARA UNIFORMES DEL PERSONAL DE PROTECCIÓN, VIGILANCIA Y SEGURIDAD</v>
      </c>
      <c r="X970" s="57">
        <v>924</v>
      </c>
      <c r="Y970" s="57">
        <f>924-924</f>
        <v>0</v>
      </c>
      <c r="Z970" s="58">
        <v>0</v>
      </c>
      <c r="AA970" s="58">
        <f>924-924</f>
        <v>0</v>
      </c>
      <c r="AB970" s="58">
        <v>0</v>
      </c>
      <c r="AC970" s="58">
        <v>0</v>
      </c>
      <c r="AD970" s="58">
        <v>0</v>
      </c>
      <c r="AE970" s="58">
        <v>0</v>
      </c>
      <c r="AF970" s="58">
        <v>0</v>
      </c>
      <c r="AG970" s="58">
        <v>0</v>
      </c>
      <c r="AH970" s="58">
        <v>0</v>
      </c>
      <c r="AI970" s="58">
        <v>0</v>
      </c>
      <c r="AJ970" s="58">
        <v>0</v>
      </c>
      <c r="AK970" s="58">
        <v>0</v>
      </c>
      <c r="AL970" s="75">
        <f>+SUBTOTAL(9,Tabla6[[#This Row],[ENE]:[DIC]])</f>
        <v>0</v>
      </c>
      <c r="AM970" s="76" t="str">
        <f t="shared" si="25"/>
        <v>OK</v>
      </c>
      <c r="AN970" s="60">
        <v>0</v>
      </c>
      <c r="AO970" s="61">
        <f>+Tabla6[[#This Row],[PRESUPUESTO VIGENTE]]-Tabla6[[#This Row],[CERTIFICACIÓN PAPP]]</f>
        <v>0</v>
      </c>
      <c r="AP970" s="59">
        <v>0</v>
      </c>
    </row>
    <row r="971" spans="1:42" ht="93" customHeight="1" x14ac:dyDescent="0.25">
      <c r="A971" s="62" t="s">
        <v>78</v>
      </c>
      <c r="B971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971" s="64" t="s">
        <v>79</v>
      </c>
      <c r="D971" s="64" t="s">
        <v>80</v>
      </c>
      <c r="E971" s="64" t="s">
        <v>81</v>
      </c>
      <c r="F971" s="64" t="s">
        <v>110</v>
      </c>
      <c r="G971" s="64" t="s">
        <v>92</v>
      </c>
      <c r="H971" s="65" t="str">
        <f>VLOOKUP(Tabla6[[#This Row],[DIRECCIÓN]],DIRECCIÓN[#All],2,0)</f>
        <v>ADMINISTRACIÓN CENTRAL</v>
      </c>
      <c r="I971" s="66" t="s">
        <v>453</v>
      </c>
      <c r="J971" s="67">
        <v>1</v>
      </c>
      <c r="K971" s="68" t="str">
        <f>VLOOKUP(Tabla6[[#This Row],[DIRECCIÓN GENERAL / COORDINACIÓN / SUBDIRECCIÓN]],Tabla37[[#All],[Columna1]:[EOD]],2,0)</f>
        <v>266_0006</v>
      </c>
      <c r="L971" s="69">
        <f>VLOOKUP(Tabla6[[#This Row],[OBJETIVOS PND]],Listas!$A$1:$C$3,3,0)</f>
        <v>1</v>
      </c>
      <c r="M971" s="70">
        <f>VLOOKUP(Tabla6[[#This Row],[PG]],Listas2!$G$14:$K$16,5,0)</f>
        <v>0</v>
      </c>
      <c r="N971" s="71">
        <v>1</v>
      </c>
      <c r="O971" s="72">
        <v>101</v>
      </c>
      <c r="P971" s="73" t="str">
        <f>VLOOKUP(Tabla6[[#This Row],[GEO]],Listas!$A$48:$B$77,2,0)</f>
        <v>CUENCA</v>
      </c>
      <c r="Q971" s="70">
        <f>VLOOKUP(Tabla6[[#This Row],[PG]],Listas2!$G$14:$K$16,3,0)</f>
        <v>1</v>
      </c>
      <c r="R971" s="73">
        <f>VLOOKUP(Tabla6[[#This Row],[PG]],Listas2!H73:'Listas2'!$G$14:$K$16,4,0)</f>
        <v>0</v>
      </c>
      <c r="S971" s="73">
        <f>VLOOKUP(Tabla6[[#This Row],[PG]],Listas2!$G$14:$K$16,2,0)</f>
        <v>0</v>
      </c>
      <c r="T971" s="66" t="s">
        <v>84</v>
      </c>
      <c r="U971" s="74">
        <v>53</v>
      </c>
      <c r="V971" s="66">
        <v>530802</v>
      </c>
      <c r="W971" s="63" t="str">
        <f>VLOOKUP(Tabla6[[#This Row],[ÍTEM PRESUPUESTARIO]],Tabla2[#All],2,0)</f>
        <v>VESTUARIO, LENCERÍA, PRENDAS DE PROTECCIÓN Y ACCESORIOS PARA UNIFORMES DEL PERSONAL DE PROTECCIÓN, VIGILANCIA Y SEGURIDAD</v>
      </c>
      <c r="X971" s="57">
        <v>0</v>
      </c>
      <c r="Y971" s="57">
        <f>450-450</f>
        <v>0</v>
      </c>
      <c r="Z971" s="58">
        <v>0</v>
      </c>
      <c r="AA971" s="58">
        <v>0</v>
      </c>
      <c r="AB971" s="58">
        <v>0</v>
      </c>
      <c r="AC971" s="58">
        <v>0</v>
      </c>
      <c r="AD971" s="58">
        <v>0</v>
      </c>
      <c r="AE971" s="58">
        <v>0</v>
      </c>
      <c r="AF971" s="58">
        <v>0</v>
      </c>
      <c r="AG971" s="58">
        <v>0</v>
      </c>
      <c r="AH971" s="58">
        <v>0</v>
      </c>
      <c r="AI971" s="58">
        <v>0</v>
      </c>
      <c r="AJ971" s="58">
        <f>450-450</f>
        <v>0</v>
      </c>
      <c r="AK971" s="58">
        <v>0</v>
      </c>
      <c r="AL971" s="75">
        <f>+SUBTOTAL(9,Tabla6[[#This Row],[ENE]:[DIC]])</f>
        <v>0</v>
      </c>
      <c r="AM971" s="76" t="str">
        <f t="shared" si="25"/>
        <v>OK</v>
      </c>
      <c r="AN971" s="60">
        <v>0</v>
      </c>
      <c r="AO971" s="61">
        <f>+Tabla6[[#This Row],[PRESUPUESTO VIGENTE]]-Tabla6[[#This Row],[CERTIFICACIÓN PAPP]]</f>
        <v>0</v>
      </c>
      <c r="AP971" s="59">
        <v>0</v>
      </c>
    </row>
    <row r="972" spans="1:42" ht="93" customHeight="1" x14ac:dyDescent="0.25">
      <c r="A972" s="62" t="s">
        <v>78</v>
      </c>
      <c r="B972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972" s="64" t="s">
        <v>79</v>
      </c>
      <c r="D972" s="64" t="s">
        <v>80</v>
      </c>
      <c r="E972" s="64" t="s">
        <v>81</v>
      </c>
      <c r="F972" s="64" t="s">
        <v>110</v>
      </c>
      <c r="G972" s="64" t="s">
        <v>92</v>
      </c>
      <c r="H972" s="65" t="str">
        <f>VLOOKUP(Tabla6[[#This Row],[DIRECCIÓN]],DIRECCIÓN[#All],2,0)</f>
        <v>ADMINISTRACIÓN CENTRAL</v>
      </c>
      <c r="I972" s="66" t="s">
        <v>436</v>
      </c>
      <c r="J972" s="67">
        <v>1</v>
      </c>
      <c r="K972" s="68" t="str">
        <f>VLOOKUP(Tabla6[[#This Row],[DIRECCIÓN GENERAL / COORDINACIÓN / SUBDIRECCIÓN]],Tabla37[[#All],[Columna1]:[EOD]],2,0)</f>
        <v>266_0006</v>
      </c>
      <c r="L972" s="69">
        <f>VLOOKUP(Tabla6[[#This Row],[OBJETIVOS PND]],Listas!$A$1:$C$3,3,0)</f>
        <v>1</v>
      </c>
      <c r="M972" s="70">
        <f>VLOOKUP(Tabla6[[#This Row],[PG]],Listas2!$G$14:$K$16,5,0)</f>
        <v>0</v>
      </c>
      <c r="N972" s="71">
        <v>1</v>
      </c>
      <c r="O972" s="72">
        <v>101</v>
      </c>
      <c r="P972" s="73" t="str">
        <f>VLOOKUP(Tabla6[[#This Row],[GEO]],Listas!$A$48:$B$77,2,0)</f>
        <v>CUENCA</v>
      </c>
      <c r="Q972" s="70">
        <f>VLOOKUP(Tabla6[[#This Row],[PG]],Listas2!$G$14:$K$16,3,0)</f>
        <v>1</v>
      </c>
      <c r="R972" s="73">
        <f>VLOOKUP(Tabla6[[#This Row],[PG]],Listas2!H74:'Listas2'!$G$14:$K$16,4,0)</f>
        <v>0</v>
      </c>
      <c r="S972" s="73">
        <f>VLOOKUP(Tabla6[[#This Row],[PG]],Listas2!$G$14:$K$16,2,0)</f>
        <v>0</v>
      </c>
      <c r="T972" s="66" t="s">
        <v>84</v>
      </c>
      <c r="U972" s="74">
        <v>53</v>
      </c>
      <c r="V972" s="66">
        <v>530803</v>
      </c>
      <c r="W972" s="63" t="str">
        <f>VLOOKUP(Tabla6[[#This Row],[ÍTEM PRESUPUESTARIO]],Tabla2[#All],2,0)</f>
        <v>LUBRICANTES</v>
      </c>
      <c r="X972" s="57">
        <v>600</v>
      </c>
      <c r="Y972" s="57">
        <f>600-600</f>
        <v>0</v>
      </c>
      <c r="Z972" s="58">
        <v>0</v>
      </c>
      <c r="AA972" s="58">
        <v>0</v>
      </c>
      <c r="AB972" s="58">
        <v>0</v>
      </c>
      <c r="AC972" s="58">
        <v>0</v>
      </c>
      <c r="AD972" s="58">
        <v>0</v>
      </c>
      <c r="AE972" s="58">
        <v>0</v>
      </c>
      <c r="AF972" s="58">
        <v>0</v>
      </c>
      <c r="AG972" s="58">
        <v>0</v>
      </c>
      <c r="AH972" s="58">
        <v>0</v>
      </c>
      <c r="AI972" s="58">
        <v>0</v>
      </c>
      <c r="AJ972" s="58">
        <v>0</v>
      </c>
      <c r="AK972" s="58">
        <v>0</v>
      </c>
      <c r="AL972" s="75">
        <f>+SUBTOTAL(9,Tabla6[[#This Row],[ENE]:[DIC]])</f>
        <v>0</v>
      </c>
      <c r="AM972" s="76" t="str">
        <f t="shared" si="25"/>
        <v>OK</v>
      </c>
      <c r="AN972" s="60">
        <v>0</v>
      </c>
      <c r="AO972" s="61">
        <f>+Tabla6[[#This Row],[PRESUPUESTO VIGENTE]]-Tabla6[[#This Row],[CERTIFICACIÓN PAPP]]</f>
        <v>0</v>
      </c>
      <c r="AP972" s="59">
        <v>0</v>
      </c>
    </row>
    <row r="973" spans="1:42" ht="93" customHeight="1" x14ac:dyDescent="0.25">
      <c r="A973" s="62" t="s">
        <v>78</v>
      </c>
      <c r="B973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973" s="64" t="s">
        <v>79</v>
      </c>
      <c r="D973" s="64" t="s">
        <v>80</v>
      </c>
      <c r="E973" s="64" t="s">
        <v>81</v>
      </c>
      <c r="F973" s="64" t="s">
        <v>110</v>
      </c>
      <c r="G973" s="64" t="s">
        <v>92</v>
      </c>
      <c r="H973" s="65" t="str">
        <f>VLOOKUP(Tabla6[[#This Row],[DIRECCIÓN]],DIRECCIÓN[#All],2,0)</f>
        <v>ADMINISTRACIÓN CENTRAL</v>
      </c>
      <c r="I973" s="66" t="s">
        <v>438</v>
      </c>
      <c r="J973" s="67">
        <v>1</v>
      </c>
      <c r="K973" s="68" t="str">
        <f>VLOOKUP(Tabla6[[#This Row],[DIRECCIÓN GENERAL / COORDINACIÓN / SUBDIRECCIÓN]],Tabla37[[#All],[Columna1]:[EOD]],2,0)</f>
        <v>266_0006</v>
      </c>
      <c r="L973" s="69">
        <f>VLOOKUP(Tabla6[[#This Row],[OBJETIVOS PND]],Listas!$A$1:$C$3,3,0)</f>
        <v>1</v>
      </c>
      <c r="M973" s="70">
        <f>VLOOKUP(Tabla6[[#This Row],[PG]],Listas2!$G$14:$K$16,5,0)</f>
        <v>0</v>
      </c>
      <c r="N973" s="71">
        <v>1</v>
      </c>
      <c r="O973" s="72">
        <v>101</v>
      </c>
      <c r="P973" s="73" t="str">
        <f>VLOOKUP(Tabla6[[#This Row],[GEO]],Listas!$A$48:$B$77,2,0)</f>
        <v>CUENCA</v>
      </c>
      <c r="Q973" s="70">
        <f>VLOOKUP(Tabla6[[#This Row],[PG]],Listas2!$G$14:$K$16,3,0)</f>
        <v>1</v>
      </c>
      <c r="R973" s="73">
        <f>VLOOKUP(Tabla6[[#This Row],[PG]],Listas2!H75:'Listas2'!$G$14:$K$16,4,0)</f>
        <v>0</v>
      </c>
      <c r="S973" s="73">
        <f>VLOOKUP(Tabla6[[#This Row],[PG]],Listas2!$G$14:$K$16,2,0)</f>
        <v>0</v>
      </c>
      <c r="T973" s="66" t="s">
        <v>84</v>
      </c>
      <c r="U973" s="74">
        <v>53</v>
      </c>
      <c r="V973" s="66">
        <v>530803</v>
      </c>
      <c r="W973" s="63" t="str">
        <f>VLOOKUP(Tabla6[[#This Row],[ÍTEM PRESUPUESTARIO]],Tabla2[#All],2,0)</f>
        <v>LUBRICANTES</v>
      </c>
      <c r="X973" s="57">
        <v>3000</v>
      </c>
      <c r="Y973" s="57">
        <f>3000-3000</f>
        <v>0</v>
      </c>
      <c r="Z973" s="58">
        <v>0</v>
      </c>
      <c r="AA973" s="58">
        <v>0</v>
      </c>
      <c r="AB973" s="58">
        <v>0</v>
      </c>
      <c r="AC973" s="58">
        <v>0</v>
      </c>
      <c r="AD973" s="58">
        <v>0</v>
      </c>
      <c r="AE973" s="58">
        <v>0</v>
      </c>
      <c r="AF973" s="58">
        <v>0</v>
      </c>
      <c r="AG973" s="58">
        <v>0</v>
      </c>
      <c r="AH973" s="58">
        <v>0</v>
      </c>
      <c r="AI973" s="58">
        <v>0</v>
      </c>
      <c r="AJ973" s="58">
        <v>0</v>
      </c>
      <c r="AK973" s="58">
        <v>0</v>
      </c>
      <c r="AL973" s="75">
        <f>+SUBTOTAL(9,Tabla6[[#This Row],[ENE]:[DIC]])</f>
        <v>0</v>
      </c>
      <c r="AM973" s="76" t="str">
        <f t="shared" si="25"/>
        <v>OK</v>
      </c>
      <c r="AN973" s="60">
        <v>0</v>
      </c>
      <c r="AO973" s="61">
        <f>+Tabla6[[#This Row],[PRESUPUESTO VIGENTE]]-Tabla6[[#This Row],[CERTIFICACIÓN PAPP]]</f>
        <v>0</v>
      </c>
      <c r="AP973" s="59">
        <v>0</v>
      </c>
    </row>
    <row r="974" spans="1:42" ht="93" customHeight="1" x14ac:dyDescent="0.25">
      <c r="A974" s="62" t="s">
        <v>78</v>
      </c>
      <c r="B974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974" s="64" t="s">
        <v>79</v>
      </c>
      <c r="D974" s="64" t="s">
        <v>80</v>
      </c>
      <c r="E974" s="64" t="s">
        <v>81</v>
      </c>
      <c r="F974" s="64" t="s">
        <v>110</v>
      </c>
      <c r="G974" s="64" t="s">
        <v>92</v>
      </c>
      <c r="H974" s="65" t="str">
        <f>VLOOKUP(Tabla6[[#This Row],[DIRECCIÓN]],DIRECCIÓN[#All],2,0)</f>
        <v>ADMINISTRACIÓN CENTRAL</v>
      </c>
      <c r="I974" s="66" t="s">
        <v>454</v>
      </c>
      <c r="J974" s="67">
        <v>1</v>
      </c>
      <c r="K974" s="68" t="str">
        <f>VLOOKUP(Tabla6[[#This Row],[DIRECCIÓN GENERAL / COORDINACIÓN / SUBDIRECCIÓN]],Tabla37[[#All],[Columna1]:[EOD]],2,0)</f>
        <v>266_0006</v>
      </c>
      <c r="L974" s="69">
        <f>VLOOKUP(Tabla6[[#This Row],[OBJETIVOS PND]],Listas!$A$1:$C$3,3,0)</f>
        <v>1</v>
      </c>
      <c r="M974" s="70">
        <f>VLOOKUP(Tabla6[[#This Row],[PG]],Listas2!$G$14:$K$16,5,0)</f>
        <v>0</v>
      </c>
      <c r="N974" s="71">
        <v>1</v>
      </c>
      <c r="O974" s="72">
        <v>101</v>
      </c>
      <c r="P974" s="73" t="str">
        <f>VLOOKUP(Tabla6[[#This Row],[GEO]],Listas!$A$48:$B$77,2,0)</f>
        <v>CUENCA</v>
      </c>
      <c r="Q974" s="70">
        <f>VLOOKUP(Tabla6[[#This Row],[PG]],Listas2!$G$14:$K$16,3,0)</f>
        <v>1</v>
      </c>
      <c r="R974" s="73">
        <f>VLOOKUP(Tabla6[[#This Row],[PG]],Listas2!H76:'Listas2'!$G$14:$K$16,4,0)</f>
        <v>0</v>
      </c>
      <c r="S974" s="73">
        <f>VLOOKUP(Tabla6[[#This Row],[PG]],Listas2!$G$14:$K$16,2,0)</f>
        <v>0</v>
      </c>
      <c r="T974" s="66" t="s">
        <v>84</v>
      </c>
      <c r="U974" s="74">
        <v>53</v>
      </c>
      <c r="V974" s="66">
        <v>530803</v>
      </c>
      <c r="W974" s="63" t="str">
        <f>VLOOKUP(Tabla6[[#This Row],[ÍTEM PRESUPUESTARIO]],Tabla2[#All],2,0)</f>
        <v>LUBRICANTES</v>
      </c>
      <c r="X974" s="57">
        <v>200</v>
      </c>
      <c r="Y974" s="57">
        <v>0</v>
      </c>
      <c r="Z974" s="58">
        <v>0</v>
      </c>
      <c r="AA974" s="58">
        <v>0</v>
      </c>
      <c r="AB974" s="58">
        <v>0</v>
      </c>
      <c r="AC974" s="58">
        <v>0</v>
      </c>
      <c r="AD974" s="58">
        <v>0</v>
      </c>
      <c r="AE974" s="58">
        <v>0</v>
      </c>
      <c r="AF974" s="58">
        <v>0</v>
      </c>
      <c r="AG974" s="58">
        <v>0</v>
      </c>
      <c r="AH974" s="58">
        <v>0</v>
      </c>
      <c r="AI974" s="58">
        <v>0</v>
      </c>
      <c r="AJ974" s="58">
        <v>0</v>
      </c>
      <c r="AK974" s="58">
        <v>0</v>
      </c>
      <c r="AL974" s="75">
        <f>+SUBTOTAL(9,Tabla6[[#This Row],[ENE]:[DIC]])</f>
        <v>0</v>
      </c>
      <c r="AM974" s="76" t="str">
        <f t="shared" si="25"/>
        <v>OK</v>
      </c>
      <c r="AN974" s="60">
        <v>0</v>
      </c>
      <c r="AO974" s="61">
        <f>+Tabla6[[#This Row],[PRESUPUESTO VIGENTE]]-Tabla6[[#This Row],[CERTIFICACIÓN PAPP]]</f>
        <v>0</v>
      </c>
      <c r="AP974" s="59">
        <v>0</v>
      </c>
    </row>
    <row r="975" spans="1:42" ht="93" customHeight="1" x14ac:dyDescent="0.25">
      <c r="A975" s="62" t="s">
        <v>78</v>
      </c>
      <c r="B975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975" s="64" t="s">
        <v>79</v>
      </c>
      <c r="D975" s="64" t="s">
        <v>80</v>
      </c>
      <c r="E975" s="64" t="s">
        <v>81</v>
      </c>
      <c r="F975" s="64" t="s">
        <v>110</v>
      </c>
      <c r="G975" s="64" t="s">
        <v>92</v>
      </c>
      <c r="H975" s="65" t="str">
        <f>VLOOKUP(Tabla6[[#This Row],[DIRECCIÓN]],DIRECCIÓN[#All],2,0)</f>
        <v>ADMINISTRACIÓN CENTRAL</v>
      </c>
      <c r="I975" s="66" t="s">
        <v>455</v>
      </c>
      <c r="J975" s="67">
        <v>1</v>
      </c>
      <c r="K975" s="68" t="str">
        <f>VLOOKUP(Tabla6[[#This Row],[DIRECCIÓN GENERAL / COORDINACIÓN / SUBDIRECCIÓN]],Tabla37[[#All],[Columna1]:[EOD]],2,0)</f>
        <v>266_0006</v>
      </c>
      <c r="L975" s="69">
        <f>VLOOKUP(Tabla6[[#This Row],[OBJETIVOS PND]],Listas!$A$1:$C$3,3,0)</f>
        <v>1</v>
      </c>
      <c r="M975" s="70">
        <f>VLOOKUP(Tabla6[[#This Row],[PG]],Listas2!$G$14:$K$16,5,0)</f>
        <v>0</v>
      </c>
      <c r="N975" s="71">
        <v>1</v>
      </c>
      <c r="O975" s="72">
        <v>101</v>
      </c>
      <c r="P975" s="73" t="str">
        <f>VLOOKUP(Tabla6[[#This Row],[GEO]],Listas!$A$48:$B$77,2,0)</f>
        <v>CUENCA</v>
      </c>
      <c r="Q975" s="70">
        <f>VLOOKUP(Tabla6[[#This Row],[PG]],Listas2!$G$14:$K$16,3,0)</f>
        <v>1</v>
      </c>
      <c r="R975" s="73">
        <f>VLOOKUP(Tabla6[[#This Row],[PG]],Listas2!H77:'Listas2'!$G$14:$K$16,4,0)</f>
        <v>0</v>
      </c>
      <c r="S975" s="73">
        <f>VLOOKUP(Tabla6[[#This Row],[PG]],Listas2!$G$14:$K$16,2,0)</f>
        <v>0</v>
      </c>
      <c r="T975" s="66" t="s">
        <v>84</v>
      </c>
      <c r="U975" s="74">
        <v>53</v>
      </c>
      <c r="V975" s="66">
        <v>530804</v>
      </c>
      <c r="W975" s="63" t="str">
        <f>VLOOKUP(Tabla6[[#This Row],[ÍTEM PRESUPUESTARIO]],Tabla2[#All],2,0)</f>
        <v>MATERIALES DE OFICINA</v>
      </c>
      <c r="X975" s="57">
        <v>0</v>
      </c>
      <c r="Y975" s="57">
        <f>500-163.73</f>
        <v>336.27</v>
      </c>
      <c r="Z975" s="58">
        <v>0</v>
      </c>
      <c r="AA975" s="58">
        <v>0</v>
      </c>
      <c r="AB975" s="58">
        <v>0</v>
      </c>
      <c r="AC975" s="58">
        <v>0</v>
      </c>
      <c r="AD975" s="58">
        <v>0</v>
      </c>
      <c r="AE975" s="58">
        <f>500-163.73</f>
        <v>336.27</v>
      </c>
      <c r="AF975" s="58">
        <v>0</v>
      </c>
      <c r="AG975" s="58">
        <v>0</v>
      </c>
      <c r="AH975" s="58">
        <v>0</v>
      </c>
      <c r="AI975" s="58">
        <v>0</v>
      </c>
      <c r="AJ975" s="58">
        <v>0</v>
      </c>
      <c r="AK975" s="58">
        <v>0</v>
      </c>
      <c r="AL975" s="75">
        <f>+SUBTOTAL(9,Tabla6[[#This Row],[ENE]:[DIC]])</f>
        <v>336.27</v>
      </c>
      <c r="AM975" s="76" t="str">
        <f t="shared" si="25"/>
        <v>OK</v>
      </c>
      <c r="AN975" s="60">
        <f>359.92-23.65</f>
        <v>336.27000000000004</v>
      </c>
      <c r="AO975" s="61">
        <f>+Tabla6[[#This Row],[PRESUPUESTO VIGENTE]]-Tabla6[[#This Row],[CERTIFICACIÓN PAPP]]</f>
        <v>0</v>
      </c>
      <c r="AP975" s="59">
        <v>0</v>
      </c>
    </row>
    <row r="976" spans="1:42" ht="93" customHeight="1" x14ac:dyDescent="0.25">
      <c r="A976" s="62" t="s">
        <v>78</v>
      </c>
      <c r="B976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976" s="64" t="s">
        <v>79</v>
      </c>
      <c r="D976" s="64" t="s">
        <v>80</v>
      </c>
      <c r="E976" s="64" t="s">
        <v>81</v>
      </c>
      <c r="F976" s="64" t="s">
        <v>110</v>
      </c>
      <c r="G976" s="64" t="s">
        <v>92</v>
      </c>
      <c r="H976" s="65" t="str">
        <f>VLOOKUP(Tabla6[[#This Row],[DIRECCIÓN]],DIRECCIÓN[#All],2,0)</f>
        <v>ADMINISTRACIÓN CENTRAL</v>
      </c>
      <c r="I976" s="66" t="s">
        <v>456</v>
      </c>
      <c r="J976" s="67">
        <v>1</v>
      </c>
      <c r="K976" s="68" t="str">
        <f>VLOOKUP(Tabla6[[#This Row],[DIRECCIÓN GENERAL / COORDINACIÓN / SUBDIRECCIÓN]],Tabla37[[#All],[Columna1]:[EOD]],2,0)</f>
        <v>266_0006</v>
      </c>
      <c r="L976" s="69">
        <f>VLOOKUP(Tabla6[[#This Row],[OBJETIVOS PND]],Listas!$A$1:$C$3,3,0)</f>
        <v>1</v>
      </c>
      <c r="M976" s="70">
        <f>VLOOKUP(Tabla6[[#This Row],[PG]],Listas2!$G$14:$K$16,5,0)</f>
        <v>0</v>
      </c>
      <c r="N976" s="71">
        <v>1</v>
      </c>
      <c r="O976" s="72">
        <v>101</v>
      </c>
      <c r="P976" s="73" t="str">
        <f>VLOOKUP(Tabla6[[#This Row],[GEO]],Listas!$A$48:$B$77,2,0)</f>
        <v>CUENCA</v>
      </c>
      <c r="Q976" s="70">
        <f>VLOOKUP(Tabla6[[#This Row],[PG]],Listas2!$G$14:$K$16,3,0)</f>
        <v>1</v>
      </c>
      <c r="R976" s="73">
        <f>VLOOKUP(Tabla6[[#This Row],[PG]],Listas2!H78:'Listas2'!$G$14:$K$16,4,0)</f>
        <v>0</v>
      </c>
      <c r="S976" s="73">
        <f>VLOOKUP(Tabla6[[#This Row],[PG]],Listas2!$G$14:$K$16,2,0)</f>
        <v>0</v>
      </c>
      <c r="T976" s="66" t="s">
        <v>84</v>
      </c>
      <c r="U976" s="74">
        <v>53</v>
      </c>
      <c r="V976" s="66">
        <v>530804</v>
      </c>
      <c r="W976" s="63" t="str">
        <f>VLOOKUP(Tabla6[[#This Row],[ÍTEM PRESUPUESTARIO]],Tabla2[#All],2,0)</f>
        <v>MATERIALES DE OFICINA</v>
      </c>
      <c r="X976" s="57">
        <v>800</v>
      </c>
      <c r="Y976" s="57">
        <f>800+700-1223.77</f>
        <v>276.23</v>
      </c>
      <c r="Z976" s="58">
        <v>0</v>
      </c>
      <c r="AA976" s="58">
        <v>0</v>
      </c>
      <c r="AB976" s="58">
        <v>0</v>
      </c>
      <c r="AC976" s="58">
        <f>1500-1223.77</f>
        <v>276.23</v>
      </c>
      <c r="AD976" s="58">
        <v>0</v>
      </c>
      <c r="AE976" s="58">
        <v>0</v>
      </c>
      <c r="AF976" s="58">
        <v>0</v>
      </c>
      <c r="AG976" s="58">
        <v>0</v>
      </c>
      <c r="AH976" s="58">
        <v>0</v>
      </c>
      <c r="AI976" s="58">
        <v>0</v>
      </c>
      <c r="AJ976" s="58">
        <v>0</v>
      </c>
      <c r="AK976" s="58">
        <v>0</v>
      </c>
      <c r="AL976" s="75">
        <f>+SUBTOTAL(9,Tabla6[[#This Row],[ENE]:[DIC]])</f>
        <v>276.23</v>
      </c>
      <c r="AM976" s="76" t="str">
        <f t="shared" ref="AM976:AM1007" si="28">IF(AL976=Y976,"OK",Y976-AL976)</f>
        <v>OK</v>
      </c>
      <c r="AN976" s="60">
        <v>276.23</v>
      </c>
      <c r="AO976" s="61">
        <f>+Tabla6[[#This Row],[PRESUPUESTO VIGENTE]]-Tabla6[[#This Row],[CERTIFICACIÓN PAPP]]</f>
        <v>0</v>
      </c>
      <c r="AP976" s="59">
        <v>0</v>
      </c>
    </row>
    <row r="977" spans="1:42" ht="93" customHeight="1" x14ac:dyDescent="0.25">
      <c r="A977" s="62" t="s">
        <v>78</v>
      </c>
      <c r="B977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977" s="64" t="s">
        <v>79</v>
      </c>
      <c r="D977" s="64" t="s">
        <v>80</v>
      </c>
      <c r="E977" s="64" t="s">
        <v>81</v>
      </c>
      <c r="F977" s="64" t="s">
        <v>110</v>
      </c>
      <c r="G977" s="64" t="s">
        <v>92</v>
      </c>
      <c r="H977" s="65" t="str">
        <f>VLOOKUP(Tabla6[[#This Row],[DIRECCIÓN]],DIRECCIÓN[#All],2,0)</f>
        <v>ADMINISTRACIÓN CENTRAL</v>
      </c>
      <c r="I977" s="66" t="s">
        <v>457</v>
      </c>
      <c r="J977" s="67">
        <v>1</v>
      </c>
      <c r="K977" s="68" t="str">
        <f>VLOOKUP(Tabla6[[#This Row],[DIRECCIÓN GENERAL / COORDINACIÓN / SUBDIRECCIÓN]],Tabla37[[#All],[Columna1]:[EOD]],2,0)</f>
        <v>266_0006</v>
      </c>
      <c r="L977" s="69">
        <f>VLOOKUP(Tabla6[[#This Row],[OBJETIVOS PND]],Listas!$A$1:$C$3,3,0)</f>
        <v>1</v>
      </c>
      <c r="M977" s="70">
        <f>VLOOKUP(Tabla6[[#This Row],[PG]],Listas2!$G$14:$K$16,5,0)</f>
        <v>0</v>
      </c>
      <c r="N977" s="71">
        <v>1</v>
      </c>
      <c r="O977" s="72">
        <v>101</v>
      </c>
      <c r="P977" s="73" t="str">
        <f>VLOOKUP(Tabla6[[#This Row],[GEO]],Listas!$A$48:$B$77,2,0)</f>
        <v>CUENCA</v>
      </c>
      <c r="Q977" s="70">
        <f>VLOOKUP(Tabla6[[#This Row],[PG]],Listas2!$G$14:$K$16,3,0)</f>
        <v>1</v>
      </c>
      <c r="R977" s="73">
        <f>VLOOKUP(Tabla6[[#This Row],[PG]],Listas2!H79:'Listas2'!$G$14:$K$16,4,0)</f>
        <v>0</v>
      </c>
      <c r="S977" s="73">
        <f>VLOOKUP(Tabla6[[#This Row],[PG]],Listas2!$G$14:$K$16,2,0)</f>
        <v>0</v>
      </c>
      <c r="T977" s="66" t="s">
        <v>84</v>
      </c>
      <c r="U977" s="74">
        <v>53</v>
      </c>
      <c r="V977" s="66">
        <v>530805</v>
      </c>
      <c r="W977" s="63" t="str">
        <f>VLOOKUP(Tabla6[[#This Row],[ÍTEM PRESUPUESTARIO]],Tabla2[#All],2,0)</f>
        <v>MATERIALES DE ASEO</v>
      </c>
      <c r="X977" s="57">
        <v>2500</v>
      </c>
      <c r="Y977" s="57">
        <f>2500+600+2000-200-1830-854.13</f>
        <v>2215.87</v>
      </c>
      <c r="Z977" s="58">
        <v>0</v>
      </c>
      <c r="AA977" s="58">
        <v>0</v>
      </c>
      <c r="AB977" s="58">
        <v>0</v>
      </c>
      <c r="AC977" s="58">
        <f>5100-200-1830-854.13</f>
        <v>2215.87</v>
      </c>
      <c r="AD977" s="58">
        <v>0</v>
      </c>
      <c r="AE977" s="58">
        <v>0</v>
      </c>
      <c r="AF977" s="58">
        <v>0</v>
      </c>
      <c r="AG977" s="58">
        <v>0</v>
      </c>
      <c r="AH977" s="58">
        <v>0</v>
      </c>
      <c r="AI977" s="58">
        <v>0</v>
      </c>
      <c r="AJ977" s="58">
        <v>0</v>
      </c>
      <c r="AK977" s="58">
        <v>0</v>
      </c>
      <c r="AL977" s="75">
        <f>+SUBTOTAL(9,Tabla6[[#This Row],[ENE]:[DIC]])</f>
        <v>2215.87</v>
      </c>
      <c r="AM977" s="76" t="str">
        <f t="shared" si="28"/>
        <v>OK</v>
      </c>
      <c r="AN977" s="60">
        <f>3069.18-1160.92+307.61</f>
        <v>2215.87</v>
      </c>
      <c r="AO977" s="61">
        <f>+Tabla6[[#This Row],[PRESUPUESTO VIGENTE]]-Tabla6[[#This Row],[CERTIFICACIÓN PAPP]]</f>
        <v>0</v>
      </c>
      <c r="AP977" s="59">
        <v>0</v>
      </c>
    </row>
    <row r="978" spans="1:42" ht="93" customHeight="1" x14ac:dyDescent="0.25">
      <c r="A978" s="62" t="s">
        <v>78</v>
      </c>
      <c r="B978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978" s="64" t="s">
        <v>79</v>
      </c>
      <c r="D978" s="64" t="s">
        <v>80</v>
      </c>
      <c r="E978" s="64" t="s">
        <v>81</v>
      </c>
      <c r="F978" s="64" t="s">
        <v>110</v>
      </c>
      <c r="G978" s="64" t="s">
        <v>92</v>
      </c>
      <c r="H978" s="65" t="str">
        <f>VLOOKUP(Tabla6[[#This Row],[DIRECCIÓN]],DIRECCIÓN[#All],2,0)</f>
        <v>ADMINISTRACIÓN CENTRAL</v>
      </c>
      <c r="I978" s="66" t="s">
        <v>458</v>
      </c>
      <c r="J978" s="67">
        <v>1</v>
      </c>
      <c r="K978" s="68" t="str">
        <f>VLOOKUP(Tabla6[[#This Row],[DIRECCIÓN GENERAL / COORDINACIÓN / SUBDIRECCIÓN]],Tabla37[[#All],[Columna1]:[EOD]],2,0)</f>
        <v>266_0006</v>
      </c>
      <c r="L978" s="69">
        <f>VLOOKUP(Tabla6[[#This Row],[OBJETIVOS PND]],Listas!$A$1:$C$3,3,0)</f>
        <v>1</v>
      </c>
      <c r="M978" s="70">
        <f>VLOOKUP(Tabla6[[#This Row],[PG]],Listas2!$G$14:$K$16,5,0)</f>
        <v>0</v>
      </c>
      <c r="N978" s="71">
        <v>1</v>
      </c>
      <c r="O978" s="72">
        <v>101</v>
      </c>
      <c r="P978" s="73" t="str">
        <f>VLOOKUP(Tabla6[[#This Row],[GEO]],Listas!$A$48:$B$77,2,0)</f>
        <v>CUENCA</v>
      </c>
      <c r="Q978" s="70">
        <f>VLOOKUP(Tabla6[[#This Row],[PG]],Listas2!$G$14:$K$16,3,0)</f>
        <v>1</v>
      </c>
      <c r="R978" s="73">
        <f>VLOOKUP(Tabla6[[#This Row],[PG]],Listas2!H80:'Listas2'!$G$14:$K$16,4,0)</f>
        <v>0</v>
      </c>
      <c r="S978" s="73">
        <f>VLOOKUP(Tabla6[[#This Row],[PG]],Listas2!$G$14:$K$16,2,0)</f>
        <v>0</v>
      </c>
      <c r="T978" s="66" t="s">
        <v>84</v>
      </c>
      <c r="U978" s="74">
        <v>53</v>
      </c>
      <c r="V978" s="66">
        <v>530805</v>
      </c>
      <c r="W978" s="63" t="str">
        <f>VLOOKUP(Tabla6[[#This Row],[ÍTEM PRESUPUESTARIO]],Tabla2[#All],2,0)</f>
        <v>MATERIALES DE ASEO</v>
      </c>
      <c r="X978" s="57">
        <v>0</v>
      </c>
      <c r="Y978" s="57">
        <f>700-306.79</f>
        <v>393.21</v>
      </c>
      <c r="Z978" s="58">
        <v>0</v>
      </c>
      <c r="AA978" s="58">
        <v>0</v>
      </c>
      <c r="AB978" s="58">
        <v>0</v>
      </c>
      <c r="AC978" s="58">
        <v>0</v>
      </c>
      <c r="AD978" s="58">
        <v>0</v>
      </c>
      <c r="AE978" s="58">
        <v>0</v>
      </c>
      <c r="AF978" s="58">
        <f>700-306.79</f>
        <v>393.21</v>
      </c>
      <c r="AG978" s="58">
        <v>0</v>
      </c>
      <c r="AH978" s="58">
        <v>0</v>
      </c>
      <c r="AI978" s="58">
        <v>0</v>
      </c>
      <c r="AJ978" s="58">
        <v>0</v>
      </c>
      <c r="AK978" s="58">
        <v>0</v>
      </c>
      <c r="AL978" s="75">
        <f>+SUBTOTAL(9,Tabla6[[#This Row],[ENE]:[DIC]])</f>
        <v>393.21</v>
      </c>
      <c r="AM978" s="76" t="str">
        <f t="shared" si="28"/>
        <v>OK</v>
      </c>
      <c r="AN978" s="60">
        <v>393.21</v>
      </c>
      <c r="AO978" s="61">
        <f>+Tabla6[[#This Row],[PRESUPUESTO VIGENTE]]-Tabla6[[#This Row],[CERTIFICACIÓN PAPP]]</f>
        <v>0</v>
      </c>
      <c r="AP978" s="59">
        <v>0</v>
      </c>
    </row>
    <row r="979" spans="1:42" ht="93" customHeight="1" x14ac:dyDescent="0.25">
      <c r="A979" s="62" t="s">
        <v>78</v>
      </c>
      <c r="B979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979" s="64" t="s">
        <v>79</v>
      </c>
      <c r="D979" s="64" t="s">
        <v>80</v>
      </c>
      <c r="E979" s="64" t="s">
        <v>81</v>
      </c>
      <c r="F979" s="64" t="s">
        <v>110</v>
      </c>
      <c r="G979" s="64" t="s">
        <v>92</v>
      </c>
      <c r="H979" s="65" t="str">
        <f>VLOOKUP(Tabla6[[#This Row],[DIRECCIÓN]],DIRECCIÓN[#All],2,0)</f>
        <v>ADMINISTRACIÓN CENTRAL</v>
      </c>
      <c r="I979" s="66" t="s">
        <v>459</v>
      </c>
      <c r="J979" s="67">
        <v>1</v>
      </c>
      <c r="K979" s="68" t="str">
        <f>VLOOKUP(Tabla6[[#This Row],[DIRECCIÓN GENERAL / COORDINACIÓN / SUBDIRECCIÓN]],Tabla37[[#All],[Columna1]:[EOD]],2,0)</f>
        <v>266_0006</v>
      </c>
      <c r="L979" s="69">
        <f>VLOOKUP(Tabla6[[#This Row],[OBJETIVOS PND]],Listas!$A$1:$C$3,3,0)</f>
        <v>1</v>
      </c>
      <c r="M979" s="70">
        <f>VLOOKUP(Tabla6[[#This Row],[PG]],Listas2!$G$14:$K$16,5,0)</f>
        <v>0</v>
      </c>
      <c r="N979" s="71">
        <v>1</v>
      </c>
      <c r="O979" s="72">
        <v>101</v>
      </c>
      <c r="P979" s="73" t="str">
        <f>VLOOKUP(Tabla6[[#This Row],[GEO]],Listas!$A$48:$B$77,2,0)</f>
        <v>CUENCA</v>
      </c>
      <c r="Q979" s="70">
        <f>VLOOKUP(Tabla6[[#This Row],[PG]],Listas2!$G$14:$K$16,3,0)</f>
        <v>1</v>
      </c>
      <c r="R979" s="73">
        <f>VLOOKUP(Tabla6[[#This Row],[PG]],Listas2!H81:'Listas2'!$G$14:$K$16,4,0)</f>
        <v>0</v>
      </c>
      <c r="S979" s="73">
        <f>VLOOKUP(Tabla6[[#This Row],[PG]],Listas2!$G$14:$K$16,2,0)</f>
        <v>0</v>
      </c>
      <c r="T979" s="66" t="s">
        <v>84</v>
      </c>
      <c r="U979" s="74">
        <v>53</v>
      </c>
      <c r="V979" s="66">
        <v>530805</v>
      </c>
      <c r="W979" s="63" t="str">
        <f>VLOOKUP(Tabla6[[#This Row],[ÍTEM PRESUPUESTARIO]],Tabla2[#All],2,0)</f>
        <v>MATERIALES DE ASEO</v>
      </c>
      <c r="X979" s="57">
        <v>550</v>
      </c>
      <c r="Y979" s="57">
        <f>550-550</f>
        <v>0</v>
      </c>
      <c r="Z979" s="58">
        <v>0</v>
      </c>
      <c r="AA979" s="58">
        <v>0</v>
      </c>
      <c r="AB979" s="58">
        <v>0</v>
      </c>
      <c r="AC979" s="58">
        <v>0</v>
      </c>
      <c r="AD979" s="58">
        <v>0</v>
      </c>
      <c r="AE979" s="58">
        <f>550-550</f>
        <v>0</v>
      </c>
      <c r="AF979" s="58">
        <v>0</v>
      </c>
      <c r="AG979" s="58">
        <v>0</v>
      </c>
      <c r="AH979" s="58">
        <v>0</v>
      </c>
      <c r="AI979" s="58">
        <v>0</v>
      </c>
      <c r="AJ979" s="58">
        <v>0</v>
      </c>
      <c r="AK979" s="58">
        <v>0</v>
      </c>
      <c r="AL979" s="75">
        <f>+SUBTOTAL(9,Tabla6[[#This Row],[ENE]:[DIC]])</f>
        <v>0</v>
      </c>
      <c r="AM979" s="76" t="str">
        <f t="shared" si="28"/>
        <v>OK</v>
      </c>
      <c r="AN979" s="60">
        <v>0</v>
      </c>
      <c r="AO979" s="61">
        <f>+Tabla6[[#This Row],[PRESUPUESTO VIGENTE]]-Tabla6[[#This Row],[CERTIFICACIÓN PAPP]]</f>
        <v>0</v>
      </c>
      <c r="AP979" s="59" t="s">
        <v>87</v>
      </c>
    </row>
    <row r="980" spans="1:42" ht="93" customHeight="1" x14ac:dyDescent="0.25">
      <c r="A980" s="62" t="s">
        <v>78</v>
      </c>
      <c r="B980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980" s="64" t="s">
        <v>79</v>
      </c>
      <c r="D980" s="64" t="s">
        <v>80</v>
      </c>
      <c r="E980" s="64" t="s">
        <v>81</v>
      </c>
      <c r="F980" s="64" t="s">
        <v>110</v>
      </c>
      <c r="G980" s="64" t="s">
        <v>92</v>
      </c>
      <c r="H980" s="65" t="str">
        <f>VLOOKUP(Tabla6[[#This Row],[DIRECCIÓN]],DIRECCIÓN[#All],2,0)</f>
        <v>ADMINISTRACIÓN CENTRAL</v>
      </c>
      <c r="I980" s="66" t="s">
        <v>460</v>
      </c>
      <c r="J980" s="67">
        <v>1</v>
      </c>
      <c r="K980" s="68" t="str">
        <f>VLOOKUP(Tabla6[[#This Row],[DIRECCIÓN GENERAL / COORDINACIÓN / SUBDIRECCIÓN]],Tabla37[[#All],[Columna1]:[EOD]],2,0)</f>
        <v>266_0006</v>
      </c>
      <c r="L980" s="69">
        <f>VLOOKUP(Tabla6[[#This Row],[OBJETIVOS PND]],Listas!$A$1:$C$3,3,0)</f>
        <v>1</v>
      </c>
      <c r="M980" s="70">
        <f>VLOOKUP(Tabla6[[#This Row],[PG]],Listas2!$G$14:$K$16,5,0)</f>
        <v>0</v>
      </c>
      <c r="N980" s="71">
        <v>1</v>
      </c>
      <c r="O980" s="72">
        <v>101</v>
      </c>
      <c r="P980" s="73" t="str">
        <f>VLOOKUP(Tabla6[[#This Row],[GEO]],Listas!$A$48:$B$77,2,0)</f>
        <v>CUENCA</v>
      </c>
      <c r="Q980" s="70">
        <f>VLOOKUP(Tabla6[[#This Row],[PG]],Listas2!$G$14:$K$16,3,0)</f>
        <v>1</v>
      </c>
      <c r="R980" s="73">
        <f>VLOOKUP(Tabla6[[#This Row],[PG]],Listas2!H82:'Listas2'!$G$14:$K$16,4,0)</f>
        <v>0</v>
      </c>
      <c r="S980" s="73">
        <f>VLOOKUP(Tabla6[[#This Row],[PG]],Listas2!$G$14:$K$16,2,0)</f>
        <v>0</v>
      </c>
      <c r="T980" s="66" t="s">
        <v>84</v>
      </c>
      <c r="U980" s="74">
        <v>53</v>
      </c>
      <c r="V980" s="66">
        <v>530807</v>
      </c>
      <c r="W980" s="63" t="str">
        <f>VLOOKUP(Tabla6[[#This Row],[ÍTEM PRESUPUESTARIO]],Tabla2[#All],2,0)</f>
        <v>MATERIALES DE IMPRESIÓN, FOTOGRAFÍA, REPRODUCCIÓN Y PUBLICACIONES</v>
      </c>
      <c r="X980" s="57">
        <v>1000</v>
      </c>
      <c r="Y980" s="57">
        <f>1000+3696.45-826.45</f>
        <v>3870</v>
      </c>
      <c r="Z980" s="58">
        <v>0</v>
      </c>
      <c r="AA980" s="58">
        <v>0</v>
      </c>
      <c r="AB980" s="58">
        <f>1000+3696.45-826.45</f>
        <v>3870</v>
      </c>
      <c r="AC980" s="58">
        <v>0</v>
      </c>
      <c r="AD980" s="58">
        <v>0</v>
      </c>
      <c r="AE980" s="58">
        <v>0</v>
      </c>
      <c r="AF980" s="58">
        <v>0</v>
      </c>
      <c r="AG980" s="58">
        <v>0</v>
      </c>
      <c r="AH980" s="58">
        <v>0</v>
      </c>
      <c r="AI980" s="58">
        <v>0</v>
      </c>
      <c r="AJ980" s="58">
        <v>0</v>
      </c>
      <c r="AK980" s="58">
        <v>0</v>
      </c>
      <c r="AL980" s="75">
        <f>+SUBTOTAL(9,Tabla6[[#This Row],[ENE]:[DIC]])</f>
        <v>3870</v>
      </c>
      <c r="AM980" s="76" t="str">
        <f t="shared" si="28"/>
        <v>OK</v>
      </c>
      <c r="AN980" s="60">
        <f>3860+10</f>
        <v>3870</v>
      </c>
      <c r="AO980" s="61">
        <f>+Tabla6[[#This Row],[PRESUPUESTO VIGENTE]]-Tabla6[[#This Row],[CERTIFICACIÓN PAPP]]</f>
        <v>0</v>
      </c>
      <c r="AP980" s="59">
        <v>0</v>
      </c>
    </row>
    <row r="981" spans="1:42" ht="93" customHeight="1" x14ac:dyDescent="0.25">
      <c r="A981" s="62" t="s">
        <v>78</v>
      </c>
      <c r="B981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981" s="64" t="s">
        <v>79</v>
      </c>
      <c r="D981" s="64" t="s">
        <v>80</v>
      </c>
      <c r="E981" s="64" t="s">
        <v>81</v>
      </c>
      <c r="F981" s="64" t="s">
        <v>110</v>
      </c>
      <c r="G981" s="64" t="s">
        <v>92</v>
      </c>
      <c r="H981" s="65" t="str">
        <f>VLOOKUP(Tabla6[[#This Row],[DIRECCIÓN]],DIRECCIÓN[#All],2,0)</f>
        <v>ADMINISTRACIÓN CENTRAL</v>
      </c>
      <c r="I981" s="66" t="s">
        <v>461</v>
      </c>
      <c r="J981" s="67">
        <v>1</v>
      </c>
      <c r="K981" s="68" t="str">
        <f>VLOOKUP(Tabla6[[#This Row],[DIRECCIÓN GENERAL / COORDINACIÓN / SUBDIRECCIÓN]],Tabla37[[#All],[Columna1]:[EOD]],2,0)</f>
        <v>266_0006</v>
      </c>
      <c r="L981" s="69">
        <f>VLOOKUP(Tabla6[[#This Row],[OBJETIVOS PND]],Listas!$A$1:$C$3,3,0)</f>
        <v>1</v>
      </c>
      <c r="M981" s="70">
        <f>VLOOKUP(Tabla6[[#This Row],[PG]],Listas2!$G$14:$K$16,5,0)</f>
        <v>0</v>
      </c>
      <c r="N981" s="71">
        <v>1</v>
      </c>
      <c r="O981" s="72">
        <v>101</v>
      </c>
      <c r="P981" s="73" t="str">
        <f>VLOOKUP(Tabla6[[#This Row],[GEO]],Listas!$A$48:$B$77,2,0)</f>
        <v>CUENCA</v>
      </c>
      <c r="Q981" s="70">
        <f>VLOOKUP(Tabla6[[#This Row],[PG]],Listas2!$G$14:$K$16,3,0)</f>
        <v>1</v>
      </c>
      <c r="R981" s="73">
        <f>VLOOKUP(Tabla6[[#This Row],[PG]],Listas2!H83:'Listas2'!$G$14:$K$16,4,0)</f>
        <v>0</v>
      </c>
      <c r="S981" s="73">
        <f>VLOOKUP(Tabla6[[#This Row],[PG]],Listas2!$G$14:$K$16,2,0)</f>
        <v>0</v>
      </c>
      <c r="T981" s="66" t="s">
        <v>84</v>
      </c>
      <c r="U981" s="74">
        <v>53</v>
      </c>
      <c r="V981" s="66">
        <v>530809</v>
      </c>
      <c r="W981" s="63" t="str">
        <f>VLOOKUP(Tabla6[[#This Row],[ÍTEM PRESUPUESTARIO]],Tabla2[#All],2,0)</f>
        <v>MEDICAMENTOS</v>
      </c>
      <c r="X981" s="57">
        <v>0</v>
      </c>
      <c r="Y981" s="57">
        <f>1125-1125</f>
        <v>0</v>
      </c>
      <c r="Z981" s="58">
        <v>0</v>
      </c>
      <c r="AA981" s="58">
        <v>0</v>
      </c>
      <c r="AB981" s="58">
        <v>0</v>
      </c>
      <c r="AC981" s="58">
        <v>0</v>
      </c>
      <c r="AD981" s="58">
        <v>0</v>
      </c>
      <c r="AE981" s="58">
        <v>0</v>
      </c>
      <c r="AF981" s="58">
        <v>0</v>
      </c>
      <c r="AG981" s="58">
        <v>0</v>
      </c>
      <c r="AH981" s="58">
        <v>0</v>
      </c>
      <c r="AI981" s="58">
        <v>0</v>
      </c>
      <c r="AJ981" s="58">
        <f>1125-1125</f>
        <v>0</v>
      </c>
      <c r="AK981" s="58">
        <v>0</v>
      </c>
      <c r="AL981" s="75">
        <f>+SUBTOTAL(9,Tabla6[[#This Row],[ENE]:[DIC]])</f>
        <v>0</v>
      </c>
      <c r="AM981" s="76" t="str">
        <f t="shared" si="28"/>
        <v>OK</v>
      </c>
      <c r="AN981" s="60">
        <f>1124.8-1124.8</f>
        <v>0</v>
      </c>
      <c r="AO981" s="61">
        <f>+Tabla6[[#This Row],[PRESUPUESTO VIGENTE]]-Tabla6[[#This Row],[CERTIFICACIÓN PAPP]]</f>
        <v>0</v>
      </c>
      <c r="AP981" s="59">
        <v>0</v>
      </c>
    </row>
    <row r="982" spans="1:42" ht="93" customHeight="1" x14ac:dyDescent="0.25">
      <c r="A982" s="62" t="s">
        <v>78</v>
      </c>
      <c r="B982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982" s="64" t="s">
        <v>79</v>
      </c>
      <c r="D982" s="64" t="s">
        <v>80</v>
      </c>
      <c r="E982" s="64" t="s">
        <v>81</v>
      </c>
      <c r="F982" s="64" t="s">
        <v>110</v>
      </c>
      <c r="G982" s="64" t="s">
        <v>92</v>
      </c>
      <c r="H982" s="65" t="str">
        <f>VLOOKUP(Tabla6[[#This Row],[DIRECCIÓN]],DIRECCIÓN[#All],2,0)</f>
        <v>ADMINISTRACIÓN CENTRAL</v>
      </c>
      <c r="I982" s="66" t="s">
        <v>444</v>
      </c>
      <c r="J982" s="67">
        <v>1</v>
      </c>
      <c r="K982" s="68" t="str">
        <f>VLOOKUP(Tabla6[[#This Row],[DIRECCIÓN GENERAL / COORDINACIÓN / SUBDIRECCIÓN]],Tabla37[[#All],[Columna1]:[EOD]],2,0)</f>
        <v>266_0006</v>
      </c>
      <c r="L982" s="69">
        <f>VLOOKUP(Tabla6[[#This Row],[OBJETIVOS PND]],Listas!$A$1:$C$3,3,0)</f>
        <v>1</v>
      </c>
      <c r="M982" s="70">
        <f>VLOOKUP(Tabla6[[#This Row],[PG]],Listas2!$G$14:$K$16,5,0)</f>
        <v>0</v>
      </c>
      <c r="N982" s="71">
        <v>1</v>
      </c>
      <c r="O982" s="72">
        <v>101</v>
      </c>
      <c r="P982" s="73" t="str">
        <f>VLOOKUP(Tabla6[[#This Row],[GEO]],Listas!$A$48:$B$77,2,0)</f>
        <v>CUENCA</v>
      </c>
      <c r="Q982" s="70">
        <f>VLOOKUP(Tabla6[[#This Row],[PG]],Listas2!$G$14:$K$16,3,0)</f>
        <v>1</v>
      </c>
      <c r="R982" s="73">
        <f>VLOOKUP(Tabla6[[#This Row],[PG]],Listas2!H84:'Listas2'!$G$14:$K$16,4,0)</f>
        <v>0</v>
      </c>
      <c r="S982" s="73">
        <f>VLOOKUP(Tabla6[[#This Row],[PG]],Listas2!$G$14:$K$16,2,0)</f>
        <v>0</v>
      </c>
      <c r="T982" s="66" t="s">
        <v>84</v>
      </c>
      <c r="U982" s="74">
        <v>53</v>
      </c>
      <c r="V982" s="66">
        <v>530811</v>
      </c>
      <c r="W982" s="63" t="str">
        <f>VLOOKUP(Tabla6[[#This Row],[ÍTEM PRESUPUESTARIO]],Tabla2[#All],2,0)</f>
        <v>INSUMOS, MATERIALES Y SUMINISTROS PARA CONSTRUCCIÓN, ELECTRICIDAD, PLOMERÍA, CARPINTERÍA, SEÑALIZACIÓN VIAL, NAVEGACIÓN, CONTRA INCENDIOS Y PLACAS</v>
      </c>
      <c r="X982" s="57">
        <v>0</v>
      </c>
      <c r="Y982" s="57">
        <v>100</v>
      </c>
      <c r="Z982" s="58">
        <v>0</v>
      </c>
      <c r="AA982" s="58">
        <v>0</v>
      </c>
      <c r="AB982" s="58">
        <v>50</v>
      </c>
      <c r="AC982" s="58">
        <v>0</v>
      </c>
      <c r="AD982" s="58">
        <v>0</v>
      </c>
      <c r="AE982" s="58">
        <v>0</v>
      </c>
      <c r="AF982" s="58">
        <v>0</v>
      </c>
      <c r="AG982" s="58">
        <v>0</v>
      </c>
      <c r="AH982" s="58">
        <v>0</v>
      </c>
      <c r="AI982" s="58">
        <v>0</v>
      </c>
      <c r="AJ982" s="58">
        <v>50</v>
      </c>
      <c r="AK982" s="58">
        <v>0</v>
      </c>
      <c r="AL982" s="75">
        <f>+SUBTOTAL(9,Tabla6[[#This Row],[ENE]:[DIC]])</f>
        <v>100</v>
      </c>
      <c r="AM982" s="76" t="str">
        <f t="shared" si="28"/>
        <v>OK</v>
      </c>
      <c r="AN982" s="60">
        <v>100</v>
      </c>
      <c r="AO982" s="61">
        <f>+Tabla6[[#This Row],[PRESUPUESTO VIGENTE]]-Tabla6[[#This Row],[CERTIFICACIÓN PAPP]]</f>
        <v>0</v>
      </c>
      <c r="AP982" s="59" t="s">
        <v>87</v>
      </c>
    </row>
    <row r="983" spans="1:42" ht="93" customHeight="1" x14ac:dyDescent="0.25">
      <c r="A983" s="62" t="s">
        <v>78</v>
      </c>
      <c r="B983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983" s="64" t="s">
        <v>79</v>
      </c>
      <c r="D983" s="64" t="s">
        <v>80</v>
      </c>
      <c r="E983" s="64" t="s">
        <v>81</v>
      </c>
      <c r="F983" s="64" t="s">
        <v>110</v>
      </c>
      <c r="G983" s="64" t="s">
        <v>92</v>
      </c>
      <c r="H983" s="65" t="str">
        <f>VLOOKUP(Tabla6[[#This Row],[DIRECCIÓN]],DIRECCIÓN[#All],2,0)</f>
        <v>ADMINISTRACIÓN CENTRAL</v>
      </c>
      <c r="I983" s="66" t="s">
        <v>462</v>
      </c>
      <c r="J983" s="67">
        <v>1</v>
      </c>
      <c r="K983" s="68" t="str">
        <f>VLOOKUP(Tabla6[[#This Row],[DIRECCIÓN GENERAL / COORDINACIÓN / SUBDIRECCIÓN]],Tabla37[[#All],[Columna1]:[EOD]],2,0)</f>
        <v>266_0006</v>
      </c>
      <c r="L983" s="69">
        <f>VLOOKUP(Tabla6[[#This Row],[OBJETIVOS PND]],Listas!$A$1:$C$3,3,0)</f>
        <v>1</v>
      </c>
      <c r="M983" s="70">
        <f>VLOOKUP(Tabla6[[#This Row],[PG]],Listas2!$G$14:$K$16,5,0)</f>
        <v>0</v>
      </c>
      <c r="N983" s="71">
        <v>1</v>
      </c>
      <c r="O983" s="72">
        <v>101</v>
      </c>
      <c r="P983" s="73" t="str">
        <f>VLOOKUP(Tabla6[[#This Row],[GEO]],Listas!$A$48:$B$77,2,0)</f>
        <v>CUENCA</v>
      </c>
      <c r="Q983" s="70">
        <f>VLOOKUP(Tabla6[[#This Row],[PG]],Listas2!$G$14:$K$16,3,0)</f>
        <v>1</v>
      </c>
      <c r="R983" s="73">
        <f>VLOOKUP(Tabla6[[#This Row],[PG]],Listas2!H85:'Listas2'!$G$14:$K$16,4,0)</f>
        <v>0</v>
      </c>
      <c r="S983" s="73">
        <f>VLOOKUP(Tabla6[[#This Row],[PG]],Listas2!$G$14:$K$16,2,0)</f>
        <v>0</v>
      </c>
      <c r="T983" s="66" t="s">
        <v>84</v>
      </c>
      <c r="U983" s="74">
        <v>53</v>
      </c>
      <c r="V983" s="66">
        <v>530811</v>
      </c>
      <c r="W983" s="63" t="str">
        <f>VLOOKUP(Tabla6[[#This Row],[ÍTEM PRESUPUESTARIO]],Tabla2[#All],2,0)</f>
        <v>INSUMOS, MATERIALES Y SUMINISTROS PARA CONSTRUCCIÓN, ELECTRICIDAD, PLOMERÍA, CARPINTERÍA, SEÑALIZACIÓN VIAL, NAVEGACIÓN, CONTRA INCENDIOS Y PLACAS</v>
      </c>
      <c r="X983" s="57">
        <v>5000</v>
      </c>
      <c r="Y983" s="57">
        <f>5000-2000-2900-100</f>
        <v>0</v>
      </c>
      <c r="Z983" s="58">
        <v>0</v>
      </c>
      <c r="AA983" s="58">
        <v>0</v>
      </c>
      <c r="AB983" s="58">
        <v>0</v>
      </c>
      <c r="AC983" s="58">
        <v>0</v>
      </c>
      <c r="AD983" s="58">
        <v>0</v>
      </c>
      <c r="AE983" s="58">
        <f>3000-2900-100</f>
        <v>0</v>
      </c>
      <c r="AF983" s="58">
        <v>0</v>
      </c>
      <c r="AG983" s="58">
        <v>0</v>
      </c>
      <c r="AH983" s="58">
        <v>0</v>
      </c>
      <c r="AI983" s="58">
        <v>0</v>
      </c>
      <c r="AJ983" s="58">
        <v>0</v>
      </c>
      <c r="AK983" s="58">
        <v>0</v>
      </c>
      <c r="AL983" s="75">
        <f>+SUBTOTAL(9,Tabla6[[#This Row],[ENE]:[DIC]])</f>
        <v>0</v>
      </c>
      <c r="AM983" s="76" t="str">
        <f t="shared" si="28"/>
        <v>OK</v>
      </c>
      <c r="AN983" s="60">
        <v>0</v>
      </c>
      <c r="AO983" s="61">
        <f>+Tabla6[[#This Row],[PRESUPUESTO VIGENTE]]-Tabla6[[#This Row],[CERTIFICACIÓN PAPP]]</f>
        <v>0</v>
      </c>
      <c r="AP983" s="59">
        <v>0</v>
      </c>
    </row>
    <row r="984" spans="1:42" ht="93" customHeight="1" x14ac:dyDescent="0.25">
      <c r="A984" s="62" t="s">
        <v>78</v>
      </c>
      <c r="B984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984" s="64" t="s">
        <v>79</v>
      </c>
      <c r="D984" s="64" t="s">
        <v>80</v>
      </c>
      <c r="E984" s="64" t="s">
        <v>81</v>
      </c>
      <c r="F984" s="64" t="s">
        <v>110</v>
      </c>
      <c r="G984" s="64" t="s">
        <v>92</v>
      </c>
      <c r="H984" s="65" t="str">
        <f>VLOOKUP(Tabla6[[#This Row],[DIRECCIÓN]],DIRECCIÓN[#All],2,0)</f>
        <v>ADMINISTRACIÓN CENTRAL</v>
      </c>
      <c r="I984" s="66" t="s">
        <v>463</v>
      </c>
      <c r="J984" s="67">
        <v>1</v>
      </c>
      <c r="K984" s="68" t="str">
        <f>VLOOKUP(Tabla6[[#This Row],[DIRECCIÓN GENERAL / COORDINACIÓN / SUBDIRECCIÓN]],Tabla37[[#All],[Columna1]:[EOD]],2,0)</f>
        <v>266_0006</v>
      </c>
      <c r="L984" s="69">
        <f>VLOOKUP(Tabla6[[#This Row],[OBJETIVOS PND]],Listas!$A$1:$C$3,3,0)</f>
        <v>1</v>
      </c>
      <c r="M984" s="70">
        <f>VLOOKUP(Tabla6[[#This Row],[PG]],Listas2!$G$14:$K$16,5,0)</f>
        <v>0</v>
      </c>
      <c r="N984" s="71">
        <v>1</v>
      </c>
      <c r="O984" s="72">
        <v>101</v>
      </c>
      <c r="P984" s="73" t="str">
        <f>VLOOKUP(Tabla6[[#This Row],[GEO]],Listas!$A$48:$B$77,2,0)</f>
        <v>CUENCA</v>
      </c>
      <c r="Q984" s="70">
        <f>VLOOKUP(Tabla6[[#This Row],[PG]],Listas2!$G$14:$K$16,3,0)</f>
        <v>1</v>
      </c>
      <c r="R984" s="73">
        <f>VLOOKUP(Tabla6[[#This Row],[PG]],Listas2!H86:'Listas2'!$G$14:$K$16,4,0)</f>
        <v>0</v>
      </c>
      <c r="S984" s="73">
        <f>VLOOKUP(Tabla6[[#This Row],[PG]],Listas2!$G$14:$K$16,2,0)</f>
        <v>0</v>
      </c>
      <c r="T984" s="66" t="s">
        <v>84</v>
      </c>
      <c r="U984" s="74">
        <v>53</v>
      </c>
      <c r="V984" s="66">
        <v>530811</v>
      </c>
      <c r="W984" s="63" t="str">
        <f>VLOOKUP(Tabla6[[#This Row],[ÍTEM PRESUPUESTARIO]],Tabla2[#All],2,0)</f>
        <v>INSUMOS, MATERIALES Y SUMINISTROS PARA CONSTRUCCIÓN, ELECTRICIDAD, PLOMERÍA, CARPINTERÍA, SEÑALIZACIÓN VIAL, NAVEGACIÓN, CONTRA INCENDIOS Y PLACAS</v>
      </c>
      <c r="X984" s="57">
        <v>0</v>
      </c>
      <c r="Y984" s="57">
        <f>2000-2000</f>
        <v>0</v>
      </c>
      <c r="Z984" s="58">
        <v>0</v>
      </c>
      <c r="AA984" s="58">
        <v>0</v>
      </c>
      <c r="AB984" s="58">
        <v>0</v>
      </c>
      <c r="AC984" s="58">
        <f>2000-2000</f>
        <v>0</v>
      </c>
      <c r="AD984" s="58">
        <v>0</v>
      </c>
      <c r="AE984" s="58">
        <v>0</v>
      </c>
      <c r="AF984" s="58">
        <v>0</v>
      </c>
      <c r="AG984" s="58">
        <v>0</v>
      </c>
      <c r="AH984" s="58">
        <v>0</v>
      </c>
      <c r="AI984" s="58">
        <v>0</v>
      </c>
      <c r="AJ984" s="58">
        <v>0</v>
      </c>
      <c r="AK984" s="58">
        <v>0</v>
      </c>
      <c r="AL984" s="75">
        <f>+SUBTOTAL(9,Tabla6[[#This Row],[ENE]:[DIC]])</f>
        <v>0</v>
      </c>
      <c r="AM984" s="76" t="str">
        <f t="shared" si="28"/>
        <v>OK</v>
      </c>
      <c r="AN984" s="60">
        <v>0</v>
      </c>
      <c r="AO984" s="61">
        <f>+Tabla6[[#This Row],[PRESUPUESTO VIGENTE]]-Tabla6[[#This Row],[CERTIFICACIÓN PAPP]]</f>
        <v>0</v>
      </c>
      <c r="AP984" s="59">
        <v>0</v>
      </c>
    </row>
    <row r="985" spans="1:42" ht="93" customHeight="1" x14ac:dyDescent="0.25">
      <c r="A985" s="62" t="s">
        <v>78</v>
      </c>
      <c r="B985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985" s="64" t="s">
        <v>79</v>
      </c>
      <c r="D985" s="64" t="s">
        <v>80</v>
      </c>
      <c r="E985" s="64" t="s">
        <v>81</v>
      </c>
      <c r="F985" s="64" t="s">
        <v>110</v>
      </c>
      <c r="G985" s="64" t="s">
        <v>92</v>
      </c>
      <c r="H985" s="65" t="str">
        <f>VLOOKUP(Tabla6[[#This Row],[DIRECCIÓN]],DIRECCIÓN[#All],2,0)</f>
        <v>ADMINISTRACIÓN CENTRAL</v>
      </c>
      <c r="I985" s="66" t="s">
        <v>464</v>
      </c>
      <c r="J985" s="67">
        <v>1</v>
      </c>
      <c r="K985" s="68" t="str">
        <f>VLOOKUP(Tabla6[[#This Row],[DIRECCIÓN GENERAL / COORDINACIÓN / SUBDIRECCIÓN]],Tabla37[[#All],[Columna1]:[EOD]],2,0)</f>
        <v>266_0006</v>
      </c>
      <c r="L985" s="69">
        <f>VLOOKUP(Tabla6[[#This Row],[OBJETIVOS PND]],Listas!$A$1:$C$3,3,0)</f>
        <v>1</v>
      </c>
      <c r="M985" s="70">
        <f>VLOOKUP(Tabla6[[#This Row],[PG]],Listas2!$G$14:$K$16,5,0)</f>
        <v>0</v>
      </c>
      <c r="N985" s="71">
        <v>1</v>
      </c>
      <c r="O985" s="72">
        <v>101</v>
      </c>
      <c r="P985" s="73" t="str">
        <f>VLOOKUP(Tabla6[[#This Row],[GEO]],Listas!$A$48:$B$77,2,0)</f>
        <v>CUENCA</v>
      </c>
      <c r="Q985" s="70">
        <f>VLOOKUP(Tabla6[[#This Row],[PG]],Listas2!$G$14:$K$16,3,0)</f>
        <v>1</v>
      </c>
      <c r="R985" s="73">
        <f>VLOOKUP(Tabla6[[#This Row],[PG]],Listas2!H87:'Listas2'!$G$14:$K$16,4,0)</f>
        <v>0</v>
      </c>
      <c r="S985" s="73">
        <f>VLOOKUP(Tabla6[[#This Row],[PG]],Listas2!$G$14:$K$16,2,0)</f>
        <v>0</v>
      </c>
      <c r="T985" s="66" t="s">
        <v>84</v>
      </c>
      <c r="U985" s="74">
        <v>53</v>
      </c>
      <c r="V985" s="66">
        <v>530811</v>
      </c>
      <c r="W985" s="63" t="str">
        <f>VLOOKUP(Tabla6[[#This Row],[ÍTEM PRESUPUESTARIO]],Tabla2[#All],2,0)</f>
        <v>INSUMOS, MATERIALES Y SUMINISTROS PARA CONSTRUCCIÓN, ELECTRICIDAD, PLOMERÍA, CARPINTERÍA, SEÑALIZACIÓN VIAL, NAVEGACIÓN, CONTRA INCENDIOS Y PLACAS</v>
      </c>
      <c r="X985" s="57">
        <v>0</v>
      </c>
      <c r="Y985" s="57">
        <f>200-36.96-36.96</f>
        <v>126.07999999999998</v>
      </c>
      <c r="Z985" s="58">
        <v>0</v>
      </c>
      <c r="AA985" s="58">
        <v>0</v>
      </c>
      <c r="AB985" s="58">
        <v>0</v>
      </c>
      <c r="AC985" s="58">
        <f>200-36.96-36.96</f>
        <v>126.07999999999998</v>
      </c>
      <c r="AD985" s="58">
        <v>0</v>
      </c>
      <c r="AE985" s="58">
        <v>0</v>
      </c>
      <c r="AF985" s="58">
        <v>0</v>
      </c>
      <c r="AG985" s="58">
        <v>0</v>
      </c>
      <c r="AH985" s="58">
        <v>0</v>
      </c>
      <c r="AI985" s="58">
        <v>0</v>
      </c>
      <c r="AJ985" s="58">
        <v>0</v>
      </c>
      <c r="AK985" s="58">
        <v>0</v>
      </c>
      <c r="AL985" s="75">
        <f>+SUBTOTAL(9,Tabla6[[#This Row],[ENE]:[DIC]])</f>
        <v>126.07999999999998</v>
      </c>
      <c r="AM985" s="76" t="str">
        <f t="shared" si="28"/>
        <v>OK</v>
      </c>
      <c r="AN985" s="60">
        <f>89.29+36.79</f>
        <v>126.08000000000001</v>
      </c>
      <c r="AO985" s="61">
        <f>+Tabla6[[#This Row],[PRESUPUESTO VIGENTE]]-Tabla6[[#This Row],[CERTIFICACIÓN PAPP]]</f>
        <v>0</v>
      </c>
      <c r="AP985" s="59">
        <v>0</v>
      </c>
    </row>
    <row r="986" spans="1:42" ht="93" customHeight="1" x14ac:dyDescent="0.25">
      <c r="A986" s="62" t="s">
        <v>78</v>
      </c>
      <c r="B986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986" s="64" t="s">
        <v>79</v>
      </c>
      <c r="D986" s="64" t="s">
        <v>80</v>
      </c>
      <c r="E986" s="64" t="s">
        <v>81</v>
      </c>
      <c r="F986" s="64" t="s">
        <v>110</v>
      </c>
      <c r="G986" s="64" t="s">
        <v>92</v>
      </c>
      <c r="H986" s="65" t="str">
        <f>VLOOKUP(Tabla6[[#This Row],[DIRECCIÓN]],DIRECCIÓN[#All],2,0)</f>
        <v>ADMINISTRACIÓN CENTRAL</v>
      </c>
      <c r="I986" s="66" t="s">
        <v>465</v>
      </c>
      <c r="J986" s="67">
        <v>1</v>
      </c>
      <c r="K986" s="68" t="str">
        <f>VLOOKUP(Tabla6[[#This Row],[DIRECCIÓN GENERAL / COORDINACIÓN / SUBDIRECCIÓN]],Tabla37[[#All],[Columna1]:[EOD]],2,0)</f>
        <v>266_0006</v>
      </c>
      <c r="L986" s="69">
        <f>VLOOKUP(Tabla6[[#This Row],[OBJETIVOS PND]],Listas!$A$1:$C$3,3,0)</f>
        <v>1</v>
      </c>
      <c r="M986" s="70">
        <f>VLOOKUP(Tabla6[[#This Row],[PG]],Listas2!$G$14:$K$16,5,0)</f>
        <v>0</v>
      </c>
      <c r="N986" s="71">
        <v>1</v>
      </c>
      <c r="O986" s="72">
        <v>101</v>
      </c>
      <c r="P986" s="73" t="str">
        <f>VLOOKUP(Tabla6[[#This Row],[GEO]],Listas!$A$48:$B$77,2,0)</f>
        <v>CUENCA</v>
      </c>
      <c r="Q986" s="70">
        <f>VLOOKUP(Tabla6[[#This Row],[PG]],Listas2!$G$14:$K$16,3,0)</f>
        <v>1</v>
      </c>
      <c r="R986" s="73">
        <f>VLOOKUP(Tabla6[[#This Row],[PG]],Listas2!H88:'Listas2'!$G$14:$K$16,4,0)</f>
        <v>0</v>
      </c>
      <c r="S986" s="73">
        <f>VLOOKUP(Tabla6[[#This Row],[PG]],Listas2!$G$14:$K$16,2,0)</f>
        <v>0</v>
      </c>
      <c r="T986" s="66" t="s">
        <v>84</v>
      </c>
      <c r="U986" s="74">
        <v>53</v>
      </c>
      <c r="V986" s="66">
        <v>530813</v>
      </c>
      <c r="W986" s="63" t="str">
        <f>VLOOKUP(Tabla6[[#This Row],[ÍTEM PRESUPUESTARIO]],Tabla2[#All],2,0)</f>
        <v>REPUESTOS Y ACCESORIOS</v>
      </c>
      <c r="X986" s="57">
        <v>0</v>
      </c>
      <c r="Y986" s="57">
        <f>3000-3000</f>
        <v>0</v>
      </c>
      <c r="Z986" s="58">
        <v>0</v>
      </c>
      <c r="AA986" s="58">
        <v>0</v>
      </c>
      <c r="AB986" s="58">
        <v>0</v>
      </c>
      <c r="AC986" s="58">
        <f>3000-3000</f>
        <v>0</v>
      </c>
      <c r="AD986" s="58">
        <v>0</v>
      </c>
      <c r="AE986" s="58">
        <v>0</v>
      </c>
      <c r="AF986" s="58">
        <v>0</v>
      </c>
      <c r="AG986" s="58">
        <v>0</v>
      </c>
      <c r="AH986" s="58">
        <v>0</v>
      </c>
      <c r="AI986" s="58">
        <v>0</v>
      </c>
      <c r="AJ986" s="58">
        <v>0</v>
      </c>
      <c r="AK986" s="58">
        <v>0</v>
      </c>
      <c r="AL986" s="75">
        <f>+SUBTOTAL(9,Tabla6[[#This Row],[ENE]:[DIC]])</f>
        <v>0</v>
      </c>
      <c r="AM986" s="76" t="str">
        <f t="shared" si="28"/>
        <v>OK</v>
      </c>
      <c r="AN986" s="60">
        <v>0</v>
      </c>
      <c r="AO986" s="61">
        <f>+Tabla6[[#This Row],[PRESUPUESTO VIGENTE]]-Tabla6[[#This Row],[CERTIFICACIÓN PAPP]]</f>
        <v>0</v>
      </c>
      <c r="AP986" s="59">
        <v>0</v>
      </c>
    </row>
    <row r="987" spans="1:42" ht="93" customHeight="1" x14ac:dyDescent="0.25">
      <c r="A987" s="62" t="s">
        <v>78</v>
      </c>
      <c r="B987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987" s="64" t="s">
        <v>79</v>
      </c>
      <c r="D987" s="64" t="s">
        <v>80</v>
      </c>
      <c r="E987" s="64" t="s">
        <v>81</v>
      </c>
      <c r="F987" s="64" t="s">
        <v>110</v>
      </c>
      <c r="G987" s="64" t="s">
        <v>92</v>
      </c>
      <c r="H987" s="65" t="str">
        <f>VLOOKUP(Tabla6[[#This Row],[DIRECCIÓN]],DIRECCIÓN[#All],2,0)</f>
        <v>ADMINISTRACIÓN CENTRAL</v>
      </c>
      <c r="I987" s="66" t="s">
        <v>466</v>
      </c>
      <c r="J987" s="67">
        <v>1</v>
      </c>
      <c r="K987" s="68" t="str">
        <f>VLOOKUP(Tabla6[[#This Row],[DIRECCIÓN GENERAL / COORDINACIÓN / SUBDIRECCIÓN]],Tabla37[[#All],[Columna1]:[EOD]],2,0)</f>
        <v>266_0006</v>
      </c>
      <c r="L987" s="69">
        <f>VLOOKUP(Tabla6[[#This Row],[OBJETIVOS PND]],Listas!$A$1:$C$3,3,0)</f>
        <v>1</v>
      </c>
      <c r="M987" s="70">
        <f>VLOOKUP(Tabla6[[#This Row],[PG]],Listas2!$G$14:$K$16,5,0)</f>
        <v>0</v>
      </c>
      <c r="N987" s="71">
        <v>1</v>
      </c>
      <c r="O987" s="72">
        <v>101</v>
      </c>
      <c r="P987" s="73" t="str">
        <f>VLOOKUP(Tabla6[[#This Row],[GEO]],Listas!$A$48:$B$77,2,0)</f>
        <v>CUENCA</v>
      </c>
      <c r="Q987" s="70">
        <f>VLOOKUP(Tabla6[[#This Row],[PG]],Listas2!$G$14:$K$16,3,0)</f>
        <v>1</v>
      </c>
      <c r="R987" s="73">
        <f>VLOOKUP(Tabla6[[#This Row],[PG]],Listas2!H89:'Listas2'!$G$14:$K$16,4,0)</f>
        <v>0</v>
      </c>
      <c r="S987" s="73">
        <f>VLOOKUP(Tabla6[[#This Row],[PG]],Listas2!$G$14:$K$16,2,0)</f>
        <v>0</v>
      </c>
      <c r="T987" s="66" t="s">
        <v>84</v>
      </c>
      <c r="U987" s="74">
        <v>53</v>
      </c>
      <c r="V987" s="66">
        <v>530813</v>
      </c>
      <c r="W987" s="63" t="str">
        <f>VLOOKUP(Tabla6[[#This Row],[ÍTEM PRESUPUESTARIO]],Tabla2[#All],2,0)</f>
        <v>REPUESTOS Y ACCESORIOS</v>
      </c>
      <c r="X987" s="57">
        <v>0</v>
      </c>
      <c r="Y987" s="57">
        <f>200-200</f>
        <v>0</v>
      </c>
      <c r="Z987" s="58">
        <v>0</v>
      </c>
      <c r="AA987" s="58">
        <v>0</v>
      </c>
      <c r="AB987" s="58">
        <v>0</v>
      </c>
      <c r="AC987" s="58">
        <f>200-200</f>
        <v>0</v>
      </c>
      <c r="AD987" s="58">
        <v>0</v>
      </c>
      <c r="AE987" s="58">
        <v>0</v>
      </c>
      <c r="AF987" s="58">
        <v>0</v>
      </c>
      <c r="AG987" s="58">
        <v>0</v>
      </c>
      <c r="AH987" s="58">
        <v>0</v>
      </c>
      <c r="AI987" s="58">
        <v>0</v>
      </c>
      <c r="AJ987" s="58">
        <v>0</v>
      </c>
      <c r="AK987" s="58">
        <v>0</v>
      </c>
      <c r="AL987" s="75">
        <f>+SUBTOTAL(9,Tabla6[[#This Row],[ENE]:[DIC]])</f>
        <v>0</v>
      </c>
      <c r="AM987" s="76" t="str">
        <f t="shared" si="28"/>
        <v>OK</v>
      </c>
      <c r="AN987" s="60">
        <v>0</v>
      </c>
      <c r="AO987" s="61">
        <f>+Tabla6[[#This Row],[PRESUPUESTO VIGENTE]]-Tabla6[[#This Row],[CERTIFICACIÓN PAPP]]</f>
        <v>0</v>
      </c>
      <c r="AP987" s="59">
        <v>0</v>
      </c>
    </row>
    <row r="988" spans="1:42" ht="93" customHeight="1" x14ac:dyDescent="0.25">
      <c r="A988" s="62" t="s">
        <v>78</v>
      </c>
      <c r="B988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988" s="64" t="s">
        <v>79</v>
      </c>
      <c r="D988" s="64" t="s">
        <v>80</v>
      </c>
      <c r="E988" s="64" t="s">
        <v>81</v>
      </c>
      <c r="F988" s="64" t="s">
        <v>110</v>
      </c>
      <c r="G988" s="64" t="s">
        <v>92</v>
      </c>
      <c r="H988" s="65" t="str">
        <f>VLOOKUP(Tabla6[[#This Row],[DIRECCIÓN]],DIRECCIÓN[#All],2,0)</f>
        <v>ADMINISTRACIÓN CENTRAL</v>
      </c>
      <c r="I988" s="66" t="s">
        <v>467</v>
      </c>
      <c r="J988" s="67">
        <v>1</v>
      </c>
      <c r="K988" s="68" t="str">
        <f>VLOOKUP(Tabla6[[#This Row],[DIRECCIÓN GENERAL / COORDINACIÓN / SUBDIRECCIÓN]],Tabla37[[#All],[Columna1]:[EOD]],2,0)</f>
        <v>266_0006</v>
      </c>
      <c r="L988" s="69">
        <f>VLOOKUP(Tabla6[[#This Row],[OBJETIVOS PND]],Listas!$A$1:$C$3,3,0)</f>
        <v>1</v>
      </c>
      <c r="M988" s="70">
        <f>VLOOKUP(Tabla6[[#This Row],[PG]],Listas2!$G$14:$K$16,5,0)</f>
        <v>0</v>
      </c>
      <c r="N988" s="71">
        <v>1</v>
      </c>
      <c r="O988" s="72">
        <v>101</v>
      </c>
      <c r="P988" s="73" t="str">
        <f>VLOOKUP(Tabla6[[#This Row],[GEO]],Listas!$A$48:$B$77,2,0)</f>
        <v>CUENCA</v>
      </c>
      <c r="Q988" s="70">
        <f>VLOOKUP(Tabla6[[#This Row],[PG]],Listas2!$G$14:$K$16,3,0)</f>
        <v>1</v>
      </c>
      <c r="R988" s="73">
        <f>VLOOKUP(Tabla6[[#This Row],[PG]],Listas2!H90:'Listas2'!$G$14:$K$16,4,0)</f>
        <v>0</v>
      </c>
      <c r="S988" s="73">
        <f>VLOOKUP(Tabla6[[#This Row],[PG]],Listas2!$G$14:$K$16,2,0)</f>
        <v>0</v>
      </c>
      <c r="T988" s="66" t="s">
        <v>84</v>
      </c>
      <c r="U988" s="74">
        <v>53</v>
      </c>
      <c r="V988" s="66">
        <v>530813</v>
      </c>
      <c r="W988" s="63" t="str">
        <f>VLOOKUP(Tabla6[[#This Row],[ÍTEM PRESUPUESTARIO]],Tabla2[#All],2,0)</f>
        <v>REPUESTOS Y ACCESORIOS</v>
      </c>
      <c r="X988" s="57">
        <v>2264</v>
      </c>
      <c r="Y988" s="57">
        <f>2264-2264</f>
        <v>0</v>
      </c>
      <c r="Z988" s="58">
        <v>0</v>
      </c>
      <c r="AA988" s="58">
        <v>0</v>
      </c>
      <c r="AB988" s="58">
        <v>0</v>
      </c>
      <c r="AC988" s="58">
        <v>0</v>
      </c>
      <c r="AD988" s="58">
        <v>0</v>
      </c>
      <c r="AE988" s="58">
        <v>0</v>
      </c>
      <c r="AF988" s="58">
        <v>0</v>
      </c>
      <c r="AG988" s="58">
        <v>0</v>
      </c>
      <c r="AH988" s="58">
        <v>0</v>
      </c>
      <c r="AI988" s="58">
        <v>0</v>
      </c>
      <c r="AJ988" s="58">
        <v>0</v>
      </c>
      <c r="AK988" s="58">
        <v>0</v>
      </c>
      <c r="AL988" s="75">
        <f>+SUBTOTAL(9,Tabla6[[#This Row],[ENE]:[DIC]])</f>
        <v>0</v>
      </c>
      <c r="AM988" s="76" t="str">
        <f t="shared" si="28"/>
        <v>OK</v>
      </c>
      <c r="AN988" s="60">
        <v>0</v>
      </c>
      <c r="AO988" s="61">
        <f>+Tabla6[[#This Row],[PRESUPUESTO VIGENTE]]-Tabla6[[#This Row],[CERTIFICACIÓN PAPP]]</f>
        <v>0</v>
      </c>
      <c r="AP988" s="59">
        <v>0</v>
      </c>
    </row>
    <row r="989" spans="1:42" ht="93" customHeight="1" x14ac:dyDescent="0.25">
      <c r="A989" s="62" t="s">
        <v>78</v>
      </c>
      <c r="B989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989" s="64" t="s">
        <v>79</v>
      </c>
      <c r="D989" s="64" t="s">
        <v>80</v>
      </c>
      <c r="E989" s="64" t="s">
        <v>81</v>
      </c>
      <c r="F989" s="64" t="s">
        <v>110</v>
      </c>
      <c r="G989" s="64" t="s">
        <v>92</v>
      </c>
      <c r="H989" s="65" t="str">
        <f>VLOOKUP(Tabla6[[#This Row],[DIRECCIÓN]],DIRECCIÓN[#All],2,0)</f>
        <v>ADMINISTRACIÓN CENTRAL</v>
      </c>
      <c r="I989" s="66" t="s">
        <v>468</v>
      </c>
      <c r="J989" s="67">
        <v>1</v>
      </c>
      <c r="K989" s="68" t="str">
        <f>VLOOKUP(Tabla6[[#This Row],[DIRECCIÓN GENERAL / COORDINACIÓN / SUBDIRECCIÓN]],Tabla37[[#All],[Columna1]:[EOD]],2,0)</f>
        <v>266_0006</v>
      </c>
      <c r="L989" s="69">
        <f>VLOOKUP(Tabla6[[#This Row],[OBJETIVOS PND]],Listas!$A$1:$C$3,3,0)</f>
        <v>1</v>
      </c>
      <c r="M989" s="70">
        <f>VLOOKUP(Tabla6[[#This Row],[PG]],Listas2!$G$14:$K$16,5,0)</f>
        <v>0</v>
      </c>
      <c r="N989" s="71">
        <v>1</v>
      </c>
      <c r="O989" s="72">
        <v>101</v>
      </c>
      <c r="P989" s="73" t="str">
        <f>VLOOKUP(Tabla6[[#This Row],[GEO]],Listas!$A$48:$B$77,2,0)</f>
        <v>CUENCA</v>
      </c>
      <c r="Q989" s="70">
        <f>VLOOKUP(Tabla6[[#This Row],[PG]],Listas2!$G$14:$K$16,3,0)</f>
        <v>1</v>
      </c>
      <c r="R989" s="73">
        <f>VLOOKUP(Tabla6[[#This Row],[PG]],Listas2!H91:'Listas2'!$G$14:$K$16,4,0)</f>
        <v>0</v>
      </c>
      <c r="S989" s="73">
        <f>VLOOKUP(Tabla6[[#This Row],[PG]],Listas2!$G$14:$K$16,2,0)</f>
        <v>0</v>
      </c>
      <c r="T989" s="66" t="s">
        <v>84</v>
      </c>
      <c r="U989" s="74">
        <v>53</v>
      </c>
      <c r="V989" s="66">
        <v>530813</v>
      </c>
      <c r="W989" s="63" t="str">
        <f>VLOOKUP(Tabla6[[#This Row],[ÍTEM PRESUPUESTARIO]],Tabla2[#All],2,0)</f>
        <v>REPUESTOS Y ACCESORIOS</v>
      </c>
      <c r="X989" s="57">
        <v>3000</v>
      </c>
      <c r="Y989" s="57">
        <f>3000+3000+3000-9000</f>
        <v>0</v>
      </c>
      <c r="Z989" s="58">
        <v>0</v>
      </c>
      <c r="AA989" s="58">
        <v>0</v>
      </c>
      <c r="AB989" s="58">
        <v>0</v>
      </c>
      <c r="AC989" s="58">
        <v>0</v>
      </c>
      <c r="AD989" s="58">
        <v>0</v>
      </c>
      <c r="AE989" s="58">
        <f>9000-9000</f>
        <v>0</v>
      </c>
      <c r="AF989" s="58">
        <v>0</v>
      </c>
      <c r="AG989" s="58">
        <v>0</v>
      </c>
      <c r="AH989" s="58">
        <v>0</v>
      </c>
      <c r="AI989" s="58">
        <v>0</v>
      </c>
      <c r="AJ989" s="58">
        <v>0</v>
      </c>
      <c r="AK989" s="58">
        <v>0</v>
      </c>
      <c r="AL989" s="75">
        <f>+SUBTOTAL(9,Tabla6[[#This Row],[ENE]:[DIC]])</f>
        <v>0</v>
      </c>
      <c r="AM989" s="76" t="str">
        <f t="shared" si="28"/>
        <v>OK</v>
      </c>
      <c r="AN989" s="60">
        <v>0</v>
      </c>
      <c r="AO989" s="61">
        <f>+Tabla6[[#This Row],[PRESUPUESTO VIGENTE]]-Tabla6[[#This Row],[CERTIFICACIÓN PAPP]]</f>
        <v>0</v>
      </c>
      <c r="AP989" s="59">
        <v>0</v>
      </c>
    </row>
    <row r="990" spans="1:42" ht="93" customHeight="1" x14ac:dyDescent="0.25">
      <c r="A990" s="62" t="s">
        <v>78</v>
      </c>
      <c r="B990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990" s="64" t="s">
        <v>79</v>
      </c>
      <c r="D990" s="64" t="s">
        <v>80</v>
      </c>
      <c r="E990" s="64" t="s">
        <v>81</v>
      </c>
      <c r="F990" s="64" t="s">
        <v>110</v>
      </c>
      <c r="G990" s="64" t="s">
        <v>92</v>
      </c>
      <c r="H990" s="65" t="str">
        <f>VLOOKUP(Tabla6[[#This Row],[DIRECCIÓN]],DIRECCIÓN[#All],2,0)</f>
        <v>ADMINISTRACIÓN CENTRAL</v>
      </c>
      <c r="I990" s="66" t="s">
        <v>469</v>
      </c>
      <c r="J990" s="67">
        <v>1</v>
      </c>
      <c r="K990" s="68" t="str">
        <f>VLOOKUP(Tabla6[[#This Row],[DIRECCIÓN GENERAL / COORDINACIÓN / SUBDIRECCIÓN]],Tabla37[[#All],[Columna1]:[EOD]],2,0)</f>
        <v>266_0006</v>
      </c>
      <c r="L990" s="69">
        <f>VLOOKUP(Tabla6[[#This Row],[OBJETIVOS PND]],Listas!$A$1:$C$3,3,0)</f>
        <v>1</v>
      </c>
      <c r="M990" s="70">
        <f>VLOOKUP(Tabla6[[#This Row],[PG]],Listas2!$G$14:$K$16,5,0)</f>
        <v>0</v>
      </c>
      <c r="N990" s="71">
        <v>1</v>
      </c>
      <c r="O990" s="72">
        <v>101</v>
      </c>
      <c r="P990" s="73" t="str">
        <f>VLOOKUP(Tabla6[[#This Row],[GEO]],Listas!$A$48:$B$77,2,0)</f>
        <v>CUENCA</v>
      </c>
      <c r="Q990" s="70">
        <f>VLOOKUP(Tabla6[[#This Row],[PG]],Listas2!$G$14:$K$16,3,0)</f>
        <v>1</v>
      </c>
      <c r="R990" s="73">
        <f>VLOOKUP(Tabla6[[#This Row],[PG]],Listas2!H92:'Listas2'!$G$14:$K$16,4,0)</f>
        <v>0</v>
      </c>
      <c r="S990" s="73">
        <f>VLOOKUP(Tabla6[[#This Row],[PG]],Listas2!$G$14:$K$16,2,0)</f>
        <v>0</v>
      </c>
      <c r="T990" s="66" t="s">
        <v>84</v>
      </c>
      <c r="U990" s="74">
        <v>53</v>
      </c>
      <c r="V990" s="66">
        <v>530813</v>
      </c>
      <c r="W990" s="63" t="str">
        <f>VLOOKUP(Tabla6[[#This Row],[ÍTEM PRESUPUESTARIO]],Tabla2[#All],2,0)</f>
        <v>REPUESTOS Y ACCESORIOS</v>
      </c>
      <c r="X990" s="57">
        <v>0</v>
      </c>
      <c r="Y990" s="57">
        <f>720-396.36</f>
        <v>323.64</v>
      </c>
      <c r="Z990" s="58">
        <v>0</v>
      </c>
      <c r="AA990" s="58">
        <v>0</v>
      </c>
      <c r="AB990" s="58">
        <v>0</v>
      </c>
      <c r="AC990" s="58">
        <v>0</v>
      </c>
      <c r="AD990" s="58">
        <v>0</v>
      </c>
      <c r="AE990" s="58">
        <v>0</v>
      </c>
      <c r="AF990" s="58">
        <v>0</v>
      </c>
      <c r="AG990" s="58">
        <v>0</v>
      </c>
      <c r="AH990" s="58">
        <v>0</v>
      </c>
      <c r="AI990" s="58">
        <f>720-396.36</f>
        <v>323.64</v>
      </c>
      <c r="AJ990" s="58">
        <v>0</v>
      </c>
      <c r="AK990" s="58">
        <v>0</v>
      </c>
      <c r="AL990" s="75">
        <f>+SUBTOTAL(9,Tabla6[[#This Row],[ENE]:[DIC]])</f>
        <v>323.64</v>
      </c>
      <c r="AM990" s="76" t="str">
        <f t="shared" si="28"/>
        <v>OK</v>
      </c>
      <c r="AN990" s="60">
        <v>323.64</v>
      </c>
      <c r="AO990" s="61">
        <f>+Tabla6[[#This Row],[PRESUPUESTO VIGENTE]]-Tabla6[[#This Row],[CERTIFICACIÓN PAPP]]</f>
        <v>0</v>
      </c>
      <c r="AP990" s="59">
        <v>0</v>
      </c>
    </row>
    <row r="991" spans="1:42" ht="93" customHeight="1" x14ac:dyDescent="0.25">
      <c r="A991" s="62" t="s">
        <v>78</v>
      </c>
      <c r="B991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991" s="64" t="s">
        <v>79</v>
      </c>
      <c r="D991" s="64" t="s">
        <v>80</v>
      </c>
      <c r="E991" s="64" t="s">
        <v>81</v>
      </c>
      <c r="F991" s="64" t="s">
        <v>110</v>
      </c>
      <c r="G991" s="64" t="s">
        <v>92</v>
      </c>
      <c r="H991" s="65" t="str">
        <f>VLOOKUP(Tabla6[[#This Row],[DIRECCIÓN]],DIRECCIÓN[#All],2,0)</f>
        <v>ADMINISTRACIÓN CENTRAL</v>
      </c>
      <c r="I991" s="66" t="s">
        <v>461</v>
      </c>
      <c r="J991" s="67">
        <v>1</v>
      </c>
      <c r="K991" s="68" t="str">
        <f>VLOOKUP(Tabla6[[#This Row],[DIRECCIÓN GENERAL / COORDINACIÓN / SUBDIRECCIÓN]],Tabla37[[#All],[Columna1]:[EOD]],2,0)</f>
        <v>266_0006</v>
      </c>
      <c r="L991" s="69">
        <f>VLOOKUP(Tabla6[[#This Row],[OBJETIVOS PND]],Listas!$A$1:$C$3,3,0)</f>
        <v>1</v>
      </c>
      <c r="M991" s="70">
        <f>VLOOKUP(Tabla6[[#This Row],[PG]],Listas2!$G$14:$K$16,5,0)</f>
        <v>0</v>
      </c>
      <c r="N991" s="71">
        <v>1</v>
      </c>
      <c r="O991" s="72">
        <v>101</v>
      </c>
      <c r="P991" s="73" t="str">
        <f>VLOOKUP(Tabla6[[#This Row],[GEO]],Listas!$A$48:$B$77,2,0)</f>
        <v>CUENCA</v>
      </c>
      <c r="Q991" s="70">
        <f>VLOOKUP(Tabla6[[#This Row],[PG]],Listas2!$G$14:$K$16,3,0)</f>
        <v>1</v>
      </c>
      <c r="R991" s="73">
        <f>VLOOKUP(Tabla6[[#This Row],[PG]],Listas2!H93:'Listas2'!$G$14:$K$16,4,0)</f>
        <v>0</v>
      </c>
      <c r="S991" s="73">
        <f>VLOOKUP(Tabla6[[#This Row],[PG]],Listas2!$G$14:$K$16,2,0)</f>
        <v>0</v>
      </c>
      <c r="T991" s="66" t="s">
        <v>84</v>
      </c>
      <c r="U991" s="74">
        <v>53</v>
      </c>
      <c r="V991" s="66">
        <v>530820</v>
      </c>
      <c r="W991" s="63" t="str">
        <f>VLOOKUP(Tabla6[[#This Row],[ÍTEM PRESUPUESTARIO]],Tabla2[#All],2,0)</f>
        <v>MENAJE Y ACCESORIOS DESCARTABLES</v>
      </c>
      <c r="X991" s="57">
        <v>0</v>
      </c>
      <c r="Y991" s="57">
        <f>250-75.68</f>
        <v>174.32</v>
      </c>
      <c r="Z991" s="58">
        <v>0</v>
      </c>
      <c r="AA991" s="58">
        <v>0</v>
      </c>
      <c r="AB991" s="58">
        <v>0</v>
      </c>
      <c r="AC991" s="58">
        <v>0</v>
      </c>
      <c r="AD991" s="58">
        <v>0</v>
      </c>
      <c r="AE991" s="58">
        <v>0</v>
      </c>
      <c r="AF991" s="58">
        <v>0</v>
      </c>
      <c r="AG991" s="58">
        <v>0</v>
      </c>
      <c r="AH991" s="58">
        <v>0</v>
      </c>
      <c r="AI991" s="58">
        <v>0</v>
      </c>
      <c r="AJ991" s="58">
        <f>250-75.68</f>
        <v>174.32</v>
      </c>
      <c r="AK991" s="58">
        <v>0</v>
      </c>
      <c r="AL991" s="75">
        <f>+SUBTOTAL(9,Tabla6[[#This Row],[ENE]:[DIC]])</f>
        <v>174.32</v>
      </c>
      <c r="AM991" s="76" t="str">
        <f t="shared" si="28"/>
        <v>OK</v>
      </c>
      <c r="AN991" s="60">
        <v>174.32</v>
      </c>
      <c r="AO991" s="61">
        <f>+Tabla6[[#This Row],[PRESUPUESTO VIGENTE]]-Tabla6[[#This Row],[CERTIFICACIÓN PAPP]]</f>
        <v>0</v>
      </c>
      <c r="AP991" s="59">
        <v>0</v>
      </c>
    </row>
    <row r="992" spans="1:42" ht="93" customHeight="1" x14ac:dyDescent="0.25">
      <c r="A992" s="62" t="s">
        <v>78</v>
      </c>
      <c r="B992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992" s="64" t="s">
        <v>79</v>
      </c>
      <c r="D992" s="64" t="s">
        <v>80</v>
      </c>
      <c r="E992" s="64" t="s">
        <v>81</v>
      </c>
      <c r="F992" s="64" t="s">
        <v>110</v>
      </c>
      <c r="G992" s="64" t="s">
        <v>92</v>
      </c>
      <c r="H992" s="65" t="str">
        <f>VLOOKUP(Tabla6[[#This Row],[DIRECCIÓN]],DIRECCIÓN[#All],2,0)</f>
        <v>ADMINISTRACIÓN CENTRAL</v>
      </c>
      <c r="I992" s="66" t="s">
        <v>461</v>
      </c>
      <c r="J992" s="67">
        <v>1</v>
      </c>
      <c r="K992" s="68" t="str">
        <f>VLOOKUP(Tabla6[[#This Row],[DIRECCIÓN GENERAL / COORDINACIÓN / SUBDIRECCIÓN]],Tabla37[[#All],[Columna1]:[EOD]],2,0)</f>
        <v>266_0006</v>
      </c>
      <c r="L992" s="69">
        <f>VLOOKUP(Tabla6[[#This Row],[OBJETIVOS PND]],Listas!$A$1:$C$3,3,0)</f>
        <v>1</v>
      </c>
      <c r="M992" s="70">
        <f>VLOOKUP(Tabla6[[#This Row],[PG]],Listas2!$G$14:$K$16,5,0)</f>
        <v>0</v>
      </c>
      <c r="N992" s="71">
        <v>1</v>
      </c>
      <c r="O992" s="72">
        <v>101</v>
      </c>
      <c r="P992" s="73" t="str">
        <f>VLOOKUP(Tabla6[[#This Row],[GEO]],Listas!$A$48:$B$77,2,0)</f>
        <v>CUENCA</v>
      </c>
      <c r="Q992" s="70">
        <f>VLOOKUP(Tabla6[[#This Row],[PG]],Listas2!$G$14:$K$16,3,0)</f>
        <v>1</v>
      </c>
      <c r="R992" s="73">
        <f>VLOOKUP(Tabla6[[#This Row],[PG]],Listas2!H94:'Listas2'!$G$14:$K$16,4,0)</f>
        <v>0</v>
      </c>
      <c r="S992" s="73">
        <f>VLOOKUP(Tabla6[[#This Row],[PG]],Listas2!$G$14:$K$16,2,0)</f>
        <v>0</v>
      </c>
      <c r="T992" s="66" t="s">
        <v>84</v>
      </c>
      <c r="U992" s="74">
        <v>53</v>
      </c>
      <c r="V992" s="66">
        <v>530826</v>
      </c>
      <c r="W992" s="63" t="str">
        <f>VLOOKUP(Tabla6[[#This Row],[ÍTEM PRESUPUESTARIO]],Tabla2[#All],2,0)</f>
        <v>DISPOSITIVOS MÉDICOS DE USO GENERAL</v>
      </c>
      <c r="X992" s="57">
        <v>0</v>
      </c>
      <c r="Y992" s="57">
        <f>900-589.96</f>
        <v>310.03999999999996</v>
      </c>
      <c r="Z992" s="58">
        <v>0</v>
      </c>
      <c r="AA992" s="58">
        <v>0</v>
      </c>
      <c r="AB992" s="58">
        <v>0</v>
      </c>
      <c r="AC992" s="58">
        <v>0</v>
      </c>
      <c r="AD992" s="58">
        <v>0</v>
      </c>
      <c r="AE992" s="58">
        <v>0</v>
      </c>
      <c r="AF992" s="58">
        <v>0</v>
      </c>
      <c r="AG992" s="58">
        <v>0</v>
      </c>
      <c r="AH992" s="58">
        <v>0</v>
      </c>
      <c r="AI992" s="58">
        <v>0</v>
      </c>
      <c r="AJ992" s="58">
        <f>900-589.96</f>
        <v>310.03999999999996</v>
      </c>
      <c r="AK992" s="58">
        <v>0</v>
      </c>
      <c r="AL992" s="75">
        <f>+SUBTOTAL(9,Tabla6[[#This Row],[ENE]:[DIC]])</f>
        <v>310.03999999999996</v>
      </c>
      <c r="AM992" s="76" t="str">
        <f t="shared" si="28"/>
        <v>OK</v>
      </c>
      <c r="AN992" s="60">
        <v>310.04000000000002</v>
      </c>
      <c r="AO992" s="61">
        <f>+Tabla6[[#This Row],[PRESUPUESTO VIGENTE]]-Tabla6[[#This Row],[CERTIFICACIÓN PAPP]]</f>
        <v>0</v>
      </c>
      <c r="AP992" s="59">
        <v>0</v>
      </c>
    </row>
    <row r="993" spans="1:42" ht="93" customHeight="1" x14ac:dyDescent="0.25">
      <c r="A993" s="62" t="s">
        <v>78</v>
      </c>
      <c r="B993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993" s="64" t="s">
        <v>79</v>
      </c>
      <c r="D993" s="64" t="s">
        <v>80</v>
      </c>
      <c r="E993" s="64" t="s">
        <v>81</v>
      </c>
      <c r="F993" s="64" t="s">
        <v>110</v>
      </c>
      <c r="G993" s="64" t="s">
        <v>92</v>
      </c>
      <c r="H993" s="65" t="str">
        <f>VLOOKUP(Tabla6[[#This Row],[DIRECCIÓN]],DIRECCIÓN[#All],2,0)</f>
        <v>ADMINISTRACIÓN CENTRAL</v>
      </c>
      <c r="I993" s="66" t="s">
        <v>459</v>
      </c>
      <c r="J993" s="67">
        <v>1</v>
      </c>
      <c r="K993" s="68" t="str">
        <f>VLOOKUP(Tabla6[[#This Row],[DIRECCIÓN GENERAL / COORDINACIÓN / SUBDIRECCIÓN]],Tabla37[[#All],[Columna1]:[EOD]],2,0)</f>
        <v>266_0006</v>
      </c>
      <c r="L993" s="69">
        <f>VLOOKUP(Tabla6[[#This Row],[OBJETIVOS PND]],Listas!$A$1:$C$3,3,0)</f>
        <v>1</v>
      </c>
      <c r="M993" s="70">
        <f>VLOOKUP(Tabla6[[#This Row],[PG]],Listas2!$G$14:$K$16,5,0)</f>
        <v>0</v>
      </c>
      <c r="N993" s="71">
        <v>1</v>
      </c>
      <c r="O993" s="72">
        <v>101</v>
      </c>
      <c r="P993" s="73" t="str">
        <f>VLOOKUP(Tabla6[[#This Row],[GEO]],Listas!$A$48:$B$77,2,0)</f>
        <v>CUENCA</v>
      </c>
      <c r="Q993" s="70">
        <f>VLOOKUP(Tabla6[[#This Row],[PG]],Listas2!$G$14:$K$16,3,0)</f>
        <v>1</v>
      </c>
      <c r="R993" s="73">
        <f>VLOOKUP(Tabla6[[#This Row],[PG]],Listas2!H95:'Listas2'!$G$14:$K$16,4,0)</f>
        <v>0</v>
      </c>
      <c r="S993" s="73">
        <f>VLOOKUP(Tabla6[[#This Row],[PG]],Listas2!$G$14:$K$16,2,0)</f>
        <v>0</v>
      </c>
      <c r="T993" s="66" t="s">
        <v>84</v>
      </c>
      <c r="U993" s="74">
        <v>53</v>
      </c>
      <c r="V993" s="66">
        <v>531403</v>
      </c>
      <c r="W993" s="63" t="str">
        <f>VLOOKUP(Tabla6[[#This Row],[ÍTEM PRESUPUESTARIO]],Tabla2[#All],2,0)</f>
        <v xml:space="preserve">MOBILIARIO </v>
      </c>
      <c r="X993" s="57">
        <v>0</v>
      </c>
      <c r="Y993" s="57">
        <f>550-14-14</f>
        <v>522</v>
      </c>
      <c r="Z993" s="58">
        <v>0</v>
      </c>
      <c r="AA993" s="58">
        <v>0</v>
      </c>
      <c r="AB993" s="58">
        <v>0</v>
      </c>
      <c r="AC993" s="58">
        <v>0</v>
      </c>
      <c r="AD993" s="58">
        <v>0</v>
      </c>
      <c r="AE993" s="58">
        <f>550-14-14</f>
        <v>522</v>
      </c>
      <c r="AF993" s="58">
        <v>0</v>
      </c>
      <c r="AG993" s="58">
        <v>0</v>
      </c>
      <c r="AH993" s="58">
        <v>0</v>
      </c>
      <c r="AI993" s="58">
        <v>0</v>
      </c>
      <c r="AJ993" s="58">
        <v>0</v>
      </c>
      <c r="AK993" s="58">
        <v>0</v>
      </c>
      <c r="AL993" s="75">
        <f>+SUBTOTAL(9,Tabla6[[#This Row],[ENE]:[DIC]])</f>
        <v>522</v>
      </c>
      <c r="AM993" s="76" t="str">
        <f t="shared" si="28"/>
        <v>OK</v>
      </c>
      <c r="AN993" s="60">
        <v>522</v>
      </c>
      <c r="AO993" s="61">
        <f>+Tabla6[[#This Row],[PRESUPUESTO VIGENTE]]-Tabla6[[#This Row],[CERTIFICACIÓN PAPP]]</f>
        <v>0</v>
      </c>
      <c r="AP993" s="59">
        <v>0</v>
      </c>
    </row>
    <row r="994" spans="1:42" ht="93" customHeight="1" x14ac:dyDescent="0.25">
      <c r="A994" s="62" t="s">
        <v>78</v>
      </c>
      <c r="B994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994" s="64" t="s">
        <v>79</v>
      </c>
      <c r="D994" s="64" t="s">
        <v>80</v>
      </c>
      <c r="E994" s="64" t="s">
        <v>81</v>
      </c>
      <c r="F994" s="64" t="s">
        <v>110</v>
      </c>
      <c r="G994" s="64" t="s">
        <v>92</v>
      </c>
      <c r="H994" s="65" t="str">
        <f>VLOOKUP(Tabla6[[#This Row],[DIRECCIÓN]],DIRECCIÓN[#All],2,0)</f>
        <v>ADMINISTRACIÓN CENTRAL</v>
      </c>
      <c r="I994" s="66" t="s">
        <v>470</v>
      </c>
      <c r="J994" s="67">
        <v>1</v>
      </c>
      <c r="K994" s="68" t="str">
        <f>VLOOKUP(Tabla6[[#This Row],[DIRECCIÓN GENERAL / COORDINACIÓN / SUBDIRECCIÓN]],Tabla37[[#All],[Columna1]:[EOD]],2,0)</f>
        <v>266_0006</v>
      </c>
      <c r="L994" s="69">
        <f>VLOOKUP(Tabla6[[#This Row],[OBJETIVOS PND]],Listas!$A$1:$C$3,3,0)</f>
        <v>1</v>
      </c>
      <c r="M994" s="70">
        <f>VLOOKUP(Tabla6[[#This Row],[PG]],Listas2!$G$14:$K$16,5,0)</f>
        <v>0</v>
      </c>
      <c r="N994" s="71">
        <v>1</v>
      </c>
      <c r="O994" s="72">
        <v>101</v>
      </c>
      <c r="P994" s="73" t="str">
        <f>VLOOKUP(Tabla6[[#This Row],[GEO]],Listas!$A$48:$B$77,2,0)</f>
        <v>CUENCA</v>
      </c>
      <c r="Q994" s="70">
        <f>VLOOKUP(Tabla6[[#This Row],[PG]],Listas2!$G$14:$K$16,3,0)</f>
        <v>1</v>
      </c>
      <c r="R994" s="73">
        <f>VLOOKUP(Tabla6[[#This Row],[PG]],Listas2!H96:'Listas2'!$G$14:$K$16,4,0)</f>
        <v>0</v>
      </c>
      <c r="S994" s="73">
        <f>VLOOKUP(Tabla6[[#This Row],[PG]],Listas2!$G$14:$K$16,2,0)</f>
        <v>0</v>
      </c>
      <c r="T994" s="66" t="s">
        <v>84</v>
      </c>
      <c r="U994" s="74">
        <v>53</v>
      </c>
      <c r="V994" s="66">
        <v>531403</v>
      </c>
      <c r="W994" s="63" t="str">
        <f>VLOOKUP(Tabla6[[#This Row],[ÍTEM PRESUPUESTARIO]],Tabla2[#All],2,0)</f>
        <v xml:space="preserve">MOBILIARIO </v>
      </c>
      <c r="X994" s="57">
        <v>0</v>
      </c>
      <c r="Y994" s="57">
        <f>200-200</f>
        <v>0</v>
      </c>
      <c r="Z994" s="58">
        <v>0</v>
      </c>
      <c r="AA994" s="58">
        <v>0</v>
      </c>
      <c r="AB994" s="58">
        <v>0</v>
      </c>
      <c r="AC994" s="58">
        <v>0</v>
      </c>
      <c r="AD994" s="58">
        <v>0</v>
      </c>
      <c r="AE994" s="58">
        <v>0</v>
      </c>
      <c r="AF994" s="58">
        <v>0</v>
      </c>
      <c r="AG994" s="58">
        <v>0</v>
      </c>
      <c r="AH994" s="58">
        <v>0</v>
      </c>
      <c r="AI994" s="58">
        <v>0</v>
      </c>
      <c r="AJ994" s="58">
        <f>200-200</f>
        <v>0</v>
      </c>
      <c r="AK994" s="58">
        <v>0</v>
      </c>
      <c r="AL994" s="75">
        <f>+SUBTOTAL(9,Tabla6[[#This Row],[ENE]:[DIC]])</f>
        <v>0</v>
      </c>
      <c r="AM994" s="76" t="str">
        <f t="shared" si="28"/>
        <v>OK</v>
      </c>
      <c r="AN994" s="60">
        <v>0</v>
      </c>
      <c r="AO994" s="61">
        <f>+Tabla6[[#This Row],[PRESUPUESTO VIGENTE]]-Tabla6[[#This Row],[CERTIFICACIÓN PAPP]]</f>
        <v>0</v>
      </c>
      <c r="AP994" s="59">
        <v>0</v>
      </c>
    </row>
    <row r="995" spans="1:42" ht="93" customHeight="1" x14ac:dyDescent="0.25">
      <c r="A995" s="62" t="s">
        <v>78</v>
      </c>
      <c r="B995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995" s="64" t="s">
        <v>79</v>
      </c>
      <c r="D995" s="64" t="s">
        <v>80</v>
      </c>
      <c r="E995" s="64" t="s">
        <v>81</v>
      </c>
      <c r="F995" s="64" t="s">
        <v>110</v>
      </c>
      <c r="G995" s="64" t="s">
        <v>92</v>
      </c>
      <c r="H995" s="65" t="str">
        <f>VLOOKUP(Tabla6[[#This Row],[DIRECCIÓN]],DIRECCIÓN[#All],2,0)</f>
        <v>ADMINISTRACIÓN CENTRAL</v>
      </c>
      <c r="I995" s="66" t="s">
        <v>471</v>
      </c>
      <c r="J995" s="67">
        <v>1</v>
      </c>
      <c r="K995" s="68" t="str">
        <f>VLOOKUP(Tabla6[[#This Row],[DIRECCIÓN GENERAL / COORDINACIÓN / SUBDIRECCIÓN]],Tabla37[[#All],[Columna1]:[EOD]],2,0)</f>
        <v>266_0006</v>
      </c>
      <c r="L995" s="69">
        <f>VLOOKUP(Tabla6[[#This Row],[OBJETIVOS PND]],Listas!$A$1:$C$3,3,0)</f>
        <v>1</v>
      </c>
      <c r="M995" s="70">
        <f>VLOOKUP(Tabla6[[#This Row],[PG]],Listas2!$G$14:$K$16,5,0)</f>
        <v>0</v>
      </c>
      <c r="N995" s="71">
        <v>1</v>
      </c>
      <c r="O995" s="72">
        <v>101</v>
      </c>
      <c r="P995" s="73" t="str">
        <f>VLOOKUP(Tabla6[[#This Row],[GEO]],Listas!$A$48:$B$77,2,0)</f>
        <v>CUENCA</v>
      </c>
      <c r="Q995" s="70">
        <f>VLOOKUP(Tabla6[[#This Row],[PG]],Listas2!$G$14:$K$16,3,0)</f>
        <v>1</v>
      </c>
      <c r="R995" s="73">
        <f>VLOOKUP(Tabla6[[#This Row],[PG]],Listas2!H97:'Listas2'!$G$14:$K$16,4,0)</f>
        <v>0</v>
      </c>
      <c r="S995" s="73">
        <f>VLOOKUP(Tabla6[[#This Row],[PG]],Listas2!$G$14:$K$16,2,0)</f>
        <v>0</v>
      </c>
      <c r="T995" s="66" t="s">
        <v>84</v>
      </c>
      <c r="U995" s="74">
        <v>53</v>
      </c>
      <c r="V995" s="66">
        <v>531404</v>
      </c>
      <c r="W995" s="63" t="str">
        <f>VLOOKUP(Tabla6[[#This Row],[ÍTEM PRESUPUESTARIO]],Tabla2[#All],2,0)</f>
        <v>MAQUINARIAS Y EQUIPOS</v>
      </c>
      <c r="X995" s="57">
        <v>462</v>
      </c>
      <c r="Y995" s="57">
        <f>462-66-66</f>
        <v>330</v>
      </c>
      <c r="Z995" s="58">
        <v>0</v>
      </c>
      <c r="AA995" s="58">
        <v>0</v>
      </c>
      <c r="AB995" s="58">
        <v>0</v>
      </c>
      <c r="AC995" s="58">
        <v>0</v>
      </c>
      <c r="AD995" s="58">
        <v>0</v>
      </c>
      <c r="AE995" s="58">
        <f>462-66-66</f>
        <v>330</v>
      </c>
      <c r="AF995" s="58">
        <v>0</v>
      </c>
      <c r="AG995" s="58">
        <v>0</v>
      </c>
      <c r="AH995" s="58">
        <v>0</v>
      </c>
      <c r="AI995" s="58">
        <v>0</v>
      </c>
      <c r="AJ995" s="58">
        <v>0</v>
      </c>
      <c r="AK995" s="58">
        <v>0</v>
      </c>
      <c r="AL995" s="75">
        <f>+SUBTOTAL(9,Tabla6[[#This Row],[ENE]:[DIC]])</f>
        <v>330</v>
      </c>
      <c r="AM995" s="76" t="str">
        <f t="shared" si="28"/>
        <v>OK</v>
      </c>
      <c r="AN995" s="60">
        <v>330</v>
      </c>
      <c r="AO995" s="61">
        <f>+Tabla6[[#This Row],[PRESUPUESTO VIGENTE]]-Tabla6[[#This Row],[CERTIFICACIÓN PAPP]]</f>
        <v>0</v>
      </c>
      <c r="AP995" s="59" t="s">
        <v>87</v>
      </c>
    </row>
    <row r="996" spans="1:42" ht="93" customHeight="1" x14ac:dyDescent="0.25">
      <c r="A996" s="62" t="s">
        <v>78</v>
      </c>
      <c r="B996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996" s="64" t="s">
        <v>79</v>
      </c>
      <c r="D996" s="64" t="s">
        <v>80</v>
      </c>
      <c r="E996" s="64" t="s">
        <v>81</v>
      </c>
      <c r="F996" s="64" t="s">
        <v>110</v>
      </c>
      <c r="G996" s="64" t="s">
        <v>92</v>
      </c>
      <c r="H996" s="65" t="str">
        <f>VLOOKUP(Tabla6[[#This Row],[DIRECCIÓN]],DIRECCIÓN[#All],2,0)</f>
        <v>ADMINISTRACIÓN CENTRAL</v>
      </c>
      <c r="I996" s="66" t="s">
        <v>472</v>
      </c>
      <c r="J996" s="67">
        <v>1</v>
      </c>
      <c r="K996" s="68" t="str">
        <f>VLOOKUP(Tabla6[[#This Row],[DIRECCIÓN GENERAL / COORDINACIÓN / SUBDIRECCIÓN]],Tabla37[[#All],[Columna1]:[EOD]],2,0)</f>
        <v>266_0006</v>
      </c>
      <c r="L996" s="69">
        <f>VLOOKUP(Tabla6[[#This Row],[OBJETIVOS PND]],Listas!$A$1:$C$3,3,0)</f>
        <v>1</v>
      </c>
      <c r="M996" s="70">
        <f>VLOOKUP(Tabla6[[#This Row],[PG]],Listas2!$G$14:$K$16,5,0)</f>
        <v>0</v>
      </c>
      <c r="N996" s="71">
        <v>1</v>
      </c>
      <c r="O996" s="72">
        <v>101</v>
      </c>
      <c r="P996" s="73" t="str">
        <f>VLOOKUP(Tabla6[[#This Row],[GEO]],Listas!$A$48:$B$77,2,0)</f>
        <v>CUENCA</v>
      </c>
      <c r="Q996" s="70">
        <f>VLOOKUP(Tabla6[[#This Row],[PG]],Listas2!$G$14:$K$16,3,0)</f>
        <v>1</v>
      </c>
      <c r="R996" s="73">
        <f>VLOOKUP(Tabla6[[#This Row],[PG]],Listas2!H98:'Listas2'!$G$14:$K$16,4,0)</f>
        <v>0</v>
      </c>
      <c r="S996" s="73">
        <f>VLOOKUP(Tabla6[[#This Row],[PG]],Listas2!$G$14:$K$16,2,0)</f>
        <v>0</v>
      </c>
      <c r="T996" s="66" t="s">
        <v>84</v>
      </c>
      <c r="U996" s="74">
        <v>53</v>
      </c>
      <c r="V996" s="66">
        <v>531404</v>
      </c>
      <c r="W996" s="63" t="str">
        <f>VLOOKUP(Tabla6[[#This Row],[ÍTEM PRESUPUESTARIO]],Tabla2[#All],2,0)</f>
        <v>MAQUINARIAS Y EQUIPOS</v>
      </c>
      <c r="X996" s="57">
        <v>0</v>
      </c>
      <c r="Y996" s="57">
        <f>2400-168</f>
        <v>2232</v>
      </c>
      <c r="Z996" s="58">
        <v>0</v>
      </c>
      <c r="AA996" s="58">
        <v>0</v>
      </c>
      <c r="AB996" s="58">
        <v>0</v>
      </c>
      <c r="AC996" s="58">
        <v>0</v>
      </c>
      <c r="AD996" s="58">
        <v>0</v>
      </c>
      <c r="AE996" s="58">
        <v>0</v>
      </c>
      <c r="AF996" s="58">
        <v>0</v>
      </c>
      <c r="AG996" s="58">
        <v>0</v>
      </c>
      <c r="AH996" s="58">
        <v>0</v>
      </c>
      <c r="AI996" s="58">
        <v>0</v>
      </c>
      <c r="AJ996" s="58">
        <f>2400-168</f>
        <v>2232</v>
      </c>
      <c r="AK996" s="58">
        <v>0</v>
      </c>
      <c r="AL996" s="75">
        <f>+SUBTOTAL(9,Tabla6[[#This Row],[ENE]:[DIC]])</f>
        <v>2232</v>
      </c>
      <c r="AM996" s="76" t="str">
        <f t="shared" si="28"/>
        <v>OK</v>
      </c>
      <c r="AN996" s="60">
        <v>2232</v>
      </c>
      <c r="AO996" s="61">
        <f>+Tabla6[[#This Row],[PRESUPUESTO VIGENTE]]-Tabla6[[#This Row],[CERTIFICACIÓN PAPP]]</f>
        <v>0</v>
      </c>
      <c r="AP996" s="59">
        <v>0</v>
      </c>
    </row>
    <row r="997" spans="1:42" ht="93" customHeight="1" x14ac:dyDescent="0.25">
      <c r="A997" s="62" t="s">
        <v>78</v>
      </c>
      <c r="B997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997" s="64" t="s">
        <v>79</v>
      </c>
      <c r="D997" s="64" t="s">
        <v>80</v>
      </c>
      <c r="E997" s="64" t="s">
        <v>81</v>
      </c>
      <c r="F997" s="64" t="s">
        <v>110</v>
      </c>
      <c r="G997" s="64" t="s">
        <v>92</v>
      </c>
      <c r="H997" s="65" t="str">
        <f>VLOOKUP(Tabla6[[#This Row],[DIRECCIÓN]],DIRECCIÓN[#All],2,0)</f>
        <v>ADMINISTRACIÓN CENTRAL</v>
      </c>
      <c r="I997" s="66" t="s">
        <v>473</v>
      </c>
      <c r="J997" s="67">
        <v>1</v>
      </c>
      <c r="K997" s="68" t="str">
        <f>VLOOKUP(Tabla6[[#This Row],[DIRECCIÓN GENERAL / COORDINACIÓN / SUBDIRECCIÓN]],Tabla37[[#All],[Columna1]:[EOD]],2,0)</f>
        <v>266_0006</v>
      </c>
      <c r="L997" s="69">
        <f>VLOOKUP(Tabla6[[#This Row],[OBJETIVOS PND]],Listas!$A$1:$C$3,3,0)</f>
        <v>1</v>
      </c>
      <c r="M997" s="70">
        <f>VLOOKUP(Tabla6[[#This Row],[PG]],Listas2!$G$14:$K$16,5,0)</f>
        <v>0</v>
      </c>
      <c r="N997" s="71">
        <v>1</v>
      </c>
      <c r="O997" s="72">
        <v>101</v>
      </c>
      <c r="P997" s="73" t="str">
        <f>VLOOKUP(Tabla6[[#This Row],[GEO]],Listas!$A$48:$B$77,2,0)</f>
        <v>CUENCA</v>
      </c>
      <c r="Q997" s="70">
        <f>VLOOKUP(Tabla6[[#This Row],[PG]],Listas2!$G$14:$K$16,3,0)</f>
        <v>1</v>
      </c>
      <c r="R997" s="73">
        <f>VLOOKUP(Tabla6[[#This Row],[PG]],Listas2!H99:'Listas2'!$G$14:$K$16,4,0)</f>
        <v>0</v>
      </c>
      <c r="S997" s="73">
        <f>VLOOKUP(Tabla6[[#This Row],[PG]],Listas2!$G$14:$K$16,2,0)</f>
        <v>0</v>
      </c>
      <c r="T997" s="66" t="s">
        <v>84</v>
      </c>
      <c r="U997" s="74">
        <v>53</v>
      </c>
      <c r="V997" s="66">
        <v>531404</v>
      </c>
      <c r="W997" s="63" t="str">
        <f>VLOOKUP(Tabla6[[#This Row],[ÍTEM PRESUPUESTARIO]],Tabla2[#All],2,0)</f>
        <v>MAQUINARIAS Y EQUIPOS</v>
      </c>
      <c r="X997" s="57">
        <v>0</v>
      </c>
      <c r="Y997" s="57">
        <f>4250-750</f>
        <v>3500</v>
      </c>
      <c r="Z997" s="58">
        <v>0</v>
      </c>
      <c r="AA997" s="58">
        <v>0</v>
      </c>
      <c r="AB997" s="58">
        <v>0</v>
      </c>
      <c r="AC997" s="58">
        <v>0</v>
      </c>
      <c r="AD997" s="58">
        <v>0</v>
      </c>
      <c r="AE997" s="58">
        <v>0</v>
      </c>
      <c r="AF997" s="58">
        <v>0</v>
      </c>
      <c r="AG997" s="58">
        <v>0</v>
      </c>
      <c r="AH997" s="58">
        <v>0</v>
      </c>
      <c r="AI997" s="58">
        <v>0</v>
      </c>
      <c r="AJ997" s="58">
        <f>4250-750</f>
        <v>3500</v>
      </c>
      <c r="AK997" s="58">
        <v>0</v>
      </c>
      <c r="AL997" s="75">
        <f>+SUBTOTAL(9,Tabla6[[#This Row],[ENE]:[DIC]])</f>
        <v>3500</v>
      </c>
      <c r="AM997" s="76" t="str">
        <f t="shared" si="28"/>
        <v>OK</v>
      </c>
      <c r="AN997" s="60">
        <v>3500</v>
      </c>
      <c r="AO997" s="61">
        <f>+Tabla6[[#This Row],[PRESUPUESTO VIGENTE]]-Tabla6[[#This Row],[CERTIFICACIÓN PAPP]]</f>
        <v>0</v>
      </c>
      <c r="AP997" s="59">
        <v>0</v>
      </c>
    </row>
    <row r="998" spans="1:42" ht="93" customHeight="1" x14ac:dyDescent="0.25">
      <c r="A998" s="62" t="s">
        <v>78</v>
      </c>
      <c r="B998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998" s="64" t="s">
        <v>79</v>
      </c>
      <c r="D998" s="64" t="s">
        <v>80</v>
      </c>
      <c r="E998" s="64" t="s">
        <v>81</v>
      </c>
      <c r="F998" s="64" t="s">
        <v>110</v>
      </c>
      <c r="G998" s="64" t="s">
        <v>92</v>
      </c>
      <c r="H998" s="65" t="str">
        <f>VLOOKUP(Tabla6[[#This Row],[DIRECCIÓN]],DIRECCIÓN[#All],2,0)</f>
        <v>ADMINISTRACIÓN CENTRAL</v>
      </c>
      <c r="I998" s="66" t="s">
        <v>474</v>
      </c>
      <c r="J998" s="67">
        <v>1</v>
      </c>
      <c r="K998" s="68" t="str">
        <f>VLOOKUP(Tabla6[[#This Row],[DIRECCIÓN GENERAL / COORDINACIÓN / SUBDIRECCIÓN]],Tabla37[[#All],[Columna1]:[EOD]],2,0)</f>
        <v>266_0006</v>
      </c>
      <c r="L998" s="69">
        <f>VLOOKUP(Tabla6[[#This Row],[OBJETIVOS PND]],Listas!$A$1:$C$3,3,0)</f>
        <v>1</v>
      </c>
      <c r="M998" s="70">
        <f>VLOOKUP(Tabla6[[#This Row],[PG]],Listas2!$G$14:$K$16,5,0)</f>
        <v>0</v>
      </c>
      <c r="N998" s="71">
        <v>1</v>
      </c>
      <c r="O998" s="72">
        <v>101</v>
      </c>
      <c r="P998" s="73" t="str">
        <f>VLOOKUP(Tabla6[[#This Row],[GEO]],Listas!$A$48:$B$77,2,0)</f>
        <v>CUENCA</v>
      </c>
      <c r="Q998" s="70">
        <f>VLOOKUP(Tabla6[[#This Row],[PG]],Listas2!$G$14:$K$16,3,0)</f>
        <v>1</v>
      </c>
      <c r="R998" s="73">
        <f>VLOOKUP(Tabla6[[#This Row],[PG]],Listas2!H100:'Listas2'!$G$14:$K$16,4,0)</f>
        <v>0</v>
      </c>
      <c r="S998" s="73">
        <f>VLOOKUP(Tabla6[[#This Row],[PG]],Listas2!$G$14:$K$16,2,0)</f>
        <v>0</v>
      </c>
      <c r="T998" s="66" t="s">
        <v>84</v>
      </c>
      <c r="U998" s="74">
        <v>53</v>
      </c>
      <c r="V998" s="66">
        <v>531404</v>
      </c>
      <c r="W998" s="63" t="str">
        <f>VLOOKUP(Tabla6[[#This Row],[ÍTEM PRESUPUESTARIO]],Tabla2[#All],2,0)</f>
        <v>MAQUINARIAS Y EQUIPOS</v>
      </c>
      <c r="X998" s="57">
        <v>0</v>
      </c>
      <c r="Y998" s="57">
        <f>750-533.54</f>
        <v>216.46000000000004</v>
      </c>
      <c r="Z998" s="58">
        <v>0</v>
      </c>
      <c r="AA998" s="58">
        <v>0</v>
      </c>
      <c r="AB998" s="58">
        <v>0</v>
      </c>
      <c r="AC998" s="58">
        <v>0</v>
      </c>
      <c r="AD998" s="58">
        <v>0</v>
      </c>
      <c r="AE998" s="58">
        <v>0</v>
      </c>
      <c r="AF998" s="58">
        <v>0</v>
      </c>
      <c r="AG998" s="58">
        <v>0</v>
      </c>
      <c r="AH998" s="58">
        <v>0</v>
      </c>
      <c r="AI998" s="58">
        <v>0</v>
      </c>
      <c r="AJ998" s="58">
        <f>750-533.54</f>
        <v>216.46000000000004</v>
      </c>
      <c r="AK998" s="58">
        <v>0</v>
      </c>
      <c r="AL998" s="75">
        <f>+SUBTOTAL(9,Tabla6[[#This Row],[ENE]:[DIC]])</f>
        <v>216.46000000000004</v>
      </c>
      <c r="AM998" s="76" t="str">
        <f t="shared" si="28"/>
        <v>OK</v>
      </c>
      <c r="AN998" s="60">
        <v>216.46</v>
      </c>
      <c r="AO998" s="61">
        <f>+Tabla6[[#This Row],[PRESUPUESTO VIGENTE]]-Tabla6[[#This Row],[CERTIFICACIÓN PAPP]]</f>
        <v>0</v>
      </c>
      <c r="AP998" s="59">
        <v>0</v>
      </c>
    </row>
    <row r="999" spans="1:42" ht="93" customHeight="1" x14ac:dyDescent="0.25">
      <c r="A999" s="62" t="s">
        <v>78</v>
      </c>
      <c r="B999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999" s="64" t="s">
        <v>79</v>
      </c>
      <c r="D999" s="64" t="s">
        <v>80</v>
      </c>
      <c r="E999" s="64" t="s">
        <v>81</v>
      </c>
      <c r="F999" s="64" t="s">
        <v>110</v>
      </c>
      <c r="G999" s="64" t="s">
        <v>92</v>
      </c>
      <c r="H999" s="65" t="str">
        <f>VLOOKUP(Tabla6[[#This Row],[DIRECCIÓN]],DIRECCIÓN[#All],2,0)</f>
        <v>ADMINISTRACIÓN CENTRAL</v>
      </c>
      <c r="I999" s="66" t="s">
        <v>475</v>
      </c>
      <c r="J999" s="67">
        <v>1</v>
      </c>
      <c r="K999" s="68" t="str">
        <f>VLOOKUP(Tabla6[[#This Row],[DIRECCIÓN GENERAL / COORDINACIÓN / SUBDIRECCIÓN]],Tabla37[[#All],[Columna1]:[EOD]],2,0)</f>
        <v>266_0006</v>
      </c>
      <c r="L999" s="69">
        <f>VLOOKUP(Tabla6[[#This Row],[OBJETIVOS PND]],Listas!$A$1:$C$3,3,0)</f>
        <v>1</v>
      </c>
      <c r="M999" s="70">
        <f>VLOOKUP(Tabla6[[#This Row],[PG]],Listas2!$G$14:$K$16,5,0)</f>
        <v>0</v>
      </c>
      <c r="N999" s="71">
        <v>1</v>
      </c>
      <c r="O999" s="72">
        <v>101</v>
      </c>
      <c r="P999" s="73" t="str">
        <f>VLOOKUP(Tabla6[[#This Row],[GEO]],Listas!$A$48:$B$77,2,0)</f>
        <v>CUENCA</v>
      </c>
      <c r="Q999" s="70">
        <f>VLOOKUP(Tabla6[[#This Row],[PG]],Listas2!$G$14:$K$16,3,0)</f>
        <v>1</v>
      </c>
      <c r="R999" s="73">
        <f>VLOOKUP(Tabla6[[#This Row],[PG]],Listas2!H101:'Listas2'!$G$14:$K$16,4,0)</f>
        <v>0</v>
      </c>
      <c r="S999" s="73">
        <f>VLOOKUP(Tabla6[[#This Row],[PG]],Listas2!$G$14:$K$16,2,0)</f>
        <v>0</v>
      </c>
      <c r="T999" s="66" t="s">
        <v>84</v>
      </c>
      <c r="U999" s="74">
        <v>57</v>
      </c>
      <c r="V999" s="66">
        <v>570102</v>
      </c>
      <c r="W999" s="63" t="str">
        <f>VLOOKUP(Tabla6[[#This Row],[ÍTEM PRESUPUESTARIO]],Tabla2[#All],2,0)</f>
        <v>TASAS GENERALES, IMPUESTOS, CONTRIBUCIONES, PERMISOS, LICENCIAS Y PATENTES</v>
      </c>
      <c r="X999" s="57">
        <v>3000</v>
      </c>
      <c r="Y999" s="57">
        <f>3000-1053.03-38</f>
        <v>1908.97</v>
      </c>
      <c r="Z999" s="58">
        <v>0</v>
      </c>
      <c r="AA999" s="58">
        <v>0</v>
      </c>
      <c r="AB999" s="58">
        <f>3000-1053.03-38</f>
        <v>1908.97</v>
      </c>
      <c r="AC999" s="58">
        <v>0</v>
      </c>
      <c r="AD999" s="58">
        <v>0</v>
      </c>
      <c r="AE999" s="58">
        <v>0</v>
      </c>
      <c r="AF999" s="58">
        <v>0</v>
      </c>
      <c r="AG999" s="58">
        <v>0</v>
      </c>
      <c r="AH999" s="58">
        <v>0</v>
      </c>
      <c r="AI999" s="58">
        <v>0</v>
      </c>
      <c r="AJ999" s="58">
        <v>0</v>
      </c>
      <c r="AK999" s="58">
        <v>0</v>
      </c>
      <c r="AL999" s="75">
        <f>+SUBTOTAL(9,Tabla6[[#This Row],[ENE]:[DIC]])</f>
        <v>1908.97</v>
      </c>
      <c r="AM999" s="76" t="str">
        <f t="shared" si="28"/>
        <v>OK</v>
      </c>
      <c r="AN999" s="60">
        <f>40+58+321.24+18.75+28.5+1480.48-38</f>
        <v>1908.97</v>
      </c>
      <c r="AO999" s="61">
        <f>+Tabla6[[#This Row],[PRESUPUESTO VIGENTE]]-Tabla6[[#This Row],[CERTIFICACIÓN PAPP]]</f>
        <v>0</v>
      </c>
      <c r="AP999" s="59">
        <v>0</v>
      </c>
    </row>
    <row r="1000" spans="1:42" ht="93" customHeight="1" x14ac:dyDescent="0.25">
      <c r="A1000" s="62" t="s">
        <v>78</v>
      </c>
      <c r="B1000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000" s="64" t="s">
        <v>79</v>
      </c>
      <c r="D1000" s="64" t="s">
        <v>80</v>
      </c>
      <c r="E1000" s="64" t="s">
        <v>81</v>
      </c>
      <c r="F1000" s="64" t="s">
        <v>110</v>
      </c>
      <c r="G1000" s="64" t="s">
        <v>92</v>
      </c>
      <c r="H1000" s="65" t="str">
        <f>VLOOKUP(Tabla6[[#This Row],[DIRECCIÓN]],DIRECCIÓN[#All],2,0)</f>
        <v>ADMINISTRACIÓN CENTRAL</v>
      </c>
      <c r="I1000" s="66" t="s">
        <v>444</v>
      </c>
      <c r="J1000" s="67">
        <v>1</v>
      </c>
      <c r="K1000" s="68" t="str">
        <f>VLOOKUP(Tabla6[[#This Row],[DIRECCIÓN GENERAL / COORDINACIÓN / SUBDIRECCIÓN]],Tabla37[[#All],[Columna1]:[EOD]],2,0)</f>
        <v>266_0006</v>
      </c>
      <c r="L1000" s="69">
        <f>VLOOKUP(Tabla6[[#This Row],[OBJETIVOS PND]],Listas!$A$1:$C$3,3,0)</f>
        <v>1</v>
      </c>
      <c r="M1000" s="70">
        <f>VLOOKUP(Tabla6[[#This Row],[PG]],Listas2!$G$14:$K$16,5,0)</f>
        <v>0</v>
      </c>
      <c r="N1000" s="71">
        <v>1</v>
      </c>
      <c r="O1000" s="72">
        <v>101</v>
      </c>
      <c r="P1000" s="73" t="str">
        <f>VLOOKUP(Tabla6[[#This Row],[GEO]],Listas!$A$48:$B$77,2,0)</f>
        <v>CUENCA</v>
      </c>
      <c r="Q1000" s="70">
        <f>VLOOKUP(Tabla6[[#This Row],[PG]],Listas2!$G$14:$K$16,3,0)</f>
        <v>1</v>
      </c>
      <c r="R1000" s="73">
        <f>VLOOKUP(Tabla6[[#This Row],[PG]],Listas2!H102:'Listas2'!$G$14:$K$16,4,0)</f>
        <v>0</v>
      </c>
      <c r="S1000" s="73">
        <f>VLOOKUP(Tabla6[[#This Row],[PG]],Listas2!$G$14:$K$16,2,0)</f>
        <v>0</v>
      </c>
      <c r="T1000" s="66" t="s">
        <v>84</v>
      </c>
      <c r="U1000" s="74">
        <v>57</v>
      </c>
      <c r="V1000" s="66">
        <v>570102</v>
      </c>
      <c r="W1000" s="63" t="str">
        <f>VLOOKUP(Tabla6[[#This Row],[ÍTEM PRESUPUESTARIO]],Tabla2[#All],2,0)</f>
        <v>TASAS GENERALES, IMPUESTOS, CONTRIBUCIONES, PERMISOS, LICENCIAS Y PATENTES</v>
      </c>
      <c r="X1000" s="57">
        <v>0</v>
      </c>
      <c r="Y1000" s="57">
        <f>100-100</f>
        <v>0</v>
      </c>
      <c r="Z1000" s="58">
        <v>0</v>
      </c>
      <c r="AA1000" s="58">
        <v>0</v>
      </c>
      <c r="AB1000" s="58">
        <v>0</v>
      </c>
      <c r="AC1000" s="58">
        <v>0</v>
      </c>
      <c r="AD1000" s="58">
        <v>0</v>
      </c>
      <c r="AE1000" s="58">
        <v>0</v>
      </c>
      <c r="AF1000" s="58">
        <v>0</v>
      </c>
      <c r="AG1000" s="58">
        <v>0</v>
      </c>
      <c r="AH1000" s="58">
        <v>0</v>
      </c>
      <c r="AI1000" s="58">
        <v>0</v>
      </c>
      <c r="AJ1000" s="58">
        <v>0</v>
      </c>
      <c r="AK1000" s="58">
        <f>100-100</f>
        <v>0</v>
      </c>
      <c r="AL1000" s="75">
        <f>+SUBTOTAL(9,Tabla6[[#This Row],[ENE]:[DIC]])</f>
        <v>0</v>
      </c>
      <c r="AM1000" s="76" t="str">
        <f t="shared" si="28"/>
        <v>OK</v>
      </c>
      <c r="AN1000" s="60">
        <v>0</v>
      </c>
      <c r="AO1000" s="61">
        <f>+Tabla6[[#This Row],[PRESUPUESTO VIGENTE]]-Tabla6[[#This Row],[CERTIFICACIÓN PAPP]]</f>
        <v>0</v>
      </c>
      <c r="AP1000" s="59">
        <v>0</v>
      </c>
    </row>
    <row r="1001" spans="1:42" ht="93" customHeight="1" x14ac:dyDescent="0.25">
      <c r="A1001" s="62" t="s">
        <v>78</v>
      </c>
      <c r="B1001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001" s="64" t="s">
        <v>79</v>
      </c>
      <c r="D1001" s="64" t="s">
        <v>80</v>
      </c>
      <c r="E1001" s="64" t="s">
        <v>81</v>
      </c>
      <c r="F1001" s="64" t="s">
        <v>110</v>
      </c>
      <c r="G1001" s="64" t="s">
        <v>92</v>
      </c>
      <c r="H1001" s="65" t="str">
        <f>VLOOKUP(Tabla6[[#This Row],[DIRECCIÓN]],DIRECCIÓN[#All],2,0)</f>
        <v>ADMINISTRACIÓN CENTRAL</v>
      </c>
      <c r="I1001" s="66" t="s">
        <v>476</v>
      </c>
      <c r="J1001" s="67">
        <v>1</v>
      </c>
      <c r="K1001" s="68" t="str">
        <f>VLOOKUP(Tabla6[[#This Row],[DIRECCIÓN GENERAL / COORDINACIÓN / SUBDIRECCIÓN]],Tabla37[[#All],[Columna1]:[EOD]],2,0)</f>
        <v>266_0006</v>
      </c>
      <c r="L1001" s="69">
        <f>VLOOKUP(Tabla6[[#This Row],[OBJETIVOS PND]],Listas!$A$1:$C$3,3,0)</f>
        <v>1</v>
      </c>
      <c r="M1001" s="70">
        <f>VLOOKUP(Tabla6[[#This Row],[PG]],Listas2!$G$14:$K$16,5,0)</f>
        <v>0</v>
      </c>
      <c r="N1001" s="71">
        <v>1</v>
      </c>
      <c r="O1001" s="72">
        <v>101</v>
      </c>
      <c r="P1001" s="73" t="str">
        <f>VLOOKUP(Tabla6[[#This Row],[GEO]],Listas!$A$48:$B$77,2,0)</f>
        <v>CUENCA</v>
      </c>
      <c r="Q1001" s="70">
        <f>VLOOKUP(Tabla6[[#This Row],[PG]],Listas2!$G$14:$K$16,3,0)</f>
        <v>1</v>
      </c>
      <c r="R1001" s="73">
        <f>VLOOKUP(Tabla6[[#This Row],[PG]],Listas2!H103:'Listas2'!$G$14:$K$16,4,0)</f>
        <v>0</v>
      </c>
      <c r="S1001" s="73">
        <f>VLOOKUP(Tabla6[[#This Row],[PG]],Listas2!$G$14:$K$16,2,0)</f>
        <v>0</v>
      </c>
      <c r="T1001" s="66" t="s">
        <v>84</v>
      </c>
      <c r="U1001" s="74">
        <v>57</v>
      </c>
      <c r="V1001" s="66">
        <v>570206</v>
      </c>
      <c r="W1001" s="63" t="str">
        <f>VLOOKUP(Tabla6[[#This Row],[ÍTEM PRESUPUESTARIO]],Tabla2[#All],2,0)</f>
        <v>COSTAS JUDICIALES, TRÁMITES NOTARIALES,  LEGALIZACIÓN DE DOCUMENTOS Y ARREGLOS EXTRAJUDICIALES</v>
      </c>
      <c r="X1001" s="57">
        <v>468</v>
      </c>
      <c r="Y1001" s="57">
        <f>468-200-257</f>
        <v>11</v>
      </c>
      <c r="Z1001" s="58">
        <v>0</v>
      </c>
      <c r="AA1001" s="58">
        <v>0</v>
      </c>
      <c r="AB1001" s="58">
        <v>0</v>
      </c>
      <c r="AC1001" s="58">
        <v>0</v>
      </c>
      <c r="AD1001" s="58">
        <v>0</v>
      </c>
      <c r="AE1001" s="58">
        <v>0</v>
      </c>
      <c r="AF1001" s="58">
        <v>0</v>
      </c>
      <c r="AG1001" s="58">
        <v>0</v>
      </c>
      <c r="AH1001" s="58">
        <v>0</v>
      </c>
      <c r="AI1001" s="58">
        <v>0</v>
      </c>
      <c r="AJ1001" s="58">
        <v>0</v>
      </c>
      <c r="AK1001" s="58">
        <f>268-257</f>
        <v>11</v>
      </c>
      <c r="AL1001" s="75">
        <f>+SUBTOTAL(9,Tabla6[[#This Row],[ENE]:[DIC]])</f>
        <v>11</v>
      </c>
      <c r="AM1001" s="76" t="str">
        <f t="shared" si="28"/>
        <v>OK</v>
      </c>
      <c r="AN1001" s="60">
        <v>11</v>
      </c>
      <c r="AO1001" s="61">
        <f>+Tabla6[[#This Row],[PRESUPUESTO VIGENTE]]-Tabla6[[#This Row],[CERTIFICACIÓN PAPP]]</f>
        <v>0</v>
      </c>
      <c r="AP1001" s="59">
        <v>0</v>
      </c>
    </row>
    <row r="1002" spans="1:42" ht="93" customHeight="1" x14ac:dyDescent="0.25">
      <c r="A1002" s="62" t="s">
        <v>78</v>
      </c>
      <c r="B1002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002" s="64" t="s">
        <v>79</v>
      </c>
      <c r="D1002" s="64" t="s">
        <v>80</v>
      </c>
      <c r="E1002" s="64" t="s">
        <v>81</v>
      </c>
      <c r="F1002" s="64" t="s">
        <v>110</v>
      </c>
      <c r="G1002" s="64" t="s">
        <v>92</v>
      </c>
      <c r="H1002" s="65" t="str">
        <f>VLOOKUP(Tabla6[[#This Row],[DIRECCIÓN]],DIRECCIÓN[#All],2,0)</f>
        <v>ADMINISTRACIÓN CENTRAL</v>
      </c>
      <c r="I1002" s="66" t="s">
        <v>477</v>
      </c>
      <c r="J1002" s="67">
        <v>1</v>
      </c>
      <c r="K1002" s="68" t="str">
        <f>VLOOKUP(Tabla6[[#This Row],[DIRECCIÓN GENERAL / COORDINACIÓN / SUBDIRECCIÓN]],Tabla37[[#All],[Columna1]:[EOD]],2,0)</f>
        <v>266_0006</v>
      </c>
      <c r="L1002" s="69">
        <f>VLOOKUP(Tabla6[[#This Row],[OBJETIVOS PND]],Listas!$A$1:$C$3,3,0)</f>
        <v>1</v>
      </c>
      <c r="M1002" s="70">
        <f>VLOOKUP(Tabla6[[#This Row],[PG]],Listas2!$G$14:$K$16,5,0)</f>
        <v>0</v>
      </c>
      <c r="N1002" s="71">
        <v>1</v>
      </c>
      <c r="O1002" s="72">
        <v>101</v>
      </c>
      <c r="P1002" s="73" t="str">
        <f>VLOOKUP(Tabla6[[#This Row],[GEO]],Listas!$A$48:$B$77,2,0)</f>
        <v>CUENCA</v>
      </c>
      <c r="Q1002" s="70">
        <f>VLOOKUP(Tabla6[[#This Row],[PG]],Listas2!$G$14:$K$16,3,0)</f>
        <v>1</v>
      </c>
      <c r="R1002" s="73">
        <f>VLOOKUP(Tabla6[[#This Row],[PG]],Listas2!H104:'Listas2'!$G$14:$K$16,4,0)</f>
        <v>0</v>
      </c>
      <c r="S1002" s="73">
        <f>VLOOKUP(Tabla6[[#This Row],[PG]],Listas2!$G$14:$K$16,2,0)</f>
        <v>0</v>
      </c>
      <c r="T1002" s="66" t="s">
        <v>84</v>
      </c>
      <c r="U1002" s="74">
        <v>57</v>
      </c>
      <c r="V1002" s="66">
        <v>570216</v>
      </c>
      <c r="W1002" s="63" t="str">
        <f>VLOOKUP(Tabla6[[#This Row],[ÍTEM PRESUPUESTARIO]],Tabla2[#All],2,0)</f>
        <v>OBLIGACIONES CON EL IESS POR RESPONSABILIDAD PATRONAL</v>
      </c>
      <c r="X1002" s="57">
        <v>0</v>
      </c>
      <c r="Y1002" s="57">
        <f>200-186.84</f>
        <v>13.159999999999997</v>
      </c>
      <c r="Z1002" s="58">
        <v>0</v>
      </c>
      <c r="AA1002" s="58">
        <f>200-186.84</f>
        <v>13.159999999999997</v>
      </c>
      <c r="AB1002" s="58">
        <v>0</v>
      </c>
      <c r="AC1002" s="58">
        <v>0</v>
      </c>
      <c r="AD1002" s="58">
        <v>0</v>
      </c>
      <c r="AE1002" s="58">
        <v>0</v>
      </c>
      <c r="AF1002" s="58">
        <v>0</v>
      </c>
      <c r="AG1002" s="58">
        <v>0</v>
      </c>
      <c r="AH1002" s="58">
        <v>0</v>
      </c>
      <c r="AI1002" s="58">
        <v>0</v>
      </c>
      <c r="AJ1002" s="58">
        <v>0</v>
      </c>
      <c r="AK1002" s="58">
        <v>0</v>
      </c>
      <c r="AL1002" s="75">
        <f>+SUBTOTAL(9,Tabla6[[#This Row],[ENE]:[DIC]])</f>
        <v>13.159999999999997</v>
      </c>
      <c r="AM1002" s="76" t="str">
        <f t="shared" si="28"/>
        <v>OK</v>
      </c>
      <c r="AN1002" s="60">
        <v>13.16</v>
      </c>
      <c r="AO1002" s="61">
        <f>+Tabla6[[#This Row],[PRESUPUESTO VIGENTE]]-Tabla6[[#This Row],[CERTIFICACIÓN PAPP]]</f>
        <v>0</v>
      </c>
      <c r="AP1002" s="59">
        <v>0</v>
      </c>
    </row>
    <row r="1003" spans="1:42" ht="93" customHeight="1" x14ac:dyDescent="0.25">
      <c r="A1003" s="62" t="s">
        <v>88</v>
      </c>
      <c r="B1003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003" s="64" t="s">
        <v>89</v>
      </c>
      <c r="D1003" s="64" t="s">
        <v>80</v>
      </c>
      <c r="E1003" s="64" t="s">
        <v>81</v>
      </c>
      <c r="F1003" s="64" t="s">
        <v>110</v>
      </c>
      <c r="G1003" s="64" t="s">
        <v>9</v>
      </c>
      <c r="H1003" s="65" t="str">
        <f>VLOOKUP(Tabla6[[#This Row],[DIRECCIÓN]],DIRECCIÓN[#All],2,0)</f>
        <v>OPERACIONES</v>
      </c>
      <c r="I1003" s="66" t="s">
        <v>478</v>
      </c>
      <c r="J1003" s="67">
        <v>1</v>
      </c>
      <c r="K1003" s="68" t="str">
        <f>VLOOKUP(Tabla6[[#This Row],[DIRECCIÓN GENERAL / COORDINACIÓN / SUBDIRECCIÓN]],Tabla37[[#All],[Columna1]:[EOD]],2,0)</f>
        <v>266_0006</v>
      </c>
      <c r="L1003" s="69">
        <f>VLOOKUP(Tabla6[[#This Row],[OBJETIVOS PND]],Listas!$A$1:$C$3,3,0)</f>
        <v>55</v>
      </c>
      <c r="M1003" s="70">
        <f>VLOOKUP(Tabla6[[#This Row],[PG]],Listas2!$G$14:$K$16,5,0)</f>
        <v>0</v>
      </c>
      <c r="N1003" s="71">
        <v>2</v>
      </c>
      <c r="O1003" s="72">
        <v>101</v>
      </c>
      <c r="P1003" s="73" t="str">
        <f>VLOOKUP(Tabla6[[#This Row],[GEO]],Listas!$A$48:$B$77,2,0)</f>
        <v>CUENCA</v>
      </c>
      <c r="Q1003" s="70">
        <f>VLOOKUP(Tabla6[[#This Row],[PG]],Listas2!$G$14:$K$16,3,0)</f>
        <v>1</v>
      </c>
      <c r="R1003" s="73">
        <f>VLOOKUP(Tabla6[[#This Row],[PG]],Listas2!H105:'Listas2'!$G$14:$K$16,4,0)</f>
        <v>0</v>
      </c>
      <c r="S1003" s="73">
        <f>VLOOKUP(Tabla6[[#This Row],[PG]],Listas2!$G$14:$K$16,2,0)</f>
        <v>0</v>
      </c>
      <c r="T1003" s="66" t="s">
        <v>84</v>
      </c>
      <c r="U1003" s="74">
        <v>53</v>
      </c>
      <c r="V1003" s="66">
        <v>530204</v>
      </c>
      <c r="W1003" s="63" t="str">
        <f>VLOOKUP(Tabla6[[#This Row],[ÍTEM PRESUPUESTARIO]],Tabla2[#All],2,0)</f>
        <v>EDICIÓN, IMPRESIÓN, REPRODUCCIÓN, PUBLICACIONES, SUSCRIPCIONES, FOTOCOPIADO, TRADUCCIÓN, EMPASTADO, ENMARCACIÓN, SERIGRAFÍA, FOTOGRAFÍA, CARNETIZACIÓN, FILMACIÓN E IMÁGENES SATELITALES</v>
      </c>
      <c r="X1003" s="57">
        <v>0</v>
      </c>
      <c r="Y1003" s="57">
        <f>5095-745-1200-36.7</f>
        <v>3113.3</v>
      </c>
      <c r="Z1003" s="58">
        <v>0</v>
      </c>
      <c r="AA1003" s="58">
        <v>0</v>
      </c>
      <c r="AB1003" s="58">
        <v>0</v>
      </c>
      <c r="AC1003" s="58">
        <v>0</v>
      </c>
      <c r="AD1003" s="58">
        <v>0</v>
      </c>
      <c r="AE1003" s="58">
        <v>0</v>
      </c>
      <c r="AF1003" s="58">
        <v>0</v>
      </c>
      <c r="AG1003" s="58">
        <v>0</v>
      </c>
      <c r="AH1003" s="58">
        <v>0</v>
      </c>
      <c r="AI1003" s="58">
        <f>5095-745-1200-36.7</f>
        <v>3113.3</v>
      </c>
      <c r="AJ1003" s="58">
        <v>0</v>
      </c>
      <c r="AK1003" s="58">
        <v>0</v>
      </c>
      <c r="AL1003" s="75">
        <f>+SUBTOTAL(9,Tabla6[[#This Row],[ENE]:[DIC]])</f>
        <v>3113.3</v>
      </c>
      <c r="AM1003" s="76" t="str">
        <f t="shared" si="28"/>
        <v>OK</v>
      </c>
      <c r="AN1003" s="60">
        <v>3113.3</v>
      </c>
      <c r="AO1003" s="61">
        <f>+Tabla6[[#This Row],[PRESUPUESTO VIGENTE]]-Tabla6[[#This Row],[CERTIFICACIÓN PAPP]]</f>
        <v>0</v>
      </c>
      <c r="AP1003" s="59">
        <v>0</v>
      </c>
    </row>
    <row r="1004" spans="1:42" ht="93" customHeight="1" x14ac:dyDescent="0.25">
      <c r="A1004" s="62" t="s">
        <v>88</v>
      </c>
      <c r="B1004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004" s="64" t="s">
        <v>89</v>
      </c>
      <c r="D1004" s="64" t="s">
        <v>80</v>
      </c>
      <c r="E1004" s="64" t="s">
        <v>81</v>
      </c>
      <c r="F1004" s="64" t="s">
        <v>110</v>
      </c>
      <c r="G1004" s="64" t="s">
        <v>9</v>
      </c>
      <c r="H1004" s="65" t="str">
        <f>VLOOKUP(Tabla6[[#This Row],[DIRECCIÓN]],DIRECCIÓN[#All],2,0)</f>
        <v>OPERACIONES</v>
      </c>
      <c r="I1004" s="66" t="s">
        <v>479</v>
      </c>
      <c r="J1004" s="67">
        <v>1</v>
      </c>
      <c r="K1004" s="68" t="str">
        <f>VLOOKUP(Tabla6[[#This Row],[DIRECCIÓN GENERAL / COORDINACIÓN / SUBDIRECCIÓN]],Tabla37[[#All],[Columna1]:[EOD]],2,0)</f>
        <v>266_0006</v>
      </c>
      <c r="L1004" s="69">
        <f>VLOOKUP(Tabla6[[#This Row],[OBJETIVOS PND]],Listas!$A$1:$C$3,3,0)</f>
        <v>55</v>
      </c>
      <c r="M1004" s="70">
        <f>VLOOKUP(Tabla6[[#This Row],[PG]],Listas2!$G$14:$K$16,5,0)</f>
        <v>0</v>
      </c>
      <c r="N1004" s="71">
        <v>2</v>
      </c>
      <c r="O1004" s="72">
        <v>101</v>
      </c>
      <c r="P1004" s="73" t="str">
        <f>VLOOKUP(Tabla6[[#This Row],[GEO]],Listas!$A$48:$B$77,2,0)</f>
        <v>CUENCA</v>
      </c>
      <c r="Q1004" s="70">
        <f>VLOOKUP(Tabla6[[#This Row],[PG]],Listas2!$G$14:$K$16,3,0)</f>
        <v>1</v>
      </c>
      <c r="R1004" s="73">
        <f>VLOOKUP(Tabla6[[#This Row],[PG]],Listas2!H106:'Listas2'!$G$14:$K$16,4,0)</f>
        <v>0</v>
      </c>
      <c r="S1004" s="73">
        <f>VLOOKUP(Tabla6[[#This Row],[PG]],Listas2!$G$14:$K$16,2,0)</f>
        <v>0</v>
      </c>
      <c r="T1004" s="66" t="s">
        <v>84</v>
      </c>
      <c r="U1004" s="74">
        <v>53</v>
      </c>
      <c r="V1004" s="66">
        <v>530804</v>
      </c>
      <c r="W1004" s="63" t="str">
        <f>VLOOKUP(Tabla6[[#This Row],[ÍTEM PRESUPUESTARIO]],Tabla2[#All],2,0)</f>
        <v>MATERIALES DE OFICINA</v>
      </c>
      <c r="X1004" s="57">
        <v>0</v>
      </c>
      <c r="Y1004" s="57">
        <f>313.73-34.08</f>
        <v>279.65000000000003</v>
      </c>
      <c r="Z1004" s="58">
        <v>0</v>
      </c>
      <c r="AA1004" s="58">
        <v>0</v>
      </c>
      <c r="AB1004" s="58">
        <v>0</v>
      </c>
      <c r="AC1004" s="58">
        <v>0</v>
      </c>
      <c r="AD1004" s="58">
        <v>0</v>
      </c>
      <c r="AE1004" s="58">
        <v>0</v>
      </c>
      <c r="AF1004" s="58">
        <v>0</v>
      </c>
      <c r="AG1004" s="58">
        <v>0</v>
      </c>
      <c r="AH1004" s="58">
        <v>0</v>
      </c>
      <c r="AI1004" s="58">
        <f>313.73-34.08</f>
        <v>279.65000000000003</v>
      </c>
      <c r="AJ1004" s="58">
        <v>0</v>
      </c>
      <c r="AK1004" s="58">
        <v>0</v>
      </c>
      <c r="AL1004" s="75">
        <f>+SUBTOTAL(9,Tabla6[[#This Row],[ENE]:[DIC]])</f>
        <v>279.65000000000003</v>
      </c>
      <c r="AM1004" s="76" t="str">
        <f t="shared" si="28"/>
        <v>OK</v>
      </c>
      <c r="AN1004" s="60">
        <f>279.75-0.1</f>
        <v>279.64999999999998</v>
      </c>
      <c r="AO1004" s="61">
        <f>+Tabla6[[#This Row],[PRESUPUESTO VIGENTE]]-Tabla6[[#This Row],[CERTIFICACIÓN PAPP]]</f>
        <v>0</v>
      </c>
      <c r="AP1004" s="59">
        <v>0</v>
      </c>
    </row>
    <row r="1005" spans="1:42" ht="93" customHeight="1" x14ac:dyDescent="0.25">
      <c r="A1005" s="62" t="s">
        <v>88</v>
      </c>
      <c r="B1005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005" s="64" t="s">
        <v>89</v>
      </c>
      <c r="D1005" s="64" t="s">
        <v>80</v>
      </c>
      <c r="E1005" s="64" t="s">
        <v>81</v>
      </c>
      <c r="F1005" s="64" t="s">
        <v>110</v>
      </c>
      <c r="G1005" s="64" t="s">
        <v>10</v>
      </c>
      <c r="H1005" s="65" t="str">
        <f>VLOOKUP(Tabla6[[#This Row],[DIRECCIÓN]],DIRECCIÓN[#All],2,0)</f>
        <v>TECNOLOGÍA</v>
      </c>
      <c r="I1005" s="66" t="s">
        <v>480</v>
      </c>
      <c r="J1005" s="67">
        <v>1</v>
      </c>
      <c r="K1005" s="68" t="str">
        <f>VLOOKUP(Tabla6[[#This Row],[DIRECCIÓN GENERAL / COORDINACIÓN / SUBDIRECCIÓN]],Tabla37[[#All],[Columna1]:[EOD]],2,0)</f>
        <v>266_0006</v>
      </c>
      <c r="L1005" s="69">
        <f>VLOOKUP(Tabla6[[#This Row],[OBJETIVOS PND]],Listas!$A$1:$C$3,3,0)</f>
        <v>55</v>
      </c>
      <c r="M1005" s="70">
        <f>VLOOKUP(Tabla6[[#This Row],[PG]],Listas2!$G$14:$K$16,5,0)</f>
        <v>0</v>
      </c>
      <c r="N1005" s="71">
        <v>3</v>
      </c>
      <c r="O1005" s="72">
        <v>101</v>
      </c>
      <c r="P1005" s="73" t="str">
        <f>VLOOKUP(Tabla6[[#This Row],[GEO]],Listas!$A$48:$B$77,2,0)</f>
        <v>CUENCA</v>
      </c>
      <c r="Q1005" s="70">
        <f>VLOOKUP(Tabla6[[#This Row],[PG]],Listas2!$G$14:$K$16,3,0)</f>
        <v>1</v>
      </c>
      <c r="R1005" s="73">
        <f>VLOOKUP(Tabla6[[#This Row],[PG]],Listas2!H107:'Listas2'!$G$14:$K$16,4,0)</f>
        <v>0</v>
      </c>
      <c r="S1005" s="73">
        <f>VLOOKUP(Tabla6[[#This Row],[PG]],Listas2!$G$14:$K$16,2,0)</f>
        <v>0</v>
      </c>
      <c r="T1005" s="66" t="s">
        <v>84</v>
      </c>
      <c r="U1005" s="74">
        <v>53</v>
      </c>
      <c r="V1005" s="66">
        <v>530105</v>
      </c>
      <c r="W1005" s="63" t="str">
        <f>VLOOKUP(Tabla6[[#This Row],[ÍTEM PRESUPUESTARIO]],Tabla2[#All],2,0)</f>
        <v>TELECOMUNICACIONES</v>
      </c>
      <c r="X1005" s="57">
        <v>282051</v>
      </c>
      <c r="Y1005" s="57">
        <f>282051+2526.27-12866.24-3078.72-6300-30000-600-53400-22231.58</f>
        <v>156100.73000000004</v>
      </c>
      <c r="Z1005" s="58">
        <f>31385.7-8900</f>
        <v>22485.7</v>
      </c>
      <c r="AA1005" s="58">
        <f>31385.7-8900</f>
        <v>22485.7</v>
      </c>
      <c r="AB1005" s="58">
        <f>22180.58-1286.62-8900</f>
        <v>11993.960000000003</v>
      </c>
      <c r="AC1005" s="58">
        <f>22180.58-1286.62-8900</f>
        <v>11993.960000000003</v>
      </c>
      <c r="AD1005" s="58">
        <f>22180.58-1286.62-384.84-8900</f>
        <v>11609.120000000003</v>
      </c>
      <c r="AE1005" s="58">
        <f>22180.58-1286.62-384.84-8900</f>
        <v>11609.120000000003</v>
      </c>
      <c r="AF1005" s="58">
        <f>22180.58-1286.62-384.84-1050-3705.26-1852.63</f>
        <v>13901.230000000003</v>
      </c>
      <c r="AG1005" s="58">
        <f>22180.58-1286.62-384.84-1050-3705.26-1852.65</f>
        <v>13901.210000000003</v>
      </c>
      <c r="AH1005" s="58">
        <f>22180.58-1286.62-384.84-1050-7000-3705.26</f>
        <v>8753.8600000000024</v>
      </c>
      <c r="AI1005" s="58">
        <f>22180.58-1286.62-384.84-1050-7000-3705.26</f>
        <v>8753.8600000000024</v>
      </c>
      <c r="AJ1005" s="58">
        <f>22180.58-1286.62-384.84-1050-7000-3705.26</f>
        <v>8753.8600000000024</v>
      </c>
      <c r="AK1005" s="58">
        <f>22180.65-1286.66-384.84-1050-9000-600</f>
        <v>9859.1500000000015</v>
      </c>
      <c r="AL1005" s="75">
        <f>+SUBTOTAL(9,Tabla6[[#This Row],[ENE]:[DIC]])</f>
        <v>156100.73000000004</v>
      </c>
      <c r="AM1005" s="76" t="str">
        <f t="shared" si="28"/>
        <v>OK</v>
      </c>
      <c r="AN1005" s="60">
        <f>11782.4+9296.81+153816.63+109681.42-8014.24-10000-10000-30000-48325-2999.98-19137.33+0.02</f>
        <v>156100.73000000001</v>
      </c>
      <c r="AO1005" s="61">
        <f>+Tabla6[[#This Row],[PRESUPUESTO VIGENTE]]-Tabla6[[#This Row],[CERTIFICACIÓN PAPP]]</f>
        <v>0</v>
      </c>
      <c r="AP1005" s="59" t="s">
        <v>87</v>
      </c>
    </row>
    <row r="1006" spans="1:42" ht="93" customHeight="1" x14ac:dyDescent="0.25">
      <c r="A1006" s="62" t="s">
        <v>88</v>
      </c>
      <c r="B1006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006" s="64" t="s">
        <v>89</v>
      </c>
      <c r="D1006" s="64" t="s">
        <v>80</v>
      </c>
      <c r="E1006" s="64" t="s">
        <v>81</v>
      </c>
      <c r="F1006" s="64" t="s">
        <v>110</v>
      </c>
      <c r="G1006" s="64" t="s">
        <v>10</v>
      </c>
      <c r="H1006" s="65" t="str">
        <f>VLOOKUP(Tabla6[[#This Row],[DIRECCIÓN]],DIRECCIÓN[#All],2,0)</f>
        <v>TECNOLOGÍA</v>
      </c>
      <c r="I1006" s="66" t="s">
        <v>481</v>
      </c>
      <c r="J1006" s="67">
        <v>1</v>
      </c>
      <c r="K1006" s="68" t="str">
        <f>VLOOKUP(Tabla6[[#This Row],[DIRECCIÓN GENERAL / COORDINACIÓN / SUBDIRECCIÓN]],Tabla37[[#All],[Columna1]:[EOD]],2,0)</f>
        <v>266_0006</v>
      </c>
      <c r="L1006" s="69">
        <f>VLOOKUP(Tabla6[[#This Row],[OBJETIVOS PND]],Listas!$A$1:$C$3,3,0)</f>
        <v>55</v>
      </c>
      <c r="M1006" s="70">
        <f>VLOOKUP(Tabla6[[#This Row],[PG]],Listas2!$G$14:$K$16,5,0)</f>
        <v>0</v>
      </c>
      <c r="N1006" s="71">
        <v>3</v>
      </c>
      <c r="O1006" s="72">
        <v>101</v>
      </c>
      <c r="P1006" s="73" t="str">
        <f>VLOOKUP(Tabla6[[#This Row],[GEO]],Listas!$A$48:$B$77,2,0)</f>
        <v>CUENCA</v>
      </c>
      <c r="Q1006" s="70">
        <f>VLOOKUP(Tabla6[[#This Row],[PG]],Listas2!$G$14:$K$16,3,0)</f>
        <v>1</v>
      </c>
      <c r="R1006" s="73">
        <f>VLOOKUP(Tabla6[[#This Row],[PG]],Listas2!H108:'Listas2'!$G$14:$K$16,4,0)</f>
        <v>0</v>
      </c>
      <c r="S1006" s="73">
        <f>VLOOKUP(Tabla6[[#This Row],[PG]],Listas2!$G$14:$K$16,2,0)</f>
        <v>0</v>
      </c>
      <c r="T1006" s="66" t="s">
        <v>84</v>
      </c>
      <c r="U1006" s="74">
        <v>53</v>
      </c>
      <c r="V1006" s="66">
        <v>530417</v>
      </c>
      <c r="W1006" s="63" t="str">
        <f>VLOOKUP(Tabla6[[#This Row],[ÍTEM PRESUPUESTARIO]],Tabla2[#All],2,0)</f>
        <v>INFRAESTRUCTURA</v>
      </c>
      <c r="X1006" s="57">
        <v>0</v>
      </c>
      <c r="Y1006" s="57">
        <f>38000-13000</f>
        <v>25000</v>
      </c>
      <c r="Z1006" s="58">
        <v>0</v>
      </c>
      <c r="AA1006" s="58">
        <v>0</v>
      </c>
      <c r="AB1006" s="58">
        <v>0</v>
      </c>
      <c r="AC1006" s="58">
        <v>0</v>
      </c>
      <c r="AD1006" s="58">
        <v>0</v>
      </c>
      <c r="AE1006" s="58">
        <v>0</v>
      </c>
      <c r="AF1006" s="58">
        <v>0</v>
      </c>
      <c r="AG1006" s="58">
        <v>0</v>
      </c>
      <c r="AH1006" s="58">
        <v>0</v>
      </c>
      <c r="AI1006" s="58">
        <v>0</v>
      </c>
      <c r="AJ1006" s="58">
        <v>0</v>
      </c>
      <c r="AK1006" s="58">
        <f>38000-13000</f>
        <v>25000</v>
      </c>
      <c r="AL1006" s="75">
        <f>+SUBTOTAL(9,Tabla6[[#This Row],[ENE]:[DIC]])</f>
        <v>25000</v>
      </c>
      <c r="AM1006" s="76" t="str">
        <f t="shared" si="28"/>
        <v>OK</v>
      </c>
      <c r="AN1006" s="60">
        <f>37968-12968</f>
        <v>25000</v>
      </c>
      <c r="AO1006" s="61">
        <f>+Tabla6[[#This Row],[PRESUPUESTO VIGENTE]]-Tabla6[[#This Row],[CERTIFICACIÓN PAPP]]</f>
        <v>0</v>
      </c>
      <c r="AP1006" s="59">
        <v>0</v>
      </c>
    </row>
    <row r="1007" spans="1:42" ht="93" customHeight="1" x14ac:dyDescent="0.25">
      <c r="A1007" s="62" t="s">
        <v>88</v>
      </c>
      <c r="B1007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007" s="64" t="s">
        <v>89</v>
      </c>
      <c r="D1007" s="64" t="s">
        <v>80</v>
      </c>
      <c r="E1007" s="64" t="s">
        <v>81</v>
      </c>
      <c r="F1007" s="64" t="s">
        <v>110</v>
      </c>
      <c r="G1007" s="64" t="s">
        <v>10</v>
      </c>
      <c r="H1007" s="65" t="str">
        <f>VLOOKUP(Tabla6[[#This Row],[DIRECCIÓN]],DIRECCIÓN[#All],2,0)</f>
        <v>TECNOLOGÍA</v>
      </c>
      <c r="I1007" s="66" t="s">
        <v>482</v>
      </c>
      <c r="J1007" s="67">
        <v>1</v>
      </c>
      <c r="K1007" s="68" t="str">
        <f>VLOOKUP(Tabla6[[#This Row],[DIRECCIÓN GENERAL / COORDINACIÓN / SUBDIRECCIÓN]],Tabla37[[#All],[Columna1]:[EOD]],2,0)</f>
        <v>266_0006</v>
      </c>
      <c r="L1007" s="69">
        <f>VLOOKUP(Tabla6[[#This Row],[OBJETIVOS PND]],Listas!$A$1:$C$3,3,0)</f>
        <v>55</v>
      </c>
      <c r="M1007" s="70">
        <f>VLOOKUP(Tabla6[[#This Row],[PG]],Listas2!$G$14:$K$16,5,0)</f>
        <v>0</v>
      </c>
      <c r="N1007" s="71">
        <v>3</v>
      </c>
      <c r="O1007" s="72">
        <v>101</v>
      </c>
      <c r="P1007" s="73" t="str">
        <f>VLOOKUP(Tabla6[[#This Row],[GEO]],Listas!$A$48:$B$77,2,0)</f>
        <v>CUENCA</v>
      </c>
      <c r="Q1007" s="70">
        <f>VLOOKUP(Tabla6[[#This Row],[PG]],Listas2!$G$14:$K$16,3,0)</f>
        <v>1</v>
      </c>
      <c r="R1007" s="73">
        <f>VLOOKUP(Tabla6[[#This Row],[PG]],Listas2!H109:'Listas2'!$G$14:$K$16,4,0)</f>
        <v>0</v>
      </c>
      <c r="S1007" s="73">
        <f>VLOOKUP(Tabla6[[#This Row],[PG]],Listas2!$G$14:$K$16,2,0)</f>
        <v>0</v>
      </c>
      <c r="T1007" s="66" t="s">
        <v>84</v>
      </c>
      <c r="U1007" s="74">
        <v>53</v>
      </c>
      <c r="V1007" s="66">
        <v>530504</v>
      </c>
      <c r="W1007" s="63" t="str">
        <f>VLOOKUP(Tabla6[[#This Row],[ÍTEM PRESUPUESTARIO]],Tabla2[#All],2,0)</f>
        <v>MAQUINARIAS Y EQUIPOS (ARRENDAMIENTO)</v>
      </c>
      <c r="X1007" s="57">
        <v>0</v>
      </c>
      <c r="Y1007" s="57">
        <f>42592.99-13.27-20900-20000-1679.71</f>
        <v>1.0000000001127773E-2</v>
      </c>
      <c r="Z1007" s="58">
        <v>0</v>
      </c>
      <c r="AA1007" s="58">
        <v>0</v>
      </c>
      <c r="AB1007" s="58">
        <v>0</v>
      </c>
      <c r="AC1007" s="58">
        <v>0</v>
      </c>
      <c r="AD1007" s="58">
        <v>0</v>
      </c>
      <c r="AE1007" s="58">
        <v>0</v>
      </c>
      <c r="AF1007" s="58">
        <v>0</v>
      </c>
      <c r="AG1007" s="58">
        <v>0</v>
      </c>
      <c r="AH1007" s="58">
        <v>0</v>
      </c>
      <c r="AI1007" s="58">
        <f>14197-6966.67-7230.33</f>
        <v>0</v>
      </c>
      <c r="AJ1007" s="58">
        <f>14197-6966.66-7230.34</f>
        <v>0</v>
      </c>
      <c r="AK1007" s="58">
        <v>1.0000000001127773E-2</v>
      </c>
      <c r="AL1007" s="75">
        <f>+SUBTOTAL(9,Tabla6[[#This Row],[ENE]:[DIC]])</f>
        <v>1.0000000001127773E-2</v>
      </c>
      <c r="AM1007" s="76" t="str">
        <f t="shared" si="28"/>
        <v>OK</v>
      </c>
      <c r="AN1007" s="60">
        <v>0</v>
      </c>
      <c r="AO1007" s="61">
        <f>+Tabla6[[#This Row],[PRESUPUESTO VIGENTE]]-Tabla6[[#This Row],[CERTIFICACIÓN PAPP]]</f>
        <v>1.0000000001127773E-2</v>
      </c>
      <c r="AP1007" s="59">
        <v>0</v>
      </c>
    </row>
    <row r="1008" spans="1:42" ht="93" customHeight="1" x14ac:dyDescent="0.25">
      <c r="A1008" s="62" t="s">
        <v>88</v>
      </c>
      <c r="B1008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008" s="64" t="s">
        <v>89</v>
      </c>
      <c r="D1008" s="64" t="s">
        <v>80</v>
      </c>
      <c r="E1008" s="64" t="s">
        <v>81</v>
      </c>
      <c r="F1008" s="64" t="s">
        <v>110</v>
      </c>
      <c r="G1008" s="64" t="s">
        <v>10</v>
      </c>
      <c r="H1008" s="65" t="str">
        <f>VLOOKUP(Tabla6[[#This Row],[DIRECCIÓN]],DIRECCIÓN[#All],2,0)</f>
        <v>TECNOLOGÍA</v>
      </c>
      <c r="I1008" s="66" t="s">
        <v>483</v>
      </c>
      <c r="J1008" s="67">
        <v>1</v>
      </c>
      <c r="K1008" s="68" t="str">
        <f>VLOOKUP(Tabla6[[#This Row],[DIRECCIÓN GENERAL / COORDINACIÓN / SUBDIRECCIÓN]],Tabla37[[#All],[Columna1]:[EOD]],2,0)</f>
        <v>266_0006</v>
      </c>
      <c r="L1008" s="69">
        <f>VLOOKUP(Tabla6[[#This Row],[OBJETIVOS PND]],Listas!$A$1:$C$3,3,0)</f>
        <v>55</v>
      </c>
      <c r="M1008" s="70">
        <f>VLOOKUP(Tabla6[[#This Row],[PG]],Listas2!$G$14:$K$16,5,0)</f>
        <v>0</v>
      </c>
      <c r="N1008" s="71">
        <v>3</v>
      </c>
      <c r="O1008" s="72">
        <v>101</v>
      </c>
      <c r="P1008" s="73" t="str">
        <f>VLOOKUP(Tabla6[[#This Row],[GEO]],Listas!$A$48:$B$77,2,0)</f>
        <v>CUENCA</v>
      </c>
      <c r="Q1008" s="70">
        <f>VLOOKUP(Tabla6[[#This Row],[PG]],Listas2!$G$14:$K$16,3,0)</f>
        <v>1</v>
      </c>
      <c r="R1008" s="73">
        <f>VLOOKUP(Tabla6[[#This Row],[PG]],Listas2!H110:'Listas2'!$G$14:$K$16,4,0)</f>
        <v>0</v>
      </c>
      <c r="S1008" s="73">
        <f>VLOOKUP(Tabla6[[#This Row],[PG]],Listas2!$G$14:$K$16,2,0)</f>
        <v>0</v>
      </c>
      <c r="T1008" s="66" t="s">
        <v>84</v>
      </c>
      <c r="U1008" s="74">
        <v>53</v>
      </c>
      <c r="V1008" s="66">
        <v>530702</v>
      </c>
      <c r="W1008" s="63" t="str">
        <f>VLOOKUP(Tabla6[[#This Row],[ÍTEM PRESUPUESTARIO]],Tabla2[#All],2,0)</f>
        <v>ARRENDAMIENTO Y LICENCIAS DE USO DE PAQUETES INFORMÁTICOS</v>
      </c>
      <c r="X1008" s="57">
        <v>0</v>
      </c>
      <c r="Y1008" s="57">
        <f>5099.76-5099.76</f>
        <v>0</v>
      </c>
      <c r="Z1008" s="58">
        <f>5099.76-5099.76</f>
        <v>0</v>
      </c>
      <c r="AA1008" s="58">
        <v>0</v>
      </c>
      <c r="AB1008" s="58">
        <v>0</v>
      </c>
      <c r="AC1008" s="58">
        <v>0</v>
      </c>
      <c r="AD1008" s="58">
        <v>0</v>
      </c>
      <c r="AE1008" s="58">
        <v>0</v>
      </c>
      <c r="AF1008" s="58">
        <v>0</v>
      </c>
      <c r="AG1008" s="58">
        <v>0</v>
      </c>
      <c r="AH1008" s="58">
        <v>0</v>
      </c>
      <c r="AI1008" s="58">
        <v>0</v>
      </c>
      <c r="AJ1008" s="58">
        <v>0</v>
      </c>
      <c r="AK1008" s="58">
        <v>0</v>
      </c>
      <c r="AL1008" s="75">
        <f>+SUBTOTAL(9,Tabla6[[#This Row],[ENE]:[DIC]])</f>
        <v>0</v>
      </c>
      <c r="AM1008" s="76" t="str">
        <f t="shared" ref="AM1008:AM1039" si="29">IF(AL1008=Y1008,"OK",Y1008-AL1008)</f>
        <v>OK</v>
      </c>
      <c r="AN1008" s="60">
        <v>0</v>
      </c>
      <c r="AO1008" s="61">
        <f>+Tabla6[[#This Row],[PRESUPUESTO VIGENTE]]-Tabla6[[#This Row],[CERTIFICACIÓN PAPP]]</f>
        <v>0</v>
      </c>
      <c r="AP1008" s="59">
        <v>0</v>
      </c>
    </row>
    <row r="1009" spans="1:42" ht="93" customHeight="1" x14ac:dyDescent="0.25">
      <c r="A1009" s="62" t="s">
        <v>88</v>
      </c>
      <c r="B1009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009" s="64" t="s">
        <v>89</v>
      </c>
      <c r="D1009" s="64" t="s">
        <v>80</v>
      </c>
      <c r="E1009" s="64" t="s">
        <v>81</v>
      </c>
      <c r="F1009" s="64" t="s">
        <v>110</v>
      </c>
      <c r="G1009" s="64" t="s">
        <v>10</v>
      </c>
      <c r="H1009" s="65" t="str">
        <f>VLOOKUP(Tabla6[[#This Row],[DIRECCIÓN]],DIRECCIÓN[#All],2,0)</f>
        <v>TECNOLOGÍA</v>
      </c>
      <c r="I1009" s="66" t="s">
        <v>484</v>
      </c>
      <c r="J1009" s="67">
        <v>1</v>
      </c>
      <c r="K1009" s="68" t="str">
        <f>VLOOKUP(Tabla6[[#This Row],[DIRECCIÓN GENERAL / COORDINACIÓN / SUBDIRECCIÓN]],Tabla37[[#All],[Columna1]:[EOD]],2,0)</f>
        <v>266_0006</v>
      </c>
      <c r="L1009" s="69">
        <f>VLOOKUP(Tabla6[[#This Row],[OBJETIVOS PND]],Listas!$A$1:$C$3,3,0)</f>
        <v>55</v>
      </c>
      <c r="M1009" s="70">
        <f>VLOOKUP(Tabla6[[#This Row],[PG]],Listas2!$G$14:$K$16,5,0)</f>
        <v>0</v>
      </c>
      <c r="N1009" s="71">
        <v>3</v>
      </c>
      <c r="O1009" s="72">
        <v>101</v>
      </c>
      <c r="P1009" s="73" t="str">
        <f>VLOOKUP(Tabla6[[#This Row],[GEO]],Listas!$A$48:$B$77,2,0)</f>
        <v>CUENCA</v>
      </c>
      <c r="Q1009" s="70">
        <f>VLOOKUP(Tabla6[[#This Row],[PG]],Listas2!$G$14:$K$16,3,0)</f>
        <v>1</v>
      </c>
      <c r="R1009" s="73">
        <f>VLOOKUP(Tabla6[[#This Row],[PG]],Listas2!H111:'Listas2'!$G$14:$K$16,4,0)</f>
        <v>0</v>
      </c>
      <c r="S1009" s="73">
        <f>VLOOKUP(Tabla6[[#This Row],[PG]],Listas2!$G$14:$K$16,2,0)</f>
        <v>0</v>
      </c>
      <c r="T1009" s="66" t="s">
        <v>84</v>
      </c>
      <c r="U1009" s="74">
        <v>53</v>
      </c>
      <c r="V1009" s="66">
        <v>530702</v>
      </c>
      <c r="W1009" s="63" t="str">
        <f>VLOOKUP(Tabla6[[#This Row],[ÍTEM PRESUPUESTARIO]],Tabla2[#All],2,0)</f>
        <v>ARRENDAMIENTO Y LICENCIAS DE USO DE PAQUETES INFORMÁTICOS</v>
      </c>
      <c r="X1009" s="57">
        <v>7638</v>
      </c>
      <c r="Y1009" s="57">
        <f>7638-7638</f>
        <v>0</v>
      </c>
      <c r="Z1009" s="58">
        <f>7638-7638</f>
        <v>0</v>
      </c>
      <c r="AA1009" s="58">
        <v>0</v>
      </c>
      <c r="AB1009" s="58">
        <v>0</v>
      </c>
      <c r="AC1009" s="58">
        <v>0</v>
      </c>
      <c r="AD1009" s="58">
        <v>0</v>
      </c>
      <c r="AE1009" s="58">
        <v>0</v>
      </c>
      <c r="AF1009" s="58">
        <v>0</v>
      </c>
      <c r="AG1009" s="58">
        <v>0</v>
      </c>
      <c r="AH1009" s="58">
        <v>0</v>
      </c>
      <c r="AI1009" s="58">
        <v>0</v>
      </c>
      <c r="AJ1009" s="58">
        <v>0</v>
      </c>
      <c r="AK1009" s="58">
        <v>0</v>
      </c>
      <c r="AL1009" s="75">
        <f>+SUBTOTAL(9,Tabla6[[#This Row],[ENE]:[DIC]])</f>
        <v>0</v>
      </c>
      <c r="AM1009" s="76" t="str">
        <f t="shared" si="29"/>
        <v>OK</v>
      </c>
      <c r="AN1009" s="60">
        <v>0</v>
      </c>
      <c r="AO1009" s="61">
        <f>+Tabla6[[#This Row],[PRESUPUESTO VIGENTE]]-Tabla6[[#This Row],[CERTIFICACIÓN PAPP]]</f>
        <v>0</v>
      </c>
      <c r="AP1009" s="59">
        <v>0</v>
      </c>
    </row>
    <row r="1010" spans="1:42" ht="93" customHeight="1" x14ac:dyDescent="0.25">
      <c r="A1010" s="62" t="s">
        <v>88</v>
      </c>
      <c r="B1010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010" s="64" t="s">
        <v>89</v>
      </c>
      <c r="D1010" s="64" t="s">
        <v>80</v>
      </c>
      <c r="E1010" s="64" t="s">
        <v>81</v>
      </c>
      <c r="F1010" s="64" t="s">
        <v>110</v>
      </c>
      <c r="G1010" s="64" t="s">
        <v>10</v>
      </c>
      <c r="H1010" s="65" t="str">
        <f>VLOOKUP(Tabla6[[#This Row],[DIRECCIÓN]],DIRECCIÓN[#All],2,0)</f>
        <v>TECNOLOGÍA</v>
      </c>
      <c r="I1010" s="66" t="s">
        <v>485</v>
      </c>
      <c r="J1010" s="67">
        <v>1</v>
      </c>
      <c r="K1010" s="68" t="str">
        <f>VLOOKUP(Tabla6[[#This Row],[DIRECCIÓN GENERAL / COORDINACIÓN / SUBDIRECCIÓN]],Tabla37[[#All],[Columna1]:[EOD]],2,0)</f>
        <v>266_0006</v>
      </c>
      <c r="L1010" s="69">
        <f>VLOOKUP(Tabla6[[#This Row],[OBJETIVOS PND]],Listas!$A$1:$C$3,3,0)</f>
        <v>55</v>
      </c>
      <c r="M1010" s="70">
        <f>VLOOKUP(Tabla6[[#This Row],[PG]],Listas2!$G$14:$K$16,5,0)</f>
        <v>0</v>
      </c>
      <c r="N1010" s="71">
        <v>3</v>
      </c>
      <c r="O1010" s="72">
        <v>101</v>
      </c>
      <c r="P1010" s="73" t="str">
        <f>VLOOKUP(Tabla6[[#This Row],[GEO]],Listas!$A$48:$B$77,2,0)</f>
        <v>CUENCA</v>
      </c>
      <c r="Q1010" s="70">
        <f>VLOOKUP(Tabla6[[#This Row],[PG]],Listas2!$G$14:$K$16,3,0)</f>
        <v>1</v>
      </c>
      <c r="R1010" s="73">
        <f>VLOOKUP(Tabla6[[#This Row],[PG]],Listas2!H112:'Listas2'!$G$14:$K$16,4,0)</f>
        <v>0</v>
      </c>
      <c r="S1010" s="73">
        <f>VLOOKUP(Tabla6[[#This Row],[PG]],Listas2!$G$14:$K$16,2,0)</f>
        <v>0</v>
      </c>
      <c r="T1010" s="66" t="s">
        <v>84</v>
      </c>
      <c r="U1010" s="74">
        <v>53</v>
      </c>
      <c r="V1010" s="66">
        <v>530702</v>
      </c>
      <c r="W1010" s="63" t="str">
        <f>VLOOKUP(Tabla6[[#This Row],[ÍTEM PRESUPUESTARIO]],Tabla2[#All],2,0)</f>
        <v>ARRENDAMIENTO Y LICENCIAS DE USO DE PAQUETES INFORMÁTICOS</v>
      </c>
      <c r="X1010" s="57">
        <v>3507</v>
      </c>
      <c r="Y1010" s="57">
        <f>3507-3507</f>
        <v>0</v>
      </c>
      <c r="Z1010" s="58">
        <f>3507-3507</f>
        <v>0</v>
      </c>
      <c r="AA1010" s="58">
        <v>0</v>
      </c>
      <c r="AB1010" s="58">
        <v>0</v>
      </c>
      <c r="AC1010" s="58">
        <v>0</v>
      </c>
      <c r="AD1010" s="58">
        <v>0</v>
      </c>
      <c r="AE1010" s="58">
        <v>0</v>
      </c>
      <c r="AF1010" s="58">
        <v>0</v>
      </c>
      <c r="AG1010" s="58">
        <v>0</v>
      </c>
      <c r="AH1010" s="58">
        <v>0</v>
      </c>
      <c r="AI1010" s="58">
        <v>0</v>
      </c>
      <c r="AJ1010" s="58">
        <v>0</v>
      </c>
      <c r="AK1010" s="58">
        <v>0</v>
      </c>
      <c r="AL1010" s="75">
        <f>+SUBTOTAL(9,Tabla6[[#This Row],[ENE]:[DIC]])</f>
        <v>0</v>
      </c>
      <c r="AM1010" s="76" t="str">
        <f t="shared" si="29"/>
        <v>OK</v>
      </c>
      <c r="AN1010" s="60">
        <v>0</v>
      </c>
      <c r="AO1010" s="61">
        <f>+Tabla6[[#This Row],[PRESUPUESTO VIGENTE]]-Tabla6[[#This Row],[CERTIFICACIÓN PAPP]]</f>
        <v>0</v>
      </c>
      <c r="AP1010" s="59">
        <v>0</v>
      </c>
    </row>
    <row r="1011" spans="1:42" ht="93" customHeight="1" x14ac:dyDescent="0.25">
      <c r="A1011" s="62" t="s">
        <v>88</v>
      </c>
      <c r="B1011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011" s="64" t="s">
        <v>89</v>
      </c>
      <c r="D1011" s="64" t="s">
        <v>80</v>
      </c>
      <c r="E1011" s="64" t="s">
        <v>81</v>
      </c>
      <c r="F1011" s="64" t="s">
        <v>110</v>
      </c>
      <c r="G1011" s="64" t="s">
        <v>10</v>
      </c>
      <c r="H1011" s="65" t="str">
        <f>VLOOKUP(Tabla6[[#This Row],[DIRECCIÓN]],DIRECCIÓN[#All],2,0)</f>
        <v>TECNOLOGÍA</v>
      </c>
      <c r="I1011" s="66" t="s">
        <v>486</v>
      </c>
      <c r="J1011" s="67">
        <v>1</v>
      </c>
      <c r="K1011" s="68" t="str">
        <f>VLOOKUP(Tabla6[[#This Row],[DIRECCIÓN GENERAL / COORDINACIÓN / SUBDIRECCIÓN]],Tabla37[[#All],[Columna1]:[EOD]],2,0)</f>
        <v>266_0006</v>
      </c>
      <c r="L1011" s="69">
        <f>VLOOKUP(Tabla6[[#This Row],[OBJETIVOS PND]],Listas!$A$1:$C$3,3,0)</f>
        <v>55</v>
      </c>
      <c r="M1011" s="70">
        <f>VLOOKUP(Tabla6[[#This Row],[PG]],Listas2!$G$14:$K$16,5,0)</f>
        <v>0</v>
      </c>
      <c r="N1011" s="71">
        <v>3</v>
      </c>
      <c r="O1011" s="72">
        <v>101</v>
      </c>
      <c r="P1011" s="73" t="str">
        <f>VLOOKUP(Tabla6[[#This Row],[GEO]],Listas!$A$48:$B$77,2,0)</f>
        <v>CUENCA</v>
      </c>
      <c r="Q1011" s="70">
        <f>VLOOKUP(Tabla6[[#This Row],[PG]],Listas2!$G$14:$K$16,3,0)</f>
        <v>1</v>
      </c>
      <c r="R1011" s="73">
        <f>VLOOKUP(Tabla6[[#This Row],[PG]],Listas2!H113:'Listas2'!$G$14:$K$16,4,0)</f>
        <v>0</v>
      </c>
      <c r="S1011" s="73">
        <f>VLOOKUP(Tabla6[[#This Row],[PG]],Listas2!$G$14:$K$16,2,0)</f>
        <v>0</v>
      </c>
      <c r="T1011" s="66" t="s">
        <v>84</v>
      </c>
      <c r="U1011" s="74">
        <v>53</v>
      </c>
      <c r="V1011" s="66">
        <v>530702</v>
      </c>
      <c r="W1011" s="63" t="str">
        <f>VLOOKUP(Tabla6[[#This Row],[ÍTEM PRESUPUESTARIO]],Tabla2[#All],2,0)</f>
        <v>ARRENDAMIENTO Y LICENCIAS DE USO DE PAQUETES INFORMÁTICOS</v>
      </c>
      <c r="X1011" s="57">
        <v>2959</v>
      </c>
      <c r="Y1011" s="57">
        <f>2959-2959</f>
        <v>0</v>
      </c>
      <c r="Z1011" s="58">
        <f>2959-2959</f>
        <v>0</v>
      </c>
      <c r="AA1011" s="58">
        <v>0</v>
      </c>
      <c r="AB1011" s="58">
        <v>0</v>
      </c>
      <c r="AC1011" s="58">
        <v>0</v>
      </c>
      <c r="AD1011" s="58">
        <v>0</v>
      </c>
      <c r="AE1011" s="58">
        <v>0</v>
      </c>
      <c r="AF1011" s="58">
        <v>0</v>
      </c>
      <c r="AG1011" s="58">
        <v>0</v>
      </c>
      <c r="AH1011" s="58">
        <v>0</v>
      </c>
      <c r="AI1011" s="58">
        <v>0</v>
      </c>
      <c r="AJ1011" s="58">
        <v>0</v>
      </c>
      <c r="AK1011" s="58">
        <v>0</v>
      </c>
      <c r="AL1011" s="75">
        <f>+SUBTOTAL(9,Tabla6[[#This Row],[ENE]:[DIC]])</f>
        <v>0</v>
      </c>
      <c r="AM1011" s="76" t="str">
        <f t="shared" si="29"/>
        <v>OK</v>
      </c>
      <c r="AN1011" s="60">
        <v>0</v>
      </c>
      <c r="AO1011" s="61">
        <f>+Tabla6[[#This Row],[PRESUPUESTO VIGENTE]]-Tabla6[[#This Row],[CERTIFICACIÓN PAPP]]</f>
        <v>0</v>
      </c>
      <c r="AP1011" s="59">
        <v>0</v>
      </c>
    </row>
    <row r="1012" spans="1:42" ht="93" customHeight="1" x14ac:dyDescent="0.25">
      <c r="A1012" s="62" t="s">
        <v>88</v>
      </c>
      <c r="B1012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012" s="64" t="s">
        <v>89</v>
      </c>
      <c r="D1012" s="64" t="s">
        <v>80</v>
      </c>
      <c r="E1012" s="64" t="s">
        <v>81</v>
      </c>
      <c r="F1012" s="64" t="s">
        <v>110</v>
      </c>
      <c r="G1012" s="64" t="s">
        <v>10</v>
      </c>
      <c r="H1012" s="65" t="str">
        <f>VLOOKUP(Tabla6[[#This Row],[DIRECCIÓN]],DIRECCIÓN[#All],2,0)</f>
        <v>TECNOLOGÍA</v>
      </c>
      <c r="I1012" s="66" t="s">
        <v>487</v>
      </c>
      <c r="J1012" s="67">
        <v>1</v>
      </c>
      <c r="K1012" s="68" t="str">
        <f>VLOOKUP(Tabla6[[#This Row],[DIRECCIÓN GENERAL / COORDINACIÓN / SUBDIRECCIÓN]],Tabla37[[#All],[Columna1]:[EOD]],2,0)</f>
        <v>266_0006</v>
      </c>
      <c r="L1012" s="69">
        <f>VLOOKUP(Tabla6[[#This Row],[OBJETIVOS PND]],Listas!$A$1:$C$3,3,0)</f>
        <v>55</v>
      </c>
      <c r="M1012" s="70">
        <f>VLOOKUP(Tabla6[[#This Row],[PG]],Listas2!$G$14:$K$16,5,0)</f>
        <v>0</v>
      </c>
      <c r="N1012" s="71">
        <v>3</v>
      </c>
      <c r="O1012" s="72">
        <v>101</v>
      </c>
      <c r="P1012" s="73" t="str">
        <f>VLOOKUP(Tabla6[[#This Row],[GEO]],Listas!$A$48:$B$77,2,0)</f>
        <v>CUENCA</v>
      </c>
      <c r="Q1012" s="70">
        <f>VLOOKUP(Tabla6[[#This Row],[PG]],Listas2!$G$14:$K$16,3,0)</f>
        <v>1</v>
      </c>
      <c r="R1012" s="73">
        <f>VLOOKUP(Tabla6[[#This Row],[PG]],Listas2!H114:'Listas2'!$G$14:$K$16,4,0)</f>
        <v>0</v>
      </c>
      <c r="S1012" s="73">
        <f>VLOOKUP(Tabla6[[#This Row],[PG]],Listas2!$G$14:$K$16,2,0)</f>
        <v>0</v>
      </c>
      <c r="T1012" s="66" t="s">
        <v>84</v>
      </c>
      <c r="U1012" s="74">
        <v>53</v>
      </c>
      <c r="V1012" s="66">
        <v>530704</v>
      </c>
      <c r="W1012" s="63" t="str">
        <f>VLOOKUP(Tabla6[[#This Row],[ÍTEM PRESUPUESTARIO]],Tabla2[#All],2,0)</f>
        <v xml:space="preserve">MANTENIMIENTO Y REPARACIÓN DE EQUIPOS Y SISTEMAS INFORMÁTICOS </v>
      </c>
      <c r="X1012" s="57">
        <v>0</v>
      </c>
      <c r="Y1012" s="57">
        <f>3505-3505</f>
        <v>0</v>
      </c>
      <c r="Z1012" s="58">
        <v>0</v>
      </c>
      <c r="AA1012" s="58">
        <v>0</v>
      </c>
      <c r="AB1012" s="58">
        <v>0</v>
      </c>
      <c r="AC1012" s="58">
        <v>0</v>
      </c>
      <c r="AD1012" s="58">
        <v>0</v>
      </c>
      <c r="AE1012" s="58">
        <v>0</v>
      </c>
      <c r="AF1012" s="58">
        <f>3505-3505</f>
        <v>0</v>
      </c>
      <c r="AG1012" s="58">
        <v>0</v>
      </c>
      <c r="AH1012" s="58">
        <v>0</v>
      </c>
      <c r="AI1012" s="58">
        <v>0</v>
      </c>
      <c r="AJ1012" s="58">
        <v>0</v>
      </c>
      <c r="AK1012" s="58">
        <v>0</v>
      </c>
      <c r="AL1012" s="75">
        <f>+SUBTOTAL(9,Tabla6[[#This Row],[ENE]:[DIC]])</f>
        <v>0</v>
      </c>
      <c r="AM1012" s="76" t="str">
        <f t="shared" si="29"/>
        <v>OK</v>
      </c>
      <c r="AN1012" s="60">
        <v>0</v>
      </c>
      <c r="AO1012" s="61">
        <f>+Tabla6[[#This Row],[PRESUPUESTO VIGENTE]]-Tabla6[[#This Row],[CERTIFICACIÓN PAPP]]</f>
        <v>0</v>
      </c>
      <c r="AP1012" s="59">
        <v>0</v>
      </c>
    </row>
    <row r="1013" spans="1:42" ht="93" customHeight="1" x14ac:dyDescent="0.25">
      <c r="A1013" s="62" t="s">
        <v>88</v>
      </c>
      <c r="B1013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013" s="64" t="s">
        <v>89</v>
      </c>
      <c r="D1013" s="64" t="s">
        <v>80</v>
      </c>
      <c r="E1013" s="64" t="s">
        <v>81</v>
      </c>
      <c r="F1013" s="64" t="s">
        <v>110</v>
      </c>
      <c r="G1013" s="64" t="s">
        <v>10</v>
      </c>
      <c r="H1013" s="65" t="str">
        <f>VLOOKUP(Tabla6[[#This Row],[DIRECCIÓN]],DIRECCIÓN[#All],2,0)</f>
        <v>TECNOLOGÍA</v>
      </c>
      <c r="I1013" s="66" t="s">
        <v>488</v>
      </c>
      <c r="J1013" s="67">
        <v>1</v>
      </c>
      <c r="K1013" s="68" t="str">
        <f>VLOOKUP(Tabla6[[#This Row],[DIRECCIÓN GENERAL / COORDINACIÓN / SUBDIRECCIÓN]],Tabla37[[#All],[Columna1]:[EOD]],2,0)</f>
        <v>266_0006</v>
      </c>
      <c r="L1013" s="69">
        <f>VLOOKUP(Tabla6[[#This Row],[OBJETIVOS PND]],Listas!$A$1:$C$3,3,0)</f>
        <v>55</v>
      </c>
      <c r="M1013" s="70">
        <f>VLOOKUP(Tabla6[[#This Row],[PG]],Listas2!$G$14:$K$16,5,0)</f>
        <v>0</v>
      </c>
      <c r="N1013" s="71">
        <v>3</v>
      </c>
      <c r="O1013" s="72">
        <v>101</v>
      </c>
      <c r="P1013" s="73" t="str">
        <f>VLOOKUP(Tabla6[[#This Row],[GEO]],Listas!$A$48:$B$77,2,0)</f>
        <v>CUENCA</v>
      </c>
      <c r="Q1013" s="70">
        <f>VLOOKUP(Tabla6[[#This Row],[PG]],Listas2!$G$14:$K$16,3,0)</f>
        <v>1</v>
      </c>
      <c r="R1013" s="73">
        <f>VLOOKUP(Tabla6[[#This Row],[PG]],Listas2!H115:'Listas2'!$G$14:$K$16,4,0)</f>
        <v>0</v>
      </c>
      <c r="S1013" s="73">
        <f>VLOOKUP(Tabla6[[#This Row],[PG]],Listas2!$G$14:$K$16,2,0)</f>
        <v>0</v>
      </c>
      <c r="T1013" s="66" t="s">
        <v>84</v>
      </c>
      <c r="U1013" s="74">
        <v>53</v>
      </c>
      <c r="V1013" s="66">
        <v>530704</v>
      </c>
      <c r="W1013" s="63" t="str">
        <f>VLOOKUP(Tabla6[[#This Row],[ÍTEM PRESUPUESTARIO]],Tabla2[#All],2,0)</f>
        <v xml:space="preserve">MANTENIMIENTO Y REPARACIÓN DE EQUIPOS Y SISTEMAS INFORMÁTICOS </v>
      </c>
      <c r="X1013" s="57">
        <v>0</v>
      </c>
      <c r="Y1013" s="57">
        <v>168</v>
      </c>
      <c r="Z1013" s="58">
        <v>0</v>
      </c>
      <c r="AA1013" s="58">
        <v>0</v>
      </c>
      <c r="AB1013" s="58">
        <v>0</v>
      </c>
      <c r="AC1013" s="58">
        <v>0</v>
      </c>
      <c r="AD1013" s="58">
        <v>0</v>
      </c>
      <c r="AE1013" s="58">
        <v>0</v>
      </c>
      <c r="AF1013" s="58">
        <v>84</v>
      </c>
      <c r="AG1013" s="58">
        <v>0</v>
      </c>
      <c r="AH1013" s="58">
        <v>0</v>
      </c>
      <c r="AI1013" s="58">
        <v>0</v>
      </c>
      <c r="AJ1013" s="58">
        <v>0</v>
      </c>
      <c r="AK1013" s="58">
        <v>84</v>
      </c>
      <c r="AL1013" s="75">
        <f>+SUBTOTAL(9,Tabla6[[#This Row],[ENE]:[DIC]])</f>
        <v>168</v>
      </c>
      <c r="AM1013" s="76" t="str">
        <f t="shared" si="29"/>
        <v>OK</v>
      </c>
      <c r="AN1013" s="60">
        <v>168</v>
      </c>
      <c r="AO1013" s="61">
        <f>+Tabla6[[#This Row],[PRESUPUESTO VIGENTE]]-Tabla6[[#This Row],[CERTIFICACIÓN PAPP]]</f>
        <v>0</v>
      </c>
      <c r="AP1013" s="59">
        <v>0</v>
      </c>
    </row>
    <row r="1014" spans="1:42" ht="93" customHeight="1" x14ac:dyDescent="0.25">
      <c r="A1014" s="62" t="s">
        <v>88</v>
      </c>
      <c r="B1014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014" s="64" t="s">
        <v>89</v>
      </c>
      <c r="D1014" s="64" t="s">
        <v>80</v>
      </c>
      <c r="E1014" s="64" t="s">
        <v>81</v>
      </c>
      <c r="F1014" s="64" t="s">
        <v>110</v>
      </c>
      <c r="G1014" s="64" t="s">
        <v>10</v>
      </c>
      <c r="H1014" s="65" t="str">
        <f>VLOOKUP(Tabla6[[#This Row],[DIRECCIÓN]],DIRECCIÓN[#All],2,0)</f>
        <v>TECNOLOGÍA</v>
      </c>
      <c r="I1014" s="66" t="s">
        <v>489</v>
      </c>
      <c r="J1014" s="67">
        <v>1</v>
      </c>
      <c r="K1014" s="68" t="str">
        <f>VLOOKUP(Tabla6[[#This Row],[DIRECCIÓN GENERAL / COORDINACIÓN / SUBDIRECCIÓN]],Tabla37[[#All],[Columna1]:[EOD]],2,0)</f>
        <v>266_0006</v>
      </c>
      <c r="L1014" s="69">
        <f>VLOOKUP(Tabla6[[#This Row],[OBJETIVOS PND]],Listas!$A$1:$C$3,3,0)</f>
        <v>55</v>
      </c>
      <c r="M1014" s="70">
        <f>VLOOKUP(Tabla6[[#This Row],[PG]],Listas2!$G$14:$K$16,5,0)</f>
        <v>0</v>
      </c>
      <c r="N1014" s="71">
        <v>3</v>
      </c>
      <c r="O1014" s="72">
        <v>101</v>
      </c>
      <c r="P1014" s="73" t="str">
        <f>VLOOKUP(Tabla6[[#This Row],[GEO]],Listas!$A$48:$B$77,2,0)</f>
        <v>CUENCA</v>
      </c>
      <c r="Q1014" s="70">
        <f>VLOOKUP(Tabla6[[#This Row],[PG]],Listas2!$G$14:$K$16,3,0)</f>
        <v>1</v>
      </c>
      <c r="R1014" s="73">
        <f>VLOOKUP(Tabla6[[#This Row],[PG]],Listas2!H116:'Listas2'!$G$14:$K$16,4,0)</f>
        <v>0</v>
      </c>
      <c r="S1014" s="73">
        <f>VLOOKUP(Tabla6[[#This Row],[PG]],Listas2!$G$14:$K$16,2,0)</f>
        <v>0</v>
      </c>
      <c r="T1014" s="66" t="s">
        <v>84</v>
      </c>
      <c r="U1014" s="74">
        <v>53</v>
      </c>
      <c r="V1014" s="66">
        <v>530704</v>
      </c>
      <c r="W1014" s="63" t="str">
        <f>VLOOKUP(Tabla6[[#This Row],[ÍTEM PRESUPUESTARIO]],Tabla2[#All],2,0)</f>
        <v xml:space="preserve">MANTENIMIENTO Y REPARACIÓN DE EQUIPOS Y SISTEMAS INFORMÁTICOS </v>
      </c>
      <c r="X1014" s="57">
        <f>73304-9768</f>
        <v>63536</v>
      </c>
      <c r="Y1014" s="57">
        <f>63536+15232+2570-4238-25.48</f>
        <v>77074.52</v>
      </c>
      <c r="Z1014" s="58">
        <v>0</v>
      </c>
      <c r="AA1014" s="58">
        <v>0</v>
      </c>
      <c r="AB1014" s="58">
        <v>0</v>
      </c>
      <c r="AC1014" s="58">
        <v>0</v>
      </c>
      <c r="AD1014" s="58">
        <v>11619.71</v>
      </c>
      <c r="AE1014" s="58">
        <v>11619.71</v>
      </c>
      <c r="AF1014" s="58">
        <v>11619.71</v>
      </c>
      <c r="AG1014" s="58">
        <f>11619.71-1000</f>
        <v>10619.71</v>
      </c>
      <c r="AH1014" s="58">
        <f>11619.71-1000</f>
        <v>10619.71</v>
      </c>
      <c r="AI1014" s="58">
        <f>11619.71-1000</f>
        <v>10619.71</v>
      </c>
      <c r="AJ1014" s="58">
        <f>11619.74-1238-25.48</f>
        <v>10356.26</v>
      </c>
      <c r="AK1014" s="58">
        <v>0</v>
      </c>
      <c r="AL1014" s="75">
        <f>+SUBTOTAL(9,Tabla6[[#This Row],[ENE]:[DIC]])</f>
        <v>77074.51999999999</v>
      </c>
      <c r="AM1014" s="76" t="str">
        <f t="shared" si="29"/>
        <v>OK</v>
      </c>
      <c r="AN1014" s="60">
        <f>81335-4235-25.48</f>
        <v>77074.52</v>
      </c>
      <c r="AO1014" s="61">
        <f>+Tabla6[[#This Row],[PRESUPUESTO VIGENTE]]-Tabla6[[#This Row],[CERTIFICACIÓN PAPP]]</f>
        <v>0</v>
      </c>
      <c r="AP1014" s="59">
        <v>0</v>
      </c>
    </row>
    <row r="1015" spans="1:42" ht="93" customHeight="1" x14ac:dyDescent="0.25">
      <c r="A1015" s="62" t="s">
        <v>88</v>
      </c>
      <c r="B1015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015" s="64" t="s">
        <v>89</v>
      </c>
      <c r="D1015" s="64" t="s">
        <v>80</v>
      </c>
      <c r="E1015" s="64" t="s">
        <v>81</v>
      </c>
      <c r="F1015" s="64" t="s">
        <v>110</v>
      </c>
      <c r="G1015" s="64" t="s">
        <v>10</v>
      </c>
      <c r="H1015" s="65" t="str">
        <f>VLOOKUP(Tabla6[[#This Row],[DIRECCIÓN]],DIRECCIÓN[#All],2,0)</f>
        <v>TECNOLOGÍA</v>
      </c>
      <c r="I1015" s="66" t="s">
        <v>490</v>
      </c>
      <c r="J1015" s="67">
        <v>1</v>
      </c>
      <c r="K1015" s="68" t="str">
        <f>VLOOKUP(Tabla6[[#This Row],[DIRECCIÓN GENERAL / COORDINACIÓN / SUBDIRECCIÓN]],Tabla37[[#All],[Columna1]:[EOD]],2,0)</f>
        <v>266_0006</v>
      </c>
      <c r="L1015" s="69">
        <f>VLOOKUP(Tabla6[[#This Row],[OBJETIVOS PND]],Listas!$A$1:$C$3,3,0)</f>
        <v>55</v>
      </c>
      <c r="M1015" s="70">
        <f>VLOOKUP(Tabla6[[#This Row],[PG]],Listas2!$G$14:$K$16,5,0)</f>
        <v>0</v>
      </c>
      <c r="N1015" s="71">
        <v>3</v>
      </c>
      <c r="O1015" s="72">
        <v>101</v>
      </c>
      <c r="P1015" s="73" t="str">
        <f>VLOOKUP(Tabla6[[#This Row],[GEO]],Listas!$A$48:$B$77,2,0)</f>
        <v>CUENCA</v>
      </c>
      <c r="Q1015" s="70">
        <f>VLOOKUP(Tabla6[[#This Row],[PG]],Listas2!$G$14:$K$16,3,0)</f>
        <v>1</v>
      </c>
      <c r="R1015" s="73">
        <f>VLOOKUP(Tabla6[[#This Row],[PG]],Listas2!H117:'Listas2'!$G$14:$K$16,4,0)</f>
        <v>0</v>
      </c>
      <c r="S1015" s="73">
        <f>VLOOKUP(Tabla6[[#This Row],[PG]],Listas2!$G$14:$K$16,2,0)</f>
        <v>0</v>
      </c>
      <c r="T1015" s="66" t="s">
        <v>84</v>
      </c>
      <c r="U1015" s="74">
        <v>53</v>
      </c>
      <c r="V1015" s="66">
        <v>530704</v>
      </c>
      <c r="W1015" s="63" t="str">
        <f>VLOOKUP(Tabla6[[#This Row],[ÍTEM PRESUPUESTARIO]],Tabla2[#All],2,0)</f>
        <v xml:space="preserve">MANTENIMIENTO Y REPARACIÓN DE EQUIPOS Y SISTEMAS INFORMÁTICOS </v>
      </c>
      <c r="X1015" s="57">
        <v>0</v>
      </c>
      <c r="Y1015" s="57">
        <v>5800</v>
      </c>
      <c r="Z1015" s="58">
        <v>0</v>
      </c>
      <c r="AA1015" s="58">
        <v>0</v>
      </c>
      <c r="AB1015" s="58">
        <v>0</v>
      </c>
      <c r="AC1015" s="58">
        <v>0</v>
      </c>
      <c r="AD1015" s="58">
        <v>0</v>
      </c>
      <c r="AE1015" s="58">
        <v>0</v>
      </c>
      <c r="AF1015" s="58">
        <v>0</v>
      </c>
      <c r="AG1015" s="58">
        <v>0</v>
      </c>
      <c r="AH1015" s="58">
        <v>0</v>
      </c>
      <c r="AI1015" s="58">
        <v>0</v>
      </c>
      <c r="AJ1015" s="58">
        <v>0</v>
      </c>
      <c r="AK1015" s="58">
        <v>5800</v>
      </c>
      <c r="AL1015" s="75">
        <f>+SUBTOTAL(9,Tabla6[[#This Row],[ENE]:[DIC]])</f>
        <v>5800</v>
      </c>
      <c r="AM1015" s="76" t="str">
        <f t="shared" si="29"/>
        <v>OK</v>
      </c>
      <c r="AN1015" s="60">
        <v>5800</v>
      </c>
      <c r="AO1015" s="61">
        <f>+Tabla6[[#This Row],[PRESUPUESTO VIGENTE]]-Tabla6[[#This Row],[CERTIFICACIÓN PAPP]]</f>
        <v>0</v>
      </c>
      <c r="AP1015" s="59">
        <v>0</v>
      </c>
    </row>
    <row r="1016" spans="1:42" ht="93" customHeight="1" x14ac:dyDescent="0.25">
      <c r="A1016" s="62" t="s">
        <v>88</v>
      </c>
      <c r="B1016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016" s="64" t="s">
        <v>89</v>
      </c>
      <c r="D1016" s="64" t="s">
        <v>80</v>
      </c>
      <c r="E1016" s="64" t="s">
        <v>81</v>
      </c>
      <c r="F1016" s="64" t="s">
        <v>110</v>
      </c>
      <c r="G1016" s="64" t="s">
        <v>10</v>
      </c>
      <c r="H1016" s="65" t="str">
        <f>VLOOKUP(Tabla6[[#This Row],[DIRECCIÓN]],DIRECCIÓN[#All],2,0)</f>
        <v>TECNOLOGÍA</v>
      </c>
      <c r="I1016" s="66" t="s">
        <v>491</v>
      </c>
      <c r="J1016" s="67">
        <v>1</v>
      </c>
      <c r="K1016" s="68" t="str">
        <f>VLOOKUP(Tabla6[[#This Row],[DIRECCIÓN GENERAL / COORDINACIÓN / SUBDIRECCIÓN]],Tabla37[[#All],[Columna1]:[EOD]],2,0)</f>
        <v>266_0006</v>
      </c>
      <c r="L1016" s="69">
        <f>VLOOKUP(Tabla6[[#This Row],[OBJETIVOS PND]],Listas!$A$1:$C$3,3,0)</f>
        <v>55</v>
      </c>
      <c r="M1016" s="70">
        <f>VLOOKUP(Tabla6[[#This Row],[PG]],Listas2!$G$14:$K$16,5,0)</f>
        <v>0</v>
      </c>
      <c r="N1016" s="71">
        <v>3</v>
      </c>
      <c r="O1016" s="72">
        <v>101</v>
      </c>
      <c r="P1016" s="73" t="str">
        <f>VLOOKUP(Tabla6[[#This Row],[GEO]],Listas!$A$48:$B$77,2,0)</f>
        <v>CUENCA</v>
      </c>
      <c r="Q1016" s="70">
        <f>VLOOKUP(Tabla6[[#This Row],[PG]],Listas2!$G$14:$K$16,3,0)</f>
        <v>1</v>
      </c>
      <c r="R1016" s="73">
        <f>VLOOKUP(Tabla6[[#This Row],[PG]],Listas2!H118:'Listas2'!$G$14:$K$16,4,0)</f>
        <v>0</v>
      </c>
      <c r="S1016" s="73">
        <f>VLOOKUP(Tabla6[[#This Row],[PG]],Listas2!$G$14:$K$16,2,0)</f>
        <v>0</v>
      </c>
      <c r="T1016" s="66" t="s">
        <v>84</v>
      </c>
      <c r="U1016" s="74">
        <v>53</v>
      </c>
      <c r="V1016" s="66">
        <v>530811</v>
      </c>
      <c r="W1016" s="63" t="str">
        <f>VLOOKUP(Tabla6[[#This Row],[ÍTEM PRESUPUESTARIO]],Tabla2[#All],2,0)</f>
        <v>INSUMOS, MATERIALES Y SUMINISTROS PARA CONSTRUCCIÓN, ELECTRICIDAD, PLOMERÍA, CARPINTERÍA, SEÑALIZACIÓN VIAL, NAVEGACIÓN, CONTRA INCENDIOS Y PLACAS</v>
      </c>
      <c r="X1016" s="57">
        <v>7840</v>
      </c>
      <c r="Y1016" s="57">
        <f>7840+2522+1037.9+600-14.67-5931-68.23</f>
        <v>5986</v>
      </c>
      <c r="Z1016" s="58">
        <v>0</v>
      </c>
      <c r="AA1016" s="58">
        <v>0</v>
      </c>
      <c r="AB1016" s="58">
        <v>0</v>
      </c>
      <c r="AC1016" s="58">
        <v>0</v>
      </c>
      <c r="AD1016" s="58">
        <v>0</v>
      </c>
      <c r="AE1016" s="58">
        <v>0</v>
      </c>
      <c r="AF1016" s="58">
        <f>10362+1037.9+600-14.67-5931-68.23</f>
        <v>5986</v>
      </c>
      <c r="AG1016" s="58">
        <v>0</v>
      </c>
      <c r="AH1016" s="58">
        <v>0</v>
      </c>
      <c r="AI1016" s="58">
        <v>0</v>
      </c>
      <c r="AJ1016" s="58">
        <v>0</v>
      </c>
      <c r="AK1016" s="58">
        <v>0</v>
      </c>
      <c r="AL1016" s="75">
        <f>+SUBTOTAL(9,Tabla6[[#This Row],[ENE]:[DIC]])</f>
        <v>5986</v>
      </c>
      <c r="AM1016" s="76" t="str">
        <f t="shared" si="29"/>
        <v>OK</v>
      </c>
      <c r="AN1016" s="60">
        <f>5553.54+5846.36+570.65-5984.55</f>
        <v>5985.9999999999991</v>
      </c>
      <c r="AO1016" s="61">
        <f>+Tabla6[[#This Row],[PRESUPUESTO VIGENTE]]-Tabla6[[#This Row],[CERTIFICACIÓN PAPP]]</f>
        <v>0</v>
      </c>
      <c r="AP1016" s="59" t="s">
        <v>87</v>
      </c>
    </row>
    <row r="1017" spans="1:42" ht="93" customHeight="1" x14ac:dyDescent="0.25">
      <c r="A1017" s="62" t="s">
        <v>88</v>
      </c>
      <c r="B1017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017" s="64" t="s">
        <v>89</v>
      </c>
      <c r="D1017" s="64" t="s">
        <v>80</v>
      </c>
      <c r="E1017" s="64" t="s">
        <v>81</v>
      </c>
      <c r="F1017" s="64" t="s">
        <v>110</v>
      </c>
      <c r="G1017" s="64" t="s">
        <v>10</v>
      </c>
      <c r="H1017" s="65" t="str">
        <f>VLOOKUP(Tabla6[[#This Row],[DIRECCIÓN]],DIRECCIÓN[#All],2,0)</f>
        <v>TECNOLOGÍA</v>
      </c>
      <c r="I1017" s="66" t="s">
        <v>491</v>
      </c>
      <c r="J1017" s="67">
        <v>1</v>
      </c>
      <c r="K1017" s="68" t="str">
        <f>VLOOKUP(Tabla6[[#This Row],[DIRECCIÓN GENERAL / COORDINACIÓN / SUBDIRECCIÓN]],Tabla37[[#All],[Columna1]:[EOD]],2,0)</f>
        <v>266_0006</v>
      </c>
      <c r="L1017" s="69">
        <f>VLOOKUP(Tabla6[[#This Row],[OBJETIVOS PND]],Listas!$A$1:$C$3,3,0)</f>
        <v>55</v>
      </c>
      <c r="M1017" s="70">
        <f>VLOOKUP(Tabla6[[#This Row],[PG]],Listas2!$G$14:$K$16,5,0)</f>
        <v>0</v>
      </c>
      <c r="N1017" s="71">
        <v>3</v>
      </c>
      <c r="O1017" s="72">
        <v>101</v>
      </c>
      <c r="P1017" s="73" t="str">
        <f>VLOOKUP(Tabla6[[#This Row],[GEO]],Listas!$A$48:$B$77,2,0)</f>
        <v>CUENCA</v>
      </c>
      <c r="Q1017" s="70">
        <f>VLOOKUP(Tabla6[[#This Row],[PG]],Listas2!$G$14:$K$16,3,0)</f>
        <v>1</v>
      </c>
      <c r="R1017" s="73">
        <f>VLOOKUP(Tabla6[[#This Row],[PG]],Listas2!H119:'Listas2'!$G$14:$K$16,4,0)</f>
        <v>0</v>
      </c>
      <c r="S1017" s="73">
        <f>VLOOKUP(Tabla6[[#This Row],[PG]],Listas2!$G$14:$K$16,2,0)</f>
        <v>0</v>
      </c>
      <c r="T1017" s="66" t="s">
        <v>84</v>
      </c>
      <c r="U1017" s="74">
        <v>53</v>
      </c>
      <c r="V1017" s="66">
        <v>530813</v>
      </c>
      <c r="W1017" s="63" t="str">
        <f>VLOOKUP(Tabla6[[#This Row],[ÍTEM PRESUPUESTARIO]],Tabla2[#All],2,0)</f>
        <v>REPUESTOS Y ACCESORIOS</v>
      </c>
      <c r="X1017" s="57">
        <v>18480</v>
      </c>
      <c r="Y1017" s="57">
        <f>18480-17080.4+83.23+2554.77+7663.48-12.09-5580-874.99</f>
        <v>5233.9999999999982</v>
      </c>
      <c r="Z1017" s="58">
        <v>0</v>
      </c>
      <c r="AA1017" s="58">
        <v>0</v>
      </c>
      <c r="AB1017" s="58">
        <v>0</v>
      </c>
      <c r="AC1017" s="58">
        <v>0</v>
      </c>
      <c r="AD1017" s="58">
        <v>0</v>
      </c>
      <c r="AE1017" s="58">
        <v>0</v>
      </c>
      <c r="AF1017" s="58">
        <f>1482.83+2554.77+7663.48-12.09-5580-874.99</f>
        <v>5234</v>
      </c>
      <c r="AG1017" s="58">
        <v>0</v>
      </c>
      <c r="AH1017" s="58">
        <v>0</v>
      </c>
      <c r="AI1017" s="58">
        <v>0</v>
      </c>
      <c r="AJ1017" s="58">
        <v>0</v>
      </c>
      <c r="AK1017" s="58">
        <v>0</v>
      </c>
      <c r="AL1017" s="75">
        <f>+SUBTOTAL(9,Tabla6[[#This Row],[ENE]:[DIC]])</f>
        <v>5234</v>
      </c>
      <c r="AM1017" s="76" t="str">
        <f t="shared" si="29"/>
        <v>OK</v>
      </c>
      <c r="AN1017" s="60">
        <f>11676.9-5580-862.9</f>
        <v>5234</v>
      </c>
      <c r="AO1017" s="61">
        <f>+Tabla6[[#This Row],[PRESUPUESTO VIGENTE]]-Tabla6[[#This Row],[CERTIFICACIÓN PAPP]]</f>
        <v>0</v>
      </c>
      <c r="AP1017" s="59" t="s">
        <v>87</v>
      </c>
    </row>
    <row r="1018" spans="1:42" ht="93" customHeight="1" x14ac:dyDescent="0.25">
      <c r="A1018" s="62" t="s">
        <v>88</v>
      </c>
      <c r="B1018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018" s="64" t="s">
        <v>89</v>
      </c>
      <c r="D1018" s="64" t="s">
        <v>80</v>
      </c>
      <c r="E1018" s="64" t="s">
        <v>81</v>
      </c>
      <c r="F1018" s="64" t="s">
        <v>110</v>
      </c>
      <c r="G1018" s="64" t="s">
        <v>10</v>
      </c>
      <c r="H1018" s="65" t="str">
        <f>VLOOKUP(Tabla6[[#This Row],[DIRECCIÓN]],DIRECCIÓN[#All],2,0)</f>
        <v>TECNOLOGÍA</v>
      </c>
      <c r="I1018" s="66" t="s">
        <v>492</v>
      </c>
      <c r="J1018" s="67">
        <v>1</v>
      </c>
      <c r="K1018" s="68" t="str">
        <f>VLOOKUP(Tabla6[[#This Row],[DIRECCIÓN GENERAL / COORDINACIÓN / SUBDIRECCIÓN]],Tabla37[[#All],[Columna1]:[EOD]],2,0)</f>
        <v>266_0006</v>
      </c>
      <c r="L1018" s="69">
        <f>VLOOKUP(Tabla6[[#This Row],[OBJETIVOS PND]],Listas!$A$1:$C$3,3,0)</f>
        <v>55</v>
      </c>
      <c r="M1018" s="70">
        <f>VLOOKUP(Tabla6[[#This Row],[PG]],Listas2!$G$14:$K$16,5,0)</f>
        <v>0</v>
      </c>
      <c r="N1018" s="71">
        <v>3</v>
      </c>
      <c r="O1018" s="72">
        <v>101</v>
      </c>
      <c r="P1018" s="73" t="str">
        <f>VLOOKUP(Tabla6[[#This Row],[GEO]],Listas!$A$48:$B$77,2,0)</f>
        <v>CUENCA</v>
      </c>
      <c r="Q1018" s="70">
        <f>VLOOKUP(Tabla6[[#This Row],[PG]],Listas2!$G$14:$K$16,3,0)</f>
        <v>1</v>
      </c>
      <c r="R1018" s="73">
        <f>VLOOKUP(Tabla6[[#This Row],[PG]],Listas2!H120:'Listas2'!$G$14:$K$16,4,0)</f>
        <v>0</v>
      </c>
      <c r="S1018" s="73">
        <f>VLOOKUP(Tabla6[[#This Row],[PG]],Listas2!$G$14:$K$16,2,0)</f>
        <v>0</v>
      </c>
      <c r="T1018" s="66" t="s">
        <v>84</v>
      </c>
      <c r="U1018" s="74">
        <v>53</v>
      </c>
      <c r="V1018" s="66">
        <v>530813</v>
      </c>
      <c r="W1018" s="63" t="str">
        <f>VLOOKUP(Tabla6[[#This Row],[ÍTEM PRESUPUESTARIO]],Tabla2[#All],2,0)</f>
        <v>REPUESTOS Y ACCESORIOS</v>
      </c>
      <c r="X1018" s="57">
        <v>0</v>
      </c>
      <c r="Y1018" s="57">
        <f>6300-6300</f>
        <v>0</v>
      </c>
      <c r="Z1018" s="58">
        <v>0</v>
      </c>
      <c r="AA1018" s="58">
        <v>0</v>
      </c>
      <c r="AB1018" s="58">
        <v>0</v>
      </c>
      <c r="AC1018" s="58">
        <v>0</v>
      </c>
      <c r="AD1018" s="58">
        <v>0</v>
      </c>
      <c r="AE1018" s="58">
        <v>0</v>
      </c>
      <c r="AF1018" s="58">
        <v>0</v>
      </c>
      <c r="AG1018" s="58">
        <f>6300-6300</f>
        <v>0</v>
      </c>
      <c r="AH1018" s="58">
        <v>0</v>
      </c>
      <c r="AI1018" s="58">
        <v>0</v>
      </c>
      <c r="AJ1018" s="58">
        <v>0</v>
      </c>
      <c r="AK1018" s="58">
        <v>0</v>
      </c>
      <c r="AL1018" s="75">
        <f>+SUBTOTAL(9,Tabla6[[#This Row],[ENE]:[DIC]])</f>
        <v>0</v>
      </c>
      <c r="AM1018" s="76" t="str">
        <f t="shared" si="29"/>
        <v>OK</v>
      </c>
      <c r="AN1018" s="60">
        <v>0</v>
      </c>
      <c r="AO1018" s="61">
        <f>+Tabla6[[#This Row],[PRESUPUESTO VIGENTE]]-Tabla6[[#This Row],[CERTIFICACIÓN PAPP]]</f>
        <v>0</v>
      </c>
      <c r="AP1018" s="59">
        <v>0</v>
      </c>
    </row>
    <row r="1019" spans="1:42" ht="93" customHeight="1" x14ac:dyDescent="0.25">
      <c r="A1019" s="62" t="s">
        <v>88</v>
      </c>
      <c r="B1019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019" s="64" t="s">
        <v>89</v>
      </c>
      <c r="D1019" s="64" t="s">
        <v>80</v>
      </c>
      <c r="E1019" s="64" t="s">
        <v>81</v>
      </c>
      <c r="F1019" s="64" t="s">
        <v>110</v>
      </c>
      <c r="G1019" s="64" t="s">
        <v>10</v>
      </c>
      <c r="H1019" s="65" t="str">
        <f>VLOOKUP(Tabla6[[#This Row],[DIRECCIÓN]],DIRECCIÓN[#All],2,0)</f>
        <v>TECNOLOGÍA</v>
      </c>
      <c r="I1019" s="66" t="s">
        <v>493</v>
      </c>
      <c r="J1019" s="67">
        <v>1</v>
      </c>
      <c r="K1019" s="68" t="str">
        <f>VLOOKUP(Tabla6[[#This Row],[DIRECCIÓN GENERAL / COORDINACIÓN / SUBDIRECCIÓN]],Tabla37[[#All],[Columna1]:[EOD]],2,0)</f>
        <v>266_0006</v>
      </c>
      <c r="L1019" s="69">
        <f>VLOOKUP(Tabla6[[#This Row],[OBJETIVOS PND]],Listas!$A$1:$C$3,3,0)</f>
        <v>55</v>
      </c>
      <c r="M1019" s="70">
        <f>VLOOKUP(Tabla6[[#This Row],[PG]],Listas2!$G$14:$K$16,5,0)</f>
        <v>0</v>
      </c>
      <c r="N1019" s="71">
        <v>3</v>
      </c>
      <c r="O1019" s="72">
        <v>101</v>
      </c>
      <c r="P1019" s="73" t="str">
        <f>VLOOKUP(Tabla6[[#This Row],[GEO]],Listas!$A$48:$B$77,2,0)</f>
        <v>CUENCA</v>
      </c>
      <c r="Q1019" s="70">
        <f>VLOOKUP(Tabla6[[#This Row],[PG]],Listas2!$G$14:$K$16,3,0)</f>
        <v>1</v>
      </c>
      <c r="R1019" s="73">
        <f>VLOOKUP(Tabla6[[#This Row],[PG]],Listas2!H121:'Listas2'!$G$14:$K$16,4,0)</f>
        <v>0</v>
      </c>
      <c r="S1019" s="73">
        <f>VLOOKUP(Tabla6[[#This Row],[PG]],Listas2!$G$14:$K$16,2,0)</f>
        <v>0</v>
      </c>
      <c r="T1019" s="66" t="s">
        <v>84</v>
      </c>
      <c r="U1019" s="74">
        <v>53</v>
      </c>
      <c r="V1019" s="66">
        <v>530813</v>
      </c>
      <c r="W1019" s="63" t="str">
        <f>VLOOKUP(Tabla6[[#This Row],[ÍTEM PRESUPUESTARIO]],Tabla2[#All],2,0)</f>
        <v>REPUESTOS Y ACCESORIOS</v>
      </c>
      <c r="X1019" s="57">
        <v>0</v>
      </c>
      <c r="Y1019" s="57">
        <f>11500-52-5458</f>
        <v>5990</v>
      </c>
      <c r="Z1019" s="58">
        <v>0</v>
      </c>
      <c r="AA1019" s="58">
        <v>0</v>
      </c>
      <c r="AB1019" s="58">
        <v>0</v>
      </c>
      <c r="AC1019" s="58">
        <v>0</v>
      </c>
      <c r="AD1019" s="58">
        <v>0</v>
      </c>
      <c r="AE1019" s="58">
        <v>0</v>
      </c>
      <c r="AF1019" s="58">
        <v>0</v>
      </c>
      <c r="AG1019" s="58">
        <v>0</v>
      </c>
      <c r="AH1019" s="58">
        <v>0</v>
      </c>
      <c r="AI1019" s="58">
        <v>0</v>
      </c>
      <c r="AJ1019" s="58">
        <v>0</v>
      </c>
      <c r="AK1019" s="58">
        <f>11500-52-5458</f>
        <v>5990</v>
      </c>
      <c r="AL1019" s="75">
        <f>+SUBTOTAL(9,Tabla6[[#This Row],[ENE]:[DIC]])</f>
        <v>5990</v>
      </c>
      <c r="AM1019" s="76" t="str">
        <f t="shared" si="29"/>
        <v>OK</v>
      </c>
      <c r="AN1019" s="60">
        <f>11448-5458</f>
        <v>5990</v>
      </c>
      <c r="AO1019" s="61">
        <f>+Tabla6[[#This Row],[PRESUPUESTO VIGENTE]]-Tabla6[[#This Row],[CERTIFICACIÓN PAPP]]</f>
        <v>0</v>
      </c>
      <c r="AP1019" s="59">
        <v>0</v>
      </c>
    </row>
    <row r="1020" spans="1:42" ht="93" customHeight="1" x14ac:dyDescent="0.25">
      <c r="A1020" s="62" t="s">
        <v>88</v>
      </c>
      <c r="B1020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020" s="64" t="s">
        <v>89</v>
      </c>
      <c r="D1020" s="64" t="s">
        <v>80</v>
      </c>
      <c r="E1020" s="64" t="s">
        <v>81</v>
      </c>
      <c r="F1020" s="64" t="s">
        <v>110</v>
      </c>
      <c r="G1020" s="64" t="s">
        <v>10</v>
      </c>
      <c r="H1020" s="65" t="str">
        <f>VLOOKUP(Tabla6[[#This Row],[DIRECCIÓN]],DIRECCIÓN[#All],2,0)</f>
        <v>TECNOLOGÍA</v>
      </c>
      <c r="I1020" s="66" t="s">
        <v>494</v>
      </c>
      <c r="J1020" s="67">
        <v>1</v>
      </c>
      <c r="K1020" s="68" t="str">
        <f>VLOOKUP(Tabla6[[#This Row],[DIRECCIÓN GENERAL / COORDINACIÓN / SUBDIRECCIÓN]],Tabla37[[#All],[Columna1]:[EOD]],2,0)</f>
        <v>266_0006</v>
      </c>
      <c r="L1020" s="69">
        <f>VLOOKUP(Tabla6[[#This Row],[OBJETIVOS PND]],Listas!$A$1:$C$3,3,0)</f>
        <v>55</v>
      </c>
      <c r="M1020" s="70">
        <f>VLOOKUP(Tabla6[[#This Row],[PG]],Listas2!$G$14:$K$16,5,0)</f>
        <v>0</v>
      </c>
      <c r="N1020" s="71">
        <v>3</v>
      </c>
      <c r="O1020" s="72">
        <v>101</v>
      </c>
      <c r="P1020" s="73" t="str">
        <f>VLOOKUP(Tabla6[[#This Row],[GEO]],Listas!$A$48:$B$77,2,0)</f>
        <v>CUENCA</v>
      </c>
      <c r="Q1020" s="70">
        <f>VLOOKUP(Tabla6[[#This Row],[PG]],Listas2!$G$14:$K$16,3,0)</f>
        <v>1</v>
      </c>
      <c r="R1020" s="73">
        <f>VLOOKUP(Tabla6[[#This Row],[PG]],Listas2!H122:'Listas2'!$G$14:$K$16,4,0)</f>
        <v>0</v>
      </c>
      <c r="S1020" s="73">
        <f>VLOOKUP(Tabla6[[#This Row],[PG]],Listas2!$G$14:$K$16,2,0)</f>
        <v>0</v>
      </c>
      <c r="T1020" s="66" t="s">
        <v>84</v>
      </c>
      <c r="U1020" s="74">
        <v>53</v>
      </c>
      <c r="V1020" s="66">
        <v>531404</v>
      </c>
      <c r="W1020" s="63" t="str">
        <f>VLOOKUP(Tabla6[[#This Row],[ÍTEM PRESUPUESTARIO]],Tabla2[#All],2,0)</f>
        <v>MAQUINARIAS Y EQUIPOS</v>
      </c>
      <c r="X1020" s="57">
        <v>0</v>
      </c>
      <c r="Y1020" s="57">
        <f>2773.13-28.89-82.32-82.33</f>
        <v>2579.59</v>
      </c>
      <c r="Z1020" s="58">
        <v>0</v>
      </c>
      <c r="AA1020" s="58">
        <v>0</v>
      </c>
      <c r="AB1020" s="58">
        <v>0</v>
      </c>
      <c r="AC1020" s="58">
        <v>0</v>
      </c>
      <c r="AD1020" s="58">
        <v>0</v>
      </c>
      <c r="AE1020" s="58">
        <v>0</v>
      </c>
      <c r="AF1020" s="58">
        <f>2773.13-28.89-82.32-82.33</f>
        <v>2579.59</v>
      </c>
      <c r="AG1020" s="58">
        <v>0</v>
      </c>
      <c r="AH1020" s="58">
        <v>0</v>
      </c>
      <c r="AI1020" s="58">
        <v>0</v>
      </c>
      <c r="AJ1020" s="58">
        <v>0</v>
      </c>
      <c r="AK1020" s="58">
        <v>0</v>
      </c>
      <c r="AL1020" s="75">
        <f>+SUBTOTAL(9,Tabla6[[#This Row],[ENE]:[DIC]])</f>
        <v>2579.59</v>
      </c>
      <c r="AM1020" s="76" t="str">
        <f t="shared" si="29"/>
        <v>OK</v>
      </c>
      <c r="AN1020" s="60">
        <f>2744.24-164.65</f>
        <v>2579.5899999999997</v>
      </c>
      <c r="AO1020" s="61">
        <f>+Tabla6[[#This Row],[PRESUPUESTO VIGENTE]]-Tabla6[[#This Row],[CERTIFICACIÓN PAPP]]</f>
        <v>0</v>
      </c>
      <c r="AP1020" s="59" t="s">
        <v>87</v>
      </c>
    </row>
    <row r="1021" spans="1:42" ht="93" customHeight="1" x14ac:dyDescent="0.25">
      <c r="A1021" s="62" t="s">
        <v>88</v>
      </c>
      <c r="B1021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021" s="64" t="s">
        <v>89</v>
      </c>
      <c r="D1021" s="64" t="s">
        <v>80</v>
      </c>
      <c r="E1021" s="64" t="s">
        <v>81</v>
      </c>
      <c r="F1021" s="64" t="s">
        <v>110</v>
      </c>
      <c r="G1021" s="64" t="s">
        <v>10</v>
      </c>
      <c r="H1021" s="65" t="str">
        <f>VLOOKUP(Tabla6[[#This Row],[DIRECCIÓN]],DIRECCIÓN[#All],2,0)</f>
        <v>TECNOLOGÍA</v>
      </c>
      <c r="I1021" s="66" t="s">
        <v>495</v>
      </c>
      <c r="J1021" s="67">
        <v>1</v>
      </c>
      <c r="K1021" s="68" t="str">
        <f>VLOOKUP(Tabla6[[#This Row],[DIRECCIÓN GENERAL / COORDINACIÓN / SUBDIRECCIÓN]],Tabla37[[#All],[Columna1]:[EOD]],2,0)</f>
        <v>266_0006</v>
      </c>
      <c r="L1021" s="69">
        <f>VLOOKUP(Tabla6[[#This Row],[OBJETIVOS PND]],Listas!$A$1:$C$3,3,0)</f>
        <v>55</v>
      </c>
      <c r="M1021" s="70">
        <f>VLOOKUP(Tabla6[[#This Row],[PG]],Listas2!$G$14:$K$16,5,0)</f>
        <v>0</v>
      </c>
      <c r="N1021" s="71">
        <v>3</v>
      </c>
      <c r="O1021" s="72">
        <v>101</v>
      </c>
      <c r="P1021" s="73" t="str">
        <f>VLOOKUP(Tabla6[[#This Row],[GEO]],Listas!$A$48:$B$77,2,0)</f>
        <v>CUENCA</v>
      </c>
      <c r="Q1021" s="70">
        <f>VLOOKUP(Tabla6[[#This Row],[PG]],Listas2!$G$14:$K$16,3,0)</f>
        <v>1</v>
      </c>
      <c r="R1021" s="73">
        <f>VLOOKUP(Tabla6[[#This Row],[PG]],Listas2!H123:'Listas2'!$G$14:$K$16,4,0)</f>
        <v>0</v>
      </c>
      <c r="S1021" s="73">
        <f>VLOOKUP(Tabla6[[#This Row],[PG]],Listas2!$G$14:$K$16,2,0)</f>
        <v>0</v>
      </c>
      <c r="T1021" s="66" t="s">
        <v>84</v>
      </c>
      <c r="U1021" s="74">
        <v>53</v>
      </c>
      <c r="V1021" s="66">
        <v>531407</v>
      </c>
      <c r="W1021" s="63" t="str">
        <f>VLOOKUP(Tabla6[[#This Row],[ÍTEM PRESUPUESTARIO]],Tabla2[#All],2,0)</f>
        <v>EQUIPOS, SISTEMAS Y PAQUETES INFORMÁTICOS</v>
      </c>
      <c r="X1021" s="57">
        <v>3920</v>
      </c>
      <c r="Y1021" s="57">
        <f>3920+8276+4150+355.95-8461.48-247.21-247.22</f>
        <v>7746.0400000000009</v>
      </c>
      <c r="Z1021" s="58">
        <v>0</v>
      </c>
      <c r="AA1021" s="58">
        <v>0</v>
      </c>
      <c r="AB1021" s="58">
        <v>0</v>
      </c>
      <c r="AC1021" s="58">
        <v>0</v>
      </c>
      <c r="AD1021" s="58">
        <v>0</v>
      </c>
      <c r="AE1021" s="58">
        <v>0</v>
      </c>
      <c r="AF1021" s="58">
        <f>16346+355.95-8461.48-247.21-247.23+0.01</f>
        <v>7746.0400000000018</v>
      </c>
      <c r="AG1021" s="58">
        <v>0</v>
      </c>
      <c r="AH1021" s="58">
        <v>0</v>
      </c>
      <c r="AI1021" s="58">
        <v>0</v>
      </c>
      <c r="AJ1021" s="58">
        <v>0</v>
      </c>
      <c r="AK1021" s="58">
        <v>0</v>
      </c>
      <c r="AL1021" s="75">
        <f>+SUBTOTAL(9,Tabla6[[#This Row],[ENE]:[DIC]])</f>
        <v>7746.0400000000018</v>
      </c>
      <c r="AM1021" s="76" t="str">
        <f t="shared" si="29"/>
        <v>OK</v>
      </c>
      <c r="AN1021" s="60">
        <f>8240.47-494.43</f>
        <v>7746.0399999999991</v>
      </c>
      <c r="AO1021" s="61">
        <f>+Tabla6[[#This Row],[PRESUPUESTO VIGENTE]]-Tabla6[[#This Row],[CERTIFICACIÓN PAPP]]</f>
        <v>0</v>
      </c>
      <c r="AP1021" s="59" t="s">
        <v>87</v>
      </c>
    </row>
    <row r="1022" spans="1:42" ht="93" customHeight="1" x14ac:dyDescent="0.25">
      <c r="A1022" s="62" t="s">
        <v>88</v>
      </c>
      <c r="B1022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022" s="64" t="s">
        <v>89</v>
      </c>
      <c r="D1022" s="64" t="s">
        <v>80</v>
      </c>
      <c r="E1022" s="64" t="s">
        <v>81</v>
      </c>
      <c r="F1022" s="64" t="s">
        <v>110</v>
      </c>
      <c r="G1022" s="64" t="s">
        <v>10</v>
      </c>
      <c r="H1022" s="65" t="str">
        <f>VLOOKUP(Tabla6[[#This Row],[DIRECCIÓN]],DIRECCIÓN[#All],2,0)</f>
        <v>TECNOLOGÍA</v>
      </c>
      <c r="I1022" s="66" t="s">
        <v>491</v>
      </c>
      <c r="J1022" s="67">
        <v>1</v>
      </c>
      <c r="K1022" s="68" t="str">
        <f>VLOOKUP(Tabla6[[#This Row],[DIRECCIÓN GENERAL / COORDINACIÓN / SUBDIRECCIÓN]],Tabla37[[#All],[Columna1]:[EOD]],2,0)</f>
        <v>266_0006</v>
      </c>
      <c r="L1022" s="69">
        <f>VLOOKUP(Tabla6[[#This Row],[OBJETIVOS PND]],Listas!$A$1:$C$3,3,0)</f>
        <v>55</v>
      </c>
      <c r="M1022" s="70">
        <f>VLOOKUP(Tabla6[[#This Row],[PG]],Listas2!$G$14:$K$16,5,0)</f>
        <v>0</v>
      </c>
      <c r="N1022" s="71">
        <v>3</v>
      </c>
      <c r="O1022" s="72">
        <v>101</v>
      </c>
      <c r="P1022" s="73" t="str">
        <f>VLOOKUP(Tabla6[[#This Row],[GEO]],Listas!$A$48:$B$77,2,0)</f>
        <v>CUENCA</v>
      </c>
      <c r="Q1022" s="70">
        <f>VLOOKUP(Tabla6[[#This Row],[PG]],Listas2!$G$14:$K$16,3,0)</f>
        <v>1</v>
      </c>
      <c r="R1022" s="73">
        <f>VLOOKUP(Tabla6[[#This Row],[PG]],Listas2!H124:'Listas2'!$G$14:$K$16,4,0)</f>
        <v>0</v>
      </c>
      <c r="S1022" s="73">
        <f>VLOOKUP(Tabla6[[#This Row],[PG]],Listas2!$G$14:$K$16,2,0)</f>
        <v>0</v>
      </c>
      <c r="T1022" s="66" t="s">
        <v>84</v>
      </c>
      <c r="U1022" s="74">
        <v>53</v>
      </c>
      <c r="V1022" s="66">
        <v>531407</v>
      </c>
      <c r="W1022" s="63" t="str">
        <f>VLOOKUP(Tabla6[[#This Row],[ÍTEM PRESUPUESTARIO]],Tabla2[#All],2,0)</f>
        <v>EQUIPOS, SISTEMAS Y PAQUETES INFORMÁTICOS</v>
      </c>
      <c r="X1022" s="57">
        <v>0</v>
      </c>
      <c r="Y1022" s="57">
        <f>1352-82</f>
        <v>1270</v>
      </c>
      <c r="Z1022" s="58">
        <v>0</v>
      </c>
      <c r="AA1022" s="58">
        <v>0</v>
      </c>
      <c r="AB1022" s="58">
        <v>0</v>
      </c>
      <c r="AC1022" s="58">
        <v>0</v>
      </c>
      <c r="AD1022" s="58">
        <v>0</v>
      </c>
      <c r="AE1022" s="58">
        <v>0</v>
      </c>
      <c r="AF1022" s="58">
        <f>1352-82</f>
        <v>1270</v>
      </c>
      <c r="AG1022" s="58">
        <v>0</v>
      </c>
      <c r="AH1022" s="58">
        <v>0</v>
      </c>
      <c r="AI1022" s="58">
        <v>0</v>
      </c>
      <c r="AJ1022" s="58">
        <v>0</v>
      </c>
      <c r="AK1022" s="58">
        <v>0</v>
      </c>
      <c r="AL1022" s="75">
        <f>+SUBTOTAL(9,Tabla6[[#This Row],[ENE]:[DIC]])</f>
        <v>1270</v>
      </c>
      <c r="AM1022" s="76" t="str">
        <f t="shared" si="29"/>
        <v>OK</v>
      </c>
      <c r="AN1022" s="60">
        <f>1352-82</f>
        <v>1270</v>
      </c>
      <c r="AO1022" s="61">
        <f>+Tabla6[[#This Row],[PRESUPUESTO VIGENTE]]-Tabla6[[#This Row],[CERTIFICACIÓN PAPP]]</f>
        <v>0</v>
      </c>
      <c r="AP1022" s="59">
        <v>0</v>
      </c>
    </row>
    <row r="1023" spans="1:42" ht="93" customHeight="1" x14ac:dyDescent="0.25">
      <c r="A1023" s="62" t="s">
        <v>88</v>
      </c>
      <c r="B1023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023" s="64" t="s">
        <v>89</v>
      </c>
      <c r="D1023" s="64" t="s">
        <v>80</v>
      </c>
      <c r="E1023" s="64" t="s">
        <v>81</v>
      </c>
      <c r="F1023" s="64" t="s">
        <v>110</v>
      </c>
      <c r="G1023" s="64" t="s">
        <v>10</v>
      </c>
      <c r="H1023" s="65" t="str">
        <f>VLOOKUP(Tabla6[[#This Row],[DIRECCIÓN]],DIRECCIÓN[#All],2,0)</f>
        <v>TECNOLOGÍA</v>
      </c>
      <c r="I1023" s="66" t="s">
        <v>496</v>
      </c>
      <c r="J1023" s="67">
        <v>1</v>
      </c>
      <c r="K1023" s="68" t="str">
        <f>VLOOKUP(Tabla6[[#This Row],[DIRECCIÓN GENERAL / COORDINACIÓN / SUBDIRECCIÓN]],Tabla37[[#All],[Columna1]:[EOD]],2,0)</f>
        <v>266_0006</v>
      </c>
      <c r="L1023" s="69">
        <f>VLOOKUP(Tabla6[[#This Row],[OBJETIVOS PND]],Listas!$A$1:$C$3,3,0)</f>
        <v>55</v>
      </c>
      <c r="M1023" s="70">
        <f>VLOOKUP(Tabla6[[#This Row],[PG]],Listas2!$G$14:$K$16,5,0)</f>
        <v>0</v>
      </c>
      <c r="N1023" s="71">
        <v>3</v>
      </c>
      <c r="O1023" s="72">
        <v>101</v>
      </c>
      <c r="P1023" s="73" t="str">
        <f>VLOOKUP(Tabla6[[#This Row],[GEO]],Listas!$A$48:$B$77,2,0)</f>
        <v>CUENCA</v>
      </c>
      <c r="Q1023" s="70">
        <f>VLOOKUP(Tabla6[[#This Row],[PG]],Listas2!$G$14:$K$16,3,0)</f>
        <v>1</v>
      </c>
      <c r="R1023" s="73">
        <f>VLOOKUP(Tabla6[[#This Row],[PG]],Listas2!H125:'Listas2'!$G$14:$K$16,4,0)</f>
        <v>0</v>
      </c>
      <c r="S1023" s="73">
        <f>VLOOKUP(Tabla6[[#This Row],[PG]],Listas2!$G$14:$K$16,2,0)</f>
        <v>0</v>
      </c>
      <c r="T1023" s="66" t="s">
        <v>84</v>
      </c>
      <c r="U1023" s="74">
        <v>53</v>
      </c>
      <c r="V1023" s="66">
        <v>531411</v>
      </c>
      <c r="W1023" s="63" t="str">
        <f>VLOOKUP(Tabla6[[#This Row],[ÍTEM PRESUPUESTARIO]],Tabla2[#All],2,0)</f>
        <v>PARTES Y REPUESTOS</v>
      </c>
      <c r="X1023" s="57">
        <v>1193</v>
      </c>
      <c r="Y1023" s="57">
        <f>1193-113-32.4-32.4</f>
        <v>1015.1999999999999</v>
      </c>
      <c r="Z1023" s="58">
        <v>0</v>
      </c>
      <c r="AA1023" s="58">
        <v>0</v>
      </c>
      <c r="AB1023" s="58">
        <v>0</v>
      </c>
      <c r="AC1023" s="58">
        <v>0</v>
      </c>
      <c r="AD1023" s="58">
        <v>0</v>
      </c>
      <c r="AE1023" s="58">
        <v>0</v>
      </c>
      <c r="AF1023" s="58">
        <f>1193-113-32.4-32.4</f>
        <v>1015.1999999999999</v>
      </c>
      <c r="AG1023" s="58">
        <v>0</v>
      </c>
      <c r="AH1023" s="58">
        <v>0</v>
      </c>
      <c r="AI1023" s="58">
        <v>0</v>
      </c>
      <c r="AJ1023" s="58">
        <v>0</v>
      </c>
      <c r="AK1023" s="58">
        <v>0</v>
      </c>
      <c r="AL1023" s="75">
        <f>+SUBTOTAL(9,Tabla6[[#This Row],[ENE]:[DIC]])</f>
        <v>1015.1999999999999</v>
      </c>
      <c r="AM1023" s="76" t="str">
        <f t="shared" si="29"/>
        <v>OK</v>
      </c>
      <c r="AN1023" s="60">
        <f>1080-64.8</f>
        <v>1015.2</v>
      </c>
      <c r="AO1023" s="61">
        <f>+Tabla6[[#This Row],[PRESUPUESTO VIGENTE]]-Tabla6[[#This Row],[CERTIFICACIÓN PAPP]]</f>
        <v>0</v>
      </c>
      <c r="AP1023" s="59" t="s">
        <v>87</v>
      </c>
    </row>
    <row r="1024" spans="1:42" ht="93" customHeight="1" x14ac:dyDescent="0.25">
      <c r="A1024" s="62" t="s">
        <v>88</v>
      </c>
      <c r="B1024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024" s="64" t="s">
        <v>89</v>
      </c>
      <c r="D1024" s="64" t="s">
        <v>80</v>
      </c>
      <c r="E1024" s="64" t="s">
        <v>81</v>
      </c>
      <c r="F1024" s="64" t="s">
        <v>110</v>
      </c>
      <c r="G1024" s="64" t="s">
        <v>10</v>
      </c>
      <c r="H1024" s="65" t="str">
        <f>VLOOKUP(Tabla6[[#This Row],[DIRECCIÓN]],DIRECCIÓN[#All],2,0)</f>
        <v>TECNOLOGÍA</v>
      </c>
      <c r="I1024" s="66" t="s">
        <v>497</v>
      </c>
      <c r="J1024" s="67">
        <v>1</v>
      </c>
      <c r="K1024" s="68" t="str">
        <f>VLOOKUP(Tabla6[[#This Row],[DIRECCIÓN GENERAL / COORDINACIÓN / SUBDIRECCIÓN]],Tabla37[[#All],[Columna1]:[EOD]],2,0)</f>
        <v>266_0006</v>
      </c>
      <c r="L1024" s="69">
        <f>VLOOKUP(Tabla6[[#This Row],[OBJETIVOS PND]],Listas!$A$1:$C$3,3,0)</f>
        <v>55</v>
      </c>
      <c r="M1024" s="70">
        <f>VLOOKUP(Tabla6[[#This Row],[PG]],Listas2!$G$14:$K$16,5,0)</f>
        <v>0</v>
      </c>
      <c r="N1024" s="71">
        <v>3</v>
      </c>
      <c r="O1024" s="72">
        <v>101</v>
      </c>
      <c r="P1024" s="73" t="str">
        <f>VLOOKUP(Tabla6[[#This Row],[GEO]],Listas!$A$48:$B$77,2,0)</f>
        <v>CUENCA</v>
      </c>
      <c r="Q1024" s="70">
        <f>VLOOKUP(Tabla6[[#This Row],[PG]],Listas2!$G$14:$K$16,3,0)</f>
        <v>1</v>
      </c>
      <c r="R1024" s="73">
        <f>VLOOKUP(Tabla6[[#This Row],[PG]],Listas2!H126:'Listas2'!$G$14:$K$16,4,0)</f>
        <v>0</v>
      </c>
      <c r="S1024" s="73">
        <f>VLOOKUP(Tabla6[[#This Row],[PG]],Listas2!$G$14:$K$16,2,0)</f>
        <v>0</v>
      </c>
      <c r="T1024" s="66" t="s">
        <v>95</v>
      </c>
      <c r="U1024" s="74">
        <v>84</v>
      </c>
      <c r="V1024" s="66">
        <v>840107</v>
      </c>
      <c r="W1024" s="63" t="str">
        <f>VLOOKUP(Tabla6[[#This Row],[ÍTEM PRESUPUESTARIO]],Tabla2[#All],2,0)</f>
        <v>EQUIPOS SISTEMAS Y PAQUETES INFORMÁTICOS</v>
      </c>
      <c r="X1024" s="57">
        <v>0</v>
      </c>
      <c r="Y1024" s="57">
        <f>51948-21250-270.8</f>
        <v>30427.200000000001</v>
      </c>
      <c r="Z1024" s="58">
        <v>0</v>
      </c>
      <c r="AA1024" s="58">
        <v>0</v>
      </c>
      <c r="AB1024" s="58">
        <v>0</v>
      </c>
      <c r="AC1024" s="58">
        <v>0</v>
      </c>
      <c r="AD1024" s="58">
        <v>0</v>
      </c>
      <c r="AE1024" s="58">
        <v>0</v>
      </c>
      <c r="AF1024" s="58">
        <v>0</v>
      </c>
      <c r="AG1024" s="58">
        <v>0</v>
      </c>
      <c r="AH1024" s="58">
        <v>0</v>
      </c>
      <c r="AI1024" s="58">
        <v>0</v>
      </c>
      <c r="AJ1024" s="58">
        <f>51948-21250-270.8</f>
        <v>30427.200000000001</v>
      </c>
      <c r="AK1024" s="58">
        <v>0</v>
      </c>
      <c r="AL1024" s="75">
        <f>+SUBTOTAL(9,Tabla6[[#This Row],[ENE]:[DIC]])</f>
        <v>30427.200000000001</v>
      </c>
      <c r="AM1024" s="76" t="str">
        <f t="shared" si="29"/>
        <v>OK</v>
      </c>
      <c r="AN1024" s="60">
        <f>51948-21520.8</f>
        <v>30427.200000000001</v>
      </c>
      <c r="AO1024" s="61">
        <f>+Tabla6[[#This Row],[PRESUPUESTO VIGENTE]]-Tabla6[[#This Row],[CERTIFICACIÓN PAPP]]</f>
        <v>0</v>
      </c>
      <c r="AP1024" s="59">
        <v>0</v>
      </c>
    </row>
    <row r="1025" spans="1:42" ht="93" customHeight="1" x14ac:dyDescent="0.25">
      <c r="A1025" s="62" t="s">
        <v>88</v>
      </c>
      <c r="B1025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025" s="64" t="s">
        <v>89</v>
      </c>
      <c r="D1025" s="64" t="s">
        <v>80</v>
      </c>
      <c r="E1025" s="64" t="s">
        <v>81</v>
      </c>
      <c r="F1025" s="64" t="s">
        <v>110</v>
      </c>
      <c r="G1025" s="64" t="s">
        <v>10</v>
      </c>
      <c r="H1025" s="65" t="str">
        <f>VLOOKUP(Tabla6[[#This Row],[DIRECCIÓN]],DIRECCIÓN[#All],2,0)</f>
        <v>TECNOLOGÍA</v>
      </c>
      <c r="I1025" s="66" t="s">
        <v>498</v>
      </c>
      <c r="J1025" s="67">
        <v>1</v>
      </c>
      <c r="K1025" s="68" t="str">
        <f>VLOOKUP(Tabla6[[#This Row],[DIRECCIÓN GENERAL / COORDINACIÓN / SUBDIRECCIÓN]],Tabla37[[#All],[Columna1]:[EOD]],2,0)</f>
        <v>266_0006</v>
      </c>
      <c r="L1025" s="69">
        <f>VLOOKUP(Tabla6[[#This Row],[OBJETIVOS PND]],Listas!$A$1:$C$3,3,0)</f>
        <v>55</v>
      </c>
      <c r="M1025" s="70">
        <f>VLOOKUP(Tabla6[[#This Row],[PG]],Listas2!$G$14:$K$16,5,0)</f>
        <v>0</v>
      </c>
      <c r="N1025" s="71">
        <v>3</v>
      </c>
      <c r="O1025" s="72">
        <v>101</v>
      </c>
      <c r="P1025" s="73" t="str">
        <f>VLOOKUP(Tabla6[[#This Row],[GEO]],Listas!$A$48:$B$77,2,0)</f>
        <v>CUENCA</v>
      </c>
      <c r="Q1025" s="70">
        <f>VLOOKUP(Tabla6[[#This Row],[PG]],Listas2!$G$14:$K$16,3,0)</f>
        <v>1</v>
      </c>
      <c r="R1025" s="73">
        <f>VLOOKUP(Tabla6[[#This Row],[PG]],Listas2!H127:'Listas2'!$G$14:$K$16,4,0)</f>
        <v>0</v>
      </c>
      <c r="S1025" s="73">
        <f>VLOOKUP(Tabla6[[#This Row],[PG]],Listas2!$G$14:$K$16,2,0)</f>
        <v>0</v>
      </c>
      <c r="T1025" s="66" t="s">
        <v>95</v>
      </c>
      <c r="U1025" s="74">
        <v>84</v>
      </c>
      <c r="V1025" s="66">
        <v>840107</v>
      </c>
      <c r="W1025" s="63" t="str">
        <f>VLOOKUP(Tabla6[[#This Row],[ÍTEM PRESUPUESTARIO]],Tabla2[#All],2,0)</f>
        <v>EQUIPOS SISTEMAS Y PAQUETES INFORMÁTICOS</v>
      </c>
      <c r="X1025" s="57">
        <v>0</v>
      </c>
      <c r="Y1025" s="57">
        <f>21520.8-8076.8</f>
        <v>13444</v>
      </c>
      <c r="Z1025" s="58">
        <v>0</v>
      </c>
      <c r="AA1025" s="58">
        <v>0</v>
      </c>
      <c r="AB1025" s="58">
        <v>0</v>
      </c>
      <c r="AC1025" s="58">
        <v>0</v>
      </c>
      <c r="AD1025" s="58">
        <v>0</v>
      </c>
      <c r="AE1025" s="58">
        <v>0</v>
      </c>
      <c r="AF1025" s="58">
        <v>0</v>
      </c>
      <c r="AG1025" s="58">
        <v>0</v>
      </c>
      <c r="AH1025" s="58">
        <v>0</v>
      </c>
      <c r="AI1025" s="58">
        <v>0</v>
      </c>
      <c r="AJ1025" s="58">
        <f>21520.8-8076.8</f>
        <v>13444</v>
      </c>
      <c r="AK1025" s="58">
        <v>0</v>
      </c>
      <c r="AL1025" s="75">
        <f>+SUBTOTAL(9,Tabla6[[#This Row],[ENE]:[DIC]])</f>
        <v>13444</v>
      </c>
      <c r="AM1025" s="76" t="str">
        <f t="shared" si="29"/>
        <v>OK</v>
      </c>
      <c r="AN1025" s="60">
        <f>21420-7976</f>
        <v>13444</v>
      </c>
      <c r="AO1025" s="61">
        <f>+Tabla6[[#This Row],[PRESUPUESTO VIGENTE]]-Tabla6[[#This Row],[CERTIFICACIÓN PAPP]]</f>
        <v>0</v>
      </c>
      <c r="AP1025" s="59">
        <v>0</v>
      </c>
    </row>
    <row r="1026" spans="1:42" ht="93" customHeight="1" x14ac:dyDescent="0.25">
      <c r="A1026" s="62" t="s">
        <v>78</v>
      </c>
      <c r="B1026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026" s="64" t="s">
        <v>79</v>
      </c>
      <c r="D1026" s="64" t="s">
        <v>80</v>
      </c>
      <c r="E1026" s="64" t="s">
        <v>81</v>
      </c>
      <c r="F1026" s="64" t="s">
        <v>110</v>
      </c>
      <c r="G1026" s="64" t="s">
        <v>83</v>
      </c>
      <c r="H1026" s="65" t="str">
        <f>VLOOKUP(Tabla6[[#This Row],[DIRECCIÓN]],DIRECCIÓN[#All],2,0)</f>
        <v>ADMINISTRACIÓN CENTRAL</v>
      </c>
      <c r="I1026" s="66" t="s">
        <v>93</v>
      </c>
      <c r="J1026" s="67">
        <v>1</v>
      </c>
      <c r="K1026" s="68" t="str">
        <f>VLOOKUP(Tabla6[[#This Row],[DIRECCIÓN GENERAL / COORDINACIÓN / SUBDIRECCIÓN]],Tabla37[[#All],[Columna1]:[EOD]],2,0)</f>
        <v>266_0006</v>
      </c>
      <c r="L1026" s="69">
        <f>VLOOKUP(Tabla6[[#This Row],[OBJETIVOS PND]],Listas!$A$1:$C$3,3,0)</f>
        <v>1</v>
      </c>
      <c r="M1026" s="70">
        <f>VLOOKUP(Tabla6[[#This Row],[PG]],Listas2!$G$14:$K$16,5,0)</f>
        <v>0</v>
      </c>
      <c r="N1026" s="71">
        <v>1</v>
      </c>
      <c r="O1026" s="72">
        <v>1400</v>
      </c>
      <c r="P1026" s="73" t="str">
        <f>VLOOKUP(Tabla6[[#This Row],[GEO]],Listas!$A$48:$B$77,2,0)</f>
        <v>MORONA</v>
      </c>
      <c r="Q1026" s="70">
        <f>VLOOKUP(Tabla6[[#This Row],[PG]],Listas2!$G$14:$K$16,3,0)</f>
        <v>1</v>
      </c>
      <c r="R1026" s="73">
        <f>VLOOKUP(Tabla6[[#This Row],[PG]],Listas2!H128:'Listas2'!$G$14:$K$16,4,0)</f>
        <v>0</v>
      </c>
      <c r="S1026" s="73">
        <f>VLOOKUP(Tabla6[[#This Row],[PG]],Listas2!$G$14:$K$16,2,0)</f>
        <v>0</v>
      </c>
      <c r="T1026" s="66" t="s">
        <v>84</v>
      </c>
      <c r="U1026" s="74">
        <v>51</v>
      </c>
      <c r="V1026" s="66">
        <v>510105</v>
      </c>
      <c r="W1026" s="63" t="str">
        <f>VLOOKUP(Tabla6[[#This Row],[ÍTEM PRESUPUESTARIO]],Tabla2[#All],2,0)</f>
        <v>REMUNERACIONES UNIFICADAS</v>
      </c>
      <c r="X1026" s="57">
        <v>129552</v>
      </c>
      <c r="Y1026" s="57">
        <v>129552</v>
      </c>
      <c r="Z1026" s="58">
        <v>10796</v>
      </c>
      <c r="AA1026" s="58">
        <v>10796</v>
      </c>
      <c r="AB1026" s="58">
        <v>10796</v>
      </c>
      <c r="AC1026" s="58">
        <v>10796</v>
      </c>
      <c r="AD1026" s="58">
        <v>10796</v>
      </c>
      <c r="AE1026" s="58">
        <v>10796</v>
      </c>
      <c r="AF1026" s="58">
        <v>10796</v>
      </c>
      <c r="AG1026" s="58">
        <v>10796</v>
      </c>
      <c r="AH1026" s="58">
        <v>10796</v>
      </c>
      <c r="AI1026" s="58">
        <v>10796</v>
      </c>
      <c r="AJ1026" s="58">
        <v>10796</v>
      </c>
      <c r="AK1026" s="58">
        <v>10796</v>
      </c>
      <c r="AL1026" s="75">
        <f>+SUBTOTAL(9,Tabla6[[#This Row],[ENE]:[DIC]])</f>
        <v>129552</v>
      </c>
      <c r="AM1026" s="76" t="str">
        <f t="shared" si="29"/>
        <v>OK</v>
      </c>
      <c r="AN1026" s="60">
        <v>0</v>
      </c>
      <c r="AO1026" s="61">
        <f>+Tabla6[[#This Row],[PRESUPUESTO VIGENTE]]-Tabla6[[#This Row],[CERTIFICACIÓN PAPP]]</f>
        <v>129552</v>
      </c>
      <c r="AP1026" s="59">
        <v>0</v>
      </c>
    </row>
    <row r="1027" spans="1:42" ht="93" customHeight="1" x14ac:dyDescent="0.25">
      <c r="A1027" s="62" t="s">
        <v>78</v>
      </c>
      <c r="B1027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027" s="64" t="s">
        <v>79</v>
      </c>
      <c r="D1027" s="64" t="s">
        <v>80</v>
      </c>
      <c r="E1027" s="64" t="s">
        <v>81</v>
      </c>
      <c r="F1027" s="64" t="s">
        <v>110</v>
      </c>
      <c r="G1027" s="64" t="s">
        <v>83</v>
      </c>
      <c r="H1027" s="65" t="str">
        <f>VLOOKUP(Tabla6[[#This Row],[DIRECCIÓN]],DIRECCIÓN[#All],2,0)</f>
        <v>ADMINISTRACIÓN CENTRAL</v>
      </c>
      <c r="I1027" s="66" t="s">
        <v>93</v>
      </c>
      <c r="J1027" s="67">
        <v>1</v>
      </c>
      <c r="K1027" s="68" t="str">
        <f>VLOOKUP(Tabla6[[#This Row],[DIRECCIÓN GENERAL / COORDINACIÓN / SUBDIRECCIÓN]],Tabla37[[#All],[Columna1]:[EOD]],2,0)</f>
        <v>266_0006</v>
      </c>
      <c r="L1027" s="69">
        <f>VLOOKUP(Tabla6[[#This Row],[OBJETIVOS PND]],Listas!$A$1:$C$3,3,0)</f>
        <v>1</v>
      </c>
      <c r="M1027" s="70">
        <f>VLOOKUP(Tabla6[[#This Row],[PG]],Listas2!$G$14:$K$16,5,0)</f>
        <v>0</v>
      </c>
      <c r="N1027" s="71">
        <v>1</v>
      </c>
      <c r="O1027" s="72">
        <v>1400</v>
      </c>
      <c r="P1027" s="73" t="str">
        <f>VLOOKUP(Tabla6[[#This Row],[GEO]],Listas!$A$48:$B$77,2,0)</f>
        <v>MORONA</v>
      </c>
      <c r="Q1027" s="70">
        <f>VLOOKUP(Tabla6[[#This Row],[PG]],Listas2!$G$14:$K$16,3,0)</f>
        <v>1</v>
      </c>
      <c r="R1027" s="73">
        <f>VLOOKUP(Tabla6[[#This Row],[PG]],Listas2!H129:'Listas2'!$G$14:$K$16,4,0)</f>
        <v>0</v>
      </c>
      <c r="S1027" s="73">
        <f>VLOOKUP(Tabla6[[#This Row],[PG]],Listas2!$G$14:$K$16,2,0)</f>
        <v>0</v>
      </c>
      <c r="T1027" s="66" t="s">
        <v>84</v>
      </c>
      <c r="U1027" s="74">
        <v>51</v>
      </c>
      <c r="V1027" s="66">
        <v>510106</v>
      </c>
      <c r="W1027" s="63" t="str">
        <f>VLOOKUP(Tabla6[[#This Row],[ÍTEM PRESUPUESTARIO]],Tabla2[#All],2,0)</f>
        <v>SALARIOS UNIFICADOS</v>
      </c>
      <c r="X1027" s="57">
        <v>28752</v>
      </c>
      <c r="Y1027" s="57">
        <f>28752+0.01</f>
        <v>28752.01</v>
      </c>
      <c r="Z1027" s="58">
        <v>2396</v>
      </c>
      <c r="AA1027" s="58">
        <v>2396</v>
      </c>
      <c r="AB1027" s="58">
        <v>2396</v>
      </c>
      <c r="AC1027" s="58">
        <v>2396</v>
      </c>
      <c r="AD1027" s="58">
        <v>2396</v>
      </c>
      <c r="AE1027" s="58">
        <v>2396</v>
      </c>
      <c r="AF1027" s="58">
        <v>2396</v>
      </c>
      <c r="AG1027" s="58">
        <v>2396</v>
      </c>
      <c r="AH1027" s="58">
        <v>2396</v>
      </c>
      <c r="AI1027" s="58">
        <v>2396</v>
      </c>
      <c r="AJ1027" s="58">
        <v>2396</v>
      </c>
      <c r="AK1027" s="58">
        <f>2396+0.01</f>
        <v>2396.0100000000002</v>
      </c>
      <c r="AL1027" s="75">
        <f>+SUBTOTAL(9,Tabla6[[#This Row],[ENE]:[DIC]])</f>
        <v>28752.010000000002</v>
      </c>
      <c r="AM1027" s="76" t="str">
        <f t="shared" si="29"/>
        <v>OK</v>
      </c>
      <c r="AN1027" s="60">
        <v>0</v>
      </c>
      <c r="AO1027" s="61">
        <f>+Tabla6[[#This Row],[PRESUPUESTO VIGENTE]]-Tabla6[[#This Row],[CERTIFICACIÓN PAPP]]</f>
        <v>28752.01</v>
      </c>
      <c r="AP1027" s="59">
        <v>0</v>
      </c>
    </row>
    <row r="1028" spans="1:42" ht="93" customHeight="1" x14ac:dyDescent="0.25">
      <c r="A1028" s="62" t="s">
        <v>78</v>
      </c>
      <c r="B1028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028" s="64" t="s">
        <v>79</v>
      </c>
      <c r="D1028" s="64" t="s">
        <v>80</v>
      </c>
      <c r="E1028" s="64" t="s">
        <v>81</v>
      </c>
      <c r="F1028" s="64" t="s">
        <v>110</v>
      </c>
      <c r="G1028" s="64" t="s">
        <v>83</v>
      </c>
      <c r="H1028" s="65" t="str">
        <f>VLOOKUP(Tabla6[[#This Row],[DIRECCIÓN]],DIRECCIÓN[#All],2,0)</f>
        <v>ADMINISTRACIÓN CENTRAL</v>
      </c>
      <c r="I1028" s="66" t="s">
        <v>93</v>
      </c>
      <c r="J1028" s="67">
        <v>1</v>
      </c>
      <c r="K1028" s="68" t="str">
        <f>VLOOKUP(Tabla6[[#This Row],[DIRECCIÓN GENERAL / COORDINACIÓN / SUBDIRECCIÓN]],Tabla37[[#All],[Columna1]:[EOD]],2,0)</f>
        <v>266_0006</v>
      </c>
      <c r="L1028" s="69">
        <f>VLOOKUP(Tabla6[[#This Row],[OBJETIVOS PND]],Listas!$A$1:$C$3,3,0)</f>
        <v>1</v>
      </c>
      <c r="M1028" s="70">
        <f>VLOOKUP(Tabla6[[#This Row],[PG]],Listas2!$G$14:$K$16,5,0)</f>
        <v>0</v>
      </c>
      <c r="N1028" s="71">
        <v>1</v>
      </c>
      <c r="O1028" s="72">
        <v>1400</v>
      </c>
      <c r="P1028" s="73" t="str">
        <f>VLOOKUP(Tabla6[[#This Row],[GEO]],Listas!$A$48:$B$77,2,0)</f>
        <v>MORONA</v>
      </c>
      <c r="Q1028" s="70">
        <f>VLOOKUP(Tabla6[[#This Row],[PG]],Listas2!$G$14:$K$16,3,0)</f>
        <v>1</v>
      </c>
      <c r="R1028" s="73">
        <f>VLOOKUP(Tabla6[[#This Row],[PG]],Listas2!H130:'Listas2'!$G$14:$K$16,4,0)</f>
        <v>0</v>
      </c>
      <c r="S1028" s="73">
        <f>VLOOKUP(Tabla6[[#This Row],[PG]],Listas2!$G$14:$K$16,2,0)</f>
        <v>0</v>
      </c>
      <c r="T1028" s="66" t="s">
        <v>84</v>
      </c>
      <c r="U1028" s="74">
        <v>51</v>
      </c>
      <c r="V1028" s="66">
        <v>510203</v>
      </c>
      <c r="W1028" s="63" t="str">
        <f>VLOOKUP(Tabla6[[#This Row],[ÍTEM PRESUPUESTARIO]],Tabla2[#All],2,0)</f>
        <v>DÉCIMO TERCER SUELDO</v>
      </c>
      <c r="X1028" s="57">
        <v>13192</v>
      </c>
      <c r="Y1028" s="57">
        <f>13195+39-36.35</f>
        <v>13197.65</v>
      </c>
      <c r="Z1028" s="58">
        <v>0</v>
      </c>
      <c r="AA1028" s="58">
        <v>0</v>
      </c>
      <c r="AB1028" s="58">
        <v>0</v>
      </c>
      <c r="AC1028" s="58">
        <v>0</v>
      </c>
      <c r="AD1028" s="58">
        <v>0</v>
      </c>
      <c r="AE1028" s="58">
        <v>0</v>
      </c>
      <c r="AF1028" s="58">
        <v>0</v>
      </c>
      <c r="AG1028" s="58">
        <v>0</v>
      </c>
      <c r="AH1028" s="58">
        <v>0</v>
      </c>
      <c r="AI1028" s="58">
        <v>0</v>
      </c>
      <c r="AJ1028" s="58">
        <v>0</v>
      </c>
      <c r="AK1028" s="58">
        <f>13195+39-36.35</f>
        <v>13197.65</v>
      </c>
      <c r="AL1028" s="75">
        <f>+SUBTOTAL(9,Tabla6[[#This Row],[ENE]:[DIC]])</f>
        <v>13197.65</v>
      </c>
      <c r="AM1028" s="76" t="str">
        <f t="shared" si="29"/>
        <v>OK</v>
      </c>
      <c r="AN1028" s="60">
        <v>0</v>
      </c>
      <c r="AO1028" s="61">
        <f>+Tabla6[[#This Row],[PRESUPUESTO VIGENTE]]-Tabla6[[#This Row],[CERTIFICACIÓN PAPP]]</f>
        <v>13197.65</v>
      </c>
      <c r="AP1028" s="59">
        <v>0</v>
      </c>
    </row>
    <row r="1029" spans="1:42" ht="93" customHeight="1" x14ac:dyDescent="0.25">
      <c r="A1029" s="62" t="s">
        <v>78</v>
      </c>
      <c r="B1029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029" s="64" t="s">
        <v>79</v>
      </c>
      <c r="D1029" s="64" t="s">
        <v>80</v>
      </c>
      <c r="E1029" s="64" t="s">
        <v>81</v>
      </c>
      <c r="F1029" s="64" t="s">
        <v>110</v>
      </c>
      <c r="G1029" s="64" t="s">
        <v>83</v>
      </c>
      <c r="H1029" s="65" t="str">
        <f>VLOOKUP(Tabla6[[#This Row],[DIRECCIÓN]],DIRECCIÓN[#All],2,0)</f>
        <v>ADMINISTRACIÓN CENTRAL</v>
      </c>
      <c r="I1029" s="66" t="s">
        <v>93</v>
      </c>
      <c r="J1029" s="67">
        <v>1</v>
      </c>
      <c r="K1029" s="68" t="str">
        <f>VLOOKUP(Tabla6[[#This Row],[DIRECCIÓN GENERAL / COORDINACIÓN / SUBDIRECCIÓN]],Tabla37[[#All],[Columna1]:[EOD]],2,0)</f>
        <v>266_0006</v>
      </c>
      <c r="L1029" s="69">
        <f>VLOOKUP(Tabla6[[#This Row],[OBJETIVOS PND]],Listas!$A$1:$C$3,3,0)</f>
        <v>1</v>
      </c>
      <c r="M1029" s="70">
        <f>VLOOKUP(Tabla6[[#This Row],[PG]],Listas2!$G$14:$K$16,5,0)</f>
        <v>0</v>
      </c>
      <c r="N1029" s="71">
        <v>1</v>
      </c>
      <c r="O1029" s="72">
        <v>1400</v>
      </c>
      <c r="P1029" s="73" t="str">
        <f>VLOOKUP(Tabla6[[#This Row],[GEO]],Listas!$A$48:$B$77,2,0)</f>
        <v>MORONA</v>
      </c>
      <c r="Q1029" s="70">
        <f>VLOOKUP(Tabla6[[#This Row],[PG]],Listas2!$G$14:$K$16,3,0)</f>
        <v>1</v>
      </c>
      <c r="R1029" s="73">
        <f>VLOOKUP(Tabla6[[#This Row],[PG]],Listas2!H131:'Listas2'!$G$14:$K$16,4,0)</f>
        <v>0</v>
      </c>
      <c r="S1029" s="73">
        <f>VLOOKUP(Tabla6[[#This Row],[PG]],Listas2!$G$14:$K$16,2,0)</f>
        <v>0</v>
      </c>
      <c r="T1029" s="66" t="s">
        <v>84</v>
      </c>
      <c r="U1029" s="74">
        <v>51</v>
      </c>
      <c r="V1029" s="66">
        <v>510204</v>
      </c>
      <c r="W1029" s="63" t="str">
        <f>VLOOKUP(Tabla6[[#This Row],[ÍTEM PRESUPUESTARIO]],Tabla2[#All],2,0)</f>
        <v>DÉCIMO CUARTO SUELDO</v>
      </c>
      <c r="X1029" s="57">
        <v>5525</v>
      </c>
      <c r="Y1029" s="57">
        <f>5850-300+230+100-84.2</f>
        <v>5795.8</v>
      </c>
      <c r="Z1029" s="58">
        <v>0</v>
      </c>
      <c r="AA1029" s="58">
        <v>0</v>
      </c>
      <c r="AB1029" s="58">
        <v>0</v>
      </c>
      <c r="AC1029" s="58">
        <v>0</v>
      </c>
      <c r="AD1029" s="58">
        <v>0</v>
      </c>
      <c r="AE1029" s="58">
        <v>0</v>
      </c>
      <c r="AF1029" s="58">
        <v>0</v>
      </c>
      <c r="AG1029" s="58">
        <f>5850-300+230+100-84.2</f>
        <v>5795.8</v>
      </c>
      <c r="AH1029" s="58">
        <v>0</v>
      </c>
      <c r="AI1029" s="58">
        <v>0</v>
      </c>
      <c r="AJ1029" s="58">
        <v>0</v>
      </c>
      <c r="AK1029" s="58">
        <v>0</v>
      </c>
      <c r="AL1029" s="75">
        <f>+SUBTOTAL(9,Tabla6[[#This Row],[ENE]:[DIC]])</f>
        <v>5795.8</v>
      </c>
      <c r="AM1029" s="76" t="str">
        <f t="shared" si="29"/>
        <v>OK</v>
      </c>
      <c r="AN1029" s="60">
        <v>0</v>
      </c>
      <c r="AO1029" s="61">
        <f>+Tabla6[[#This Row],[PRESUPUESTO VIGENTE]]-Tabla6[[#This Row],[CERTIFICACIÓN PAPP]]</f>
        <v>5795.8</v>
      </c>
      <c r="AP1029" s="59">
        <v>0</v>
      </c>
    </row>
    <row r="1030" spans="1:42" ht="93" customHeight="1" x14ac:dyDescent="0.25">
      <c r="A1030" s="62" t="s">
        <v>78</v>
      </c>
      <c r="B1030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030" s="64" t="s">
        <v>79</v>
      </c>
      <c r="D1030" s="64" t="s">
        <v>80</v>
      </c>
      <c r="E1030" s="64" t="s">
        <v>81</v>
      </c>
      <c r="F1030" s="64" t="s">
        <v>110</v>
      </c>
      <c r="G1030" s="64" t="s">
        <v>83</v>
      </c>
      <c r="H1030" s="65" t="str">
        <f>VLOOKUP(Tabla6[[#This Row],[DIRECCIÓN]],DIRECCIÓN[#All],2,0)</f>
        <v>ADMINISTRACIÓN CENTRAL</v>
      </c>
      <c r="I1030" s="66" t="s">
        <v>93</v>
      </c>
      <c r="J1030" s="67">
        <v>1</v>
      </c>
      <c r="K1030" s="68" t="str">
        <f>VLOOKUP(Tabla6[[#This Row],[DIRECCIÓN GENERAL / COORDINACIÓN / SUBDIRECCIÓN]],Tabla37[[#All],[Columna1]:[EOD]],2,0)</f>
        <v>266_0006</v>
      </c>
      <c r="L1030" s="69">
        <f>VLOOKUP(Tabla6[[#This Row],[OBJETIVOS PND]],Listas!$A$1:$C$3,3,0)</f>
        <v>1</v>
      </c>
      <c r="M1030" s="70">
        <f>VLOOKUP(Tabla6[[#This Row],[PG]],Listas2!$G$14:$K$16,5,0)</f>
        <v>0</v>
      </c>
      <c r="N1030" s="71">
        <v>1</v>
      </c>
      <c r="O1030" s="72">
        <v>1400</v>
      </c>
      <c r="P1030" s="73" t="str">
        <f>VLOOKUP(Tabla6[[#This Row],[GEO]],Listas!$A$48:$B$77,2,0)</f>
        <v>MORONA</v>
      </c>
      <c r="Q1030" s="70">
        <f>VLOOKUP(Tabla6[[#This Row],[PG]],Listas2!$G$14:$K$16,3,0)</f>
        <v>1</v>
      </c>
      <c r="R1030" s="73">
        <f>VLOOKUP(Tabla6[[#This Row],[PG]],Listas2!H132:'Listas2'!$G$14:$K$16,4,0)</f>
        <v>0</v>
      </c>
      <c r="S1030" s="73">
        <f>VLOOKUP(Tabla6[[#This Row],[PG]],Listas2!$G$14:$K$16,2,0)</f>
        <v>0</v>
      </c>
      <c r="T1030" s="66" t="s">
        <v>84</v>
      </c>
      <c r="U1030" s="74">
        <v>51</v>
      </c>
      <c r="V1030" s="66">
        <v>510304</v>
      </c>
      <c r="W1030" s="63" t="str">
        <f>VLOOKUP(Tabla6[[#This Row],[ÍTEM PRESUPUESTARIO]],Tabla2[#All],2,0)</f>
        <v>COMPENSACION POR TRANSPORTE</v>
      </c>
      <c r="X1030" s="57">
        <v>0</v>
      </c>
      <c r="Y1030" s="57">
        <f>132-132</f>
        <v>0</v>
      </c>
      <c r="Z1030" s="58">
        <v>0</v>
      </c>
      <c r="AA1030" s="58">
        <v>0</v>
      </c>
      <c r="AB1030" s="58">
        <v>0</v>
      </c>
      <c r="AC1030" s="58">
        <v>0</v>
      </c>
      <c r="AD1030" s="58">
        <v>0</v>
      </c>
      <c r="AE1030" s="58">
        <v>0</v>
      </c>
      <c r="AF1030" s="58">
        <v>0</v>
      </c>
      <c r="AG1030" s="58">
        <v>0</v>
      </c>
      <c r="AH1030" s="58">
        <v>0</v>
      </c>
      <c r="AI1030" s="58">
        <v>0</v>
      </c>
      <c r="AJ1030" s="58">
        <v>0</v>
      </c>
      <c r="AK1030" s="58">
        <f>132-132</f>
        <v>0</v>
      </c>
      <c r="AL1030" s="75">
        <f>+SUBTOTAL(9,Tabla6[[#This Row],[ENE]:[DIC]])</f>
        <v>0</v>
      </c>
      <c r="AM1030" s="76" t="str">
        <f t="shared" si="29"/>
        <v>OK</v>
      </c>
      <c r="AN1030" s="60">
        <v>0</v>
      </c>
      <c r="AO1030" s="61">
        <f>+Tabla6[[#This Row],[PRESUPUESTO VIGENTE]]-Tabla6[[#This Row],[CERTIFICACIÓN PAPP]]</f>
        <v>0</v>
      </c>
      <c r="AP1030" s="59">
        <v>0</v>
      </c>
    </row>
    <row r="1031" spans="1:42" ht="93" customHeight="1" x14ac:dyDescent="0.25">
      <c r="A1031" s="62" t="s">
        <v>78</v>
      </c>
      <c r="B1031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031" s="64" t="s">
        <v>79</v>
      </c>
      <c r="D1031" s="64" t="s">
        <v>80</v>
      </c>
      <c r="E1031" s="64" t="s">
        <v>81</v>
      </c>
      <c r="F1031" s="64" t="s">
        <v>110</v>
      </c>
      <c r="G1031" s="64" t="s">
        <v>83</v>
      </c>
      <c r="H1031" s="65" t="str">
        <f>VLOOKUP(Tabla6[[#This Row],[DIRECCIÓN]],DIRECCIÓN[#All],2,0)</f>
        <v>ADMINISTRACIÓN CENTRAL</v>
      </c>
      <c r="I1031" s="66" t="s">
        <v>93</v>
      </c>
      <c r="J1031" s="67">
        <v>1</v>
      </c>
      <c r="K1031" s="68" t="str">
        <f>VLOOKUP(Tabla6[[#This Row],[DIRECCIÓN GENERAL / COORDINACIÓN / SUBDIRECCIÓN]],Tabla37[[#All],[Columna1]:[EOD]],2,0)</f>
        <v>266_0006</v>
      </c>
      <c r="L1031" s="69">
        <f>VLOOKUP(Tabla6[[#This Row],[OBJETIVOS PND]],Listas!$A$1:$C$3,3,0)</f>
        <v>1</v>
      </c>
      <c r="M1031" s="70">
        <f>VLOOKUP(Tabla6[[#This Row],[PG]],Listas2!$G$14:$K$16,5,0)</f>
        <v>0</v>
      </c>
      <c r="N1031" s="71">
        <v>1</v>
      </c>
      <c r="O1031" s="72">
        <v>1400</v>
      </c>
      <c r="P1031" s="73" t="str">
        <f>VLOOKUP(Tabla6[[#This Row],[GEO]],Listas!$A$48:$B$77,2,0)</f>
        <v>MORONA</v>
      </c>
      <c r="Q1031" s="70">
        <f>VLOOKUP(Tabla6[[#This Row],[PG]],Listas2!$G$14:$K$16,3,0)</f>
        <v>1</v>
      </c>
      <c r="R1031" s="73">
        <f>VLOOKUP(Tabla6[[#This Row],[PG]],Listas2!H133:'Listas2'!$G$14:$K$16,4,0)</f>
        <v>0</v>
      </c>
      <c r="S1031" s="73">
        <f>VLOOKUP(Tabla6[[#This Row],[PG]],Listas2!$G$14:$K$16,2,0)</f>
        <v>0</v>
      </c>
      <c r="T1031" s="66" t="s">
        <v>84</v>
      </c>
      <c r="U1031" s="74">
        <v>51</v>
      </c>
      <c r="V1031" s="66">
        <v>510306</v>
      </c>
      <c r="W1031" s="63" t="str">
        <f>VLOOKUP(Tabla6[[#This Row],[ÍTEM PRESUPUESTARIO]],Tabla2[#All],2,0)</f>
        <v>ALIMENTACION</v>
      </c>
      <c r="X1031" s="57">
        <v>0</v>
      </c>
      <c r="Y1031" s="57">
        <f>660-660</f>
        <v>0</v>
      </c>
      <c r="Z1031" s="58">
        <v>0</v>
      </c>
      <c r="AA1031" s="58">
        <v>0</v>
      </c>
      <c r="AB1031" s="58">
        <v>0</v>
      </c>
      <c r="AC1031" s="58">
        <v>0</v>
      </c>
      <c r="AD1031" s="58">
        <v>0</v>
      </c>
      <c r="AE1031" s="58">
        <v>0</v>
      </c>
      <c r="AF1031" s="58">
        <v>0</v>
      </c>
      <c r="AG1031" s="58">
        <v>0</v>
      </c>
      <c r="AH1031" s="58">
        <v>0</v>
      </c>
      <c r="AI1031" s="58">
        <v>0</v>
      </c>
      <c r="AJ1031" s="58">
        <v>0</v>
      </c>
      <c r="AK1031" s="58">
        <f>660-660</f>
        <v>0</v>
      </c>
      <c r="AL1031" s="75">
        <f>+SUBTOTAL(9,Tabla6[[#This Row],[ENE]:[DIC]])</f>
        <v>0</v>
      </c>
      <c r="AM1031" s="76" t="str">
        <f t="shared" si="29"/>
        <v>OK</v>
      </c>
      <c r="AN1031" s="60">
        <v>0</v>
      </c>
      <c r="AO1031" s="61">
        <f>+Tabla6[[#This Row],[PRESUPUESTO VIGENTE]]-Tabla6[[#This Row],[CERTIFICACIÓN PAPP]]</f>
        <v>0</v>
      </c>
      <c r="AP1031" s="59">
        <v>0</v>
      </c>
    </row>
    <row r="1032" spans="1:42" ht="93" customHeight="1" x14ac:dyDescent="0.25">
      <c r="A1032" s="62" t="s">
        <v>78</v>
      </c>
      <c r="B1032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032" s="64" t="s">
        <v>79</v>
      </c>
      <c r="D1032" s="64" t="s">
        <v>80</v>
      </c>
      <c r="E1032" s="64" t="s">
        <v>81</v>
      </c>
      <c r="F1032" s="64" t="s">
        <v>110</v>
      </c>
      <c r="G1032" s="64" t="s">
        <v>83</v>
      </c>
      <c r="H1032" s="65" t="str">
        <f>VLOOKUP(Tabla6[[#This Row],[DIRECCIÓN]],DIRECCIÓN[#All],2,0)</f>
        <v>ADMINISTRACIÓN CENTRAL</v>
      </c>
      <c r="I1032" s="66" t="s">
        <v>93</v>
      </c>
      <c r="J1032" s="67">
        <v>1</v>
      </c>
      <c r="K1032" s="68" t="str">
        <f>VLOOKUP(Tabla6[[#This Row],[DIRECCIÓN GENERAL / COORDINACIÓN / SUBDIRECCIÓN]],Tabla37[[#All],[Columna1]:[EOD]],2,0)</f>
        <v>266_0006</v>
      </c>
      <c r="L1032" s="69">
        <f>VLOOKUP(Tabla6[[#This Row],[OBJETIVOS PND]],Listas!$A$1:$C$3,3,0)</f>
        <v>1</v>
      </c>
      <c r="M1032" s="70">
        <f>VLOOKUP(Tabla6[[#This Row],[PG]],Listas2!$G$14:$K$16,5,0)</f>
        <v>0</v>
      </c>
      <c r="N1032" s="71">
        <v>1</v>
      </c>
      <c r="O1032" s="72">
        <v>1400</v>
      </c>
      <c r="P1032" s="73" t="str">
        <f>VLOOKUP(Tabla6[[#This Row],[GEO]],Listas!$A$48:$B$77,2,0)</f>
        <v>MORONA</v>
      </c>
      <c r="Q1032" s="70">
        <f>VLOOKUP(Tabla6[[#This Row],[PG]],Listas2!$G$14:$K$16,3,0)</f>
        <v>1</v>
      </c>
      <c r="R1032" s="73">
        <f>VLOOKUP(Tabla6[[#This Row],[PG]],Listas2!H134:'Listas2'!$G$14:$K$16,4,0)</f>
        <v>0</v>
      </c>
      <c r="S1032" s="73">
        <f>VLOOKUP(Tabla6[[#This Row],[PG]],Listas2!$G$14:$K$16,2,0)</f>
        <v>0</v>
      </c>
      <c r="T1032" s="66" t="s">
        <v>84</v>
      </c>
      <c r="U1032" s="74">
        <v>51</v>
      </c>
      <c r="V1032" s="66">
        <v>510401</v>
      </c>
      <c r="W1032" s="63" t="str">
        <f>VLOOKUP(Tabla6[[#This Row],[ÍTEM PRESUPUESTARIO]],Tabla2[#All],2,0)</f>
        <v>POR CARGAS FAMILIARES</v>
      </c>
      <c r="X1032" s="57">
        <v>0</v>
      </c>
      <c r="Y1032" s="57">
        <f>51-51</f>
        <v>0</v>
      </c>
      <c r="Z1032" s="58">
        <v>0</v>
      </c>
      <c r="AA1032" s="58">
        <v>0</v>
      </c>
      <c r="AB1032" s="58">
        <v>0</v>
      </c>
      <c r="AC1032" s="58">
        <v>0</v>
      </c>
      <c r="AD1032" s="58">
        <v>0</v>
      </c>
      <c r="AE1032" s="58">
        <v>0</v>
      </c>
      <c r="AF1032" s="58">
        <v>0</v>
      </c>
      <c r="AG1032" s="58">
        <v>0</v>
      </c>
      <c r="AH1032" s="58">
        <v>0</v>
      </c>
      <c r="AI1032" s="58">
        <v>0</v>
      </c>
      <c r="AJ1032" s="58">
        <v>0</v>
      </c>
      <c r="AK1032" s="58">
        <f>51-51</f>
        <v>0</v>
      </c>
      <c r="AL1032" s="75">
        <f>+SUBTOTAL(9,Tabla6[[#This Row],[ENE]:[DIC]])</f>
        <v>0</v>
      </c>
      <c r="AM1032" s="76" t="str">
        <f t="shared" si="29"/>
        <v>OK</v>
      </c>
      <c r="AN1032" s="60">
        <v>0</v>
      </c>
      <c r="AO1032" s="61">
        <f>+Tabla6[[#This Row],[PRESUPUESTO VIGENTE]]-Tabla6[[#This Row],[CERTIFICACIÓN PAPP]]</f>
        <v>0</v>
      </c>
      <c r="AP1032" s="59">
        <v>0</v>
      </c>
    </row>
    <row r="1033" spans="1:42" ht="93" customHeight="1" x14ac:dyDescent="0.25">
      <c r="A1033" s="62" t="s">
        <v>78</v>
      </c>
      <c r="B1033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033" s="64" t="s">
        <v>79</v>
      </c>
      <c r="D1033" s="64" t="s">
        <v>80</v>
      </c>
      <c r="E1033" s="64" t="s">
        <v>81</v>
      </c>
      <c r="F1033" s="64" t="s">
        <v>110</v>
      </c>
      <c r="G1033" s="64" t="s">
        <v>83</v>
      </c>
      <c r="H1033" s="65" t="str">
        <f>VLOOKUP(Tabla6[[#This Row],[DIRECCIÓN]],DIRECCIÓN[#All],2,0)</f>
        <v>ADMINISTRACIÓN CENTRAL</v>
      </c>
      <c r="I1033" s="66" t="s">
        <v>93</v>
      </c>
      <c r="J1033" s="67">
        <v>1</v>
      </c>
      <c r="K1033" s="68" t="str">
        <f>VLOOKUP(Tabla6[[#This Row],[DIRECCIÓN GENERAL / COORDINACIÓN / SUBDIRECCIÓN]],Tabla37[[#All],[Columna1]:[EOD]],2,0)</f>
        <v>266_0006</v>
      </c>
      <c r="L1033" s="69">
        <f>VLOOKUP(Tabla6[[#This Row],[OBJETIVOS PND]],Listas!$A$1:$C$3,3,0)</f>
        <v>1</v>
      </c>
      <c r="M1033" s="70">
        <f>VLOOKUP(Tabla6[[#This Row],[PG]],Listas2!$G$14:$K$16,5,0)</f>
        <v>0</v>
      </c>
      <c r="N1033" s="71">
        <v>1</v>
      </c>
      <c r="O1033" s="72">
        <v>1400</v>
      </c>
      <c r="P1033" s="73" t="str">
        <f>VLOOKUP(Tabla6[[#This Row],[GEO]],Listas!$A$48:$B$77,2,0)</f>
        <v>MORONA</v>
      </c>
      <c r="Q1033" s="70">
        <f>VLOOKUP(Tabla6[[#This Row],[PG]],Listas2!$G$14:$K$16,3,0)</f>
        <v>1</v>
      </c>
      <c r="R1033" s="73">
        <f>VLOOKUP(Tabla6[[#This Row],[PG]],Listas2!H135:'Listas2'!$G$14:$K$16,4,0)</f>
        <v>0</v>
      </c>
      <c r="S1033" s="73">
        <f>VLOOKUP(Tabla6[[#This Row],[PG]],Listas2!$G$14:$K$16,2,0)</f>
        <v>0</v>
      </c>
      <c r="T1033" s="66" t="s">
        <v>84</v>
      </c>
      <c r="U1033" s="74">
        <v>51</v>
      </c>
      <c r="V1033" s="66">
        <v>510408</v>
      </c>
      <c r="W1033" s="63" t="str">
        <f>VLOOKUP(Tabla6[[#This Row],[ÍTEM PRESUPUESTARIO]],Tabla2[#All],2,0)</f>
        <v>SUBSIDIO DE ANTIGUEDAD</v>
      </c>
      <c r="X1033" s="57">
        <v>0</v>
      </c>
      <c r="Y1033" s="57">
        <f>95-95</f>
        <v>0</v>
      </c>
      <c r="Z1033" s="58">
        <v>0</v>
      </c>
      <c r="AA1033" s="58">
        <v>0</v>
      </c>
      <c r="AB1033" s="58">
        <v>0</v>
      </c>
      <c r="AC1033" s="58">
        <v>0</v>
      </c>
      <c r="AD1033" s="58">
        <v>0</v>
      </c>
      <c r="AE1033" s="58">
        <v>0</v>
      </c>
      <c r="AF1033" s="58">
        <v>0</v>
      </c>
      <c r="AG1033" s="58">
        <v>0</v>
      </c>
      <c r="AH1033" s="58">
        <v>0</v>
      </c>
      <c r="AI1033" s="58">
        <v>0</v>
      </c>
      <c r="AJ1033" s="58">
        <v>0</v>
      </c>
      <c r="AK1033" s="58">
        <f>95-95</f>
        <v>0</v>
      </c>
      <c r="AL1033" s="75">
        <f>+SUBTOTAL(9,Tabla6[[#This Row],[ENE]:[DIC]])</f>
        <v>0</v>
      </c>
      <c r="AM1033" s="76" t="str">
        <f t="shared" si="29"/>
        <v>OK</v>
      </c>
      <c r="AN1033" s="60">
        <v>0</v>
      </c>
      <c r="AO1033" s="61">
        <f>+Tabla6[[#This Row],[PRESUPUESTO VIGENTE]]-Tabla6[[#This Row],[CERTIFICACIÓN PAPP]]</f>
        <v>0</v>
      </c>
      <c r="AP1033" s="59">
        <v>0</v>
      </c>
    </row>
    <row r="1034" spans="1:42" ht="93" customHeight="1" x14ac:dyDescent="0.25">
      <c r="A1034" s="62" t="s">
        <v>78</v>
      </c>
      <c r="B1034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034" s="64" t="s">
        <v>79</v>
      </c>
      <c r="D1034" s="64" t="s">
        <v>80</v>
      </c>
      <c r="E1034" s="64" t="s">
        <v>81</v>
      </c>
      <c r="F1034" s="64" t="s">
        <v>110</v>
      </c>
      <c r="G1034" s="64" t="s">
        <v>83</v>
      </c>
      <c r="H1034" s="65" t="str">
        <f>VLOOKUP(Tabla6[[#This Row],[DIRECCIÓN]],DIRECCIÓN[#All],2,0)</f>
        <v>ADMINISTRACIÓN CENTRAL</v>
      </c>
      <c r="I1034" s="66" t="s">
        <v>93</v>
      </c>
      <c r="J1034" s="67">
        <v>1</v>
      </c>
      <c r="K1034" s="68" t="str">
        <f>VLOOKUP(Tabla6[[#This Row],[DIRECCIÓN GENERAL / COORDINACIÓN / SUBDIRECCIÓN]],Tabla37[[#All],[Columna1]:[EOD]],2,0)</f>
        <v>266_0006</v>
      </c>
      <c r="L1034" s="69">
        <f>VLOOKUP(Tabla6[[#This Row],[OBJETIVOS PND]],Listas!$A$1:$C$3,3,0)</f>
        <v>1</v>
      </c>
      <c r="M1034" s="70">
        <f>VLOOKUP(Tabla6[[#This Row],[PG]],Listas2!$G$14:$K$16,5,0)</f>
        <v>0</v>
      </c>
      <c r="N1034" s="71">
        <v>1</v>
      </c>
      <c r="O1034" s="72">
        <v>1400</v>
      </c>
      <c r="P1034" s="73" t="str">
        <f>VLOOKUP(Tabla6[[#This Row],[GEO]],Listas!$A$48:$B$77,2,0)</f>
        <v>MORONA</v>
      </c>
      <c r="Q1034" s="70">
        <f>VLOOKUP(Tabla6[[#This Row],[PG]],Listas2!$G$14:$K$16,3,0)</f>
        <v>1</v>
      </c>
      <c r="R1034" s="73">
        <f>VLOOKUP(Tabla6[[#This Row],[PG]],Listas2!H136:'Listas2'!$G$14:$K$16,4,0)</f>
        <v>0</v>
      </c>
      <c r="S1034" s="73">
        <f>VLOOKUP(Tabla6[[#This Row],[PG]],Listas2!$G$14:$K$16,2,0)</f>
        <v>0</v>
      </c>
      <c r="T1034" s="66" t="s">
        <v>84</v>
      </c>
      <c r="U1034" s="74">
        <v>51</v>
      </c>
      <c r="V1034" s="66">
        <v>510509</v>
      </c>
      <c r="W1034" s="63" t="str">
        <f>VLOOKUP(Tabla6[[#This Row],[ÍTEM PRESUPUESTARIO]],Tabla2[#All],2,0)</f>
        <v>HORAS EXTRAORDINARIAS Y SUPLEMENTARIAS</v>
      </c>
      <c r="X1034" s="57">
        <v>300</v>
      </c>
      <c r="Y1034" s="57">
        <f>300+200-432.24</f>
        <v>67.759999999999991</v>
      </c>
      <c r="Z1034" s="58">
        <v>0</v>
      </c>
      <c r="AA1034" s="58">
        <v>25</v>
      </c>
      <c r="AB1034" s="58">
        <v>25</v>
      </c>
      <c r="AC1034" s="58">
        <f>25+22.22-29.46</f>
        <v>17.759999999999998</v>
      </c>
      <c r="AD1034" s="58">
        <f>25+22.22-47.22</f>
        <v>0</v>
      </c>
      <c r="AE1034" s="58">
        <f>25+22.2-47.2</f>
        <v>0</v>
      </c>
      <c r="AF1034" s="58">
        <f>25+22.22-47.22</f>
        <v>0</v>
      </c>
      <c r="AG1034" s="58">
        <f>30+22.22-52.22</f>
        <v>0</v>
      </c>
      <c r="AH1034" s="58">
        <f>30+22.22-52.22</f>
        <v>0</v>
      </c>
      <c r="AI1034" s="58">
        <f>30+22.22-52.22</f>
        <v>0</v>
      </c>
      <c r="AJ1034" s="58">
        <f>30+22.22-52.22</f>
        <v>0</v>
      </c>
      <c r="AK1034" s="58">
        <f>30+22.26-52.26</f>
        <v>0</v>
      </c>
      <c r="AL1034" s="75">
        <f>+SUBTOTAL(9,Tabla6[[#This Row],[ENE]:[DIC]])</f>
        <v>67.759999999999991</v>
      </c>
      <c r="AM1034" s="76" t="str">
        <f t="shared" si="29"/>
        <v>OK</v>
      </c>
      <c r="AN1034" s="60">
        <v>0</v>
      </c>
      <c r="AO1034" s="61">
        <f>+Tabla6[[#This Row],[PRESUPUESTO VIGENTE]]-Tabla6[[#This Row],[CERTIFICACIÓN PAPP]]</f>
        <v>67.759999999999991</v>
      </c>
      <c r="AP1034" s="59">
        <v>0</v>
      </c>
    </row>
    <row r="1035" spans="1:42" ht="93" customHeight="1" x14ac:dyDescent="0.25">
      <c r="A1035" s="62" t="s">
        <v>78</v>
      </c>
      <c r="B1035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035" s="64" t="s">
        <v>79</v>
      </c>
      <c r="D1035" s="64" t="s">
        <v>80</v>
      </c>
      <c r="E1035" s="64" t="s">
        <v>81</v>
      </c>
      <c r="F1035" s="64" t="s">
        <v>110</v>
      </c>
      <c r="G1035" s="64" t="s">
        <v>83</v>
      </c>
      <c r="H1035" s="65" t="str">
        <f>VLOOKUP(Tabla6[[#This Row],[DIRECCIÓN]],DIRECCIÓN[#All],2,0)</f>
        <v>ADMINISTRACIÓN CENTRAL</v>
      </c>
      <c r="I1035" s="66" t="s">
        <v>93</v>
      </c>
      <c r="J1035" s="67">
        <v>1</v>
      </c>
      <c r="K1035" s="68" t="str">
        <f>VLOOKUP(Tabla6[[#This Row],[DIRECCIÓN GENERAL / COORDINACIÓN / SUBDIRECCIÓN]],Tabla37[[#All],[Columna1]:[EOD]],2,0)</f>
        <v>266_0006</v>
      </c>
      <c r="L1035" s="69">
        <f>VLOOKUP(Tabla6[[#This Row],[OBJETIVOS PND]],Listas!$A$1:$C$3,3,0)</f>
        <v>1</v>
      </c>
      <c r="M1035" s="70">
        <f>VLOOKUP(Tabla6[[#This Row],[PG]],Listas2!$G$14:$K$16,5,0)</f>
        <v>0</v>
      </c>
      <c r="N1035" s="71">
        <v>1</v>
      </c>
      <c r="O1035" s="72">
        <v>1400</v>
      </c>
      <c r="P1035" s="73" t="str">
        <f>VLOOKUP(Tabla6[[#This Row],[GEO]],Listas!$A$48:$B$77,2,0)</f>
        <v>MORONA</v>
      </c>
      <c r="Q1035" s="70">
        <f>VLOOKUP(Tabla6[[#This Row],[PG]],Listas2!$G$14:$K$16,3,0)</f>
        <v>1</v>
      </c>
      <c r="R1035" s="73">
        <f>VLOOKUP(Tabla6[[#This Row],[PG]],Listas2!H137:'Listas2'!$G$14:$K$16,4,0)</f>
        <v>0</v>
      </c>
      <c r="S1035" s="73">
        <f>VLOOKUP(Tabla6[[#This Row],[PG]],Listas2!$G$14:$K$16,2,0)</f>
        <v>0</v>
      </c>
      <c r="T1035" s="66" t="s">
        <v>84</v>
      </c>
      <c r="U1035" s="74">
        <v>51</v>
      </c>
      <c r="V1035" s="66">
        <v>510601</v>
      </c>
      <c r="W1035" s="63" t="str">
        <f>VLOOKUP(Tabla6[[#This Row],[ÍTEM PRESUPUESTARIO]],Tabla2[#All],2,0)</f>
        <v>APORTE PATRONAL</v>
      </c>
      <c r="X1035" s="57">
        <v>15996</v>
      </c>
      <c r="Y1035" s="57">
        <f>16057-53.25</f>
        <v>16003.75</v>
      </c>
      <c r="Z1035" s="58">
        <v>1338.08</v>
      </c>
      <c r="AA1035" s="58">
        <v>1338.08</v>
      </c>
      <c r="AB1035" s="58">
        <v>1338.08</v>
      </c>
      <c r="AC1035" s="58">
        <v>1338.08</v>
      </c>
      <c r="AD1035" s="58">
        <v>1338.08</v>
      </c>
      <c r="AE1035" s="58">
        <v>1338.08</v>
      </c>
      <c r="AF1035" s="58">
        <v>1338.08</v>
      </c>
      <c r="AG1035" s="58">
        <v>1338.08</v>
      </c>
      <c r="AH1035" s="58">
        <v>1338.08</v>
      </c>
      <c r="AI1035" s="58">
        <v>1338.08</v>
      </c>
      <c r="AJ1035" s="58">
        <v>1338.08</v>
      </c>
      <c r="AK1035" s="58">
        <f>1338.12-53.25</f>
        <v>1284.8699999999999</v>
      </c>
      <c r="AL1035" s="75">
        <f>+SUBTOTAL(9,Tabla6[[#This Row],[ENE]:[DIC]])</f>
        <v>16003.75</v>
      </c>
      <c r="AM1035" s="76" t="str">
        <f t="shared" si="29"/>
        <v>OK</v>
      </c>
      <c r="AN1035" s="60">
        <v>0</v>
      </c>
      <c r="AO1035" s="61">
        <f>+Tabla6[[#This Row],[PRESUPUESTO VIGENTE]]-Tabla6[[#This Row],[CERTIFICACIÓN PAPP]]</f>
        <v>16003.75</v>
      </c>
      <c r="AP1035" s="59">
        <v>0</v>
      </c>
    </row>
    <row r="1036" spans="1:42" ht="93" customHeight="1" x14ac:dyDescent="0.25">
      <c r="A1036" s="62" t="s">
        <v>78</v>
      </c>
      <c r="B1036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036" s="64" t="s">
        <v>79</v>
      </c>
      <c r="D1036" s="64" t="s">
        <v>80</v>
      </c>
      <c r="E1036" s="64" t="s">
        <v>81</v>
      </c>
      <c r="F1036" s="64" t="s">
        <v>110</v>
      </c>
      <c r="G1036" s="64" t="s">
        <v>83</v>
      </c>
      <c r="H1036" s="65" t="str">
        <f>VLOOKUP(Tabla6[[#This Row],[DIRECCIÓN]],DIRECCIÓN[#All],2,0)</f>
        <v>ADMINISTRACIÓN CENTRAL</v>
      </c>
      <c r="I1036" s="66" t="s">
        <v>93</v>
      </c>
      <c r="J1036" s="67">
        <v>1</v>
      </c>
      <c r="K1036" s="68" t="str">
        <f>VLOOKUP(Tabla6[[#This Row],[DIRECCIÓN GENERAL / COORDINACIÓN / SUBDIRECCIÓN]],Tabla37[[#All],[Columna1]:[EOD]],2,0)</f>
        <v>266_0006</v>
      </c>
      <c r="L1036" s="69">
        <f>VLOOKUP(Tabla6[[#This Row],[OBJETIVOS PND]],Listas!$A$1:$C$3,3,0)</f>
        <v>1</v>
      </c>
      <c r="M1036" s="70">
        <f>VLOOKUP(Tabla6[[#This Row],[PG]],Listas2!$G$14:$K$16,5,0)</f>
        <v>0</v>
      </c>
      <c r="N1036" s="71">
        <v>1</v>
      </c>
      <c r="O1036" s="72">
        <v>1400</v>
      </c>
      <c r="P1036" s="73" t="str">
        <f>VLOOKUP(Tabla6[[#This Row],[GEO]],Listas!$A$48:$B$77,2,0)</f>
        <v>MORONA</v>
      </c>
      <c r="Q1036" s="70">
        <f>VLOOKUP(Tabla6[[#This Row],[PG]],Listas2!$G$14:$K$16,3,0)</f>
        <v>1</v>
      </c>
      <c r="R1036" s="73">
        <f>VLOOKUP(Tabla6[[#This Row],[PG]],Listas2!H138:'Listas2'!$G$14:$K$16,4,0)</f>
        <v>0</v>
      </c>
      <c r="S1036" s="73">
        <f>VLOOKUP(Tabla6[[#This Row],[PG]],Listas2!$G$14:$K$16,2,0)</f>
        <v>0</v>
      </c>
      <c r="T1036" s="66" t="s">
        <v>84</v>
      </c>
      <c r="U1036" s="74">
        <v>51</v>
      </c>
      <c r="V1036" s="66">
        <v>510602</v>
      </c>
      <c r="W1036" s="63" t="str">
        <f>VLOOKUP(Tabla6[[#This Row],[ÍTEM PRESUPUESTARIO]],Tabla2[#All],2,0)</f>
        <v>FONDO DE RESERVA</v>
      </c>
      <c r="X1036" s="57">
        <v>13187</v>
      </c>
      <c r="Y1036" s="57">
        <f>13192-650+300+84+300+20-53.79</f>
        <v>13192.21</v>
      </c>
      <c r="Z1036" s="58">
        <v>1099.33</v>
      </c>
      <c r="AA1036" s="58">
        <v>1099.33</v>
      </c>
      <c r="AB1036" s="58">
        <v>1099.33</v>
      </c>
      <c r="AC1036" s="58">
        <f>1099.33-72.22</f>
        <v>1027.1099999999999</v>
      </c>
      <c r="AD1036" s="58">
        <f>1099.33-72.22</f>
        <v>1027.1099999999999</v>
      </c>
      <c r="AE1036" s="58">
        <f>1099.33-72.22</f>
        <v>1027.1099999999999</v>
      </c>
      <c r="AF1036" s="58">
        <f>1099.33-72.22+50</f>
        <v>1077.1099999999999</v>
      </c>
      <c r="AG1036" s="58">
        <f>1099.33-72.22+50</f>
        <v>1077.1099999999999</v>
      </c>
      <c r="AH1036" s="58">
        <f>1099.33-72.22+50</f>
        <v>1077.1099999999999</v>
      </c>
      <c r="AI1036" s="58">
        <f>1099.33-72.22+50+100</f>
        <v>1177.1099999999999</v>
      </c>
      <c r="AJ1036" s="58">
        <f>1099.33-72.22+50+100</f>
        <v>1177.1099999999999</v>
      </c>
      <c r="AK1036" s="58">
        <f>1161.13+100+20-53.79</f>
        <v>1227.3400000000001</v>
      </c>
      <c r="AL1036" s="75">
        <f>+SUBTOTAL(9,Tabla6[[#This Row],[ENE]:[DIC]])</f>
        <v>13192.210000000001</v>
      </c>
      <c r="AM1036" s="76" t="str">
        <f t="shared" si="29"/>
        <v>OK</v>
      </c>
      <c r="AN1036" s="60">
        <v>0</v>
      </c>
      <c r="AO1036" s="61">
        <f>+Tabla6[[#This Row],[PRESUPUESTO VIGENTE]]-Tabla6[[#This Row],[CERTIFICACIÓN PAPP]]</f>
        <v>13192.21</v>
      </c>
      <c r="AP1036" s="59">
        <v>0</v>
      </c>
    </row>
    <row r="1037" spans="1:42" ht="93" customHeight="1" x14ac:dyDescent="0.25">
      <c r="A1037" s="62" t="s">
        <v>88</v>
      </c>
      <c r="B1037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037" s="64" t="s">
        <v>89</v>
      </c>
      <c r="D1037" s="64" t="s">
        <v>80</v>
      </c>
      <c r="E1037" s="64" t="s">
        <v>81</v>
      </c>
      <c r="F1037" s="64" t="s">
        <v>110</v>
      </c>
      <c r="G1037" s="64" t="s">
        <v>98</v>
      </c>
      <c r="H1037" s="65" t="str">
        <f>VLOOKUP(Tabla6[[#This Row],[DIRECCIÓN]],DIRECCIÓN[#All],2,0)</f>
        <v>OPERACIONES</v>
      </c>
      <c r="I1037" s="66" t="s">
        <v>93</v>
      </c>
      <c r="J1037" s="67">
        <v>1</v>
      </c>
      <c r="K1037" s="68" t="str">
        <f>VLOOKUP(Tabla6[[#This Row],[DIRECCIÓN GENERAL / COORDINACIÓN / SUBDIRECCIÓN]],Tabla37[[#All],[Columna1]:[EOD]],2,0)</f>
        <v>266_0006</v>
      </c>
      <c r="L1037" s="69">
        <f>VLOOKUP(Tabla6[[#This Row],[OBJETIVOS PND]],Listas!$A$1:$C$3,3,0)</f>
        <v>55</v>
      </c>
      <c r="M1037" s="70">
        <f>VLOOKUP(Tabla6[[#This Row],[PG]],Listas2!$G$14:$K$16,5,0)</f>
        <v>0</v>
      </c>
      <c r="N1037" s="71">
        <v>2</v>
      </c>
      <c r="O1037" s="72">
        <v>1400</v>
      </c>
      <c r="P1037" s="73" t="str">
        <f>VLOOKUP(Tabla6[[#This Row],[GEO]],Listas!$A$48:$B$77,2,0)</f>
        <v>MORONA</v>
      </c>
      <c r="Q1037" s="70">
        <f>VLOOKUP(Tabla6[[#This Row],[PG]],Listas2!$G$14:$K$16,3,0)</f>
        <v>1</v>
      </c>
      <c r="R1037" s="73">
        <f>VLOOKUP(Tabla6[[#This Row],[PG]],Listas2!H139:'Listas2'!$G$14:$K$16,4,0)</f>
        <v>0</v>
      </c>
      <c r="S1037" s="73">
        <f>VLOOKUP(Tabla6[[#This Row],[PG]],Listas2!$G$14:$K$16,2,0)</f>
        <v>0</v>
      </c>
      <c r="T1037" s="66" t="s">
        <v>84</v>
      </c>
      <c r="U1037" s="74">
        <v>51</v>
      </c>
      <c r="V1037" s="66">
        <v>510105</v>
      </c>
      <c r="W1037" s="63" t="str">
        <f>VLOOKUP(Tabla6[[#This Row],[ÍTEM PRESUPUESTARIO]],Tabla2[#All],2,0)</f>
        <v>REMUNERACIONES UNIFICADAS</v>
      </c>
      <c r="X1037" s="57">
        <v>348228</v>
      </c>
      <c r="Y1037" s="57">
        <f>348228-732-733.99</f>
        <v>346762.01</v>
      </c>
      <c r="Z1037" s="58">
        <v>29019</v>
      </c>
      <c r="AA1037" s="58">
        <v>29019</v>
      </c>
      <c r="AB1037" s="58">
        <v>29019</v>
      </c>
      <c r="AC1037" s="58">
        <f t="shared" ref="AC1037:AJ1037" si="30">29019-81.33</f>
        <v>28937.67</v>
      </c>
      <c r="AD1037" s="58">
        <f t="shared" si="30"/>
        <v>28937.67</v>
      </c>
      <c r="AE1037" s="58">
        <f t="shared" si="30"/>
        <v>28937.67</v>
      </c>
      <c r="AF1037" s="58">
        <f t="shared" si="30"/>
        <v>28937.67</v>
      </c>
      <c r="AG1037" s="58">
        <f t="shared" si="30"/>
        <v>28937.67</v>
      </c>
      <c r="AH1037" s="58">
        <f t="shared" si="30"/>
        <v>28937.67</v>
      </c>
      <c r="AI1037" s="58">
        <f t="shared" si="30"/>
        <v>28937.67</v>
      </c>
      <c r="AJ1037" s="58">
        <f t="shared" si="30"/>
        <v>28937.67</v>
      </c>
      <c r="AK1037" s="58">
        <f>29019-81.36-733.99</f>
        <v>28203.649999999998</v>
      </c>
      <c r="AL1037" s="75">
        <f>+SUBTOTAL(9,Tabla6[[#This Row],[ENE]:[DIC]])</f>
        <v>346762.00999999995</v>
      </c>
      <c r="AM1037" s="76" t="str">
        <f t="shared" si="29"/>
        <v>OK</v>
      </c>
      <c r="AN1037" s="60">
        <v>0</v>
      </c>
      <c r="AO1037" s="61">
        <f>+Tabla6[[#This Row],[PRESUPUESTO VIGENTE]]-Tabla6[[#This Row],[CERTIFICACIÓN PAPP]]</f>
        <v>346762.01</v>
      </c>
      <c r="AP1037" s="59">
        <v>0</v>
      </c>
    </row>
    <row r="1038" spans="1:42" ht="93" customHeight="1" x14ac:dyDescent="0.25">
      <c r="A1038" s="62" t="s">
        <v>88</v>
      </c>
      <c r="B1038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038" s="64" t="s">
        <v>89</v>
      </c>
      <c r="D1038" s="64" t="s">
        <v>80</v>
      </c>
      <c r="E1038" s="64" t="s">
        <v>81</v>
      </c>
      <c r="F1038" s="64" t="s">
        <v>110</v>
      </c>
      <c r="G1038" s="64" t="s">
        <v>98</v>
      </c>
      <c r="H1038" s="65" t="str">
        <f>VLOOKUP(Tabla6[[#This Row],[DIRECCIÓN]],DIRECCIÓN[#All],2,0)</f>
        <v>OPERACIONES</v>
      </c>
      <c r="I1038" s="66" t="s">
        <v>93</v>
      </c>
      <c r="J1038" s="67">
        <v>1</v>
      </c>
      <c r="K1038" s="68" t="str">
        <f>VLOOKUP(Tabla6[[#This Row],[DIRECCIÓN GENERAL / COORDINACIÓN / SUBDIRECCIÓN]],Tabla37[[#All],[Columna1]:[EOD]],2,0)</f>
        <v>266_0006</v>
      </c>
      <c r="L1038" s="69">
        <f>VLOOKUP(Tabla6[[#This Row],[OBJETIVOS PND]],Listas!$A$1:$C$3,3,0)</f>
        <v>55</v>
      </c>
      <c r="M1038" s="70">
        <f>VLOOKUP(Tabla6[[#This Row],[PG]],Listas2!$G$14:$K$16,5,0)</f>
        <v>0</v>
      </c>
      <c r="N1038" s="71">
        <v>2</v>
      </c>
      <c r="O1038" s="72">
        <v>1400</v>
      </c>
      <c r="P1038" s="73" t="str">
        <f>VLOOKUP(Tabla6[[#This Row],[GEO]],Listas!$A$48:$B$77,2,0)</f>
        <v>MORONA</v>
      </c>
      <c r="Q1038" s="70">
        <f>VLOOKUP(Tabla6[[#This Row],[PG]],Listas2!$G$14:$K$16,3,0)</f>
        <v>1</v>
      </c>
      <c r="R1038" s="73">
        <f>VLOOKUP(Tabla6[[#This Row],[PG]],Listas2!H140:'Listas2'!$G$14:$K$16,4,0)</f>
        <v>0</v>
      </c>
      <c r="S1038" s="73">
        <f>VLOOKUP(Tabla6[[#This Row],[PG]],Listas2!$G$14:$K$16,2,0)</f>
        <v>0</v>
      </c>
      <c r="T1038" s="66" t="s">
        <v>84</v>
      </c>
      <c r="U1038" s="74">
        <v>51</v>
      </c>
      <c r="V1038" s="66">
        <v>510203</v>
      </c>
      <c r="W1038" s="63" t="str">
        <f>VLOOKUP(Tabla6[[#This Row],[ÍTEM PRESUPUESTARIO]],Tabla2[#All],2,0)</f>
        <v>DÉCIMO TERCER SUELDO</v>
      </c>
      <c r="X1038" s="57">
        <v>30738</v>
      </c>
      <c r="Y1038" s="57">
        <f>30738+700+500-1456.53</f>
        <v>30481.47</v>
      </c>
      <c r="Z1038" s="58">
        <v>0</v>
      </c>
      <c r="AA1038" s="58">
        <v>0</v>
      </c>
      <c r="AB1038" s="58">
        <v>0</v>
      </c>
      <c r="AC1038" s="58">
        <v>0</v>
      </c>
      <c r="AD1038" s="58">
        <v>0</v>
      </c>
      <c r="AE1038" s="58">
        <v>0</v>
      </c>
      <c r="AF1038" s="58">
        <v>0</v>
      </c>
      <c r="AG1038" s="58">
        <v>0</v>
      </c>
      <c r="AH1038" s="58">
        <v>0</v>
      </c>
      <c r="AI1038" s="58">
        <v>0</v>
      </c>
      <c r="AJ1038" s="58">
        <v>0</v>
      </c>
      <c r="AK1038" s="58">
        <f>30738+700+500-1456.53</f>
        <v>30481.47</v>
      </c>
      <c r="AL1038" s="75">
        <f>+SUBTOTAL(9,Tabla6[[#This Row],[ENE]:[DIC]])</f>
        <v>30481.47</v>
      </c>
      <c r="AM1038" s="76" t="str">
        <f t="shared" si="29"/>
        <v>OK</v>
      </c>
      <c r="AN1038" s="60">
        <v>0</v>
      </c>
      <c r="AO1038" s="61">
        <f>+Tabla6[[#This Row],[PRESUPUESTO VIGENTE]]-Tabla6[[#This Row],[CERTIFICACIÓN PAPP]]</f>
        <v>30481.47</v>
      </c>
      <c r="AP1038" s="59">
        <v>0</v>
      </c>
    </row>
    <row r="1039" spans="1:42" ht="93" customHeight="1" x14ac:dyDescent="0.25">
      <c r="A1039" s="62" t="s">
        <v>88</v>
      </c>
      <c r="B1039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039" s="64" t="s">
        <v>89</v>
      </c>
      <c r="D1039" s="64" t="s">
        <v>80</v>
      </c>
      <c r="E1039" s="64" t="s">
        <v>81</v>
      </c>
      <c r="F1039" s="64" t="s">
        <v>110</v>
      </c>
      <c r="G1039" s="64" t="s">
        <v>98</v>
      </c>
      <c r="H1039" s="65" t="str">
        <f>VLOOKUP(Tabla6[[#This Row],[DIRECCIÓN]],DIRECCIÓN[#All],2,0)</f>
        <v>OPERACIONES</v>
      </c>
      <c r="I1039" s="66" t="s">
        <v>93</v>
      </c>
      <c r="J1039" s="67">
        <v>1</v>
      </c>
      <c r="K1039" s="68" t="str">
        <f>VLOOKUP(Tabla6[[#This Row],[DIRECCIÓN GENERAL / COORDINACIÓN / SUBDIRECCIÓN]],Tabla37[[#All],[Columna1]:[EOD]],2,0)</f>
        <v>266_0006</v>
      </c>
      <c r="L1039" s="69">
        <f>VLOOKUP(Tabla6[[#This Row],[OBJETIVOS PND]],Listas!$A$1:$C$3,3,0)</f>
        <v>55</v>
      </c>
      <c r="M1039" s="70">
        <f>VLOOKUP(Tabla6[[#This Row],[PG]],Listas2!$G$14:$K$16,5,0)</f>
        <v>0</v>
      </c>
      <c r="N1039" s="71">
        <v>2</v>
      </c>
      <c r="O1039" s="72">
        <v>1400</v>
      </c>
      <c r="P1039" s="73" t="str">
        <f>VLOOKUP(Tabla6[[#This Row],[GEO]],Listas!$A$48:$B$77,2,0)</f>
        <v>MORONA</v>
      </c>
      <c r="Q1039" s="70">
        <f>VLOOKUP(Tabla6[[#This Row],[PG]],Listas2!$G$14:$K$16,3,0)</f>
        <v>1</v>
      </c>
      <c r="R1039" s="73">
        <f>VLOOKUP(Tabla6[[#This Row],[PG]],Listas2!H141:'Listas2'!$G$14:$K$16,4,0)</f>
        <v>0</v>
      </c>
      <c r="S1039" s="73">
        <f>VLOOKUP(Tabla6[[#This Row],[PG]],Listas2!$G$14:$K$16,2,0)</f>
        <v>0</v>
      </c>
      <c r="T1039" s="66" t="s">
        <v>84</v>
      </c>
      <c r="U1039" s="74">
        <v>51</v>
      </c>
      <c r="V1039" s="66">
        <v>510204</v>
      </c>
      <c r="W1039" s="63" t="str">
        <f>VLOOKUP(Tabla6[[#This Row],[ÍTEM PRESUPUESTARIO]],Tabla2[#All],2,0)</f>
        <v>DÉCIMO CUARTO SUELDO</v>
      </c>
      <c r="X1039" s="57">
        <v>15300</v>
      </c>
      <c r="Y1039" s="57">
        <f>16200-950+100+225+200+150+400-181</f>
        <v>16144</v>
      </c>
      <c r="Z1039" s="58">
        <v>0</v>
      </c>
      <c r="AA1039" s="58">
        <v>0</v>
      </c>
      <c r="AB1039" s="58">
        <v>0</v>
      </c>
      <c r="AC1039" s="58">
        <v>0</v>
      </c>
      <c r="AD1039" s="58">
        <v>0</v>
      </c>
      <c r="AE1039" s="58">
        <v>0</v>
      </c>
      <c r="AF1039" s="58">
        <v>0</v>
      </c>
      <c r="AG1039" s="58">
        <f>15775+150+400-181</f>
        <v>16144</v>
      </c>
      <c r="AH1039" s="58">
        <v>0</v>
      </c>
      <c r="AI1039" s="58">
        <v>0</v>
      </c>
      <c r="AJ1039" s="58">
        <v>0</v>
      </c>
      <c r="AK1039" s="58">
        <v>0</v>
      </c>
      <c r="AL1039" s="75">
        <f>+SUBTOTAL(9,Tabla6[[#This Row],[ENE]:[DIC]])</f>
        <v>16144</v>
      </c>
      <c r="AM1039" s="76" t="str">
        <f t="shared" si="29"/>
        <v>OK</v>
      </c>
      <c r="AN1039" s="60">
        <v>0</v>
      </c>
      <c r="AO1039" s="61">
        <f>+Tabla6[[#This Row],[PRESUPUESTO VIGENTE]]-Tabla6[[#This Row],[CERTIFICACIÓN PAPP]]</f>
        <v>16144</v>
      </c>
      <c r="AP1039" s="59">
        <v>0</v>
      </c>
    </row>
    <row r="1040" spans="1:42" ht="93" customHeight="1" x14ac:dyDescent="0.25">
      <c r="A1040" s="62" t="s">
        <v>88</v>
      </c>
      <c r="B1040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040" s="64" t="s">
        <v>89</v>
      </c>
      <c r="D1040" s="64" t="s">
        <v>80</v>
      </c>
      <c r="E1040" s="64" t="s">
        <v>81</v>
      </c>
      <c r="F1040" s="64" t="s">
        <v>110</v>
      </c>
      <c r="G1040" s="64" t="s">
        <v>98</v>
      </c>
      <c r="H1040" s="65" t="str">
        <f>VLOOKUP(Tabla6[[#This Row],[DIRECCIÓN]],DIRECCIÓN[#All],2,0)</f>
        <v>OPERACIONES</v>
      </c>
      <c r="I1040" s="66" t="s">
        <v>93</v>
      </c>
      <c r="J1040" s="67">
        <v>1</v>
      </c>
      <c r="K1040" s="68" t="str">
        <f>VLOOKUP(Tabla6[[#This Row],[DIRECCIÓN GENERAL / COORDINACIÓN / SUBDIRECCIÓN]],Tabla37[[#All],[Columna1]:[EOD]],2,0)</f>
        <v>266_0006</v>
      </c>
      <c r="L1040" s="69">
        <f>VLOOKUP(Tabla6[[#This Row],[OBJETIVOS PND]],Listas!$A$1:$C$3,3,0)</f>
        <v>55</v>
      </c>
      <c r="M1040" s="70">
        <f>VLOOKUP(Tabla6[[#This Row],[PG]],Listas2!$G$14:$K$16,5,0)</f>
        <v>0</v>
      </c>
      <c r="N1040" s="71">
        <v>2</v>
      </c>
      <c r="O1040" s="72">
        <v>1400</v>
      </c>
      <c r="P1040" s="73" t="str">
        <f>VLOOKUP(Tabla6[[#This Row],[GEO]],Listas!$A$48:$B$77,2,0)</f>
        <v>MORONA</v>
      </c>
      <c r="Q1040" s="70">
        <f>VLOOKUP(Tabla6[[#This Row],[PG]],Listas2!$G$14:$K$16,3,0)</f>
        <v>1</v>
      </c>
      <c r="R1040" s="73">
        <f>VLOOKUP(Tabla6[[#This Row],[PG]],Listas2!H142:'Listas2'!$G$14:$K$16,4,0)</f>
        <v>0</v>
      </c>
      <c r="S1040" s="73">
        <f>VLOOKUP(Tabla6[[#This Row],[PG]],Listas2!$G$14:$K$16,2,0)</f>
        <v>0</v>
      </c>
      <c r="T1040" s="66" t="s">
        <v>84</v>
      </c>
      <c r="U1040" s="74">
        <v>51</v>
      </c>
      <c r="V1040" s="66">
        <v>510510</v>
      </c>
      <c r="W1040" s="63" t="str">
        <f>VLOOKUP(Tabla6[[#This Row],[ÍTEM PRESUPUESTARIO]],Tabla2[#All],2,0)</f>
        <v>SERVICIOS PERSONALES POR CONTRATO</v>
      </c>
      <c r="X1040" s="57">
        <v>20628</v>
      </c>
      <c r="Y1040" s="57">
        <f>20628-2234.93</f>
        <v>18393.07</v>
      </c>
      <c r="Z1040" s="58">
        <v>1719</v>
      </c>
      <c r="AA1040" s="58">
        <v>1719</v>
      </c>
      <c r="AB1040" s="58">
        <v>1719</v>
      </c>
      <c r="AC1040" s="58">
        <v>1719</v>
      </c>
      <c r="AD1040" s="58">
        <v>1719</v>
      </c>
      <c r="AE1040" s="58">
        <v>1719</v>
      </c>
      <c r="AF1040" s="58">
        <f>1719-372.48</f>
        <v>1346.52</v>
      </c>
      <c r="AG1040" s="58">
        <f>1719-372.49</f>
        <v>1346.51</v>
      </c>
      <c r="AH1040" s="58">
        <f>1719-372.49</f>
        <v>1346.51</v>
      </c>
      <c r="AI1040" s="58">
        <f>1719-372.49</f>
        <v>1346.51</v>
      </c>
      <c r="AJ1040" s="58">
        <f>1719-372.49</f>
        <v>1346.51</v>
      </c>
      <c r="AK1040" s="58">
        <f>1719-372.49</f>
        <v>1346.51</v>
      </c>
      <c r="AL1040" s="75">
        <f>+SUBTOTAL(9,Tabla6[[#This Row],[ENE]:[DIC]])</f>
        <v>18393.07</v>
      </c>
      <c r="AM1040" s="76" t="str">
        <f t="shared" ref="AM1040:AM1071" si="31">IF(AL1040=Y1040,"OK",Y1040-AL1040)</f>
        <v>OK</v>
      </c>
      <c r="AN1040" s="60">
        <v>0</v>
      </c>
      <c r="AO1040" s="61">
        <f>+Tabla6[[#This Row],[PRESUPUESTO VIGENTE]]-Tabla6[[#This Row],[CERTIFICACIÓN PAPP]]</f>
        <v>18393.07</v>
      </c>
      <c r="AP1040" s="59">
        <v>0</v>
      </c>
    </row>
    <row r="1041" spans="1:42" ht="93" customHeight="1" x14ac:dyDescent="0.25">
      <c r="A1041" s="62" t="s">
        <v>88</v>
      </c>
      <c r="B1041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041" s="64" t="s">
        <v>89</v>
      </c>
      <c r="D1041" s="64" t="s">
        <v>80</v>
      </c>
      <c r="E1041" s="64" t="s">
        <v>81</v>
      </c>
      <c r="F1041" s="64" t="s">
        <v>110</v>
      </c>
      <c r="G1041" s="64" t="s">
        <v>98</v>
      </c>
      <c r="H1041" s="65" t="str">
        <f>VLOOKUP(Tabla6[[#This Row],[DIRECCIÓN]],DIRECCIÓN[#All],2,0)</f>
        <v>OPERACIONES</v>
      </c>
      <c r="I1041" s="66" t="s">
        <v>93</v>
      </c>
      <c r="J1041" s="67">
        <v>1</v>
      </c>
      <c r="K1041" s="68" t="str">
        <f>VLOOKUP(Tabla6[[#This Row],[DIRECCIÓN GENERAL / COORDINACIÓN / SUBDIRECCIÓN]],Tabla37[[#All],[Columna1]:[EOD]],2,0)</f>
        <v>266_0006</v>
      </c>
      <c r="L1041" s="69">
        <f>VLOOKUP(Tabla6[[#This Row],[OBJETIVOS PND]],Listas!$A$1:$C$3,3,0)</f>
        <v>55</v>
      </c>
      <c r="M1041" s="70">
        <f>VLOOKUP(Tabla6[[#This Row],[PG]],Listas2!$G$14:$K$16,5,0)</f>
        <v>0</v>
      </c>
      <c r="N1041" s="71">
        <v>2</v>
      </c>
      <c r="O1041" s="72">
        <v>1400</v>
      </c>
      <c r="P1041" s="73" t="str">
        <f>VLOOKUP(Tabla6[[#This Row],[GEO]],Listas!$A$48:$B$77,2,0)</f>
        <v>MORONA</v>
      </c>
      <c r="Q1041" s="70">
        <f>VLOOKUP(Tabla6[[#This Row],[PG]],Listas2!$G$14:$K$16,3,0)</f>
        <v>1</v>
      </c>
      <c r="R1041" s="73">
        <f>VLOOKUP(Tabla6[[#This Row],[PG]],Listas2!H143:'Listas2'!$G$14:$K$16,4,0)</f>
        <v>0</v>
      </c>
      <c r="S1041" s="73">
        <f>VLOOKUP(Tabla6[[#This Row],[PG]],Listas2!$G$14:$K$16,2,0)</f>
        <v>0</v>
      </c>
      <c r="T1041" s="66" t="s">
        <v>84</v>
      </c>
      <c r="U1041" s="74">
        <v>51</v>
      </c>
      <c r="V1041" s="66">
        <v>510601</v>
      </c>
      <c r="W1041" s="63" t="str">
        <f>VLOOKUP(Tabla6[[#This Row],[ÍTEM PRESUPUESTARIO]],Tabla2[#All],2,0)</f>
        <v>APORTE PATRONAL</v>
      </c>
      <c r="X1041" s="57">
        <v>35595</v>
      </c>
      <c r="Y1041" s="57">
        <f>35595-355.71</f>
        <v>35239.29</v>
      </c>
      <c r="Z1041" s="58">
        <v>2966</v>
      </c>
      <c r="AA1041" s="58">
        <v>2966</v>
      </c>
      <c r="AB1041" s="58">
        <v>2966</v>
      </c>
      <c r="AC1041" s="58">
        <v>2966</v>
      </c>
      <c r="AD1041" s="58">
        <v>2966</v>
      </c>
      <c r="AE1041" s="58">
        <v>2966</v>
      </c>
      <c r="AF1041" s="58">
        <v>2966</v>
      </c>
      <c r="AG1041" s="58">
        <v>2966</v>
      </c>
      <c r="AH1041" s="58">
        <v>2966</v>
      </c>
      <c r="AI1041" s="58">
        <v>2967</v>
      </c>
      <c r="AJ1041" s="58">
        <v>2967</v>
      </c>
      <c r="AK1041" s="58">
        <f>2967-355.71</f>
        <v>2611.29</v>
      </c>
      <c r="AL1041" s="75">
        <f>+SUBTOTAL(9,Tabla6[[#This Row],[ENE]:[DIC]])</f>
        <v>35239.29</v>
      </c>
      <c r="AM1041" s="76" t="str">
        <f t="shared" si="31"/>
        <v>OK</v>
      </c>
      <c r="AN1041" s="60">
        <v>0</v>
      </c>
      <c r="AO1041" s="61">
        <f>+Tabla6[[#This Row],[PRESUPUESTO VIGENTE]]-Tabla6[[#This Row],[CERTIFICACIÓN PAPP]]</f>
        <v>35239.29</v>
      </c>
      <c r="AP1041" s="59">
        <v>0</v>
      </c>
    </row>
    <row r="1042" spans="1:42" ht="93" customHeight="1" x14ac:dyDescent="0.25">
      <c r="A1042" s="62" t="s">
        <v>88</v>
      </c>
      <c r="B1042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042" s="64" t="s">
        <v>89</v>
      </c>
      <c r="D1042" s="64" t="s">
        <v>80</v>
      </c>
      <c r="E1042" s="64" t="s">
        <v>81</v>
      </c>
      <c r="F1042" s="64" t="s">
        <v>110</v>
      </c>
      <c r="G1042" s="64" t="s">
        <v>98</v>
      </c>
      <c r="H1042" s="65" t="str">
        <f>VLOOKUP(Tabla6[[#This Row],[DIRECCIÓN]],DIRECCIÓN[#All],2,0)</f>
        <v>OPERACIONES</v>
      </c>
      <c r="I1042" s="66" t="s">
        <v>93</v>
      </c>
      <c r="J1042" s="67">
        <v>1</v>
      </c>
      <c r="K1042" s="68" t="str">
        <f>VLOOKUP(Tabla6[[#This Row],[DIRECCIÓN GENERAL / COORDINACIÓN / SUBDIRECCIÓN]],Tabla37[[#All],[Columna1]:[EOD]],2,0)</f>
        <v>266_0006</v>
      </c>
      <c r="L1042" s="69">
        <f>VLOOKUP(Tabla6[[#This Row],[OBJETIVOS PND]],Listas!$A$1:$C$3,3,0)</f>
        <v>55</v>
      </c>
      <c r="M1042" s="70">
        <f>VLOOKUP(Tabla6[[#This Row],[PG]],Listas2!$G$14:$K$16,5,0)</f>
        <v>0</v>
      </c>
      <c r="N1042" s="71">
        <v>2</v>
      </c>
      <c r="O1042" s="72">
        <v>1400</v>
      </c>
      <c r="P1042" s="73" t="str">
        <f>VLOOKUP(Tabla6[[#This Row],[GEO]],Listas!$A$48:$B$77,2,0)</f>
        <v>MORONA</v>
      </c>
      <c r="Q1042" s="70">
        <f>VLOOKUP(Tabla6[[#This Row],[PG]],Listas2!$G$14:$K$16,3,0)</f>
        <v>1</v>
      </c>
      <c r="R1042" s="73">
        <f>VLOOKUP(Tabla6[[#This Row],[PG]],Listas2!H144:'Listas2'!$G$14:$K$16,4,0)</f>
        <v>0</v>
      </c>
      <c r="S1042" s="73">
        <f>VLOOKUP(Tabla6[[#This Row],[PG]],Listas2!$G$14:$K$16,2,0)</f>
        <v>0</v>
      </c>
      <c r="T1042" s="66" t="s">
        <v>84</v>
      </c>
      <c r="U1042" s="74">
        <v>51</v>
      </c>
      <c r="V1042" s="66">
        <v>510602</v>
      </c>
      <c r="W1042" s="63" t="str">
        <f>VLOOKUP(Tabla6[[#This Row],[ÍTEM PRESUPUESTARIO]],Tabla2[#All],2,0)</f>
        <v>FONDO DE RESERVA</v>
      </c>
      <c r="X1042" s="57">
        <v>30421</v>
      </c>
      <c r="Y1042" s="57">
        <f>30377.21-745-1000-107.47</f>
        <v>28524.739999999998</v>
      </c>
      <c r="Z1042" s="58">
        <v>2531.4299999999998</v>
      </c>
      <c r="AA1042" s="58">
        <v>2531.4299999999998</v>
      </c>
      <c r="AB1042" s="58">
        <v>2531.4299999999998</v>
      </c>
      <c r="AC1042" s="58">
        <f>2531.43-82.77</f>
        <v>2448.66</v>
      </c>
      <c r="AD1042" s="58">
        <f>2531.43-82.77</f>
        <v>2448.66</v>
      </c>
      <c r="AE1042" s="58">
        <f>2531.43-82.77</f>
        <v>2448.66</v>
      </c>
      <c r="AF1042" s="58">
        <f>2531.43-82.77</f>
        <v>2448.66</v>
      </c>
      <c r="AG1042" s="58">
        <f>2531.44-82.77</f>
        <v>2448.67</v>
      </c>
      <c r="AH1042" s="58">
        <f>2531.44-82.77</f>
        <v>2448.67</v>
      </c>
      <c r="AI1042" s="58">
        <f>2531.44-82.77-300</f>
        <v>2148.67</v>
      </c>
      <c r="AJ1042" s="58">
        <f>2531.44-82.77-350</f>
        <v>2098.67</v>
      </c>
      <c r="AK1042" s="58">
        <f>2531.44-82.84-350-107.47</f>
        <v>1991.1299999999999</v>
      </c>
      <c r="AL1042" s="75">
        <f>+SUBTOTAL(9,Tabla6[[#This Row],[ENE]:[DIC]])</f>
        <v>28524.739999999994</v>
      </c>
      <c r="AM1042" s="76" t="str">
        <f t="shared" si="31"/>
        <v>OK</v>
      </c>
      <c r="AN1042" s="60">
        <v>0</v>
      </c>
      <c r="AO1042" s="61">
        <f>+Tabla6[[#This Row],[PRESUPUESTO VIGENTE]]-Tabla6[[#This Row],[CERTIFICACIÓN PAPP]]</f>
        <v>28524.739999999998</v>
      </c>
      <c r="AP1042" s="59">
        <v>0</v>
      </c>
    </row>
    <row r="1043" spans="1:42" ht="93" customHeight="1" x14ac:dyDescent="0.25">
      <c r="A1043" s="62" t="s">
        <v>88</v>
      </c>
      <c r="B1043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043" s="64" t="s">
        <v>89</v>
      </c>
      <c r="D1043" s="64" t="s">
        <v>80</v>
      </c>
      <c r="E1043" s="64" t="s">
        <v>81</v>
      </c>
      <c r="F1043" s="64" t="s">
        <v>110</v>
      </c>
      <c r="G1043" s="64" t="s">
        <v>98</v>
      </c>
      <c r="H1043" s="65" t="str">
        <f>VLOOKUP(Tabla6[[#This Row],[DIRECCIÓN]],DIRECCIÓN[#All],2,0)</f>
        <v>OPERACIONES</v>
      </c>
      <c r="I1043" s="66" t="s">
        <v>93</v>
      </c>
      <c r="J1043" s="67">
        <v>1</v>
      </c>
      <c r="K1043" s="68" t="str">
        <f>VLOOKUP(Tabla6[[#This Row],[DIRECCIÓN GENERAL / COORDINACIÓN / SUBDIRECCIÓN]],Tabla37[[#All],[Columna1]:[EOD]],2,0)</f>
        <v>266_0006</v>
      </c>
      <c r="L1043" s="69">
        <f>VLOOKUP(Tabla6[[#This Row],[OBJETIVOS PND]],Listas!$A$1:$C$3,3,0)</f>
        <v>55</v>
      </c>
      <c r="M1043" s="70">
        <f>VLOOKUP(Tabla6[[#This Row],[PG]],Listas2!$G$14:$K$16,5,0)</f>
        <v>0</v>
      </c>
      <c r="N1043" s="71">
        <v>2</v>
      </c>
      <c r="O1043" s="72">
        <v>1400</v>
      </c>
      <c r="P1043" s="73" t="str">
        <f>VLOOKUP(Tabla6[[#This Row],[GEO]],Listas!$A$48:$B$77,2,0)</f>
        <v>MORONA</v>
      </c>
      <c r="Q1043" s="70">
        <f>VLOOKUP(Tabla6[[#This Row],[PG]],Listas2!$G$14:$K$16,3,0)</f>
        <v>1</v>
      </c>
      <c r="R1043" s="73">
        <f>VLOOKUP(Tabla6[[#This Row],[PG]],Listas2!H145:'Listas2'!$G$14:$K$16,4,0)</f>
        <v>0</v>
      </c>
      <c r="S1043" s="73">
        <f>VLOOKUP(Tabla6[[#This Row],[PG]],Listas2!$G$14:$K$16,2,0)</f>
        <v>0</v>
      </c>
      <c r="T1043" s="66" t="s">
        <v>84</v>
      </c>
      <c r="U1043" s="74">
        <v>51</v>
      </c>
      <c r="V1043" s="66">
        <v>510707</v>
      </c>
      <c r="W1043" s="63" t="str">
        <f>VLOOKUP(Tabla6[[#This Row],[ÍTEM PRESUPUESTARIO]],Tabla2[#All],2,0)</f>
        <v>COMPENSACIÓN POR VACACIONES NO GOZADAS POR CESACIÓN DE FUNCIONES</v>
      </c>
      <c r="X1043" s="57">
        <v>0</v>
      </c>
      <c r="Y1043" s="57">
        <f>300+300-456.52</f>
        <v>143.48000000000002</v>
      </c>
      <c r="Z1043" s="58">
        <v>0</v>
      </c>
      <c r="AA1043" s="58">
        <v>0</v>
      </c>
      <c r="AB1043" s="58">
        <v>0</v>
      </c>
      <c r="AC1043" s="58">
        <v>0</v>
      </c>
      <c r="AD1043" s="58">
        <v>0</v>
      </c>
      <c r="AE1043" s="58">
        <v>0</v>
      </c>
      <c r="AF1043" s="58">
        <v>0</v>
      </c>
      <c r="AG1043" s="58">
        <f>300+300-456.52</f>
        <v>143.48000000000002</v>
      </c>
      <c r="AH1043" s="58">
        <v>0</v>
      </c>
      <c r="AI1043" s="58">
        <v>0</v>
      </c>
      <c r="AJ1043" s="58">
        <v>0</v>
      </c>
      <c r="AK1043" s="58">
        <v>0</v>
      </c>
      <c r="AL1043" s="75">
        <f>+SUBTOTAL(9,Tabla6[[#This Row],[ENE]:[DIC]])</f>
        <v>143.48000000000002</v>
      </c>
      <c r="AM1043" s="76" t="str">
        <f t="shared" si="31"/>
        <v>OK</v>
      </c>
      <c r="AN1043" s="60">
        <v>0</v>
      </c>
      <c r="AO1043" s="61">
        <f>+Tabla6[[#This Row],[PRESUPUESTO VIGENTE]]-Tabla6[[#This Row],[CERTIFICACIÓN PAPP]]</f>
        <v>143.48000000000002</v>
      </c>
      <c r="AP1043" s="59">
        <v>0</v>
      </c>
    </row>
    <row r="1044" spans="1:42" ht="93" customHeight="1" x14ac:dyDescent="0.25">
      <c r="A1044" s="62" t="s">
        <v>88</v>
      </c>
      <c r="B1044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044" s="64" t="s">
        <v>89</v>
      </c>
      <c r="D1044" s="64" t="s">
        <v>80</v>
      </c>
      <c r="E1044" s="64" t="s">
        <v>81</v>
      </c>
      <c r="F1044" s="64" t="s">
        <v>110</v>
      </c>
      <c r="G1044" s="64" t="s">
        <v>90</v>
      </c>
      <c r="H1044" s="65" t="str">
        <f>VLOOKUP(Tabla6[[#This Row],[DIRECCIÓN]],DIRECCIÓN[#All],2,0)</f>
        <v>TECNOLOGÍA</v>
      </c>
      <c r="I1044" s="66" t="s">
        <v>93</v>
      </c>
      <c r="J1044" s="67">
        <v>1</v>
      </c>
      <c r="K1044" s="68" t="str">
        <f>VLOOKUP(Tabla6[[#This Row],[DIRECCIÓN GENERAL / COORDINACIÓN / SUBDIRECCIÓN]],Tabla37[[#All],[Columna1]:[EOD]],2,0)</f>
        <v>266_0006</v>
      </c>
      <c r="L1044" s="69">
        <f>VLOOKUP(Tabla6[[#This Row],[OBJETIVOS PND]],Listas!$A$1:$C$3,3,0)</f>
        <v>55</v>
      </c>
      <c r="M1044" s="70">
        <f>VLOOKUP(Tabla6[[#This Row],[PG]],Listas2!$G$14:$K$16,5,0)</f>
        <v>0</v>
      </c>
      <c r="N1044" s="71">
        <v>3</v>
      </c>
      <c r="O1044" s="72">
        <v>1400</v>
      </c>
      <c r="P1044" s="73" t="str">
        <f>VLOOKUP(Tabla6[[#This Row],[GEO]],Listas!$A$48:$B$77,2,0)</f>
        <v>MORONA</v>
      </c>
      <c r="Q1044" s="70">
        <f>VLOOKUP(Tabla6[[#This Row],[PG]],Listas2!$G$14:$K$16,3,0)</f>
        <v>1</v>
      </c>
      <c r="R1044" s="73">
        <f>VLOOKUP(Tabla6[[#This Row],[PG]],Listas2!H146:'Listas2'!$G$14:$K$16,4,0)</f>
        <v>0</v>
      </c>
      <c r="S1044" s="73">
        <f>VLOOKUP(Tabla6[[#This Row],[PG]],Listas2!$G$14:$K$16,2,0)</f>
        <v>0</v>
      </c>
      <c r="T1044" s="66" t="s">
        <v>84</v>
      </c>
      <c r="U1044" s="74">
        <v>51</v>
      </c>
      <c r="V1044" s="66">
        <v>510105</v>
      </c>
      <c r="W1044" s="63" t="str">
        <f>VLOOKUP(Tabla6[[#This Row],[ÍTEM PRESUPUESTARIO]],Tabla2[#All],2,0)</f>
        <v>REMUNERACIONES UNIFICADAS</v>
      </c>
      <c r="X1044" s="57">
        <v>49200</v>
      </c>
      <c r="Y1044" s="57">
        <v>49200</v>
      </c>
      <c r="Z1044" s="58">
        <v>4100</v>
      </c>
      <c r="AA1044" s="58">
        <v>4100</v>
      </c>
      <c r="AB1044" s="58">
        <v>4100</v>
      </c>
      <c r="AC1044" s="58">
        <v>4100</v>
      </c>
      <c r="AD1044" s="58">
        <v>4100</v>
      </c>
      <c r="AE1044" s="58">
        <v>4100</v>
      </c>
      <c r="AF1044" s="58">
        <v>4100</v>
      </c>
      <c r="AG1044" s="58">
        <v>4100</v>
      </c>
      <c r="AH1044" s="58">
        <v>4100</v>
      </c>
      <c r="AI1044" s="58">
        <v>4100</v>
      </c>
      <c r="AJ1044" s="58">
        <v>4100</v>
      </c>
      <c r="AK1044" s="58">
        <v>4100</v>
      </c>
      <c r="AL1044" s="75">
        <f>+SUBTOTAL(9,Tabla6[[#This Row],[ENE]:[DIC]])</f>
        <v>49200</v>
      </c>
      <c r="AM1044" s="76" t="str">
        <f t="shared" si="31"/>
        <v>OK</v>
      </c>
      <c r="AN1044" s="60">
        <v>0</v>
      </c>
      <c r="AO1044" s="61">
        <f>+Tabla6[[#This Row],[PRESUPUESTO VIGENTE]]-Tabla6[[#This Row],[CERTIFICACIÓN PAPP]]</f>
        <v>49200</v>
      </c>
      <c r="AP1044" s="59">
        <v>0</v>
      </c>
    </row>
    <row r="1045" spans="1:42" ht="93" customHeight="1" x14ac:dyDescent="0.25">
      <c r="A1045" s="62" t="s">
        <v>88</v>
      </c>
      <c r="B1045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045" s="64" t="s">
        <v>89</v>
      </c>
      <c r="D1045" s="64" t="s">
        <v>80</v>
      </c>
      <c r="E1045" s="64" t="s">
        <v>81</v>
      </c>
      <c r="F1045" s="64" t="s">
        <v>110</v>
      </c>
      <c r="G1045" s="64" t="s">
        <v>90</v>
      </c>
      <c r="H1045" s="65" t="str">
        <f>VLOOKUP(Tabla6[[#This Row],[DIRECCIÓN]],DIRECCIÓN[#All],2,0)</f>
        <v>TECNOLOGÍA</v>
      </c>
      <c r="I1045" s="66" t="s">
        <v>93</v>
      </c>
      <c r="J1045" s="67">
        <v>1</v>
      </c>
      <c r="K1045" s="68" t="str">
        <f>VLOOKUP(Tabla6[[#This Row],[DIRECCIÓN GENERAL / COORDINACIÓN / SUBDIRECCIÓN]],Tabla37[[#All],[Columna1]:[EOD]],2,0)</f>
        <v>266_0006</v>
      </c>
      <c r="L1045" s="69">
        <f>VLOOKUP(Tabla6[[#This Row],[OBJETIVOS PND]],Listas!$A$1:$C$3,3,0)</f>
        <v>55</v>
      </c>
      <c r="M1045" s="70">
        <f>VLOOKUP(Tabla6[[#This Row],[PG]],Listas2!$G$14:$K$16,5,0)</f>
        <v>0</v>
      </c>
      <c r="N1045" s="71">
        <v>3</v>
      </c>
      <c r="O1045" s="72">
        <v>1400</v>
      </c>
      <c r="P1045" s="73" t="str">
        <f>VLOOKUP(Tabla6[[#This Row],[GEO]],Listas!$A$48:$B$77,2,0)</f>
        <v>MORONA</v>
      </c>
      <c r="Q1045" s="70">
        <f>VLOOKUP(Tabla6[[#This Row],[PG]],Listas2!$G$14:$K$16,3,0)</f>
        <v>1</v>
      </c>
      <c r="R1045" s="73">
        <f>VLOOKUP(Tabla6[[#This Row],[PG]],Listas2!H147:'Listas2'!$G$14:$K$16,4,0)</f>
        <v>0</v>
      </c>
      <c r="S1045" s="73">
        <f>VLOOKUP(Tabla6[[#This Row],[PG]],Listas2!$G$14:$K$16,2,0)</f>
        <v>0</v>
      </c>
      <c r="T1045" s="66" t="s">
        <v>84</v>
      </c>
      <c r="U1045" s="74">
        <v>51</v>
      </c>
      <c r="V1045" s="66">
        <v>510203</v>
      </c>
      <c r="W1045" s="63" t="str">
        <f>VLOOKUP(Tabla6[[#This Row],[ÍTEM PRESUPUESTARIO]],Tabla2[#All],2,0)</f>
        <v>DÉCIMO TERCER SUELDO</v>
      </c>
      <c r="X1045" s="57">
        <v>4100</v>
      </c>
      <c r="Y1045" s="57">
        <f>4100+50-49.99</f>
        <v>4100.01</v>
      </c>
      <c r="Z1045" s="58">
        <v>0</v>
      </c>
      <c r="AA1045" s="58">
        <v>0</v>
      </c>
      <c r="AB1045" s="58">
        <v>0</v>
      </c>
      <c r="AC1045" s="58">
        <v>0</v>
      </c>
      <c r="AD1045" s="58">
        <v>0</v>
      </c>
      <c r="AE1045" s="58">
        <v>0</v>
      </c>
      <c r="AF1045" s="58">
        <v>0</v>
      </c>
      <c r="AG1045" s="58">
        <v>0</v>
      </c>
      <c r="AH1045" s="58">
        <v>0</v>
      </c>
      <c r="AI1045" s="58">
        <v>0</v>
      </c>
      <c r="AJ1045" s="58">
        <v>0</v>
      </c>
      <c r="AK1045" s="58">
        <f>4100+50-49.99</f>
        <v>4100.01</v>
      </c>
      <c r="AL1045" s="75">
        <f>+SUBTOTAL(9,Tabla6[[#This Row],[ENE]:[DIC]])</f>
        <v>4100.01</v>
      </c>
      <c r="AM1045" s="76" t="str">
        <f t="shared" si="31"/>
        <v>OK</v>
      </c>
      <c r="AN1045" s="60">
        <v>0</v>
      </c>
      <c r="AO1045" s="61">
        <f>+Tabla6[[#This Row],[PRESUPUESTO VIGENTE]]-Tabla6[[#This Row],[CERTIFICACIÓN PAPP]]</f>
        <v>4100.01</v>
      </c>
      <c r="AP1045" s="59">
        <v>0</v>
      </c>
    </row>
    <row r="1046" spans="1:42" ht="93" customHeight="1" x14ac:dyDescent="0.25">
      <c r="A1046" s="62" t="s">
        <v>88</v>
      </c>
      <c r="B1046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046" s="64" t="s">
        <v>89</v>
      </c>
      <c r="D1046" s="64" t="s">
        <v>80</v>
      </c>
      <c r="E1046" s="64" t="s">
        <v>81</v>
      </c>
      <c r="F1046" s="64" t="s">
        <v>110</v>
      </c>
      <c r="G1046" s="64" t="s">
        <v>90</v>
      </c>
      <c r="H1046" s="65" t="str">
        <f>VLOOKUP(Tabla6[[#This Row],[DIRECCIÓN]],DIRECCIÓN[#All],2,0)</f>
        <v>TECNOLOGÍA</v>
      </c>
      <c r="I1046" s="66" t="s">
        <v>93</v>
      </c>
      <c r="J1046" s="67">
        <v>1</v>
      </c>
      <c r="K1046" s="68" t="str">
        <f>VLOOKUP(Tabla6[[#This Row],[DIRECCIÓN GENERAL / COORDINACIÓN / SUBDIRECCIÓN]],Tabla37[[#All],[Columna1]:[EOD]],2,0)</f>
        <v>266_0006</v>
      </c>
      <c r="L1046" s="69">
        <f>VLOOKUP(Tabla6[[#This Row],[OBJETIVOS PND]],Listas!$A$1:$C$3,3,0)</f>
        <v>55</v>
      </c>
      <c r="M1046" s="70">
        <f>VLOOKUP(Tabla6[[#This Row],[PG]],Listas2!$G$14:$K$16,5,0)</f>
        <v>0</v>
      </c>
      <c r="N1046" s="71">
        <v>3</v>
      </c>
      <c r="O1046" s="72">
        <v>1400</v>
      </c>
      <c r="P1046" s="73" t="str">
        <f>VLOOKUP(Tabla6[[#This Row],[GEO]],Listas!$A$48:$B$77,2,0)</f>
        <v>MORONA</v>
      </c>
      <c r="Q1046" s="70">
        <f>VLOOKUP(Tabla6[[#This Row],[PG]],Listas2!$G$14:$K$16,3,0)</f>
        <v>1</v>
      </c>
      <c r="R1046" s="73">
        <f>VLOOKUP(Tabla6[[#This Row],[PG]],Listas2!H148:'Listas2'!$G$14:$K$16,4,0)</f>
        <v>0</v>
      </c>
      <c r="S1046" s="73">
        <f>VLOOKUP(Tabla6[[#This Row],[PG]],Listas2!$G$14:$K$16,2,0)</f>
        <v>0</v>
      </c>
      <c r="T1046" s="66" t="s">
        <v>84</v>
      </c>
      <c r="U1046" s="74">
        <v>51</v>
      </c>
      <c r="V1046" s="66">
        <v>510204</v>
      </c>
      <c r="W1046" s="63" t="str">
        <f>VLOOKUP(Tabla6[[#This Row],[ÍTEM PRESUPUESTARIO]],Tabla2[#All],2,0)</f>
        <v>DÉCIMO CUARTO SUELDO</v>
      </c>
      <c r="X1046" s="57">
        <v>1275</v>
      </c>
      <c r="Y1046" s="57">
        <f>1350-100-302.1</f>
        <v>947.9</v>
      </c>
      <c r="Z1046" s="58">
        <v>0</v>
      </c>
      <c r="AA1046" s="58">
        <v>0</v>
      </c>
      <c r="AB1046" s="58">
        <v>0</v>
      </c>
      <c r="AC1046" s="58">
        <v>0</v>
      </c>
      <c r="AD1046" s="58">
        <v>0</v>
      </c>
      <c r="AE1046" s="58">
        <v>0</v>
      </c>
      <c r="AF1046" s="58">
        <v>0</v>
      </c>
      <c r="AG1046" s="58">
        <f>1350-100-302.1</f>
        <v>947.9</v>
      </c>
      <c r="AH1046" s="58">
        <v>0</v>
      </c>
      <c r="AI1046" s="58">
        <v>0</v>
      </c>
      <c r="AJ1046" s="58">
        <v>0</v>
      </c>
      <c r="AK1046" s="58">
        <v>0</v>
      </c>
      <c r="AL1046" s="75">
        <f>+SUBTOTAL(9,Tabla6[[#This Row],[ENE]:[DIC]])</f>
        <v>947.9</v>
      </c>
      <c r="AM1046" s="76" t="str">
        <f t="shared" si="31"/>
        <v>OK</v>
      </c>
      <c r="AN1046" s="60">
        <v>0</v>
      </c>
      <c r="AO1046" s="61">
        <f>+Tabla6[[#This Row],[PRESUPUESTO VIGENTE]]-Tabla6[[#This Row],[CERTIFICACIÓN PAPP]]</f>
        <v>947.9</v>
      </c>
      <c r="AP1046" s="59">
        <v>0</v>
      </c>
    </row>
    <row r="1047" spans="1:42" ht="93" customHeight="1" x14ac:dyDescent="0.25">
      <c r="A1047" s="62" t="s">
        <v>88</v>
      </c>
      <c r="B1047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047" s="64" t="s">
        <v>89</v>
      </c>
      <c r="D1047" s="64" t="s">
        <v>80</v>
      </c>
      <c r="E1047" s="64" t="s">
        <v>81</v>
      </c>
      <c r="F1047" s="64" t="s">
        <v>110</v>
      </c>
      <c r="G1047" s="64" t="s">
        <v>90</v>
      </c>
      <c r="H1047" s="65" t="str">
        <f>VLOOKUP(Tabla6[[#This Row],[DIRECCIÓN]],DIRECCIÓN[#All],2,0)</f>
        <v>TECNOLOGÍA</v>
      </c>
      <c r="I1047" s="66" t="s">
        <v>93</v>
      </c>
      <c r="J1047" s="67">
        <v>1</v>
      </c>
      <c r="K1047" s="68" t="str">
        <f>VLOOKUP(Tabla6[[#This Row],[DIRECCIÓN GENERAL / COORDINACIÓN / SUBDIRECCIÓN]],Tabla37[[#All],[Columna1]:[EOD]],2,0)</f>
        <v>266_0006</v>
      </c>
      <c r="L1047" s="69">
        <f>VLOOKUP(Tabla6[[#This Row],[OBJETIVOS PND]],Listas!$A$1:$C$3,3,0)</f>
        <v>55</v>
      </c>
      <c r="M1047" s="70">
        <f>VLOOKUP(Tabla6[[#This Row],[PG]],Listas2!$G$14:$K$16,5,0)</f>
        <v>0</v>
      </c>
      <c r="N1047" s="71">
        <v>3</v>
      </c>
      <c r="O1047" s="72">
        <v>1400</v>
      </c>
      <c r="P1047" s="73" t="str">
        <f>VLOOKUP(Tabla6[[#This Row],[GEO]],Listas!$A$48:$B$77,2,0)</f>
        <v>MORONA</v>
      </c>
      <c r="Q1047" s="70">
        <f>VLOOKUP(Tabla6[[#This Row],[PG]],Listas2!$G$14:$K$16,3,0)</f>
        <v>1</v>
      </c>
      <c r="R1047" s="73">
        <f>VLOOKUP(Tabla6[[#This Row],[PG]],Listas2!H149:'Listas2'!$G$14:$K$16,4,0)</f>
        <v>0</v>
      </c>
      <c r="S1047" s="73">
        <f>VLOOKUP(Tabla6[[#This Row],[PG]],Listas2!$G$14:$K$16,2,0)</f>
        <v>0</v>
      </c>
      <c r="T1047" s="66" t="s">
        <v>84</v>
      </c>
      <c r="U1047" s="74">
        <v>51</v>
      </c>
      <c r="V1047" s="66">
        <v>510512</v>
      </c>
      <c r="W1047" s="63" t="str">
        <f>VLOOKUP(Tabla6[[#This Row],[ÍTEM PRESUPUESTARIO]],Tabla2[#All],2,0)</f>
        <v xml:space="preserve">SUBROGACIÓN </v>
      </c>
      <c r="X1047" s="57">
        <v>0</v>
      </c>
      <c r="Y1047" s="57">
        <f>715.07+40-132.27</f>
        <v>622.80000000000007</v>
      </c>
      <c r="Z1047" s="58">
        <v>0</v>
      </c>
      <c r="AA1047" s="58">
        <v>0</v>
      </c>
      <c r="AB1047" s="58">
        <v>0</v>
      </c>
      <c r="AC1047" s="58">
        <v>0</v>
      </c>
      <c r="AD1047" s="58">
        <v>0</v>
      </c>
      <c r="AE1047" s="58">
        <v>0</v>
      </c>
      <c r="AF1047" s="58">
        <v>0</v>
      </c>
      <c r="AG1047" s="58">
        <v>0</v>
      </c>
      <c r="AH1047" s="58">
        <v>0</v>
      </c>
      <c r="AI1047" s="58">
        <v>0</v>
      </c>
      <c r="AJ1047" s="58">
        <f>715.07+40-132.27</f>
        <v>622.80000000000007</v>
      </c>
      <c r="AK1047" s="58">
        <v>0</v>
      </c>
      <c r="AL1047" s="75">
        <f>+SUBTOTAL(9,Tabla6[[#This Row],[ENE]:[DIC]])</f>
        <v>622.80000000000007</v>
      </c>
      <c r="AM1047" s="76" t="str">
        <f t="shared" si="31"/>
        <v>OK</v>
      </c>
      <c r="AN1047" s="60">
        <v>0</v>
      </c>
      <c r="AO1047" s="61">
        <f>+Tabla6[[#This Row],[PRESUPUESTO VIGENTE]]-Tabla6[[#This Row],[CERTIFICACIÓN PAPP]]</f>
        <v>622.80000000000007</v>
      </c>
      <c r="AP1047" s="59">
        <v>0</v>
      </c>
    </row>
    <row r="1048" spans="1:42" ht="93" customHeight="1" x14ac:dyDescent="0.25">
      <c r="A1048" s="62" t="s">
        <v>88</v>
      </c>
      <c r="B1048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048" s="64" t="s">
        <v>89</v>
      </c>
      <c r="D1048" s="64" t="s">
        <v>80</v>
      </c>
      <c r="E1048" s="64" t="s">
        <v>81</v>
      </c>
      <c r="F1048" s="64" t="s">
        <v>110</v>
      </c>
      <c r="G1048" s="64" t="s">
        <v>90</v>
      </c>
      <c r="H1048" s="65" t="str">
        <f>VLOOKUP(Tabla6[[#This Row],[DIRECCIÓN]],DIRECCIÓN[#All],2,0)</f>
        <v>TECNOLOGÍA</v>
      </c>
      <c r="I1048" s="66" t="s">
        <v>93</v>
      </c>
      <c r="J1048" s="67">
        <v>1</v>
      </c>
      <c r="K1048" s="68" t="str">
        <f>VLOOKUP(Tabla6[[#This Row],[DIRECCIÓN GENERAL / COORDINACIÓN / SUBDIRECCIÓN]],Tabla37[[#All],[Columna1]:[EOD]],2,0)</f>
        <v>266_0006</v>
      </c>
      <c r="L1048" s="69">
        <f>VLOOKUP(Tabla6[[#This Row],[OBJETIVOS PND]],Listas!$A$1:$C$3,3,0)</f>
        <v>55</v>
      </c>
      <c r="M1048" s="70">
        <f>VLOOKUP(Tabla6[[#This Row],[PG]],Listas2!$G$14:$K$16,5,0)</f>
        <v>0</v>
      </c>
      <c r="N1048" s="71">
        <v>3</v>
      </c>
      <c r="O1048" s="72">
        <v>1400</v>
      </c>
      <c r="P1048" s="73" t="str">
        <f>VLOOKUP(Tabla6[[#This Row],[GEO]],Listas!$A$48:$B$77,2,0)</f>
        <v>MORONA</v>
      </c>
      <c r="Q1048" s="70">
        <f>VLOOKUP(Tabla6[[#This Row],[PG]],Listas2!$G$14:$K$16,3,0)</f>
        <v>1</v>
      </c>
      <c r="R1048" s="73">
        <f>VLOOKUP(Tabla6[[#This Row],[PG]],Listas2!H150:'Listas2'!$G$14:$K$16,4,0)</f>
        <v>0</v>
      </c>
      <c r="S1048" s="73">
        <f>VLOOKUP(Tabla6[[#This Row],[PG]],Listas2!$G$14:$K$16,2,0)</f>
        <v>0</v>
      </c>
      <c r="T1048" s="66" t="s">
        <v>84</v>
      </c>
      <c r="U1048" s="74">
        <v>51</v>
      </c>
      <c r="V1048" s="66">
        <v>510601</v>
      </c>
      <c r="W1048" s="63" t="str">
        <f>VLOOKUP(Tabla6[[#This Row],[ÍTEM PRESUPUESTARIO]],Tabla2[#All],2,0)</f>
        <v>APORTE PATRONAL</v>
      </c>
      <c r="X1048" s="57">
        <v>4748</v>
      </c>
      <c r="Y1048" s="57">
        <f>4748+73-13.1</f>
        <v>4807.8999999999996</v>
      </c>
      <c r="Z1048" s="58">
        <v>395</v>
      </c>
      <c r="AA1048" s="58">
        <v>395</v>
      </c>
      <c r="AB1048" s="58">
        <v>395</v>
      </c>
      <c r="AC1048" s="58">
        <f>395+8.11</f>
        <v>403.11</v>
      </c>
      <c r="AD1048" s="58">
        <f t="shared" ref="AD1048:AI1048" si="32">396+8.11</f>
        <v>404.11</v>
      </c>
      <c r="AE1048" s="58">
        <f t="shared" si="32"/>
        <v>404.11</v>
      </c>
      <c r="AF1048" s="58">
        <f t="shared" si="32"/>
        <v>404.11</v>
      </c>
      <c r="AG1048" s="58">
        <f t="shared" si="32"/>
        <v>404.11</v>
      </c>
      <c r="AH1048" s="58">
        <f t="shared" si="32"/>
        <v>404.11</v>
      </c>
      <c r="AI1048" s="58">
        <f t="shared" si="32"/>
        <v>404.11</v>
      </c>
      <c r="AJ1048" s="58">
        <f>396+8.11-13.1</f>
        <v>391.01</v>
      </c>
      <c r="AK1048" s="58">
        <f>396+8.12</f>
        <v>404.12</v>
      </c>
      <c r="AL1048" s="75">
        <f>+SUBTOTAL(9,Tabla6[[#This Row],[ENE]:[DIC]])</f>
        <v>4807.9000000000005</v>
      </c>
      <c r="AM1048" s="76" t="str">
        <f t="shared" si="31"/>
        <v>OK</v>
      </c>
      <c r="AN1048" s="60">
        <v>0</v>
      </c>
      <c r="AO1048" s="61">
        <f>+Tabla6[[#This Row],[PRESUPUESTO VIGENTE]]-Tabla6[[#This Row],[CERTIFICACIÓN PAPP]]</f>
        <v>4807.8999999999996</v>
      </c>
      <c r="AP1048" s="59">
        <v>0</v>
      </c>
    </row>
    <row r="1049" spans="1:42" ht="93" customHeight="1" x14ac:dyDescent="0.25">
      <c r="A1049" s="62" t="s">
        <v>88</v>
      </c>
      <c r="B1049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049" s="64" t="s">
        <v>89</v>
      </c>
      <c r="D1049" s="64" t="s">
        <v>80</v>
      </c>
      <c r="E1049" s="64" t="s">
        <v>81</v>
      </c>
      <c r="F1049" s="64" t="s">
        <v>110</v>
      </c>
      <c r="G1049" s="64" t="s">
        <v>90</v>
      </c>
      <c r="H1049" s="65" t="str">
        <f>VLOOKUP(Tabla6[[#This Row],[DIRECCIÓN]],DIRECCIÓN[#All],2,0)</f>
        <v>TECNOLOGÍA</v>
      </c>
      <c r="I1049" s="66" t="s">
        <v>93</v>
      </c>
      <c r="J1049" s="67">
        <v>1</v>
      </c>
      <c r="K1049" s="68" t="str">
        <f>VLOOKUP(Tabla6[[#This Row],[DIRECCIÓN GENERAL / COORDINACIÓN / SUBDIRECCIÓN]],Tabla37[[#All],[Columna1]:[EOD]],2,0)</f>
        <v>266_0006</v>
      </c>
      <c r="L1049" s="69">
        <f>VLOOKUP(Tabla6[[#This Row],[OBJETIVOS PND]],Listas!$A$1:$C$3,3,0)</f>
        <v>55</v>
      </c>
      <c r="M1049" s="70">
        <f>VLOOKUP(Tabla6[[#This Row],[PG]],Listas2!$G$14:$K$16,5,0)</f>
        <v>0</v>
      </c>
      <c r="N1049" s="71">
        <v>3</v>
      </c>
      <c r="O1049" s="72">
        <v>1400</v>
      </c>
      <c r="P1049" s="73" t="str">
        <f>VLOOKUP(Tabla6[[#This Row],[GEO]],Listas!$A$48:$B$77,2,0)</f>
        <v>MORONA</v>
      </c>
      <c r="Q1049" s="70">
        <f>VLOOKUP(Tabla6[[#This Row],[PG]],Listas2!$G$14:$K$16,3,0)</f>
        <v>1</v>
      </c>
      <c r="R1049" s="73">
        <f>VLOOKUP(Tabla6[[#This Row],[PG]],Listas2!H151:'Listas2'!$G$14:$K$16,4,0)</f>
        <v>0</v>
      </c>
      <c r="S1049" s="73">
        <f>VLOOKUP(Tabla6[[#This Row],[PG]],Listas2!$G$14:$K$16,2,0)</f>
        <v>0</v>
      </c>
      <c r="T1049" s="66" t="s">
        <v>84</v>
      </c>
      <c r="U1049" s="74">
        <v>51</v>
      </c>
      <c r="V1049" s="66">
        <v>510602</v>
      </c>
      <c r="W1049" s="63" t="str">
        <f>VLOOKUP(Tabla6[[#This Row],[ÍTEM PRESUPUESTARIO]],Tabla2[#All],2,0)</f>
        <v>FONDO DE RESERVA</v>
      </c>
      <c r="X1049" s="57">
        <v>4099</v>
      </c>
      <c r="Y1049" s="57">
        <f>4100+62-11.77</f>
        <v>4150.2299999999996</v>
      </c>
      <c r="Z1049" s="58">
        <v>341.66</v>
      </c>
      <c r="AA1049" s="58">
        <v>341.66</v>
      </c>
      <c r="AB1049" s="58">
        <v>341.66</v>
      </c>
      <c r="AC1049" s="58">
        <f t="shared" ref="AC1049:AI1049" si="33">341.66+6.88</f>
        <v>348.54</v>
      </c>
      <c r="AD1049" s="58">
        <f t="shared" si="33"/>
        <v>348.54</v>
      </c>
      <c r="AE1049" s="58">
        <f t="shared" si="33"/>
        <v>348.54</v>
      </c>
      <c r="AF1049" s="58">
        <f t="shared" si="33"/>
        <v>348.54</v>
      </c>
      <c r="AG1049" s="58">
        <f t="shared" si="33"/>
        <v>348.54</v>
      </c>
      <c r="AH1049" s="58">
        <f t="shared" si="33"/>
        <v>348.54</v>
      </c>
      <c r="AI1049" s="58">
        <f t="shared" si="33"/>
        <v>348.54</v>
      </c>
      <c r="AJ1049" s="58">
        <f>341.66+6.88-11.77</f>
        <v>336.77000000000004</v>
      </c>
      <c r="AK1049" s="58">
        <f>341.74+6.96</f>
        <v>348.7</v>
      </c>
      <c r="AL1049" s="75">
        <f>+SUBTOTAL(9,Tabla6[[#This Row],[ENE]:[DIC]])</f>
        <v>4150.2299999999996</v>
      </c>
      <c r="AM1049" s="76" t="str">
        <f t="shared" si="31"/>
        <v>OK</v>
      </c>
      <c r="AN1049" s="60">
        <v>0</v>
      </c>
      <c r="AO1049" s="61">
        <f>+Tabla6[[#This Row],[PRESUPUESTO VIGENTE]]-Tabla6[[#This Row],[CERTIFICACIÓN PAPP]]</f>
        <v>4150.2299999999996</v>
      </c>
      <c r="AP1049" s="59">
        <v>0</v>
      </c>
    </row>
    <row r="1050" spans="1:42" ht="93" customHeight="1" x14ac:dyDescent="0.25">
      <c r="A1050" s="62" t="s">
        <v>78</v>
      </c>
      <c r="B1050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050" s="64" t="s">
        <v>79</v>
      </c>
      <c r="D1050" s="64" t="s">
        <v>80</v>
      </c>
      <c r="E1050" s="64" t="s">
        <v>81</v>
      </c>
      <c r="F1050" s="64" t="s">
        <v>110</v>
      </c>
      <c r="G1050" s="64" t="s">
        <v>83</v>
      </c>
      <c r="H1050" s="65" t="str">
        <f>VLOOKUP(Tabla6[[#This Row],[DIRECCIÓN]],DIRECCIÓN[#All],2,0)</f>
        <v>ADMINISTRACIÓN CENTRAL</v>
      </c>
      <c r="I1050" s="66" t="s">
        <v>424</v>
      </c>
      <c r="J1050" s="67">
        <v>1</v>
      </c>
      <c r="K1050" s="68" t="str">
        <f>VLOOKUP(Tabla6[[#This Row],[DIRECCIÓN GENERAL / COORDINACIÓN / SUBDIRECCIÓN]],Tabla37[[#All],[Columna1]:[EOD]],2,0)</f>
        <v>266_0006</v>
      </c>
      <c r="L1050" s="69">
        <f>VLOOKUP(Tabla6[[#This Row],[OBJETIVOS PND]],Listas!$A$1:$C$3,3,0)</f>
        <v>1</v>
      </c>
      <c r="M1050" s="70">
        <f>VLOOKUP(Tabla6[[#This Row],[PG]],Listas2!$G$14:$K$16,5,0)</f>
        <v>0</v>
      </c>
      <c r="N1050" s="71">
        <v>1</v>
      </c>
      <c r="O1050" s="72">
        <v>1401</v>
      </c>
      <c r="P1050" s="73" t="str">
        <f>VLOOKUP(Tabla6[[#This Row],[GEO]],Listas!$A$48:$B$77,2,0)</f>
        <v>MACAS</v>
      </c>
      <c r="Q1050" s="70">
        <f>VLOOKUP(Tabla6[[#This Row],[PG]],Listas2!$G$14:$K$16,3,0)</f>
        <v>1</v>
      </c>
      <c r="R1050" s="73">
        <f>VLOOKUP(Tabla6[[#This Row],[PG]],Listas2!H152:'Listas2'!$G$14:$K$16,4,0)</f>
        <v>0</v>
      </c>
      <c r="S1050" s="73">
        <f>VLOOKUP(Tabla6[[#This Row],[PG]],Listas2!$G$14:$K$16,2,0)</f>
        <v>0</v>
      </c>
      <c r="T1050" s="66" t="s">
        <v>84</v>
      </c>
      <c r="U1050" s="74">
        <v>53</v>
      </c>
      <c r="V1050" s="66">
        <v>530101</v>
      </c>
      <c r="W1050" s="63" t="str">
        <f>VLOOKUP(Tabla6[[#This Row],[ÍTEM PRESUPUESTARIO]],Tabla2[#All],2,0)</f>
        <v>AGUA POTABLE</v>
      </c>
      <c r="X1050" s="57">
        <v>480</v>
      </c>
      <c r="Y1050" s="57">
        <f>480-118.46</f>
        <v>361.54</v>
      </c>
      <c r="Z1050" s="58">
        <v>40</v>
      </c>
      <c r="AA1050" s="58">
        <v>40</v>
      </c>
      <c r="AB1050" s="58">
        <v>40</v>
      </c>
      <c r="AC1050" s="58">
        <v>40</v>
      </c>
      <c r="AD1050" s="58">
        <v>40</v>
      </c>
      <c r="AE1050" s="58">
        <v>40</v>
      </c>
      <c r="AF1050" s="58">
        <f>40-19.74</f>
        <v>20.260000000000002</v>
      </c>
      <c r="AG1050" s="58">
        <f>40-19.74</f>
        <v>20.260000000000002</v>
      </c>
      <c r="AH1050" s="58">
        <f>40-19.74</f>
        <v>20.260000000000002</v>
      </c>
      <c r="AI1050" s="58">
        <f>40-19.74</f>
        <v>20.260000000000002</v>
      </c>
      <c r="AJ1050" s="58">
        <f>40-19.74</f>
        <v>20.260000000000002</v>
      </c>
      <c r="AK1050" s="58">
        <f>40-19.76</f>
        <v>20.239999999999998</v>
      </c>
      <c r="AL1050" s="75">
        <f>+SUBTOTAL(9,Tabla6[[#This Row],[ENE]:[DIC]])</f>
        <v>361.53999999999996</v>
      </c>
      <c r="AM1050" s="76" t="str">
        <f t="shared" si="31"/>
        <v>OK</v>
      </c>
      <c r="AN1050" s="60">
        <f>480-100-18.46</f>
        <v>361.54</v>
      </c>
      <c r="AO1050" s="61">
        <f>+Tabla6[[#This Row],[PRESUPUESTO VIGENTE]]-Tabla6[[#This Row],[CERTIFICACIÓN PAPP]]</f>
        <v>0</v>
      </c>
      <c r="AP1050" s="59">
        <v>0</v>
      </c>
    </row>
    <row r="1051" spans="1:42" ht="93" customHeight="1" x14ac:dyDescent="0.25">
      <c r="A1051" s="62" t="s">
        <v>78</v>
      </c>
      <c r="B1051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051" s="64" t="s">
        <v>79</v>
      </c>
      <c r="D1051" s="64" t="s">
        <v>80</v>
      </c>
      <c r="E1051" s="64" t="s">
        <v>81</v>
      </c>
      <c r="F1051" s="64" t="s">
        <v>110</v>
      </c>
      <c r="G1051" s="64" t="s">
        <v>83</v>
      </c>
      <c r="H1051" s="65" t="str">
        <f>VLOOKUP(Tabla6[[#This Row],[DIRECCIÓN]],DIRECCIÓN[#All],2,0)</f>
        <v>ADMINISTRACIÓN CENTRAL</v>
      </c>
      <c r="I1051" s="66" t="s">
        <v>424</v>
      </c>
      <c r="J1051" s="67">
        <v>1</v>
      </c>
      <c r="K1051" s="68" t="str">
        <f>VLOOKUP(Tabla6[[#This Row],[DIRECCIÓN GENERAL / COORDINACIÓN / SUBDIRECCIÓN]],Tabla37[[#All],[Columna1]:[EOD]],2,0)</f>
        <v>266_0006</v>
      </c>
      <c r="L1051" s="69">
        <f>VLOOKUP(Tabla6[[#This Row],[OBJETIVOS PND]],Listas!$A$1:$C$3,3,0)</f>
        <v>1</v>
      </c>
      <c r="M1051" s="70">
        <f>VLOOKUP(Tabla6[[#This Row],[PG]],Listas2!$G$14:$K$16,5,0)</f>
        <v>0</v>
      </c>
      <c r="N1051" s="71">
        <v>1</v>
      </c>
      <c r="O1051" s="72">
        <v>1401</v>
      </c>
      <c r="P1051" s="73" t="str">
        <f>VLOOKUP(Tabla6[[#This Row],[GEO]],Listas!$A$48:$B$77,2,0)</f>
        <v>MACAS</v>
      </c>
      <c r="Q1051" s="70">
        <f>VLOOKUP(Tabla6[[#This Row],[PG]],Listas2!$G$14:$K$16,3,0)</f>
        <v>1</v>
      </c>
      <c r="R1051" s="73">
        <f>VLOOKUP(Tabla6[[#This Row],[PG]],Listas2!H153:'Listas2'!$G$14:$K$16,4,0)</f>
        <v>0</v>
      </c>
      <c r="S1051" s="73">
        <f>VLOOKUP(Tabla6[[#This Row],[PG]],Listas2!$G$14:$K$16,2,0)</f>
        <v>0</v>
      </c>
      <c r="T1051" s="66" t="s">
        <v>84</v>
      </c>
      <c r="U1051" s="74">
        <v>53</v>
      </c>
      <c r="V1051" s="66">
        <v>530104</v>
      </c>
      <c r="W1051" s="63" t="str">
        <f>VLOOKUP(Tabla6[[#This Row],[ÍTEM PRESUPUESTARIO]],Tabla2[#All],2,0)</f>
        <v>ENERGÍA ELÉCTRICA</v>
      </c>
      <c r="X1051" s="57">
        <v>38400</v>
      </c>
      <c r="Y1051" s="57">
        <f>38400-1200-1751+1181.74-444.67</f>
        <v>36186.07</v>
      </c>
      <c r="Z1051" s="58">
        <v>3235.66</v>
      </c>
      <c r="AA1051" s="58">
        <v>2831.97</v>
      </c>
      <c r="AB1051" s="58">
        <v>2577.4499999999998</v>
      </c>
      <c r="AC1051" s="58">
        <v>2821.1</v>
      </c>
      <c r="AD1051" s="58">
        <v>2801.18</v>
      </c>
      <c r="AE1051" s="58">
        <v>2986.14</v>
      </c>
      <c r="AF1051" s="58">
        <v>3195.5</v>
      </c>
      <c r="AG1051" s="58">
        <f>3200-200</f>
        <v>3000</v>
      </c>
      <c r="AH1051" s="58">
        <f>3200-200</f>
        <v>3000</v>
      </c>
      <c r="AI1051" s="58">
        <f>3200-200</f>
        <v>3000</v>
      </c>
      <c r="AJ1051" s="58">
        <f>3200-200</f>
        <v>3000</v>
      </c>
      <c r="AK1051" s="58">
        <f>3200-200+1181.74-444.67</f>
        <v>3737.0699999999997</v>
      </c>
      <c r="AL1051" s="75">
        <f>+SUBTOTAL(9,Tabla6[[#This Row],[ENE]:[DIC]])</f>
        <v>36186.07</v>
      </c>
      <c r="AM1051" s="76" t="str">
        <f t="shared" si="31"/>
        <v>OK</v>
      </c>
      <c r="AN1051" s="60">
        <f>38400-1200-1751+737.07</f>
        <v>36186.07</v>
      </c>
      <c r="AO1051" s="61">
        <f>+Tabla6[[#This Row],[PRESUPUESTO VIGENTE]]-Tabla6[[#This Row],[CERTIFICACIÓN PAPP]]</f>
        <v>0</v>
      </c>
      <c r="AP1051" s="59">
        <v>0</v>
      </c>
    </row>
    <row r="1052" spans="1:42" ht="93" customHeight="1" x14ac:dyDescent="0.25">
      <c r="A1052" s="62" t="s">
        <v>78</v>
      </c>
      <c r="B1052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052" s="64" t="s">
        <v>79</v>
      </c>
      <c r="D1052" s="64" t="s">
        <v>80</v>
      </c>
      <c r="E1052" s="64" t="s">
        <v>81</v>
      </c>
      <c r="F1052" s="64" t="s">
        <v>110</v>
      </c>
      <c r="G1052" s="64" t="s">
        <v>83</v>
      </c>
      <c r="H1052" s="65" t="str">
        <f>VLOOKUP(Tabla6[[#This Row],[DIRECCIÓN]],DIRECCIÓN[#All],2,0)</f>
        <v>ADMINISTRACIÓN CENTRAL</v>
      </c>
      <c r="I1052" s="66" t="s">
        <v>499</v>
      </c>
      <c r="J1052" s="67">
        <v>1</v>
      </c>
      <c r="K1052" s="68" t="str">
        <f>VLOOKUP(Tabla6[[#This Row],[DIRECCIÓN GENERAL / COORDINACIÓN / SUBDIRECCIÓN]],Tabla37[[#All],[Columna1]:[EOD]],2,0)</f>
        <v>266_0006</v>
      </c>
      <c r="L1052" s="69">
        <f>VLOOKUP(Tabla6[[#This Row],[OBJETIVOS PND]],Listas!$A$1:$C$3,3,0)</f>
        <v>1</v>
      </c>
      <c r="M1052" s="70">
        <f>VLOOKUP(Tabla6[[#This Row],[PG]],Listas2!$G$14:$K$16,5,0)</f>
        <v>0</v>
      </c>
      <c r="N1052" s="71">
        <v>1</v>
      </c>
      <c r="O1052" s="72">
        <v>1401</v>
      </c>
      <c r="P1052" s="73" t="str">
        <f>VLOOKUP(Tabla6[[#This Row],[GEO]],Listas!$A$48:$B$77,2,0)</f>
        <v>MACAS</v>
      </c>
      <c r="Q1052" s="70">
        <f>VLOOKUP(Tabla6[[#This Row],[PG]],Listas2!$G$14:$K$16,3,0)</f>
        <v>1</v>
      </c>
      <c r="R1052" s="73">
        <f>VLOOKUP(Tabla6[[#This Row],[PG]],Listas2!H154:'Listas2'!$G$14:$K$16,4,0)</f>
        <v>0</v>
      </c>
      <c r="S1052" s="73">
        <f>VLOOKUP(Tabla6[[#This Row],[PG]],Listas2!$G$14:$K$16,2,0)</f>
        <v>0</v>
      </c>
      <c r="T1052" s="66" t="s">
        <v>84</v>
      </c>
      <c r="U1052" s="74">
        <v>53</v>
      </c>
      <c r="V1052" s="66">
        <v>530201</v>
      </c>
      <c r="W1052" s="63" t="str">
        <f>VLOOKUP(Tabla6[[#This Row],[ÍTEM PRESUPUESTARIO]],Tabla2[#All],2,0)</f>
        <v>TRANSPORTE DE PERSONAL</v>
      </c>
      <c r="X1052" s="57">
        <v>27120</v>
      </c>
      <c r="Y1052" s="57">
        <f>27120-1627.19</f>
        <v>25492.81</v>
      </c>
      <c r="Z1052" s="58">
        <v>0</v>
      </c>
      <c r="AA1052" s="58">
        <v>2124.4</v>
      </c>
      <c r="AB1052" s="58">
        <v>2124.4</v>
      </c>
      <c r="AC1052" s="58">
        <v>2124.4</v>
      </c>
      <c r="AD1052" s="58">
        <v>2124.4</v>
      </c>
      <c r="AE1052" s="58">
        <v>2124.4</v>
      </c>
      <c r="AF1052" s="58">
        <v>2124.4</v>
      </c>
      <c r="AG1052" s="58">
        <v>2124.4</v>
      </c>
      <c r="AH1052" s="58">
        <v>2124.4</v>
      </c>
      <c r="AI1052" s="58">
        <v>2124.4</v>
      </c>
      <c r="AJ1052" s="58">
        <v>2124.4</v>
      </c>
      <c r="AK1052" s="58">
        <v>4248.8100000000004</v>
      </c>
      <c r="AL1052" s="75">
        <f>+SUBTOTAL(9,Tabla6[[#This Row],[ENE]:[DIC]])</f>
        <v>25492.810000000005</v>
      </c>
      <c r="AM1052" s="76" t="str">
        <f t="shared" si="31"/>
        <v>OK</v>
      </c>
      <c r="AN1052" s="60">
        <f>25492.8</f>
        <v>25492.799999999999</v>
      </c>
      <c r="AO1052" s="61">
        <f>+Tabla6[[#This Row],[PRESUPUESTO VIGENTE]]-Tabla6[[#This Row],[CERTIFICACIÓN PAPP]]</f>
        <v>1.0000000002037268E-2</v>
      </c>
      <c r="AP1052" s="59">
        <v>0</v>
      </c>
    </row>
    <row r="1053" spans="1:42" ht="93" customHeight="1" x14ac:dyDescent="0.25">
      <c r="A1053" s="62" t="s">
        <v>78</v>
      </c>
      <c r="B1053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053" s="64" t="s">
        <v>79</v>
      </c>
      <c r="D1053" s="64" t="s">
        <v>80</v>
      </c>
      <c r="E1053" s="64" t="s">
        <v>81</v>
      </c>
      <c r="F1053" s="64" t="s">
        <v>110</v>
      </c>
      <c r="G1053" s="64" t="s">
        <v>83</v>
      </c>
      <c r="H1053" s="65" t="str">
        <f>VLOOKUP(Tabla6[[#This Row],[DIRECCIÓN]],DIRECCIÓN[#All],2,0)</f>
        <v>ADMINISTRACIÓN CENTRAL</v>
      </c>
      <c r="I1053" s="66" t="s">
        <v>500</v>
      </c>
      <c r="J1053" s="67">
        <v>1</v>
      </c>
      <c r="K1053" s="68" t="str">
        <f>VLOOKUP(Tabla6[[#This Row],[DIRECCIÓN GENERAL / COORDINACIÓN / SUBDIRECCIÓN]],Tabla37[[#All],[Columna1]:[EOD]],2,0)</f>
        <v>266_0006</v>
      </c>
      <c r="L1053" s="69">
        <f>VLOOKUP(Tabla6[[#This Row],[OBJETIVOS PND]],Listas!$A$1:$C$3,3,0)</f>
        <v>1</v>
      </c>
      <c r="M1053" s="70">
        <f>VLOOKUP(Tabla6[[#This Row],[PG]],Listas2!$G$14:$K$16,5,0)</f>
        <v>0</v>
      </c>
      <c r="N1053" s="71">
        <v>1</v>
      </c>
      <c r="O1053" s="72">
        <v>1401</v>
      </c>
      <c r="P1053" s="73" t="str">
        <f>VLOOKUP(Tabla6[[#This Row],[GEO]],Listas!$A$48:$B$77,2,0)</f>
        <v>MACAS</v>
      </c>
      <c r="Q1053" s="70">
        <f>VLOOKUP(Tabla6[[#This Row],[PG]],Listas2!$G$14:$K$16,3,0)</f>
        <v>1</v>
      </c>
      <c r="R1053" s="73">
        <f>VLOOKUP(Tabla6[[#This Row],[PG]],Listas2!H155:'Listas2'!$G$14:$K$16,4,0)</f>
        <v>0</v>
      </c>
      <c r="S1053" s="73">
        <f>VLOOKUP(Tabla6[[#This Row],[PG]],Listas2!$G$14:$K$16,2,0)</f>
        <v>0</v>
      </c>
      <c r="T1053" s="66" t="s">
        <v>84</v>
      </c>
      <c r="U1053" s="74">
        <v>53</v>
      </c>
      <c r="V1053" s="66">
        <v>530203</v>
      </c>
      <c r="W1053" s="63" t="str">
        <f>VLOOKUP(Tabla6[[#This Row],[ÍTEM PRESUPUESTARIO]],Tabla2[#All],2,0)</f>
        <v>ALMACENAMIENTO, EMBALAJE, DESEMBALAJE, ENVASE, DESENVASE Y RECARGA DE EXTINTORES</v>
      </c>
      <c r="X1053" s="57">
        <v>200</v>
      </c>
      <c r="Y1053" s="57">
        <f>200-49.5</f>
        <v>150.5</v>
      </c>
      <c r="Z1053" s="58">
        <v>0</v>
      </c>
      <c r="AA1053" s="58">
        <v>0</v>
      </c>
      <c r="AB1053" s="58">
        <v>0</v>
      </c>
      <c r="AC1053" s="58">
        <v>0</v>
      </c>
      <c r="AD1053" s="58">
        <v>0</v>
      </c>
      <c r="AE1053" s="58">
        <v>0</v>
      </c>
      <c r="AF1053" s="58">
        <f>200-49.5</f>
        <v>150.5</v>
      </c>
      <c r="AG1053" s="58">
        <v>0</v>
      </c>
      <c r="AH1053" s="58">
        <v>0</v>
      </c>
      <c r="AI1053" s="58">
        <v>0</v>
      </c>
      <c r="AJ1053" s="58">
        <v>0</v>
      </c>
      <c r="AK1053" s="58">
        <v>0</v>
      </c>
      <c r="AL1053" s="75">
        <f>+SUBTOTAL(9,Tabla6[[#This Row],[ENE]:[DIC]])</f>
        <v>150.5</v>
      </c>
      <c r="AM1053" s="76" t="str">
        <f t="shared" si="31"/>
        <v>OK</v>
      </c>
      <c r="AN1053" s="60">
        <v>150.5</v>
      </c>
      <c r="AO1053" s="61">
        <f>+Tabla6[[#This Row],[PRESUPUESTO VIGENTE]]-Tabla6[[#This Row],[CERTIFICACIÓN PAPP]]</f>
        <v>0</v>
      </c>
      <c r="AP1053" s="59" t="s">
        <v>87</v>
      </c>
    </row>
    <row r="1054" spans="1:42" ht="93" customHeight="1" x14ac:dyDescent="0.25">
      <c r="A1054" s="62" t="s">
        <v>78</v>
      </c>
      <c r="B1054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054" s="64" t="s">
        <v>79</v>
      </c>
      <c r="D1054" s="64" t="s">
        <v>80</v>
      </c>
      <c r="E1054" s="64" t="s">
        <v>81</v>
      </c>
      <c r="F1054" s="64" t="s">
        <v>110</v>
      </c>
      <c r="G1054" s="64" t="s">
        <v>83</v>
      </c>
      <c r="H1054" s="65" t="str">
        <f>VLOOKUP(Tabla6[[#This Row],[DIRECCIÓN]],DIRECCIÓN[#All],2,0)</f>
        <v>ADMINISTRACIÓN CENTRAL</v>
      </c>
      <c r="I1054" s="66" t="s">
        <v>501</v>
      </c>
      <c r="J1054" s="67">
        <v>1</v>
      </c>
      <c r="K1054" s="68" t="str">
        <f>VLOOKUP(Tabla6[[#This Row],[DIRECCIÓN GENERAL / COORDINACIÓN / SUBDIRECCIÓN]],Tabla37[[#All],[Columna1]:[EOD]],2,0)</f>
        <v>266_0006</v>
      </c>
      <c r="L1054" s="69">
        <f>VLOOKUP(Tabla6[[#This Row],[OBJETIVOS PND]],Listas!$A$1:$C$3,3,0)</f>
        <v>1</v>
      </c>
      <c r="M1054" s="70">
        <f>VLOOKUP(Tabla6[[#This Row],[PG]],Listas2!$G$14:$K$16,5,0)</f>
        <v>0</v>
      </c>
      <c r="N1054" s="71">
        <v>1</v>
      </c>
      <c r="O1054" s="72">
        <v>1401</v>
      </c>
      <c r="P1054" s="73" t="str">
        <f>VLOOKUP(Tabla6[[#This Row],[GEO]],Listas!$A$48:$B$77,2,0)</f>
        <v>MACAS</v>
      </c>
      <c r="Q1054" s="70">
        <f>VLOOKUP(Tabla6[[#This Row],[PG]],Listas2!$G$14:$K$16,3,0)</f>
        <v>1</v>
      </c>
      <c r="R1054" s="73">
        <f>VLOOKUP(Tabla6[[#This Row],[PG]],Listas2!H156:'Listas2'!$G$14:$K$16,4,0)</f>
        <v>0</v>
      </c>
      <c r="S1054" s="73">
        <f>VLOOKUP(Tabla6[[#This Row],[PG]],Listas2!$G$14:$K$16,2,0)</f>
        <v>0</v>
      </c>
      <c r="T1054" s="66" t="s">
        <v>84</v>
      </c>
      <c r="U1054" s="74">
        <v>53</v>
      </c>
      <c r="V1054" s="66">
        <v>530204</v>
      </c>
      <c r="W1054" s="63" t="str">
        <f>VLOOKUP(Tabla6[[#This Row],[ÍTEM PRESUPUESTARIO]],Tabla2[#All],2,0)</f>
        <v>EDICIÓN, IMPRESIÓN, REPRODUCCIÓN, PUBLICACIONES, SUSCRIPCIONES, FOTOCOPIADO, TRADUCCIÓN, EMPASTADO, ENMARCACIÓN, SERIGRAFÍA, FOTOGRAFÍA, CARNETIZACIÓN, FILMACIÓN E IMÁGENES SATELITALES</v>
      </c>
      <c r="X1054" s="57">
        <v>0</v>
      </c>
      <c r="Y1054" s="57">
        <f>6000-1181.74-4818.26</f>
        <v>0</v>
      </c>
      <c r="Z1054" s="58">
        <v>0</v>
      </c>
      <c r="AA1054" s="58">
        <v>0</v>
      </c>
      <c r="AB1054" s="58">
        <v>0</v>
      </c>
      <c r="AC1054" s="58">
        <v>0</v>
      </c>
      <c r="AD1054" s="58">
        <v>0</v>
      </c>
      <c r="AE1054" s="58">
        <v>0</v>
      </c>
      <c r="AF1054" s="58">
        <v>0</v>
      </c>
      <c r="AG1054" s="58">
        <v>0</v>
      </c>
      <c r="AH1054" s="58">
        <v>0</v>
      </c>
      <c r="AI1054" s="58">
        <v>0</v>
      </c>
      <c r="AJ1054" s="58">
        <v>0</v>
      </c>
      <c r="AK1054" s="58">
        <f>6000-1181.74-4818.26</f>
        <v>0</v>
      </c>
      <c r="AL1054" s="75">
        <f>+SUBTOTAL(9,Tabla6[[#This Row],[ENE]:[DIC]])</f>
        <v>0</v>
      </c>
      <c r="AM1054" s="76" t="str">
        <f t="shared" si="31"/>
        <v>OK</v>
      </c>
      <c r="AN1054" s="60">
        <v>0</v>
      </c>
      <c r="AO1054" s="61">
        <f>+Tabla6[[#This Row],[PRESUPUESTO VIGENTE]]-Tabla6[[#This Row],[CERTIFICACIÓN PAPP]]</f>
        <v>0</v>
      </c>
      <c r="AP1054" s="59">
        <v>0</v>
      </c>
    </row>
    <row r="1055" spans="1:42" ht="93" customHeight="1" x14ac:dyDescent="0.25">
      <c r="A1055" s="62" t="s">
        <v>78</v>
      </c>
      <c r="B1055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055" s="64" t="s">
        <v>79</v>
      </c>
      <c r="D1055" s="64" t="s">
        <v>80</v>
      </c>
      <c r="E1055" s="64" t="s">
        <v>81</v>
      </c>
      <c r="F1055" s="64" t="s">
        <v>110</v>
      </c>
      <c r="G1055" s="64" t="s">
        <v>83</v>
      </c>
      <c r="H1055" s="65" t="str">
        <f>VLOOKUP(Tabla6[[#This Row],[DIRECCIÓN]],DIRECCIÓN[#All],2,0)</f>
        <v>ADMINISTRACIÓN CENTRAL</v>
      </c>
      <c r="I1055" s="66" t="s">
        <v>502</v>
      </c>
      <c r="J1055" s="67">
        <v>1</v>
      </c>
      <c r="K1055" s="68" t="str">
        <f>VLOOKUP(Tabla6[[#This Row],[DIRECCIÓN GENERAL / COORDINACIÓN / SUBDIRECCIÓN]],Tabla37[[#All],[Columna1]:[EOD]],2,0)</f>
        <v>266_0006</v>
      </c>
      <c r="L1055" s="69">
        <f>VLOOKUP(Tabla6[[#This Row],[OBJETIVOS PND]],Listas!$A$1:$C$3,3,0)</f>
        <v>1</v>
      </c>
      <c r="M1055" s="70">
        <f>VLOOKUP(Tabla6[[#This Row],[PG]],Listas2!$G$14:$K$16,5,0)</f>
        <v>0</v>
      </c>
      <c r="N1055" s="71">
        <v>1</v>
      </c>
      <c r="O1055" s="72">
        <v>1401</v>
      </c>
      <c r="P1055" s="73" t="str">
        <f>VLOOKUP(Tabla6[[#This Row],[GEO]],Listas!$A$48:$B$77,2,0)</f>
        <v>MACAS</v>
      </c>
      <c r="Q1055" s="70">
        <f>VLOOKUP(Tabla6[[#This Row],[PG]],Listas2!$G$14:$K$16,3,0)</f>
        <v>1</v>
      </c>
      <c r="R1055" s="73">
        <f>VLOOKUP(Tabla6[[#This Row],[PG]],Listas2!H157:'Listas2'!$G$14:$K$16,4,0)</f>
        <v>0</v>
      </c>
      <c r="S1055" s="73">
        <f>VLOOKUP(Tabla6[[#This Row],[PG]],Listas2!$G$14:$K$16,2,0)</f>
        <v>0</v>
      </c>
      <c r="T1055" s="66" t="s">
        <v>84</v>
      </c>
      <c r="U1055" s="74">
        <v>53</v>
      </c>
      <c r="V1055" s="66">
        <v>530209</v>
      </c>
      <c r="W1055" s="63" t="str">
        <f>VLOOKUP(Tabla6[[#This Row],[ÍTEM PRESUPUESTARIO]],Tabla2[#All],2,0)</f>
        <v>SERVICIOS DE ASEO, LAVADO DE VESTIMENTA DE TRABAJO, FUMIGACIÓN, DESINFECCIÓN, LIMPIEZA DE INSTALACIONES, MANEJO DE DESECHOS CONTAMINADOS, RECUPERACIÓN Y CLASIFICACIÓN DE MATERIALES RECICLABLES</v>
      </c>
      <c r="X1055" s="57">
        <v>6558</v>
      </c>
      <c r="Y1055" s="57">
        <f>6558+5851.57-706.44</f>
        <v>11703.13</v>
      </c>
      <c r="Z1055" s="58">
        <v>975.26</v>
      </c>
      <c r="AA1055" s="58">
        <v>975.26</v>
      </c>
      <c r="AB1055" s="58">
        <v>975.26</v>
      </c>
      <c r="AC1055" s="58">
        <v>975.26</v>
      </c>
      <c r="AD1055" s="58">
        <v>975.26</v>
      </c>
      <c r="AE1055" s="58">
        <v>975.26</v>
      </c>
      <c r="AF1055" s="58">
        <v>975.26</v>
      </c>
      <c r="AG1055" s="58">
        <v>975.26</v>
      </c>
      <c r="AH1055" s="58">
        <v>975.26</v>
      </c>
      <c r="AI1055" s="58">
        <v>975.26</v>
      </c>
      <c r="AJ1055" s="58">
        <v>975.26</v>
      </c>
      <c r="AK1055" s="58">
        <v>975.27</v>
      </c>
      <c r="AL1055" s="75">
        <f>+SUBTOTAL(9,Tabla6[[#This Row],[ENE]:[DIC]])</f>
        <v>11703.130000000001</v>
      </c>
      <c r="AM1055" s="76" t="str">
        <f t="shared" si="31"/>
        <v>OK</v>
      </c>
      <c r="AN1055" s="60">
        <f>5851.56+5851.56+0.01</f>
        <v>11703.130000000001</v>
      </c>
      <c r="AO1055" s="61">
        <f>+Tabla6[[#This Row],[PRESUPUESTO VIGENTE]]-Tabla6[[#This Row],[CERTIFICACIÓN PAPP]]</f>
        <v>0</v>
      </c>
      <c r="AP1055" s="59">
        <v>0</v>
      </c>
    </row>
    <row r="1056" spans="1:42" ht="93" customHeight="1" x14ac:dyDescent="0.25">
      <c r="A1056" s="62" t="s">
        <v>78</v>
      </c>
      <c r="B1056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056" s="64" t="s">
        <v>79</v>
      </c>
      <c r="D1056" s="64" t="s">
        <v>80</v>
      </c>
      <c r="E1056" s="64" t="s">
        <v>81</v>
      </c>
      <c r="F1056" s="64" t="s">
        <v>110</v>
      </c>
      <c r="G1056" s="64" t="s">
        <v>83</v>
      </c>
      <c r="H1056" s="65" t="str">
        <f>VLOOKUP(Tabla6[[#This Row],[DIRECCIÓN]],DIRECCIÓN[#All],2,0)</f>
        <v>ADMINISTRACIÓN CENTRAL</v>
      </c>
      <c r="I1056" s="66" t="s">
        <v>503</v>
      </c>
      <c r="J1056" s="67">
        <v>1</v>
      </c>
      <c r="K1056" s="68" t="str">
        <f>VLOOKUP(Tabla6[[#This Row],[DIRECCIÓN GENERAL / COORDINACIÓN / SUBDIRECCIÓN]],Tabla37[[#All],[Columna1]:[EOD]],2,0)</f>
        <v>266_0006</v>
      </c>
      <c r="L1056" s="69">
        <f>VLOOKUP(Tabla6[[#This Row],[OBJETIVOS PND]],Listas!$A$1:$C$3,3,0)</f>
        <v>1</v>
      </c>
      <c r="M1056" s="70">
        <f>VLOOKUP(Tabla6[[#This Row],[PG]],Listas2!$G$14:$K$16,5,0)</f>
        <v>0</v>
      </c>
      <c r="N1056" s="71">
        <v>1</v>
      </c>
      <c r="O1056" s="72">
        <v>1401</v>
      </c>
      <c r="P1056" s="73" t="str">
        <f>VLOOKUP(Tabla6[[#This Row],[GEO]],Listas!$A$48:$B$77,2,0)</f>
        <v>MACAS</v>
      </c>
      <c r="Q1056" s="70">
        <f>VLOOKUP(Tabla6[[#This Row],[PG]],Listas2!$G$14:$K$16,3,0)</f>
        <v>1</v>
      </c>
      <c r="R1056" s="73">
        <f>VLOOKUP(Tabla6[[#This Row],[PG]],Listas2!H158:'Listas2'!$G$14:$K$16,4,0)</f>
        <v>0</v>
      </c>
      <c r="S1056" s="73">
        <f>VLOOKUP(Tabla6[[#This Row],[PG]],Listas2!$G$14:$K$16,2,0)</f>
        <v>0</v>
      </c>
      <c r="T1056" s="66" t="s">
        <v>84</v>
      </c>
      <c r="U1056" s="74">
        <v>53</v>
      </c>
      <c r="V1056" s="66">
        <v>530255</v>
      </c>
      <c r="W1056" s="63" t="str">
        <f>VLOOKUP(Tabla6[[#This Row],[ÍTEM PRESUPUESTARIO]],Tabla2[#All],2,0)</f>
        <v>COMBUSTIBLES</v>
      </c>
      <c r="X1056" s="57">
        <v>0</v>
      </c>
      <c r="Y1056" s="57">
        <v>100</v>
      </c>
      <c r="Z1056" s="58">
        <v>0</v>
      </c>
      <c r="AA1056" s="58">
        <v>0</v>
      </c>
      <c r="AB1056" s="58">
        <v>0</v>
      </c>
      <c r="AC1056" s="58">
        <v>33.33</v>
      </c>
      <c r="AD1056" s="58">
        <v>0</v>
      </c>
      <c r="AE1056" s="58">
        <v>0</v>
      </c>
      <c r="AF1056" s="58">
        <v>33.33</v>
      </c>
      <c r="AG1056" s="58">
        <v>0</v>
      </c>
      <c r="AH1056" s="58">
        <v>0</v>
      </c>
      <c r="AI1056" s="58">
        <v>0</v>
      </c>
      <c r="AJ1056" s="58">
        <v>33.340000000000003</v>
      </c>
      <c r="AK1056" s="58">
        <v>0</v>
      </c>
      <c r="AL1056" s="75">
        <f>+SUBTOTAL(9,Tabla6[[#This Row],[ENE]:[DIC]])</f>
        <v>100</v>
      </c>
      <c r="AM1056" s="76" t="str">
        <f t="shared" si="31"/>
        <v>OK</v>
      </c>
      <c r="AN1056" s="60">
        <f>100-100+100</f>
        <v>100</v>
      </c>
      <c r="AO1056" s="61">
        <f>+Tabla6[[#This Row],[PRESUPUESTO VIGENTE]]-Tabla6[[#This Row],[CERTIFICACIÓN PAPP]]</f>
        <v>0</v>
      </c>
      <c r="AP1056" s="59">
        <v>0</v>
      </c>
    </row>
    <row r="1057" spans="1:42" ht="93" customHeight="1" x14ac:dyDescent="0.25">
      <c r="A1057" s="62" t="s">
        <v>78</v>
      </c>
      <c r="B1057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057" s="64" t="s">
        <v>79</v>
      </c>
      <c r="D1057" s="64" t="s">
        <v>80</v>
      </c>
      <c r="E1057" s="64" t="s">
        <v>81</v>
      </c>
      <c r="F1057" s="64" t="s">
        <v>110</v>
      </c>
      <c r="G1057" s="64" t="s">
        <v>83</v>
      </c>
      <c r="H1057" s="65" t="str">
        <f>VLOOKUP(Tabla6[[#This Row],[DIRECCIÓN]],DIRECCIÓN[#All],2,0)</f>
        <v>ADMINISTRACIÓN CENTRAL</v>
      </c>
      <c r="I1057" s="66" t="s">
        <v>504</v>
      </c>
      <c r="J1057" s="67">
        <v>1</v>
      </c>
      <c r="K1057" s="68" t="str">
        <f>VLOOKUP(Tabla6[[#This Row],[DIRECCIÓN GENERAL / COORDINACIÓN / SUBDIRECCIÓN]],Tabla37[[#All],[Columna1]:[EOD]],2,0)</f>
        <v>266_0006</v>
      </c>
      <c r="L1057" s="69">
        <f>VLOOKUP(Tabla6[[#This Row],[OBJETIVOS PND]],Listas!$A$1:$C$3,3,0)</f>
        <v>1</v>
      </c>
      <c r="M1057" s="70">
        <f>VLOOKUP(Tabla6[[#This Row],[PG]],Listas2!$G$14:$K$16,5,0)</f>
        <v>0</v>
      </c>
      <c r="N1057" s="71">
        <v>1</v>
      </c>
      <c r="O1057" s="72">
        <v>1401</v>
      </c>
      <c r="P1057" s="73" t="str">
        <f>VLOOKUP(Tabla6[[#This Row],[GEO]],Listas!$A$48:$B$77,2,0)</f>
        <v>MACAS</v>
      </c>
      <c r="Q1057" s="70">
        <f>VLOOKUP(Tabla6[[#This Row],[PG]],Listas2!$G$14:$K$16,3,0)</f>
        <v>1</v>
      </c>
      <c r="R1057" s="73">
        <f>VLOOKUP(Tabla6[[#This Row],[PG]],Listas2!H159:'Listas2'!$G$14:$K$16,4,0)</f>
        <v>0</v>
      </c>
      <c r="S1057" s="73">
        <f>VLOOKUP(Tabla6[[#This Row],[PG]],Listas2!$G$14:$K$16,2,0)</f>
        <v>0</v>
      </c>
      <c r="T1057" s="66" t="s">
        <v>84</v>
      </c>
      <c r="U1057" s="74">
        <v>53</v>
      </c>
      <c r="V1057" s="66">
        <v>530255</v>
      </c>
      <c r="W1057" s="63" t="str">
        <f>VLOOKUP(Tabla6[[#This Row],[ÍTEM PRESUPUESTARIO]],Tabla2[#All],2,0)</f>
        <v>COMBUSTIBLES</v>
      </c>
      <c r="X1057" s="57">
        <v>0</v>
      </c>
      <c r="Y1057" s="57">
        <f>1445.89-292.05-450.01</f>
        <v>703.83000000000015</v>
      </c>
      <c r="Z1057" s="58">
        <v>0</v>
      </c>
      <c r="AA1057" s="58">
        <f t="shared" ref="AA1057:AF1057" si="34">120.49-75.09</f>
        <v>45.399999999999991</v>
      </c>
      <c r="AB1057" s="58">
        <f t="shared" si="34"/>
        <v>45.399999999999991</v>
      </c>
      <c r="AC1057" s="58">
        <f t="shared" si="34"/>
        <v>45.399999999999991</v>
      </c>
      <c r="AD1057" s="58">
        <f t="shared" si="34"/>
        <v>45.399999999999991</v>
      </c>
      <c r="AE1057" s="58">
        <f t="shared" si="34"/>
        <v>45.399999999999991</v>
      </c>
      <c r="AF1057" s="58">
        <f t="shared" si="34"/>
        <v>45.399999999999991</v>
      </c>
      <c r="AG1057" s="58">
        <f>120.49-58.41</f>
        <v>62.08</v>
      </c>
      <c r="AH1057" s="58">
        <f>120.49-58.41</f>
        <v>62.08</v>
      </c>
      <c r="AI1057" s="58">
        <f>120.49-58.41</f>
        <v>62.08</v>
      </c>
      <c r="AJ1057" s="58">
        <f>120.49-58.41+0.52</f>
        <v>62.6</v>
      </c>
      <c r="AK1057" s="58">
        <f>240.99-58.4</f>
        <v>182.59</v>
      </c>
      <c r="AL1057" s="75">
        <f>+SUBTOTAL(9,Tabla6[[#This Row],[ENE]:[DIC]])</f>
        <v>703.82999999999993</v>
      </c>
      <c r="AM1057" s="76" t="str">
        <f t="shared" si="31"/>
        <v>OK</v>
      </c>
      <c r="AN1057" s="60">
        <f>1445.89-292.05-450.01</f>
        <v>703.83000000000015</v>
      </c>
      <c r="AO1057" s="61">
        <f>+Tabla6[[#This Row],[PRESUPUESTO VIGENTE]]-Tabla6[[#This Row],[CERTIFICACIÓN PAPP]]</f>
        <v>0</v>
      </c>
      <c r="AP1057" s="59">
        <v>0</v>
      </c>
    </row>
    <row r="1058" spans="1:42" ht="93" customHeight="1" x14ac:dyDescent="0.25">
      <c r="A1058" s="62" t="s">
        <v>78</v>
      </c>
      <c r="B1058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058" s="64" t="s">
        <v>79</v>
      </c>
      <c r="D1058" s="64" t="s">
        <v>80</v>
      </c>
      <c r="E1058" s="64" t="s">
        <v>81</v>
      </c>
      <c r="F1058" s="64" t="s">
        <v>110</v>
      </c>
      <c r="G1058" s="64" t="s">
        <v>83</v>
      </c>
      <c r="H1058" s="65" t="str">
        <f>VLOOKUP(Tabla6[[#This Row],[DIRECCIÓN]],DIRECCIÓN[#All],2,0)</f>
        <v>ADMINISTRACIÓN CENTRAL</v>
      </c>
      <c r="I1058" s="66" t="s">
        <v>505</v>
      </c>
      <c r="J1058" s="67">
        <v>1</v>
      </c>
      <c r="K1058" s="68" t="str">
        <f>VLOOKUP(Tabla6[[#This Row],[DIRECCIÓN GENERAL / COORDINACIÓN / SUBDIRECCIÓN]],Tabla37[[#All],[Columna1]:[EOD]],2,0)</f>
        <v>266_0006</v>
      </c>
      <c r="L1058" s="69">
        <f>VLOOKUP(Tabla6[[#This Row],[OBJETIVOS PND]],Listas!$A$1:$C$3,3,0)</f>
        <v>1</v>
      </c>
      <c r="M1058" s="70">
        <f>VLOOKUP(Tabla6[[#This Row],[PG]],Listas2!$G$14:$K$16,5,0)</f>
        <v>0</v>
      </c>
      <c r="N1058" s="71">
        <v>1</v>
      </c>
      <c r="O1058" s="72">
        <v>1401</v>
      </c>
      <c r="P1058" s="73" t="str">
        <f>VLOOKUP(Tabla6[[#This Row],[GEO]],Listas!$A$48:$B$77,2,0)</f>
        <v>MACAS</v>
      </c>
      <c r="Q1058" s="70">
        <f>VLOOKUP(Tabla6[[#This Row],[PG]],Listas2!$G$14:$K$16,3,0)</f>
        <v>1</v>
      </c>
      <c r="R1058" s="73">
        <f>VLOOKUP(Tabla6[[#This Row],[PG]],Listas2!H160:'Listas2'!$G$14:$K$16,4,0)</f>
        <v>0</v>
      </c>
      <c r="S1058" s="73">
        <f>VLOOKUP(Tabla6[[#This Row],[PG]],Listas2!$G$14:$K$16,2,0)</f>
        <v>0</v>
      </c>
      <c r="T1058" s="66" t="s">
        <v>84</v>
      </c>
      <c r="U1058" s="74">
        <v>53</v>
      </c>
      <c r="V1058" s="66">
        <v>530255</v>
      </c>
      <c r="W1058" s="63" t="str">
        <f>VLOOKUP(Tabla6[[#This Row],[ÍTEM PRESUPUESTARIO]],Tabla2[#All],2,0)</f>
        <v>COMBUSTIBLES</v>
      </c>
      <c r="X1058" s="57">
        <v>0</v>
      </c>
      <c r="Y1058" s="57">
        <f>475-237.5+238-0.5</f>
        <v>475</v>
      </c>
      <c r="Z1058" s="58">
        <v>0</v>
      </c>
      <c r="AA1058" s="58">
        <v>0</v>
      </c>
      <c r="AB1058" s="58">
        <v>0</v>
      </c>
      <c r="AC1058" s="58">
        <v>0</v>
      </c>
      <c r="AD1058" s="58">
        <v>0</v>
      </c>
      <c r="AE1058" s="58">
        <v>0</v>
      </c>
      <c r="AF1058" s="58">
        <v>0</v>
      </c>
      <c r="AG1058" s="58">
        <v>0</v>
      </c>
      <c r="AH1058" s="58">
        <v>0</v>
      </c>
      <c r="AI1058" s="58">
        <f>475-237.5+238-0.5</f>
        <v>475</v>
      </c>
      <c r="AJ1058" s="58">
        <v>0</v>
      </c>
      <c r="AK1058" s="58">
        <v>0</v>
      </c>
      <c r="AL1058" s="75">
        <f>+SUBTOTAL(9,Tabla6[[#This Row],[ENE]:[DIC]])</f>
        <v>475</v>
      </c>
      <c r="AM1058" s="76" t="str">
        <f t="shared" si="31"/>
        <v>OK</v>
      </c>
      <c r="AN1058" s="60">
        <f>475</f>
        <v>475</v>
      </c>
      <c r="AO1058" s="61">
        <f>+Tabla6[[#This Row],[PRESUPUESTO VIGENTE]]-Tabla6[[#This Row],[CERTIFICACIÓN PAPP]]</f>
        <v>0</v>
      </c>
      <c r="AP1058" s="59">
        <v>0</v>
      </c>
    </row>
    <row r="1059" spans="1:42" ht="93" customHeight="1" x14ac:dyDescent="0.25">
      <c r="A1059" s="62" t="s">
        <v>78</v>
      </c>
      <c r="B1059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059" s="64" t="s">
        <v>79</v>
      </c>
      <c r="D1059" s="64" t="s">
        <v>80</v>
      </c>
      <c r="E1059" s="64" t="s">
        <v>81</v>
      </c>
      <c r="F1059" s="64" t="s">
        <v>110</v>
      </c>
      <c r="G1059" s="64" t="s">
        <v>83</v>
      </c>
      <c r="H1059" s="65" t="str">
        <f>VLOOKUP(Tabla6[[#This Row],[DIRECCIÓN]],DIRECCIÓN[#All],2,0)</f>
        <v>ADMINISTRACIÓN CENTRAL</v>
      </c>
      <c r="I1059" s="66" t="s">
        <v>506</v>
      </c>
      <c r="J1059" s="67">
        <v>1</v>
      </c>
      <c r="K1059" s="68" t="str">
        <f>VLOOKUP(Tabla6[[#This Row],[DIRECCIÓN GENERAL / COORDINACIÓN / SUBDIRECCIÓN]],Tabla37[[#All],[Columna1]:[EOD]],2,0)</f>
        <v>266_0006</v>
      </c>
      <c r="L1059" s="69">
        <f>VLOOKUP(Tabla6[[#This Row],[OBJETIVOS PND]],Listas!$A$1:$C$3,3,0)</f>
        <v>1</v>
      </c>
      <c r="M1059" s="70">
        <f>VLOOKUP(Tabla6[[#This Row],[PG]],Listas2!$G$14:$K$16,5,0)</f>
        <v>0</v>
      </c>
      <c r="N1059" s="71">
        <v>1</v>
      </c>
      <c r="O1059" s="72">
        <v>1401</v>
      </c>
      <c r="P1059" s="73" t="str">
        <f>VLOOKUP(Tabla6[[#This Row],[GEO]],Listas!$A$48:$B$77,2,0)</f>
        <v>MACAS</v>
      </c>
      <c r="Q1059" s="70">
        <f>VLOOKUP(Tabla6[[#This Row],[PG]],Listas2!$G$14:$K$16,3,0)</f>
        <v>1</v>
      </c>
      <c r="R1059" s="73">
        <f>VLOOKUP(Tabla6[[#This Row],[PG]],Listas2!H161:'Listas2'!$G$14:$K$16,4,0)</f>
        <v>0</v>
      </c>
      <c r="S1059" s="73">
        <f>VLOOKUP(Tabla6[[#This Row],[PG]],Listas2!$G$14:$K$16,2,0)</f>
        <v>0</v>
      </c>
      <c r="T1059" s="66" t="s">
        <v>84</v>
      </c>
      <c r="U1059" s="74">
        <v>53</v>
      </c>
      <c r="V1059" s="66">
        <v>530301</v>
      </c>
      <c r="W1059" s="63" t="str">
        <f>VLOOKUP(Tabla6[[#This Row],[ÍTEM PRESUPUESTARIO]],Tabla2[#All],2,0)</f>
        <v>PASAJES AL INTERIOR</v>
      </c>
      <c r="X1059" s="57">
        <v>210</v>
      </c>
      <c r="Y1059" s="57">
        <f>210+100-146.86</f>
        <v>163.13999999999999</v>
      </c>
      <c r="Z1059" s="58">
        <v>0</v>
      </c>
      <c r="AA1059" s="58">
        <v>0</v>
      </c>
      <c r="AB1059" s="58">
        <v>0</v>
      </c>
      <c r="AC1059" s="58">
        <f>70-45</f>
        <v>25</v>
      </c>
      <c r="AD1059" s="58">
        <v>0</v>
      </c>
      <c r="AE1059" s="58">
        <v>0</v>
      </c>
      <c r="AF1059" s="58">
        <f>70-45</f>
        <v>25</v>
      </c>
      <c r="AG1059" s="58">
        <f>33-15</f>
        <v>18</v>
      </c>
      <c r="AH1059" s="58">
        <f>33-15</f>
        <v>18</v>
      </c>
      <c r="AI1059" s="58">
        <v>34</v>
      </c>
      <c r="AJ1059" s="58">
        <f>70-26.86</f>
        <v>43.14</v>
      </c>
      <c r="AK1059" s="58">
        <v>0</v>
      </c>
      <c r="AL1059" s="75">
        <f>+SUBTOTAL(9,Tabla6[[#This Row],[ENE]:[DIC]])</f>
        <v>163.13999999999999</v>
      </c>
      <c r="AM1059" s="76" t="str">
        <f t="shared" si="31"/>
        <v>OK</v>
      </c>
      <c r="AN1059" s="60">
        <f>210-46.86</f>
        <v>163.13999999999999</v>
      </c>
      <c r="AO1059" s="61">
        <f>+Tabla6[[#This Row],[PRESUPUESTO VIGENTE]]-Tabla6[[#This Row],[CERTIFICACIÓN PAPP]]</f>
        <v>0</v>
      </c>
      <c r="AP1059" s="59">
        <v>0</v>
      </c>
    </row>
    <row r="1060" spans="1:42" ht="93" customHeight="1" x14ac:dyDescent="0.25">
      <c r="A1060" s="62" t="s">
        <v>78</v>
      </c>
      <c r="B1060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060" s="64" t="s">
        <v>79</v>
      </c>
      <c r="D1060" s="64" t="s">
        <v>80</v>
      </c>
      <c r="E1060" s="64" t="s">
        <v>81</v>
      </c>
      <c r="F1060" s="64" t="s">
        <v>110</v>
      </c>
      <c r="G1060" s="64" t="s">
        <v>83</v>
      </c>
      <c r="H1060" s="65" t="str">
        <f>VLOOKUP(Tabla6[[#This Row],[DIRECCIÓN]],DIRECCIÓN[#All],2,0)</f>
        <v>ADMINISTRACIÓN CENTRAL</v>
      </c>
      <c r="I1060" s="66" t="s">
        <v>506</v>
      </c>
      <c r="J1060" s="67">
        <v>1</v>
      </c>
      <c r="K1060" s="68" t="str">
        <f>VLOOKUP(Tabla6[[#This Row],[DIRECCIÓN GENERAL / COORDINACIÓN / SUBDIRECCIÓN]],Tabla37[[#All],[Columna1]:[EOD]],2,0)</f>
        <v>266_0006</v>
      </c>
      <c r="L1060" s="69">
        <f>VLOOKUP(Tabla6[[#This Row],[OBJETIVOS PND]],Listas!$A$1:$C$3,3,0)</f>
        <v>1</v>
      </c>
      <c r="M1060" s="70">
        <f>VLOOKUP(Tabla6[[#This Row],[PG]],Listas2!$G$14:$K$16,5,0)</f>
        <v>0</v>
      </c>
      <c r="N1060" s="71">
        <v>1</v>
      </c>
      <c r="O1060" s="72">
        <v>1401</v>
      </c>
      <c r="P1060" s="73" t="str">
        <f>VLOOKUP(Tabla6[[#This Row],[GEO]],Listas!$A$48:$B$77,2,0)</f>
        <v>MACAS</v>
      </c>
      <c r="Q1060" s="70">
        <f>VLOOKUP(Tabla6[[#This Row],[PG]],Listas2!$G$14:$K$16,3,0)</f>
        <v>1</v>
      </c>
      <c r="R1060" s="73">
        <f>VLOOKUP(Tabla6[[#This Row],[PG]],Listas2!H162:'Listas2'!$G$14:$K$16,4,0)</f>
        <v>0</v>
      </c>
      <c r="S1060" s="73">
        <f>VLOOKUP(Tabla6[[#This Row],[PG]],Listas2!$G$14:$K$16,2,0)</f>
        <v>0</v>
      </c>
      <c r="T1060" s="66" t="s">
        <v>84</v>
      </c>
      <c r="U1060" s="74">
        <v>53</v>
      </c>
      <c r="V1060" s="66">
        <v>530303</v>
      </c>
      <c r="W1060" s="63" t="str">
        <f>VLOOKUP(Tabla6[[#This Row],[ÍTEM PRESUPUESTARIO]],Tabla2[#All],2,0)</f>
        <v>VIÁTICOS Y SUBSISTENCIAS EN EL INTERIOR</v>
      </c>
      <c r="X1060" s="57">
        <v>1950</v>
      </c>
      <c r="Y1060" s="57">
        <f>1950+1100-177.5-13.92-653.4</f>
        <v>2205.1799999999998</v>
      </c>
      <c r="Z1060" s="58">
        <v>0</v>
      </c>
      <c r="AA1060" s="58">
        <v>0</v>
      </c>
      <c r="AB1060" s="58">
        <v>0</v>
      </c>
      <c r="AC1060" s="58">
        <f>650-300</f>
        <v>350</v>
      </c>
      <c r="AD1060" s="58">
        <v>0</v>
      </c>
      <c r="AE1060" s="58">
        <v>0</v>
      </c>
      <c r="AF1060" s="58">
        <f>650-300</f>
        <v>350</v>
      </c>
      <c r="AG1060" s="58">
        <v>366</v>
      </c>
      <c r="AH1060" s="58">
        <v>366</v>
      </c>
      <c r="AI1060" s="58">
        <v>368</v>
      </c>
      <c r="AJ1060" s="58">
        <f>650-177.5-13.92-53.4</f>
        <v>405.18</v>
      </c>
      <c r="AK1060" s="58">
        <v>0</v>
      </c>
      <c r="AL1060" s="75">
        <f>+SUBTOTAL(9,Tabla6[[#This Row],[ENE]:[DIC]])</f>
        <v>2205.1799999999998</v>
      </c>
      <c r="AM1060" s="76" t="str">
        <f t="shared" si="31"/>
        <v>OK</v>
      </c>
      <c r="AN1060" s="60">
        <f>1950-175.35+1070-639.47</f>
        <v>2205.1800000000003</v>
      </c>
      <c r="AO1060" s="61">
        <f>+Tabla6[[#This Row],[PRESUPUESTO VIGENTE]]-Tabla6[[#This Row],[CERTIFICACIÓN PAPP]]</f>
        <v>0</v>
      </c>
      <c r="AP1060" s="59">
        <v>0</v>
      </c>
    </row>
    <row r="1061" spans="1:42" ht="93" customHeight="1" x14ac:dyDescent="0.25">
      <c r="A1061" s="62" t="s">
        <v>78</v>
      </c>
      <c r="B1061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061" s="64" t="s">
        <v>79</v>
      </c>
      <c r="D1061" s="64" t="s">
        <v>80</v>
      </c>
      <c r="E1061" s="64" t="s">
        <v>81</v>
      </c>
      <c r="F1061" s="64" t="s">
        <v>110</v>
      </c>
      <c r="G1061" s="64" t="s">
        <v>83</v>
      </c>
      <c r="H1061" s="65" t="str">
        <f>VLOOKUP(Tabla6[[#This Row],[DIRECCIÓN]],DIRECCIÓN[#All],2,0)</f>
        <v>ADMINISTRACIÓN CENTRAL</v>
      </c>
      <c r="I1061" s="66" t="s">
        <v>507</v>
      </c>
      <c r="J1061" s="67">
        <v>1</v>
      </c>
      <c r="K1061" s="68" t="str">
        <f>VLOOKUP(Tabla6[[#This Row],[DIRECCIÓN GENERAL / COORDINACIÓN / SUBDIRECCIÓN]],Tabla37[[#All],[Columna1]:[EOD]],2,0)</f>
        <v>266_0006</v>
      </c>
      <c r="L1061" s="69">
        <f>VLOOKUP(Tabla6[[#This Row],[OBJETIVOS PND]],Listas!$A$1:$C$3,3,0)</f>
        <v>1</v>
      </c>
      <c r="M1061" s="70">
        <f>VLOOKUP(Tabla6[[#This Row],[PG]],Listas2!$G$14:$K$16,5,0)</f>
        <v>0</v>
      </c>
      <c r="N1061" s="71">
        <v>1</v>
      </c>
      <c r="O1061" s="72">
        <v>1401</v>
      </c>
      <c r="P1061" s="73" t="str">
        <f>VLOOKUP(Tabla6[[#This Row],[GEO]],Listas!$A$48:$B$77,2,0)</f>
        <v>MACAS</v>
      </c>
      <c r="Q1061" s="70">
        <f>VLOOKUP(Tabla6[[#This Row],[PG]],Listas2!$G$14:$K$16,3,0)</f>
        <v>1</v>
      </c>
      <c r="R1061" s="73">
        <f>VLOOKUP(Tabla6[[#This Row],[PG]],Listas2!H163:'Listas2'!$G$14:$K$16,4,0)</f>
        <v>0</v>
      </c>
      <c r="S1061" s="73">
        <f>VLOOKUP(Tabla6[[#This Row],[PG]],Listas2!$G$14:$K$16,2,0)</f>
        <v>0</v>
      </c>
      <c r="T1061" s="66" t="s">
        <v>84</v>
      </c>
      <c r="U1061" s="74">
        <v>53</v>
      </c>
      <c r="V1061" s="66">
        <v>530402</v>
      </c>
      <c r="W1061" s="63" t="str">
        <f>VLOOKUP(Tabla6[[#This Row],[ÍTEM PRESUPUESTARIO]],Tabla2[#All],2,0)</f>
        <v>EDIFICIOS, LOCALES, RESIDENCIAS Y CABLEADO ESTRUCTURADO (INSTALACIÓN, MANTENIMIENTO Y REPARACIÓN)</v>
      </c>
      <c r="X1061" s="57">
        <v>2412</v>
      </c>
      <c r="Y1061" s="57">
        <f>2412-2412</f>
        <v>0</v>
      </c>
      <c r="Z1061" s="58">
        <v>0</v>
      </c>
      <c r="AA1061" s="58">
        <v>0</v>
      </c>
      <c r="AB1061" s="58">
        <v>0</v>
      </c>
      <c r="AC1061" s="58">
        <v>0</v>
      </c>
      <c r="AD1061" s="58">
        <v>0</v>
      </c>
      <c r="AE1061" s="58">
        <v>0</v>
      </c>
      <c r="AF1061" s="58">
        <v>0</v>
      </c>
      <c r="AG1061" s="58">
        <v>0</v>
      </c>
      <c r="AH1061" s="58">
        <v>0</v>
      </c>
      <c r="AI1061" s="58">
        <v>0</v>
      </c>
      <c r="AJ1061" s="58">
        <v>0</v>
      </c>
      <c r="AK1061" s="58">
        <v>0</v>
      </c>
      <c r="AL1061" s="75">
        <f>+SUBTOTAL(9,Tabla6[[#This Row],[ENE]:[DIC]])</f>
        <v>0</v>
      </c>
      <c r="AM1061" s="76" t="str">
        <f t="shared" si="31"/>
        <v>OK</v>
      </c>
      <c r="AN1061" s="60">
        <v>0</v>
      </c>
      <c r="AO1061" s="61">
        <f>+Tabla6[[#This Row],[PRESUPUESTO VIGENTE]]-Tabla6[[#This Row],[CERTIFICACIÓN PAPP]]</f>
        <v>0</v>
      </c>
      <c r="AP1061" s="59">
        <v>0</v>
      </c>
    </row>
    <row r="1062" spans="1:42" ht="93" customHeight="1" x14ac:dyDescent="0.25">
      <c r="A1062" s="62" t="s">
        <v>78</v>
      </c>
      <c r="B1062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062" s="64" t="s">
        <v>79</v>
      </c>
      <c r="D1062" s="64" t="s">
        <v>80</v>
      </c>
      <c r="E1062" s="64" t="s">
        <v>81</v>
      </c>
      <c r="F1062" s="64" t="s">
        <v>110</v>
      </c>
      <c r="G1062" s="64" t="s">
        <v>83</v>
      </c>
      <c r="H1062" s="65" t="str">
        <f>VLOOKUP(Tabla6[[#This Row],[DIRECCIÓN]],DIRECCIÓN[#All],2,0)</f>
        <v>ADMINISTRACIÓN CENTRAL</v>
      </c>
      <c r="I1062" s="66" t="s">
        <v>508</v>
      </c>
      <c r="J1062" s="67">
        <v>1</v>
      </c>
      <c r="K1062" s="68" t="str">
        <f>VLOOKUP(Tabla6[[#This Row],[DIRECCIÓN GENERAL / COORDINACIÓN / SUBDIRECCIÓN]],Tabla37[[#All],[Columna1]:[EOD]],2,0)</f>
        <v>266_0006</v>
      </c>
      <c r="L1062" s="69">
        <f>VLOOKUP(Tabla6[[#This Row],[OBJETIVOS PND]],Listas!$A$1:$C$3,3,0)</f>
        <v>1</v>
      </c>
      <c r="M1062" s="70">
        <f>VLOOKUP(Tabla6[[#This Row],[PG]],Listas2!$G$14:$K$16,5,0)</f>
        <v>0</v>
      </c>
      <c r="N1062" s="71">
        <v>1</v>
      </c>
      <c r="O1062" s="72">
        <v>1401</v>
      </c>
      <c r="P1062" s="73" t="str">
        <f>VLOOKUP(Tabla6[[#This Row],[GEO]],Listas!$A$48:$B$77,2,0)</f>
        <v>MACAS</v>
      </c>
      <c r="Q1062" s="70">
        <f>VLOOKUP(Tabla6[[#This Row],[PG]],Listas2!$G$14:$K$16,3,0)</f>
        <v>1</v>
      </c>
      <c r="R1062" s="73">
        <f>VLOOKUP(Tabla6[[#This Row],[PG]],Listas2!H164:'Listas2'!$G$14:$K$16,4,0)</f>
        <v>0</v>
      </c>
      <c r="S1062" s="73">
        <f>VLOOKUP(Tabla6[[#This Row],[PG]],Listas2!$G$14:$K$16,2,0)</f>
        <v>0</v>
      </c>
      <c r="T1062" s="66" t="s">
        <v>84</v>
      </c>
      <c r="U1062" s="74">
        <v>53</v>
      </c>
      <c r="V1062" s="66">
        <v>530402</v>
      </c>
      <c r="W1062" s="63" t="str">
        <f>VLOOKUP(Tabla6[[#This Row],[ÍTEM PRESUPUESTARIO]],Tabla2[#All],2,0)</f>
        <v>EDIFICIOS, LOCALES, RESIDENCIAS Y CABLEADO ESTRUCTURADO (INSTALACIÓN, MANTENIMIENTO Y REPARACIÓN)</v>
      </c>
      <c r="X1062" s="57">
        <v>23520</v>
      </c>
      <c r="Y1062" s="57">
        <f>23520-23520</f>
        <v>0</v>
      </c>
      <c r="Z1062" s="58">
        <v>0</v>
      </c>
      <c r="AA1062" s="58">
        <v>0</v>
      </c>
      <c r="AB1062" s="58">
        <v>0</v>
      </c>
      <c r="AC1062" s="58">
        <v>0</v>
      </c>
      <c r="AD1062" s="58">
        <v>0</v>
      </c>
      <c r="AE1062" s="58">
        <v>0</v>
      </c>
      <c r="AF1062" s="58">
        <v>0</v>
      </c>
      <c r="AG1062" s="58">
        <v>0</v>
      </c>
      <c r="AH1062" s="58">
        <v>0</v>
      </c>
      <c r="AI1062" s="58">
        <v>0</v>
      </c>
      <c r="AJ1062" s="58">
        <v>0</v>
      </c>
      <c r="AK1062" s="58">
        <v>0</v>
      </c>
      <c r="AL1062" s="75">
        <f>+SUBTOTAL(9,Tabla6[[#This Row],[ENE]:[DIC]])</f>
        <v>0</v>
      </c>
      <c r="AM1062" s="76" t="str">
        <f t="shared" si="31"/>
        <v>OK</v>
      </c>
      <c r="AN1062" s="60">
        <v>0</v>
      </c>
      <c r="AO1062" s="61">
        <f>+Tabla6[[#This Row],[PRESUPUESTO VIGENTE]]-Tabla6[[#This Row],[CERTIFICACIÓN PAPP]]</f>
        <v>0</v>
      </c>
      <c r="AP1062" s="59">
        <v>0</v>
      </c>
    </row>
    <row r="1063" spans="1:42" ht="93" customHeight="1" x14ac:dyDescent="0.25">
      <c r="A1063" s="62" t="s">
        <v>78</v>
      </c>
      <c r="B1063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063" s="64" t="s">
        <v>79</v>
      </c>
      <c r="D1063" s="64" t="s">
        <v>80</v>
      </c>
      <c r="E1063" s="64" t="s">
        <v>81</v>
      </c>
      <c r="F1063" s="64" t="s">
        <v>110</v>
      </c>
      <c r="G1063" s="64" t="s">
        <v>83</v>
      </c>
      <c r="H1063" s="65" t="str">
        <f>VLOOKUP(Tabla6[[#This Row],[DIRECCIÓN]],DIRECCIÓN[#All],2,0)</f>
        <v>ADMINISTRACIÓN CENTRAL</v>
      </c>
      <c r="I1063" s="66" t="s">
        <v>509</v>
      </c>
      <c r="J1063" s="67">
        <v>1</v>
      </c>
      <c r="K1063" s="68" t="str">
        <f>VLOOKUP(Tabla6[[#This Row],[DIRECCIÓN GENERAL / COORDINACIÓN / SUBDIRECCIÓN]],Tabla37[[#All],[Columna1]:[EOD]],2,0)</f>
        <v>266_0006</v>
      </c>
      <c r="L1063" s="69">
        <f>VLOOKUP(Tabla6[[#This Row],[OBJETIVOS PND]],Listas!$A$1:$C$3,3,0)</f>
        <v>1</v>
      </c>
      <c r="M1063" s="70">
        <f>VLOOKUP(Tabla6[[#This Row],[PG]],Listas2!$G$14:$K$16,5,0)</f>
        <v>0</v>
      </c>
      <c r="N1063" s="71">
        <v>1</v>
      </c>
      <c r="O1063" s="72">
        <v>1401</v>
      </c>
      <c r="P1063" s="73" t="str">
        <f>VLOOKUP(Tabla6[[#This Row],[GEO]],Listas!$A$48:$B$77,2,0)</f>
        <v>MACAS</v>
      </c>
      <c r="Q1063" s="70">
        <f>VLOOKUP(Tabla6[[#This Row],[PG]],Listas2!$G$14:$K$16,3,0)</f>
        <v>1</v>
      </c>
      <c r="R1063" s="73">
        <f>VLOOKUP(Tabla6[[#This Row],[PG]],Listas2!H165:'Listas2'!$G$14:$K$16,4,0)</f>
        <v>0</v>
      </c>
      <c r="S1063" s="73">
        <f>VLOOKUP(Tabla6[[#This Row],[PG]],Listas2!$G$14:$K$16,2,0)</f>
        <v>0</v>
      </c>
      <c r="T1063" s="66" t="s">
        <v>84</v>
      </c>
      <c r="U1063" s="74">
        <v>53</v>
      </c>
      <c r="V1063" s="66">
        <v>530402</v>
      </c>
      <c r="W1063" s="63" t="str">
        <f>VLOOKUP(Tabla6[[#This Row],[ÍTEM PRESUPUESTARIO]],Tabla2[#All],2,0)</f>
        <v>EDIFICIOS, LOCALES, RESIDENCIAS Y CABLEADO ESTRUCTURADO (INSTALACIÓN, MANTENIMIENTO Y REPARACIÓN)</v>
      </c>
      <c r="X1063" s="57">
        <v>16800</v>
      </c>
      <c r="Y1063" s="57">
        <f>16800-16800</f>
        <v>0</v>
      </c>
      <c r="Z1063" s="58">
        <v>0</v>
      </c>
      <c r="AA1063" s="58">
        <v>0</v>
      </c>
      <c r="AB1063" s="58">
        <v>0</v>
      </c>
      <c r="AC1063" s="58">
        <v>0</v>
      </c>
      <c r="AD1063" s="58">
        <v>0</v>
      </c>
      <c r="AE1063" s="58">
        <v>0</v>
      </c>
      <c r="AF1063" s="58">
        <v>0</v>
      </c>
      <c r="AG1063" s="58">
        <v>0</v>
      </c>
      <c r="AH1063" s="58">
        <v>0</v>
      </c>
      <c r="AI1063" s="58">
        <v>0</v>
      </c>
      <c r="AJ1063" s="58">
        <v>0</v>
      </c>
      <c r="AK1063" s="58">
        <v>0</v>
      </c>
      <c r="AL1063" s="75">
        <f>+SUBTOTAL(9,Tabla6[[#This Row],[ENE]:[DIC]])</f>
        <v>0</v>
      </c>
      <c r="AM1063" s="76" t="str">
        <f t="shared" si="31"/>
        <v>OK</v>
      </c>
      <c r="AN1063" s="60">
        <v>0</v>
      </c>
      <c r="AO1063" s="61">
        <f>+Tabla6[[#This Row],[PRESUPUESTO VIGENTE]]-Tabla6[[#This Row],[CERTIFICACIÓN PAPP]]</f>
        <v>0</v>
      </c>
      <c r="AP1063" s="59">
        <v>0</v>
      </c>
    </row>
    <row r="1064" spans="1:42" ht="93" customHeight="1" x14ac:dyDescent="0.25">
      <c r="A1064" s="62" t="s">
        <v>78</v>
      </c>
      <c r="B1064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064" s="64" t="s">
        <v>79</v>
      </c>
      <c r="D1064" s="64" t="s">
        <v>80</v>
      </c>
      <c r="E1064" s="64" t="s">
        <v>81</v>
      </c>
      <c r="F1064" s="64" t="s">
        <v>110</v>
      </c>
      <c r="G1064" s="64" t="s">
        <v>83</v>
      </c>
      <c r="H1064" s="65" t="str">
        <f>VLOOKUP(Tabla6[[#This Row],[DIRECCIÓN]],DIRECCIÓN[#All],2,0)</f>
        <v>ADMINISTRACIÓN CENTRAL</v>
      </c>
      <c r="I1064" s="66" t="s">
        <v>510</v>
      </c>
      <c r="J1064" s="67">
        <v>1</v>
      </c>
      <c r="K1064" s="68" t="str">
        <f>VLOOKUP(Tabla6[[#This Row],[DIRECCIÓN GENERAL / COORDINACIÓN / SUBDIRECCIÓN]],Tabla37[[#All],[Columna1]:[EOD]],2,0)</f>
        <v>266_0006</v>
      </c>
      <c r="L1064" s="69">
        <f>VLOOKUP(Tabla6[[#This Row],[OBJETIVOS PND]],Listas!$A$1:$C$3,3,0)</f>
        <v>1</v>
      </c>
      <c r="M1064" s="70">
        <f>VLOOKUP(Tabla6[[#This Row],[PG]],Listas2!$G$14:$K$16,5,0)</f>
        <v>0</v>
      </c>
      <c r="N1064" s="71">
        <v>1</v>
      </c>
      <c r="O1064" s="72">
        <v>1401</v>
      </c>
      <c r="P1064" s="73" t="str">
        <f>VLOOKUP(Tabla6[[#This Row],[GEO]],Listas!$A$48:$B$77,2,0)</f>
        <v>MACAS</v>
      </c>
      <c r="Q1064" s="70">
        <f>VLOOKUP(Tabla6[[#This Row],[PG]],Listas2!$G$14:$K$16,3,0)</f>
        <v>1</v>
      </c>
      <c r="R1064" s="73">
        <f>VLOOKUP(Tabla6[[#This Row],[PG]],Listas2!H166:'Listas2'!$G$14:$K$16,4,0)</f>
        <v>0</v>
      </c>
      <c r="S1064" s="73">
        <f>VLOOKUP(Tabla6[[#This Row],[PG]],Listas2!$G$14:$K$16,2,0)</f>
        <v>0</v>
      </c>
      <c r="T1064" s="66" t="s">
        <v>84</v>
      </c>
      <c r="U1064" s="74">
        <v>53</v>
      </c>
      <c r="V1064" s="66">
        <v>530402</v>
      </c>
      <c r="W1064" s="63" t="str">
        <f>VLOOKUP(Tabla6[[#This Row],[ÍTEM PRESUPUESTARIO]],Tabla2[#All],2,0)</f>
        <v>EDIFICIOS, LOCALES, RESIDENCIAS Y CABLEADO ESTRUCTURADO (INSTALACIÓN, MANTENIMIENTO Y REPARACIÓN)</v>
      </c>
      <c r="X1064" s="57">
        <v>0</v>
      </c>
      <c r="Y1064" s="57">
        <f>500-250-250</f>
        <v>0</v>
      </c>
      <c r="Z1064" s="58">
        <v>0</v>
      </c>
      <c r="AA1064" s="58">
        <v>0</v>
      </c>
      <c r="AB1064" s="58">
        <v>0</v>
      </c>
      <c r="AC1064" s="58">
        <v>0</v>
      </c>
      <c r="AD1064" s="58">
        <v>0</v>
      </c>
      <c r="AE1064" s="58">
        <v>0</v>
      </c>
      <c r="AF1064" s="58">
        <v>0</v>
      </c>
      <c r="AG1064" s="58">
        <v>0</v>
      </c>
      <c r="AH1064" s="58">
        <v>0</v>
      </c>
      <c r="AI1064" s="58">
        <v>0</v>
      </c>
      <c r="AJ1064" s="58">
        <f>500-250-250</f>
        <v>0</v>
      </c>
      <c r="AK1064" s="58">
        <v>0</v>
      </c>
      <c r="AL1064" s="75">
        <f>+SUBTOTAL(9,Tabla6[[#This Row],[ENE]:[DIC]])</f>
        <v>0</v>
      </c>
      <c r="AM1064" s="76" t="str">
        <f t="shared" si="31"/>
        <v>OK</v>
      </c>
      <c r="AN1064" s="60">
        <v>0</v>
      </c>
      <c r="AO1064" s="61">
        <f>+Tabla6[[#This Row],[PRESUPUESTO VIGENTE]]-Tabla6[[#This Row],[CERTIFICACIÓN PAPP]]</f>
        <v>0</v>
      </c>
      <c r="AP1064" s="59">
        <v>0</v>
      </c>
    </row>
    <row r="1065" spans="1:42" ht="93" customHeight="1" x14ac:dyDescent="0.25">
      <c r="A1065" s="62" t="s">
        <v>78</v>
      </c>
      <c r="B1065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065" s="64" t="s">
        <v>79</v>
      </c>
      <c r="D1065" s="64" t="s">
        <v>80</v>
      </c>
      <c r="E1065" s="64" t="s">
        <v>81</v>
      </c>
      <c r="F1065" s="64" t="s">
        <v>110</v>
      </c>
      <c r="G1065" s="64" t="s">
        <v>83</v>
      </c>
      <c r="H1065" s="65" t="str">
        <f>VLOOKUP(Tabla6[[#This Row],[DIRECCIÓN]],DIRECCIÓN[#All],2,0)</f>
        <v>ADMINISTRACIÓN CENTRAL</v>
      </c>
      <c r="I1065" s="66" t="s">
        <v>511</v>
      </c>
      <c r="J1065" s="67">
        <v>1</v>
      </c>
      <c r="K1065" s="68" t="str">
        <f>VLOOKUP(Tabla6[[#This Row],[DIRECCIÓN GENERAL / COORDINACIÓN / SUBDIRECCIÓN]],Tabla37[[#All],[Columna1]:[EOD]],2,0)</f>
        <v>266_0006</v>
      </c>
      <c r="L1065" s="69">
        <f>VLOOKUP(Tabla6[[#This Row],[OBJETIVOS PND]],Listas!$A$1:$C$3,3,0)</f>
        <v>1</v>
      </c>
      <c r="M1065" s="70">
        <f>VLOOKUP(Tabla6[[#This Row],[PG]],Listas2!$G$14:$K$16,5,0)</f>
        <v>0</v>
      </c>
      <c r="N1065" s="71">
        <v>1</v>
      </c>
      <c r="O1065" s="72">
        <v>1401</v>
      </c>
      <c r="P1065" s="73" t="str">
        <f>VLOOKUP(Tabla6[[#This Row],[GEO]],Listas!$A$48:$B$77,2,0)</f>
        <v>MACAS</v>
      </c>
      <c r="Q1065" s="70">
        <f>VLOOKUP(Tabla6[[#This Row],[PG]],Listas2!$G$14:$K$16,3,0)</f>
        <v>1</v>
      </c>
      <c r="R1065" s="73">
        <f>VLOOKUP(Tabla6[[#This Row],[PG]],Listas2!H167:'Listas2'!$G$14:$K$16,4,0)</f>
        <v>0</v>
      </c>
      <c r="S1065" s="73">
        <f>VLOOKUP(Tabla6[[#This Row],[PG]],Listas2!$G$14:$K$16,2,0)</f>
        <v>0</v>
      </c>
      <c r="T1065" s="66" t="s">
        <v>84</v>
      </c>
      <c r="U1065" s="74">
        <v>53</v>
      </c>
      <c r="V1065" s="66">
        <v>530402</v>
      </c>
      <c r="W1065" s="63" t="str">
        <f>VLOOKUP(Tabla6[[#This Row],[ÍTEM PRESUPUESTARIO]],Tabla2[#All],2,0)</f>
        <v>EDIFICIOS, LOCALES, RESIDENCIAS Y CABLEADO ESTRUCTURADO (INSTALACIÓN, MANTENIMIENTO Y REPARACIÓN)</v>
      </c>
      <c r="X1065" s="57">
        <v>13000</v>
      </c>
      <c r="Y1065" s="57">
        <f>13000-13000</f>
        <v>0</v>
      </c>
      <c r="Z1065" s="58">
        <v>0</v>
      </c>
      <c r="AA1065" s="58">
        <v>0</v>
      </c>
      <c r="AB1065" s="58">
        <v>0</v>
      </c>
      <c r="AC1065" s="58">
        <v>0</v>
      </c>
      <c r="AD1065" s="58">
        <v>0</v>
      </c>
      <c r="AE1065" s="58">
        <v>0</v>
      </c>
      <c r="AF1065" s="58">
        <v>0</v>
      </c>
      <c r="AG1065" s="58">
        <v>0</v>
      </c>
      <c r="AH1065" s="58">
        <v>0</v>
      </c>
      <c r="AI1065" s="58">
        <v>0</v>
      </c>
      <c r="AJ1065" s="58">
        <v>0</v>
      </c>
      <c r="AK1065" s="58">
        <v>0</v>
      </c>
      <c r="AL1065" s="75">
        <f>+SUBTOTAL(9,Tabla6[[#This Row],[ENE]:[DIC]])</f>
        <v>0</v>
      </c>
      <c r="AM1065" s="76" t="str">
        <f t="shared" si="31"/>
        <v>OK</v>
      </c>
      <c r="AN1065" s="60">
        <v>0</v>
      </c>
      <c r="AO1065" s="61">
        <f>+Tabla6[[#This Row],[PRESUPUESTO VIGENTE]]-Tabla6[[#This Row],[CERTIFICACIÓN PAPP]]</f>
        <v>0</v>
      </c>
      <c r="AP1065" s="59">
        <v>0</v>
      </c>
    </row>
    <row r="1066" spans="1:42" ht="93" customHeight="1" x14ac:dyDescent="0.25">
      <c r="A1066" s="62" t="s">
        <v>78</v>
      </c>
      <c r="B1066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066" s="64" t="s">
        <v>79</v>
      </c>
      <c r="D1066" s="64" t="s">
        <v>80</v>
      </c>
      <c r="E1066" s="64" t="s">
        <v>81</v>
      </c>
      <c r="F1066" s="64" t="s">
        <v>110</v>
      </c>
      <c r="G1066" s="64" t="s">
        <v>83</v>
      </c>
      <c r="H1066" s="65" t="str">
        <f>VLOOKUP(Tabla6[[#This Row],[DIRECCIÓN]],DIRECCIÓN[#All],2,0)</f>
        <v>ADMINISTRACIÓN CENTRAL</v>
      </c>
      <c r="I1066" s="66" t="s">
        <v>512</v>
      </c>
      <c r="J1066" s="67">
        <v>1</v>
      </c>
      <c r="K1066" s="68" t="str">
        <f>VLOOKUP(Tabla6[[#This Row],[DIRECCIÓN GENERAL / COORDINACIÓN / SUBDIRECCIÓN]],Tabla37[[#All],[Columna1]:[EOD]],2,0)</f>
        <v>266_0006</v>
      </c>
      <c r="L1066" s="69">
        <f>VLOOKUP(Tabla6[[#This Row],[OBJETIVOS PND]],Listas!$A$1:$C$3,3,0)</f>
        <v>1</v>
      </c>
      <c r="M1066" s="70">
        <f>VLOOKUP(Tabla6[[#This Row],[PG]],Listas2!$G$14:$K$16,5,0)</f>
        <v>0</v>
      </c>
      <c r="N1066" s="71">
        <v>1</v>
      </c>
      <c r="O1066" s="72">
        <v>1401</v>
      </c>
      <c r="P1066" s="73" t="str">
        <f>VLOOKUP(Tabla6[[#This Row],[GEO]],Listas!$A$48:$B$77,2,0)</f>
        <v>MACAS</v>
      </c>
      <c r="Q1066" s="70">
        <f>VLOOKUP(Tabla6[[#This Row],[PG]],Listas2!$G$14:$K$16,3,0)</f>
        <v>1</v>
      </c>
      <c r="R1066" s="73">
        <f>VLOOKUP(Tabla6[[#This Row],[PG]],Listas2!H168:'Listas2'!$G$14:$K$16,4,0)</f>
        <v>0</v>
      </c>
      <c r="S1066" s="73">
        <f>VLOOKUP(Tabla6[[#This Row],[PG]],Listas2!$G$14:$K$16,2,0)</f>
        <v>0</v>
      </c>
      <c r="T1066" s="66" t="s">
        <v>84</v>
      </c>
      <c r="U1066" s="74">
        <v>53</v>
      </c>
      <c r="V1066" s="66">
        <v>530402</v>
      </c>
      <c r="W1066" s="63" t="str">
        <f>VLOOKUP(Tabla6[[#This Row],[ÍTEM PRESUPUESTARIO]],Tabla2[#All],2,0)</f>
        <v>EDIFICIOS, LOCALES, RESIDENCIAS Y CABLEADO ESTRUCTURADO (INSTALACIÓN, MANTENIMIENTO Y REPARACIÓN)</v>
      </c>
      <c r="X1066" s="57">
        <v>0</v>
      </c>
      <c r="Y1066" s="57">
        <f>5700+250+250-6200</f>
        <v>0</v>
      </c>
      <c r="Z1066" s="58">
        <v>0</v>
      </c>
      <c r="AA1066" s="58">
        <v>0</v>
      </c>
      <c r="AB1066" s="58">
        <v>0</v>
      </c>
      <c r="AC1066" s="58">
        <v>0</v>
      </c>
      <c r="AD1066" s="58">
        <v>0</v>
      </c>
      <c r="AE1066" s="58">
        <v>0</v>
      </c>
      <c r="AF1066" s="58">
        <v>0</v>
      </c>
      <c r="AG1066" s="58">
        <v>0</v>
      </c>
      <c r="AH1066" s="58">
        <v>0</v>
      </c>
      <c r="AI1066" s="58">
        <v>0</v>
      </c>
      <c r="AJ1066" s="58">
        <v>0</v>
      </c>
      <c r="AK1066" s="58">
        <f>5950+250-6200</f>
        <v>0</v>
      </c>
      <c r="AL1066" s="75">
        <f>+SUBTOTAL(9,Tabla6[[#This Row],[ENE]:[DIC]])</f>
        <v>0</v>
      </c>
      <c r="AM1066" s="76" t="str">
        <f t="shared" si="31"/>
        <v>OK</v>
      </c>
      <c r="AN1066" s="60">
        <f>6200-6200</f>
        <v>0</v>
      </c>
      <c r="AO1066" s="61">
        <f>+Tabla6[[#This Row],[PRESUPUESTO VIGENTE]]-Tabla6[[#This Row],[CERTIFICACIÓN PAPP]]</f>
        <v>0</v>
      </c>
      <c r="AP1066" s="59">
        <v>0</v>
      </c>
    </row>
    <row r="1067" spans="1:42" ht="93" customHeight="1" x14ac:dyDescent="0.25">
      <c r="A1067" s="62" t="s">
        <v>78</v>
      </c>
      <c r="B1067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067" s="64" t="s">
        <v>79</v>
      </c>
      <c r="D1067" s="64" t="s">
        <v>80</v>
      </c>
      <c r="E1067" s="64" t="s">
        <v>81</v>
      </c>
      <c r="F1067" s="64" t="s">
        <v>110</v>
      </c>
      <c r="G1067" s="64" t="s">
        <v>83</v>
      </c>
      <c r="H1067" s="65" t="str">
        <f>VLOOKUP(Tabla6[[#This Row],[DIRECCIÓN]],DIRECCIÓN[#All],2,0)</f>
        <v>ADMINISTRACIÓN CENTRAL</v>
      </c>
      <c r="I1067" s="66" t="s">
        <v>513</v>
      </c>
      <c r="J1067" s="67">
        <v>1</v>
      </c>
      <c r="K1067" s="68" t="str">
        <f>VLOOKUP(Tabla6[[#This Row],[DIRECCIÓN GENERAL / COORDINACIÓN / SUBDIRECCIÓN]],Tabla37[[#All],[Columna1]:[EOD]],2,0)</f>
        <v>266_0006</v>
      </c>
      <c r="L1067" s="69">
        <f>VLOOKUP(Tabla6[[#This Row],[OBJETIVOS PND]],Listas!$A$1:$C$3,3,0)</f>
        <v>1</v>
      </c>
      <c r="M1067" s="70">
        <f>VLOOKUP(Tabla6[[#This Row],[PG]],Listas2!$G$14:$K$16,5,0)</f>
        <v>0</v>
      </c>
      <c r="N1067" s="71">
        <v>1</v>
      </c>
      <c r="O1067" s="72">
        <v>1401</v>
      </c>
      <c r="P1067" s="73" t="str">
        <f>VLOOKUP(Tabla6[[#This Row],[GEO]],Listas!$A$48:$B$77,2,0)</f>
        <v>MACAS</v>
      </c>
      <c r="Q1067" s="70">
        <f>VLOOKUP(Tabla6[[#This Row],[PG]],Listas2!$G$14:$K$16,3,0)</f>
        <v>1</v>
      </c>
      <c r="R1067" s="73">
        <f>VLOOKUP(Tabla6[[#This Row],[PG]],Listas2!H169:'Listas2'!$G$14:$K$16,4,0)</f>
        <v>0</v>
      </c>
      <c r="S1067" s="73">
        <f>VLOOKUP(Tabla6[[#This Row],[PG]],Listas2!$G$14:$K$16,2,0)</f>
        <v>0</v>
      </c>
      <c r="T1067" s="66" t="s">
        <v>84</v>
      </c>
      <c r="U1067" s="74">
        <v>53</v>
      </c>
      <c r="V1067" s="66">
        <v>530403</v>
      </c>
      <c r="W1067" s="63" t="str">
        <f>VLOOKUP(Tabla6[[#This Row],[ÍTEM PRESUPUESTARIO]],Tabla2[#All],2,0)</f>
        <v>MOBILIARIOS (INSTALACIÓN, MANTENIMIENTO Y REPARACIÓN)</v>
      </c>
      <c r="X1067" s="57">
        <v>0</v>
      </c>
      <c r="Y1067" s="57">
        <f>6200-5000-1200</f>
        <v>0</v>
      </c>
      <c r="Z1067" s="58">
        <v>0</v>
      </c>
      <c r="AA1067" s="58">
        <v>0</v>
      </c>
      <c r="AB1067" s="58">
        <v>0</v>
      </c>
      <c r="AC1067" s="58">
        <v>0</v>
      </c>
      <c r="AD1067" s="58">
        <v>0</v>
      </c>
      <c r="AE1067" s="58">
        <v>0</v>
      </c>
      <c r="AF1067" s="58">
        <v>0</v>
      </c>
      <c r="AG1067" s="58">
        <v>0</v>
      </c>
      <c r="AH1067" s="58">
        <v>0</v>
      </c>
      <c r="AI1067" s="58">
        <v>0</v>
      </c>
      <c r="AJ1067" s="58">
        <v>0</v>
      </c>
      <c r="AK1067" s="58">
        <f>6200-5000-1200</f>
        <v>0</v>
      </c>
      <c r="AL1067" s="75">
        <f>+SUBTOTAL(9,Tabla6[[#This Row],[ENE]:[DIC]])</f>
        <v>0</v>
      </c>
      <c r="AM1067" s="76" t="str">
        <f t="shared" si="31"/>
        <v>OK</v>
      </c>
      <c r="AN1067" s="60">
        <v>0</v>
      </c>
      <c r="AO1067" s="61">
        <f>+Tabla6[[#This Row],[PRESUPUESTO VIGENTE]]-Tabla6[[#This Row],[CERTIFICACIÓN PAPP]]</f>
        <v>0</v>
      </c>
      <c r="AP1067" s="59">
        <v>0</v>
      </c>
    </row>
    <row r="1068" spans="1:42" ht="93" customHeight="1" x14ac:dyDescent="0.25">
      <c r="A1068" s="62" t="s">
        <v>78</v>
      </c>
      <c r="B1068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068" s="64" t="s">
        <v>79</v>
      </c>
      <c r="D1068" s="64" t="s">
        <v>80</v>
      </c>
      <c r="E1068" s="64" t="s">
        <v>81</v>
      </c>
      <c r="F1068" s="64" t="s">
        <v>110</v>
      </c>
      <c r="G1068" s="64" t="s">
        <v>83</v>
      </c>
      <c r="H1068" s="65" t="str">
        <f>VLOOKUP(Tabla6[[#This Row],[DIRECCIÓN]],DIRECCIÓN[#All],2,0)</f>
        <v>ADMINISTRACIÓN CENTRAL</v>
      </c>
      <c r="I1068" s="66" t="s">
        <v>514</v>
      </c>
      <c r="J1068" s="67">
        <v>1</v>
      </c>
      <c r="K1068" s="68" t="str">
        <f>VLOOKUP(Tabla6[[#This Row],[DIRECCIÓN GENERAL / COORDINACIÓN / SUBDIRECCIÓN]],Tabla37[[#All],[Columna1]:[EOD]],2,0)</f>
        <v>266_0006</v>
      </c>
      <c r="L1068" s="69">
        <f>VLOOKUP(Tabla6[[#This Row],[OBJETIVOS PND]],Listas!$A$1:$C$3,3,0)</f>
        <v>1</v>
      </c>
      <c r="M1068" s="70">
        <f>VLOOKUP(Tabla6[[#This Row],[PG]],Listas2!$G$14:$K$16,5,0)</f>
        <v>0</v>
      </c>
      <c r="N1068" s="71">
        <v>1</v>
      </c>
      <c r="O1068" s="72">
        <v>1401</v>
      </c>
      <c r="P1068" s="73" t="str">
        <f>VLOOKUP(Tabla6[[#This Row],[GEO]],Listas!$A$48:$B$77,2,0)</f>
        <v>MACAS</v>
      </c>
      <c r="Q1068" s="70">
        <f>VLOOKUP(Tabla6[[#This Row],[PG]],Listas2!$G$14:$K$16,3,0)</f>
        <v>1</v>
      </c>
      <c r="R1068" s="73">
        <f>VLOOKUP(Tabla6[[#This Row],[PG]],Listas2!H170:'Listas2'!$G$14:$K$16,4,0)</f>
        <v>0</v>
      </c>
      <c r="S1068" s="73">
        <f>VLOOKUP(Tabla6[[#This Row],[PG]],Listas2!$G$14:$K$16,2,0)</f>
        <v>0</v>
      </c>
      <c r="T1068" s="66" t="s">
        <v>84</v>
      </c>
      <c r="U1068" s="74">
        <v>53</v>
      </c>
      <c r="V1068" s="66">
        <v>530405</v>
      </c>
      <c r="W1068" s="63" t="str">
        <f>VLOOKUP(Tabla6[[#This Row],[ÍTEM PRESUPUESTARIO]],Tabla2[#All],2,0)</f>
        <v>VEHÍCULOS (SERVICIO PARA MANTENIMIENTO Y REPARACIÓN)</v>
      </c>
      <c r="X1068" s="57">
        <v>0</v>
      </c>
      <c r="Y1068" s="57">
        <f>2560-211.85</f>
        <v>2348.15</v>
      </c>
      <c r="Z1068" s="58">
        <v>0</v>
      </c>
      <c r="AA1068" s="58">
        <v>0</v>
      </c>
      <c r="AB1068" s="58">
        <v>0</v>
      </c>
      <c r="AC1068" s="58">
        <v>640</v>
      </c>
      <c r="AD1068" s="58">
        <v>0</v>
      </c>
      <c r="AE1068" s="58">
        <v>0</v>
      </c>
      <c r="AF1068" s="58">
        <v>0</v>
      </c>
      <c r="AG1068" s="58">
        <v>640</v>
      </c>
      <c r="AH1068" s="58">
        <v>640</v>
      </c>
      <c r="AI1068" s="58">
        <v>0</v>
      </c>
      <c r="AJ1068" s="58">
        <v>0</v>
      </c>
      <c r="AK1068" s="58">
        <f>640-211.85</f>
        <v>428.15</v>
      </c>
      <c r="AL1068" s="75">
        <f>+SUBTOTAL(9,Tabla6[[#This Row],[ENE]:[DIC]])</f>
        <v>2348.15</v>
      </c>
      <c r="AM1068" s="76" t="str">
        <f t="shared" si="31"/>
        <v>OK</v>
      </c>
      <c r="AN1068" s="60">
        <f>2556.1-207.95</f>
        <v>2348.15</v>
      </c>
      <c r="AO1068" s="61">
        <f>+Tabla6[[#This Row],[PRESUPUESTO VIGENTE]]-Tabla6[[#This Row],[CERTIFICACIÓN PAPP]]</f>
        <v>0</v>
      </c>
      <c r="AP1068" s="59">
        <v>0</v>
      </c>
    </row>
    <row r="1069" spans="1:42" ht="93" customHeight="1" x14ac:dyDescent="0.25">
      <c r="A1069" s="62" t="s">
        <v>78</v>
      </c>
      <c r="B1069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069" s="64" t="s">
        <v>79</v>
      </c>
      <c r="D1069" s="64" t="s">
        <v>80</v>
      </c>
      <c r="E1069" s="64" t="s">
        <v>81</v>
      </c>
      <c r="F1069" s="64" t="s">
        <v>110</v>
      </c>
      <c r="G1069" s="64" t="s">
        <v>83</v>
      </c>
      <c r="H1069" s="65" t="str">
        <f>VLOOKUP(Tabla6[[#This Row],[DIRECCIÓN]],DIRECCIÓN[#All],2,0)</f>
        <v>ADMINISTRACIÓN CENTRAL</v>
      </c>
      <c r="I1069" s="66" t="s">
        <v>515</v>
      </c>
      <c r="J1069" s="67">
        <v>1</v>
      </c>
      <c r="K1069" s="68" t="str">
        <f>VLOOKUP(Tabla6[[#This Row],[DIRECCIÓN GENERAL / COORDINACIÓN / SUBDIRECCIÓN]],Tabla37[[#All],[Columna1]:[EOD]],2,0)</f>
        <v>266_0006</v>
      </c>
      <c r="L1069" s="69">
        <f>VLOOKUP(Tabla6[[#This Row],[OBJETIVOS PND]],Listas!$A$1:$C$3,3,0)</f>
        <v>1</v>
      </c>
      <c r="M1069" s="70">
        <f>VLOOKUP(Tabla6[[#This Row],[PG]],Listas2!$G$14:$K$16,5,0)</f>
        <v>0</v>
      </c>
      <c r="N1069" s="71">
        <v>1</v>
      </c>
      <c r="O1069" s="72">
        <v>1401</v>
      </c>
      <c r="P1069" s="73" t="str">
        <f>VLOOKUP(Tabla6[[#This Row],[GEO]],Listas!$A$48:$B$77,2,0)</f>
        <v>MACAS</v>
      </c>
      <c r="Q1069" s="70">
        <f>VLOOKUP(Tabla6[[#This Row],[PG]],Listas2!$G$14:$K$16,3,0)</f>
        <v>1</v>
      </c>
      <c r="R1069" s="73">
        <f>VLOOKUP(Tabla6[[#This Row],[PG]],Listas2!H171:'Listas2'!$G$14:$K$16,4,0)</f>
        <v>0</v>
      </c>
      <c r="S1069" s="73">
        <f>VLOOKUP(Tabla6[[#This Row],[PG]],Listas2!$G$14:$K$16,2,0)</f>
        <v>0</v>
      </c>
      <c r="T1069" s="66" t="s">
        <v>84</v>
      </c>
      <c r="U1069" s="74">
        <v>53</v>
      </c>
      <c r="V1069" s="66">
        <v>530405</v>
      </c>
      <c r="W1069" s="63" t="str">
        <f>VLOOKUP(Tabla6[[#This Row],[ÍTEM PRESUPUESTARIO]],Tabla2[#All],2,0)</f>
        <v>VEHÍCULOS (SERVICIO PARA MANTENIMIENTO Y REPARACIÓN)</v>
      </c>
      <c r="X1069" s="57">
        <v>1500</v>
      </c>
      <c r="Y1069" s="57">
        <f>1500-1500</f>
        <v>0</v>
      </c>
      <c r="Z1069" s="58">
        <v>0</v>
      </c>
      <c r="AA1069" s="58">
        <v>0</v>
      </c>
      <c r="AB1069" s="58">
        <v>0</v>
      </c>
      <c r="AC1069" s="58">
        <v>0</v>
      </c>
      <c r="AD1069" s="58">
        <v>0</v>
      </c>
      <c r="AE1069" s="58">
        <v>0</v>
      </c>
      <c r="AF1069" s="58">
        <v>0</v>
      </c>
      <c r="AG1069" s="58">
        <v>0</v>
      </c>
      <c r="AH1069" s="58">
        <v>0</v>
      </c>
      <c r="AI1069" s="58">
        <v>0</v>
      </c>
      <c r="AJ1069" s="58">
        <v>0</v>
      </c>
      <c r="AK1069" s="58">
        <v>0</v>
      </c>
      <c r="AL1069" s="75">
        <f>+SUBTOTAL(9,Tabla6[[#This Row],[ENE]:[DIC]])</f>
        <v>0</v>
      </c>
      <c r="AM1069" s="76" t="str">
        <f t="shared" si="31"/>
        <v>OK</v>
      </c>
      <c r="AN1069" s="60">
        <v>0</v>
      </c>
      <c r="AO1069" s="61">
        <f>+Tabla6[[#This Row],[PRESUPUESTO VIGENTE]]-Tabla6[[#This Row],[CERTIFICACIÓN PAPP]]</f>
        <v>0</v>
      </c>
      <c r="AP1069" s="59">
        <v>0</v>
      </c>
    </row>
    <row r="1070" spans="1:42" ht="93" customHeight="1" x14ac:dyDescent="0.25">
      <c r="A1070" s="62" t="s">
        <v>78</v>
      </c>
      <c r="B1070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070" s="64" t="s">
        <v>79</v>
      </c>
      <c r="D1070" s="64" t="s">
        <v>80</v>
      </c>
      <c r="E1070" s="64" t="s">
        <v>81</v>
      </c>
      <c r="F1070" s="64" t="s">
        <v>110</v>
      </c>
      <c r="G1070" s="64" t="s">
        <v>83</v>
      </c>
      <c r="H1070" s="65" t="str">
        <f>VLOOKUP(Tabla6[[#This Row],[DIRECCIÓN]],DIRECCIÓN[#All],2,0)</f>
        <v>ADMINISTRACIÓN CENTRAL</v>
      </c>
      <c r="I1070" s="66" t="s">
        <v>516</v>
      </c>
      <c r="J1070" s="67">
        <v>1</v>
      </c>
      <c r="K1070" s="68" t="str">
        <f>VLOOKUP(Tabla6[[#This Row],[DIRECCIÓN GENERAL / COORDINACIÓN / SUBDIRECCIÓN]],Tabla37[[#All],[Columna1]:[EOD]],2,0)</f>
        <v>266_0006</v>
      </c>
      <c r="L1070" s="69">
        <f>VLOOKUP(Tabla6[[#This Row],[OBJETIVOS PND]],Listas!$A$1:$C$3,3,0)</f>
        <v>1</v>
      </c>
      <c r="M1070" s="70">
        <f>VLOOKUP(Tabla6[[#This Row],[PG]],Listas2!$G$14:$K$16,5,0)</f>
        <v>0</v>
      </c>
      <c r="N1070" s="71">
        <v>1</v>
      </c>
      <c r="O1070" s="72">
        <v>1401</v>
      </c>
      <c r="P1070" s="73" t="str">
        <f>VLOOKUP(Tabla6[[#This Row],[GEO]],Listas!$A$48:$B$77,2,0)</f>
        <v>MACAS</v>
      </c>
      <c r="Q1070" s="70">
        <f>VLOOKUP(Tabla6[[#This Row],[PG]],Listas2!$G$14:$K$16,3,0)</f>
        <v>1</v>
      </c>
      <c r="R1070" s="73">
        <f>VLOOKUP(Tabla6[[#This Row],[PG]],Listas2!H172:'Listas2'!$G$14:$K$16,4,0)</f>
        <v>0</v>
      </c>
      <c r="S1070" s="73">
        <f>VLOOKUP(Tabla6[[#This Row],[PG]],Listas2!$G$14:$K$16,2,0)</f>
        <v>0</v>
      </c>
      <c r="T1070" s="66" t="s">
        <v>84</v>
      </c>
      <c r="U1070" s="74">
        <v>53</v>
      </c>
      <c r="V1070" s="66">
        <v>530405</v>
      </c>
      <c r="W1070" s="63" t="str">
        <f>VLOOKUP(Tabla6[[#This Row],[ÍTEM PRESUPUESTARIO]],Tabla2[#All],2,0)</f>
        <v>VEHÍCULOS (SERVICIO PARA MANTENIMIENTO Y REPARACIÓN)</v>
      </c>
      <c r="X1070" s="57">
        <v>115</v>
      </c>
      <c r="Y1070" s="57">
        <f>115-115</f>
        <v>0</v>
      </c>
      <c r="Z1070" s="58">
        <v>0</v>
      </c>
      <c r="AA1070" s="58">
        <v>0</v>
      </c>
      <c r="AB1070" s="58">
        <v>0</v>
      </c>
      <c r="AC1070" s="58">
        <v>0</v>
      </c>
      <c r="AD1070" s="58">
        <v>0</v>
      </c>
      <c r="AE1070" s="58">
        <v>0</v>
      </c>
      <c r="AF1070" s="58">
        <v>0</v>
      </c>
      <c r="AG1070" s="58">
        <v>0</v>
      </c>
      <c r="AH1070" s="58">
        <v>0</v>
      </c>
      <c r="AI1070" s="58">
        <v>0</v>
      </c>
      <c r="AJ1070" s="58">
        <v>0</v>
      </c>
      <c r="AK1070" s="58">
        <v>0</v>
      </c>
      <c r="AL1070" s="75">
        <f>+SUBTOTAL(9,Tabla6[[#This Row],[ENE]:[DIC]])</f>
        <v>0</v>
      </c>
      <c r="AM1070" s="76" t="str">
        <f t="shared" si="31"/>
        <v>OK</v>
      </c>
      <c r="AN1070" s="60">
        <v>0</v>
      </c>
      <c r="AO1070" s="61">
        <f>+Tabla6[[#This Row],[PRESUPUESTO VIGENTE]]-Tabla6[[#This Row],[CERTIFICACIÓN PAPP]]</f>
        <v>0</v>
      </c>
      <c r="AP1070" s="59">
        <v>0</v>
      </c>
    </row>
    <row r="1071" spans="1:42" ht="93" customHeight="1" x14ac:dyDescent="0.25">
      <c r="A1071" s="62" t="s">
        <v>78</v>
      </c>
      <c r="B1071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071" s="64" t="s">
        <v>79</v>
      </c>
      <c r="D1071" s="64" t="s">
        <v>80</v>
      </c>
      <c r="E1071" s="64" t="s">
        <v>81</v>
      </c>
      <c r="F1071" s="64" t="s">
        <v>110</v>
      </c>
      <c r="G1071" s="64" t="s">
        <v>83</v>
      </c>
      <c r="H1071" s="65" t="str">
        <f>VLOOKUP(Tabla6[[#This Row],[DIRECCIÓN]],DIRECCIÓN[#All],2,0)</f>
        <v>ADMINISTRACIÓN CENTRAL</v>
      </c>
      <c r="I1071" s="66" t="s">
        <v>517</v>
      </c>
      <c r="J1071" s="67">
        <v>1</v>
      </c>
      <c r="K1071" s="68" t="str">
        <f>VLOOKUP(Tabla6[[#This Row],[DIRECCIÓN GENERAL / COORDINACIÓN / SUBDIRECCIÓN]],Tabla37[[#All],[Columna1]:[EOD]],2,0)</f>
        <v>266_0006</v>
      </c>
      <c r="L1071" s="69">
        <f>VLOOKUP(Tabla6[[#This Row],[OBJETIVOS PND]],Listas!$A$1:$C$3,3,0)</f>
        <v>1</v>
      </c>
      <c r="M1071" s="70">
        <f>VLOOKUP(Tabla6[[#This Row],[PG]],Listas2!$G$14:$K$16,5,0)</f>
        <v>0</v>
      </c>
      <c r="N1071" s="71">
        <v>1</v>
      </c>
      <c r="O1071" s="72">
        <v>1401</v>
      </c>
      <c r="P1071" s="73" t="str">
        <f>VLOOKUP(Tabla6[[#This Row],[GEO]],Listas!$A$48:$B$77,2,0)</f>
        <v>MACAS</v>
      </c>
      <c r="Q1071" s="70">
        <f>VLOOKUP(Tabla6[[#This Row],[PG]],Listas2!$G$14:$K$16,3,0)</f>
        <v>1</v>
      </c>
      <c r="R1071" s="73">
        <f>VLOOKUP(Tabla6[[#This Row],[PG]],Listas2!H173:'Listas2'!$G$14:$K$16,4,0)</f>
        <v>0</v>
      </c>
      <c r="S1071" s="73">
        <f>VLOOKUP(Tabla6[[#This Row],[PG]],Listas2!$G$14:$K$16,2,0)</f>
        <v>0</v>
      </c>
      <c r="T1071" s="66" t="s">
        <v>84</v>
      </c>
      <c r="U1071" s="74">
        <v>53</v>
      </c>
      <c r="V1071" s="66">
        <v>530405</v>
      </c>
      <c r="W1071" s="63" t="str">
        <f>VLOOKUP(Tabla6[[#This Row],[ÍTEM PRESUPUESTARIO]],Tabla2[#All],2,0)</f>
        <v>VEHÍCULOS (SERVICIO PARA MANTENIMIENTO Y REPARACIÓN)</v>
      </c>
      <c r="X1071" s="57">
        <v>0</v>
      </c>
      <c r="Y1071" s="57">
        <f>1743-207.95-767.52+768-197.52</f>
        <v>1338.01</v>
      </c>
      <c r="Z1071" s="58">
        <v>0</v>
      </c>
      <c r="AA1071" s="58">
        <v>0</v>
      </c>
      <c r="AB1071" s="58">
        <v>0</v>
      </c>
      <c r="AC1071" s="58">
        <v>0</v>
      </c>
      <c r="AD1071" s="58">
        <v>0</v>
      </c>
      <c r="AE1071" s="58">
        <v>0</v>
      </c>
      <c r="AF1071" s="58">
        <v>0</v>
      </c>
      <c r="AG1071" s="58">
        <v>0</v>
      </c>
      <c r="AH1071" s="58">
        <v>0</v>
      </c>
      <c r="AI1071" s="58">
        <f>871-767.52</f>
        <v>103.48000000000002</v>
      </c>
      <c r="AJ1071" s="58">
        <f>872-207.95</f>
        <v>664.05</v>
      </c>
      <c r="AK1071" s="58">
        <f>768-117.8-79.72</f>
        <v>570.48</v>
      </c>
      <c r="AL1071" s="75">
        <f>+SUBTOTAL(9,Tabla6[[#This Row],[ENE]:[DIC]])</f>
        <v>1338.01</v>
      </c>
      <c r="AM1071" s="76" t="str">
        <f t="shared" si="31"/>
        <v>OK</v>
      </c>
      <c r="AN1071" s="60">
        <f>1486-147-1+0.01</f>
        <v>1338.01</v>
      </c>
      <c r="AO1071" s="61">
        <f>+Tabla6[[#This Row],[PRESUPUESTO VIGENTE]]-Tabla6[[#This Row],[CERTIFICACIÓN PAPP]]</f>
        <v>0</v>
      </c>
      <c r="AP1071" s="59" t="s">
        <v>87</v>
      </c>
    </row>
    <row r="1072" spans="1:42" ht="93" customHeight="1" x14ac:dyDescent="0.25">
      <c r="A1072" s="62" t="s">
        <v>78</v>
      </c>
      <c r="B1072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072" s="64" t="s">
        <v>79</v>
      </c>
      <c r="D1072" s="64" t="s">
        <v>80</v>
      </c>
      <c r="E1072" s="64" t="s">
        <v>81</v>
      </c>
      <c r="F1072" s="64" t="s">
        <v>110</v>
      </c>
      <c r="G1072" s="64" t="s">
        <v>83</v>
      </c>
      <c r="H1072" s="65" t="str">
        <f>VLOOKUP(Tabla6[[#This Row],[DIRECCIÓN]],DIRECCIÓN[#All],2,0)</f>
        <v>ADMINISTRACIÓN CENTRAL</v>
      </c>
      <c r="I1072" s="66" t="s">
        <v>518</v>
      </c>
      <c r="J1072" s="67">
        <v>1</v>
      </c>
      <c r="K1072" s="68" t="str">
        <f>VLOOKUP(Tabla6[[#This Row],[DIRECCIÓN GENERAL / COORDINACIÓN / SUBDIRECCIÓN]],Tabla37[[#All],[Columna1]:[EOD]],2,0)</f>
        <v>266_0006</v>
      </c>
      <c r="L1072" s="69">
        <f>VLOOKUP(Tabla6[[#This Row],[OBJETIVOS PND]],Listas!$A$1:$C$3,3,0)</f>
        <v>1</v>
      </c>
      <c r="M1072" s="70">
        <f>VLOOKUP(Tabla6[[#This Row],[PG]],Listas2!$G$14:$K$16,5,0)</f>
        <v>0</v>
      </c>
      <c r="N1072" s="71">
        <v>1</v>
      </c>
      <c r="O1072" s="72">
        <v>1401</v>
      </c>
      <c r="P1072" s="73" t="str">
        <f>VLOOKUP(Tabla6[[#This Row],[GEO]],Listas!$A$48:$B$77,2,0)</f>
        <v>MACAS</v>
      </c>
      <c r="Q1072" s="70">
        <f>VLOOKUP(Tabla6[[#This Row],[PG]],Listas2!$G$14:$K$16,3,0)</f>
        <v>1</v>
      </c>
      <c r="R1072" s="73">
        <f>VLOOKUP(Tabla6[[#This Row],[PG]],Listas2!H174:'Listas2'!$G$14:$K$16,4,0)</f>
        <v>0</v>
      </c>
      <c r="S1072" s="73">
        <f>VLOOKUP(Tabla6[[#This Row],[PG]],Listas2!$G$14:$K$16,2,0)</f>
        <v>0</v>
      </c>
      <c r="T1072" s="66" t="s">
        <v>84</v>
      </c>
      <c r="U1072" s="74">
        <v>53</v>
      </c>
      <c r="V1072" s="66">
        <v>530704</v>
      </c>
      <c r="W1072" s="63" t="str">
        <f>VLOOKUP(Tabla6[[#This Row],[ÍTEM PRESUPUESTARIO]],Tabla2[#All],2,0)</f>
        <v xml:space="preserve">MANTENIMIENTO Y REPARACIÓN DE EQUIPOS Y SISTEMAS INFORMÁTICOS </v>
      </c>
      <c r="X1072" s="57">
        <v>1000</v>
      </c>
      <c r="Y1072" s="57">
        <f>1000-50-850</f>
        <v>100</v>
      </c>
      <c r="Z1072" s="58">
        <v>0</v>
      </c>
      <c r="AA1072" s="58">
        <v>0</v>
      </c>
      <c r="AB1072" s="58">
        <v>0</v>
      </c>
      <c r="AC1072" s="58">
        <v>0</v>
      </c>
      <c r="AD1072" s="58">
        <v>0</v>
      </c>
      <c r="AE1072" s="58">
        <f>400-400</f>
        <v>0</v>
      </c>
      <c r="AF1072" s="58">
        <v>0</v>
      </c>
      <c r="AG1072" s="58">
        <v>0</v>
      </c>
      <c r="AH1072" s="58">
        <f>600-50-450</f>
        <v>100</v>
      </c>
      <c r="AI1072" s="58">
        <v>0</v>
      </c>
      <c r="AJ1072" s="58">
        <v>0</v>
      </c>
      <c r="AK1072" s="58">
        <v>0</v>
      </c>
      <c r="AL1072" s="75">
        <f>+SUBTOTAL(9,Tabla6[[#This Row],[ENE]:[DIC]])</f>
        <v>100</v>
      </c>
      <c r="AM1072" s="76" t="str">
        <f t="shared" ref="AM1072:AM1089" si="35">IF(AL1072=Y1072,"OK",Y1072-AL1072)</f>
        <v>OK</v>
      </c>
      <c r="AN1072" s="60">
        <f>100</f>
        <v>100</v>
      </c>
      <c r="AO1072" s="61">
        <f>+Tabla6[[#This Row],[PRESUPUESTO VIGENTE]]-Tabla6[[#This Row],[CERTIFICACIÓN PAPP]]</f>
        <v>0</v>
      </c>
      <c r="AP1072" s="59" t="s">
        <v>87</v>
      </c>
    </row>
    <row r="1073" spans="1:42" ht="93" customHeight="1" x14ac:dyDescent="0.25">
      <c r="A1073" s="62" t="s">
        <v>78</v>
      </c>
      <c r="B1073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073" s="64" t="s">
        <v>79</v>
      </c>
      <c r="D1073" s="64" t="s">
        <v>80</v>
      </c>
      <c r="E1073" s="64" t="s">
        <v>81</v>
      </c>
      <c r="F1073" s="64" t="s">
        <v>110</v>
      </c>
      <c r="G1073" s="64" t="s">
        <v>83</v>
      </c>
      <c r="H1073" s="65" t="str">
        <f>VLOOKUP(Tabla6[[#This Row],[DIRECCIÓN]],DIRECCIÓN[#All],2,0)</f>
        <v>ADMINISTRACIÓN CENTRAL</v>
      </c>
      <c r="I1073" s="66" t="s">
        <v>519</v>
      </c>
      <c r="J1073" s="67">
        <v>1</v>
      </c>
      <c r="K1073" s="68" t="str">
        <f>VLOOKUP(Tabla6[[#This Row],[DIRECCIÓN GENERAL / COORDINACIÓN / SUBDIRECCIÓN]],Tabla37[[#All],[Columna1]:[EOD]],2,0)</f>
        <v>266_0006</v>
      </c>
      <c r="L1073" s="69">
        <f>VLOOKUP(Tabla6[[#This Row],[OBJETIVOS PND]],Listas!$A$1:$C$3,3,0)</f>
        <v>1</v>
      </c>
      <c r="M1073" s="70">
        <f>VLOOKUP(Tabla6[[#This Row],[PG]],Listas2!$G$14:$K$16,5,0)</f>
        <v>0</v>
      </c>
      <c r="N1073" s="71">
        <v>1</v>
      </c>
      <c r="O1073" s="72">
        <v>1401</v>
      </c>
      <c r="P1073" s="73" t="str">
        <f>VLOOKUP(Tabla6[[#This Row],[GEO]],Listas!$A$48:$B$77,2,0)</f>
        <v>MACAS</v>
      </c>
      <c r="Q1073" s="70">
        <f>VLOOKUP(Tabla6[[#This Row],[PG]],Listas2!$G$14:$K$16,3,0)</f>
        <v>1</v>
      </c>
      <c r="R1073" s="73">
        <f>VLOOKUP(Tabla6[[#This Row],[PG]],Listas2!H175:'Listas2'!$G$14:$K$16,4,0)</f>
        <v>0</v>
      </c>
      <c r="S1073" s="73">
        <f>VLOOKUP(Tabla6[[#This Row],[PG]],Listas2!$G$14:$K$16,2,0)</f>
        <v>0</v>
      </c>
      <c r="T1073" s="66" t="s">
        <v>84</v>
      </c>
      <c r="U1073" s="74">
        <v>53</v>
      </c>
      <c r="V1073" s="66">
        <v>530803</v>
      </c>
      <c r="W1073" s="63" t="str">
        <f>VLOOKUP(Tabla6[[#This Row],[ÍTEM PRESUPUESTARIO]],Tabla2[#All],2,0)</f>
        <v>LUBRICANTES</v>
      </c>
      <c r="X1073" s="57">
        <v>1620</v>
      </c>
      <c r="Y1073" s="57">
        <f>1620-1620</f>
        <v>0</v>
      </c>
      <c r="Z1073" s="58">
        <v>0</v>
      </c>
      <c r="AA1073" s="58">
        <v>0</v>
      </c>
      <c r="AB1073" s="58">
        <v>0</v>
      </c>
      <c r="AC1073" s="58">
        <v>0</v>
      </c>
      <c r="AD1073" s="58">
        <v>0</v>
      </c>
      <c r="AE1073" s="58">
        <v>0</v>
      </c>
      <c r="AF1073" s="58">
        <v>0</v>
      </c>
      <c r="AG1073" s="58">
        <v>0</v>
      </c>
      <c r="AH1073" s="58">
        <v>0</v>
      </c>
      <c r="AI1073" s="58">
        <v>0</v>
      </c>
      <c r="AJ1073" s="58">
        <v>0</v>
      </c>
      <c r="AK1073" s="58">
        <v>0</v>
      </c>
      <c r="AL1073" s="75">
        <f>+SUBTOTAL(9,Tabla6[[#This Row],[ENE]:[DIC]])</f>
        <v>0</v>
      </c>
      <c r="AM1073" s="76" t="str">
        <f t="shared" si="35"/>
        <v>OK</v>
      </c>
      <c r="AN1073" s="60">
        <v>0</v>
      </c>
      <c r="AO1073" s="61">
        <f>+Tabla6[[#This Row],[PRESUPUESTO VIGENTE]]-Tabla6[[#This Row],[CERTIFICACIÓN PAPP]]</f>
        <v>0</v>
      </c>
      <c r="AP1073" s="59">
        <v>0</v>
      </c>
    </row>
    <row r="1074" spans="1:42" ht="93" customHeight="1" x14ac:dyDescent="0.25">
      <c r="A1074" s="62" t="s">
        <v>78</v>
      </c>
      <c r="B1074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074" s="64" t="s">
        <v>79</v>
      </c>
      <c r="D1074" s="64" t="s">
        <v>80</v>
      </c>
      <c r="E1074" s="64" t="s">
        <v>81</v>
      </c>
      <c r="F1074" s="64" t="s">
        <v>110</v>
      </c>
      <c r="G1074" s="64" t="s">
        <v>83</v>
      </c>
      <c r="H1074" s="65" t="str">
        <f>VLOOKUP(Tabla6[[#This Row],[DIRECCIÓN]],DIRECCIÓN[#All],2,0)</f>
        <v>ADMINISTRACIÓN CENTRAL</v>
      </c>
      <c r="I1074" s="66" t="s">
        <v>520</v>
      </c>
      <c r="J1074" s="67">
        <v>1</v>
      </c>
      <c r="K1074" s="68" t="str">
        <f>VLOOKUP(Tabla6[[#This Row],[DIRECCIÓN GENERAL / COORDINACIÓN / SUBDIRECCIÓN]],Tabla37[[#All],[Columna1]:[EOD]],2,0)</f>
        <v>266_0006</v>
      </c>
      <c r="L1074" s="69">
        <f>VLOOKUP(Tabla6[[#This Row],[OBJETIVOS PND]],Listas!$A$1:$C$3,3,0)</f>
        <v>1</v>
      </c>
      <c r="M1074" s="70">
        <f>VLOOKUP(Tabla6[[#This Row],[PG]],Listas2!$G$14:$K$16,5,0)</f>
        <v>0</v>
      </c>
      <c r="N1074" s="71">
        <v>1</v>
      </c>
      <c r="O1074" s="72">
        <v>1401</v>
      </c>
      <c r="P1074" s="73" t="str">
        <f>VLOOKUP(Tabla6[[#This Row],[GEO]],Listas!$A$48:$B$77,2,0)</f>
        <v>MACAS</v>
      </c>
      <c r="Q1074" s="70">
        <f>VLOOKUP(Tabla6[[#This Row],[PG]],Listas2!$G$14:$K$16,3,0)</f>
        <v>1</v>
      </c>
      <c r="R1074" s="73">
        <f>VLOOKUP(Tabla6[[#This Row],[PG]],Listas2!H176:'Listas2'!$G$14:$K$16,4,0)</f>
        <v>0</v>
      </c>
      <c r="S1074" s="73">
        <f>VLOOKUP(Tabla6[[#This Row],[PG]],Listas2!$G$14:$K$16,2,0)</f>
        <v>0</v>
      </c>
      <c r="T1074" s="66" t="s">
        <v>84</v>
      </c>
      <c r="U1074" s="74">
        <v>53</v>
      </c>
      <c r="V1074" s="66">
        <v>530803</v>
      </c>
      <c r="W1074" s="63" t="str">
        <f>VLOOKUP(Tabla6[[#This Row],[ÍTEM PRESUPUESTARIO]],Tabla2[#All],2,0)</f>
        <v>LUBRICANTES</v>
      </c>
      <c r="X1074" s="57">
        <v>591</v>
      </c>
      <c r="Y1074" s="57">
        <f>591-591</f>
        <v>0</v>
      </c>
      <c r="Z1074" s="58">
        <v>0</v>
      </c>
      <c r="AA1074" s="58">
        <v>0</v>
      </c>
      <c r="AB1074" s="58">
        <v>0</v>
      </c>
      <c r="AC1074" s="58">
        <v>0</v>
      </c>
      <c r="AD1074" s="58">
        <v>0</v>
      </c>
      <c r="AE1074" s="58">
        <v>0</v>
      </c>
      <c r="AF1074" s="58">
        <v>0</v>
      </c>
      <c r="AG1074" s="58">
        <v>0</v>
      </c>
      <c r="AH1074" s="58">
        <v>0</v>
      </c>
      <c r="AI1074" s="58">
        <v>0</v>
      </c>
      <c r="AJ1074" s="58">
        <v>0</v>
      </c>
      <c r="AK1074" s="58">
        <v>0</v>
      </c>
      <c r="AL1074" s="75">
        <f>+SUBTOTAL(9,Tabla6[[#This Row],[ENE]:[DIC]])</f>
        <v>0</v>
      </c>
      <c r="AM1074" s="76" t="str">
        <f t="shared" si="35"/>
        <v>OK</v>
      </c>
      <c r="AN1074" s="60">
        <v>0</v>
      </c>
      <c r="AO1074" s="61">
        <f>+Tabla6[[#This Row],[PRESUPUESTO VIGENTE]]-Tabla6[[#This Row],[CERTIFICACIÓN PAPP]]</f>
        <v>0</v>
      </c>
      <c r="AP1074" s="59">
        <v>0</v>
      </c>
    </row>
    <row r="1075" spans="1:42" ht="93" customHeight="1" x14ac:dyDescent="0.25">
      <c r="A1075" s="62" t="s">
        <v>78</v>
      </c>
      <c r="B1075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075" s="64" t="s">
        <v>79</v>
      </c>
      <c r="D1075" s="64" t="s">
        <v>80</v>
      </c>
      <c r="E1075" s="64" t="s">
        <v>81</v>
      </c>
      <c r="F1075" s="64" t="s">
        <v>110</v>
      </c>
      <c r="G1075" s="64" t="s">
        <v>83</v>
      </c>
      <c r="H1075" s="65" t="str">
        <f>VLOOKUP(Tabla6[[#This Row],[DIRECCIÓN]],DIRECCIÓN[#All],2,0)</f>
        <v>ADMINISTRACIÓN CENTRAL</v>
      </c>
      <c r="I1075" s="66" t="s">
        <v>521</v>
      </c>
      <c r="J1075" s="67">
        <v>1</v>
      </c>
      <c r="K1075" s="68" t="str">
        <f>VLOOKUP(Tabla6[[#This Row],[DIRECCIÓN GENERAL / COORDINACIÓN / SUBDIRECCIÓN]],Tabla37[[#All],[Columna1]:[EOD]],2,0)</f>
        <v>266_0006</v>
      </c>
      <c r="L1075" s="69">
        <f>VLOOKUP(Tabla6[[#This Row],[OBJETIVOS PND]],Listas!$A$1:$C$3,3,0)</f>
        <v>1</v>
      </c>
      <c r="M1075" s="70">
        <f>VLOOKUP(Tabla6[[#This Row],[PG]],Listas2!$G$14:$K$16,5,0)</f>
        <v>0</v>
      </c>
      <c r="N1075" s="71">
        <v>1</v>
      </c>
      <c r="O1075" s="72">
        <v>1401</v>
      </c>
      <c r="P1075" s="73" t="str">
        <f>VLOOKUP(Tabla6[[#This Row],[GEO]],Listas!$A$48:$B$77,2,0)</f>
        <v>MACAS</v>
      </c>
      <c r="Q1075" s="70">
        <f>VLOOKUP(Tabla6[[#This Row],[PG]],Listas2!$G$14:$K$16,3,0)</f>
        <v>1</v>
      </c>
      <c r="R1075" s="73">
        <f>VLOOKUP(Tabla6[[#This Row],[PG]],Listas2!H177:'Listas2'!$G$14:$K$16,4,0)</f>
        <v>0</v>
      </c>
      <c r="S1075" s="73">
        <f>VLOOKUP(Tabla6[[#This Row],[PG]],Listas2!$G$14:$K$16,2,0)</f>
        <v>0</v>
      </c>
      <c r="T1075" s="66" t="s">
        <v>84</v>
      </c>
      <c r="U1075" s="74">
        <v>53</v>
      </c>
      <c r="V1075" s="66">
        <v>530803</v>
      </c>
      <c r="W1075" s="63" t="str">
        <f>VLOOKUP(Tabla6[[#This Row],[ÍTEM PRESUPUESTARIO]],Tabla2[#All],2,0)</f>
        <v>LUBRICANTES</v>
      </c>
      <c r="X1075" s="57">
        <v>475</v>
      </c>
      <c r="Y1075" s="57">
        <f>475-475</f>
        <v>0</v>
      </c>
      <c r="Z1075" s="58">
        <v>0</v>
      </c>
      <c r="AA1075" s="58">
        <v>0</v>
      </c>
      <c r="AB1075" s="58">
        <v>0</v>
      </c>
      <c r="AC1075" s="58">
        <v>0</v>
      </c>
      <c r="AD1075" s="58">
        <v>0</v>
      </c>
      <c r="AE1075" s="58">
        <v>0</v>
      </c>
      <c r="AF1075" s="58">
        <v>0</v>
      </c>
      <c r="AG1075" s="58">
        <v>0</v>
      </c>
      <c r="AH1075" s="58">
        <v>0</v>
      </c>
      <c r="AI1075" s="58">
        <v>0</v>
      </c>
      <c r="AJ1075" s="58">
        <v>0</v>
      </c>
      <c r="AK1075" s="58">
        <v>0</v>
      </c>
      <c r="AL1075" s="75">
        <f>+SUBTOTAL(9,Tabla6[[#This Row],[ENE]:[DIC]])</f>
        <v>0</v>
      </c>
      <c r="AM1075" s="76" t="str">
        <f t="shared" si="35"/>
        <v>OK</v>
      </c>
      <c r="AN1075" s="60">
        <v>0</v>
      </c>
      <c r="AO1075" s="61">
        <f>+Tabla6[[#This Row],[PRESUPUESTO VIGENTE]]-Tabla6[[#This Row],[CERTIFICACIÓN PAPP]]</f>
        <v>0</v>
      </c>
      <c r="AP1075" s="59">
        <v>0</v>
      </c>
    </row>
    <row r="1076" spans="1:42" ht="93" customHeight="1" x14ac:dyDescent="0.25">
      <c r="A1076" s="62" t="s">
        <v>78</v>
      </c>
      <c r="B1076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076" s="64" t="s">
        <v>79</v>
      </c>
      <c r="D1076" s="64" t="s">
        <v>80</v>
      </c>
      <c r="E1076" s="64" t="s">
        <v>81</v>
      </c>
      <c r="F1076" s="64" t="s">
        <v>110</v>
      </c>
      <c r="G1076" s="64" t="s">
        <v>83</v>
      </c>
      <c r="H1076" s="65" t="str">
        <f>VLOOKUP(Tabla6[[#This Row],[DIRECCIÓN]],DIRECCIÓN[#All],2,0)</f>
        <v>ADMINISTRACIÓN CENTRAL</v>
      </c>
      <c r="I1076" s="66" t="s">
        <v>522</v>
      </c>
      <c r="J1076" s="67">
        <v>1</v>
      </c>
      <c r="K1076" s="68" t="str">
        <f>VLOOKUP(Tabla6[[#This Row],[DIRECCIÓN GENERAL / COORDINACIÓN / SUBDIRECCIÓN]],Tabla37[[#All],[Columna1]:[EOD]],2,0)</f>
        <v>266_0006</v>
      </c>
      <c r="L1076" s="69">
        <f>VLOOKUP(Tabla6[[#This Row],[OBJETIVOS PND]],Listas!$A$1:$C$3,3,0)</f>
        <v>1</v>
      </c>
      <c r="M1076" s="70">
        <f>VLOOKUP(Tabla6[[#This Row],[PG]],Listas2!$G$14:$K$16,5,0)</f>
        <v>0</v>
      </c>
      <c r="N1076" s="71">
        <v>1</v>
      </c>
      <c r="O1076" s="72">
        <v>1401</v>
      </c>
      <c r="P1076" s="73" t="str">
        <f>VLOOKUP(Tabla6[[#This Row],[GEO]],Listas!$A$48:$B$77,2,0)</f>
        <v>MACAS</v>
      </c>
      <c r="Q1076" s="70">
        <f>VLOOKUP(Tabla6[[#This Row],[PG]],Listas2!$G$14:$K$16,3,0)</f>
        <v>1</v>
      </c>
      <c r="R1076" s="73">
        <f>VLOOKUP(Tabla6[[#This Row],[PG]],Listas2!H178:'Listas2'!$G$14:$K$16,4,0)</f>
        <v>0</v>
      </c>
      <c r="S1076" s="73">
        <f>VLOOKUP(Tabla6[[#This Row],[PG]],Listas2!$G$14:$K$16,2,0)</f>
        <v>0</v>
      </c>
      <c r="T1076" s="66" t="s">
        <v>84</v>
      </c>
      <c r="U1076" s="74">
        <v>53</v>
      </c>
      <c r="V1076" s="66">
        <v>530804</v>
      </c>
      <c r="W1076" s="63" t="str">
        <f>VLOOKUP(Tabla6[[#This Row],[ÍTEM PRESUPUESTARIO]],Tabla2[#All],2,0)</f>
        <v>MATERIALES DE OFICINA</v>
      </c>
      <c r="X1076" s="57">
        <v>700</v>
      </c>
      <c r="Y1076" s="57">
        <f>700-700</f>
        <v>0</v>
      </c>
      <c r="Z1076" s="58">
        <v>0</v>
      </c>
      <c r="AA1076" s="58">
        <v>0</v>
      </c>
      <c r="AB1076" s="58">
        <v>0</v>
      </c>
      <c r="AC1076" s="58">
        <v>0</v>
      </c>
      <c r="AD1076" s="58">
        <v>0</v>
      </c>
      <c r="AE1076" s="58">
        <v>0</v>
      </c>
      <c r="AF1076" s="58">
        <v>0</v>
      </c>
      <c r="AG1076" s="58">
        <v>0</v>
      </c>
      <c r="AH1076" s="58">
        <v>0</v>
      </c>
      <c r="AI1076" s="58">
        <v>0</v>
      </c>
      <c r="AJ1076" s="58">
        <v>0</v>
      </c>
      <c r="AK1076" s="58">
        <v>0</v>
      </c>
      <c r="AL1076" s="75">
        <f>+SUBTOTAL(9,Tabla6[[#This Row],[ENE]:[DIC]])</f>
        <v>0</v>
      </c>
      <c r="AM1076" s="76" t="str">
        <f t="shared" si="35"/>
        <v>OK</v>
      </c>
      <c r="AN1076" s="60">
        <v>0</v>
      </c>
      <c r="AO1076" s="61">
        <f>+Tabla6[[#This Row],[PRESUPUESTO VIGENTE]]-Tabla6[[#This Row],[CERTIFICACIÓN PAPP]]</f>
        <v>0</v>
      </c>
      <c r="AP1076" s="59">
        <v>0</v>
      </c>
    </row>
    <row r="1077" spans="1:42" ht="93" customHeight="1" x14ac:dyDescent="0.25">
      <c r="A1077" s="62" t="s">
        <v>78</v>
      </c>
      <c r="B1077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077" s="64" t="s">
        <v>79</v>
      </c>
      <c r="D1077" s="64" t="s">
        <v>80</v>
      </c>
      <c r="E1077" s="64" t="s">
        <v>81</v>
      </c>
      <c r="F1077" s="64" t="s">
        <v>110</v>
      </c>
      <c r="G1077" s="64" t="s">
        <v>83</v>
      </c>
      <c r="H1077" s="65" t="str">
        <f>VLOOKUP(Tabla6[[#This Row],[DIRECCIÓN]],DIRECCIÓN[#All],2,0)</f>
        <v>ADMINISTRACIÓN CENTRAL</v>
      </c>
      <c r="I1077" s="66" t="s">
        <v>523</v>
      </c>
      <c r="J1077" s="67">
        <v>1</v>
      </c>
      <c r="K1077" s="68" t="str">
        <f>VLOOKUP(Tabla6[[#This Row],[DIRECCIÓN GENERAL / COORDINACIÓN / SUBDIRECCIÓN]],Tabla37[[#All],[Columna1]:[EOD]],2,0)</f>
        <v>266_0006</v>
      </c>
      <c r="L1077" s="69">
        <f>VLOOKUP(Tabla6[[#This Row],[OBJETIVOS PND]],Listas!$A$1:$C$3,3,0)</f>
        <v>1</v>
      </c>
      <c r="M1077" s="70">
        <f>VLOOKUP(Tabla6[[#This Row],[PG]],Listas2!$G$14:$K$16,5,0)</f>
        <v>0</v>
      </c>
      <c r="N1077" s="71">
        <v>1</v>
      </c>
      <c r="O1077" s="72">
        <v>1401</v>
      </c>
      <c r="P1077" s="73" t="str">
        <f>VLOOKUP(Tabla6[[#This Row],[GEO]],Listas!$A$48:$B$77,2,0)</f>
        <v>MACAS</v>
      </c>
      <c r="Q1077" s="70">
        <f>VLOOKUP(Tabla6[[#This Row],[PG]],Listas2!$G$14:$K$16,3,0)</f>
        <v>1</v>
      </c>
      <c r="R1077" s="73">
        <f>VLOOKUP(Tabla6[[#This Row],[PG]],Listas2!H179:'Listas2'!$G$14:$K$16,4,0)</f>
        <v>0</v>
      </c>
      <c r="S1077" s="73">
        <f>VLOOKUP(Tabla6[[#This Row],[PG]],Listas2!$G$14:$K$16,2,0)</f>
        <v>0</v>
      </c>
      <c r="T1077" s="66" t="s">
        <v>84</v>
      </c>
      <c r="U1077" s="74">
        <v>53</v>
      </c>
      <c r="V1077" s="66">
        <v>530805</v>
      </c>
      <c r="W1077" s="63" t="str">
        <f>VLOOKUP(Tabla6[[#This Row],[ÍTEM PRESUPUESTARIO]],Tabla2[#All],2,0)</f>
        <v>MATERIALES DE ASEO</v>
      </c>
      <c r="X1077" s="57">
        <v>600</v>
      </c>
      <c r="Y1077" s="57">
        <f>600-600</f>
        <v>0</v>
      </c>
      <c r="Z1077" s="58">
        <v>0</v>
      </c>
      <c r="AA1077" s="58">
        <v>0</v>
      </c>
      <c r="AB1077" s="58">
        <v>0</v>
      </c>
      <c r="AC1077" s="58">
        <v>0</v>
      </c>
      <c r="AD1077" s="58">
        <v>0</v>
      </c>
      <c r="AE1077" s="58">
        <v>0</v>
      </c>
      <c r="AF1077" s="58">
        <v>0</v>
      </c>
      <c r="AG1077" s="58">
        <v>0</v>
      </c>
      <c r="AH1077" s="58">
        <v>0</v>
      </c>
      <c r="AI1077" s="58">
        <v>0</v>
      </c>
      <c r="AJ1077" s="58">
        <v>0</v>
      </c>
      <c r="AK1077" s="58">
        <v>0</v>
      </c>
      <c r="AL1077" s="75">
        <f>+SUBTOTAL(9,Tabla6[[#This Row],[ENE]:[DIC]])</f>
        <v>0</v>
      </c>
      <c r="AM1077" s="76" t="str">
        <f t="shared" si="35"/>
        <v>OK</v>
      </c>
      <c r="AN1077" s="60">
        <v>0</v>
      </c>
      <c r="AO1077" s="61">
        <f>+Tabla6[[#This Row],[PRESUPUESTO VIGENTE]]-Tabla6[[#This Row],[CERTIFICACIÓN PAPP]]</f>
        <v>0</v>
      </c>
      <c r="AP1077" s="59">
        <v>0</v>
      </c>
    </row>
    <row r="1078" spans="1:42" ht="93" customHeight="1" x14ac:dyDescent="0.25">
      <c r="A1078" s="62" t="s">
        <v>78</v>
      </c>
      <c r="B1078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078" s="64" t="s">
        <v>79</v>
      </c>
      <c r="D1078" s="64" t="s">
        <v>80</v>
      </c>
      <c r="E1078" s="64" t="s">
        <v>81</v>
      </c>
      <c r="F1078" s="64" t="s">
        <v>110</v>
      </c>
      <c r="G1078" s="64" t="s">
        <v>83</v>
      </c>
      <c r="H1078" s="65" t="str">
        <f>VLOOKUP(Tabla6[[#This Row],[DIRECCIÓN]],DIRECCIÓN[#All],2,0)</f>
        <v>ADMINISTRACIÓN CENTRAL</v>
      </c>
      <c r="I1078" s="66" t="s">
        <v>524</v>
      </c>
      <c r="J1078" s="67">
        <v>1</v>
      </c>
      <c r="K1078" s="68" t="str">
        <f>VLOOKUP(Tabla6[[#This Row],[DIRECCIÓN GENERAL / COORDINACIÓN / SUBDIRECCIÓN]],Tabla37[[#All],[Columna1]:[EOD]],2,0)</f>
        <v>266_0006</v>
      </c>
      <c r="L1078" s="69">
        <f>VLOOKUP(Tabla6[[#This Row],[OBJETIVOS PND]],Listas!$A$1:$C$3,3,0)</f>
        <v>1</v>
      </c>
      <c r="M1078" s="70">
        <f>VLOOKUP(Tabla6[[#This Row],[PG]],Listas2!$G$14:$K$16,5,0)</f>
        <v>0</v>
      </c>
      <c r="N1078" s="71">
        <v>1</v>
      </c>
      <c r="O1078" s="72">
        <v>1401</v>
      </c>
      <c r="P1078" s="73" t="str">
        <f>VLOOKUP(Tabla6[[#This Row],[GEO]],Listas!$A$48:$B$77,2,0)</f>
        <v>MACAS</v>
      </c>
      <c r="Q1078" s="70">
        <f>VLOOKUP(Tabla6[[#This Row],[PG]],Listas2!$G$14:$K$16,3,0)</f>
        <v>1</v>
      </c>
      <c r="R1078" s="73">
        <f>VLOOKUP(Tabla6[[#This Row],[PG]],Listas2!H180:'Listas2'!$G$14:$K$16,4,0)</f>
        <v>0</v>
      </c>
      <c r="S1078" s="73">
        <f>VLOOKUP(Tabla6[[#This Row],[PG]],Listas2!$G$14:$K$16,2,0)</f>
        <v>0</v>
      </c>
      <c r="T1078" s="66" t="s">
        <v>84</v>
      </c>
      <c r="U1078" s="74">
        <v>53</v>
      </c>
      <c r="V1078" s="66">
        <v>530811</v>
      </c>
      <c r="W1078" s="63" t="str">
        <f>VLOOKUP(Tabla6[[#This Row],[ÍTEM PRESUPUESTARIO]],Tabla2[#All],2,0)</f>
        <v>INSUMOS, MATERIALES Y SUMINISTROS PARA CONSTRUCCIÓN, ELECTRICIDAD, PLOMERÍA, CARPINTERÍA, SEÑALIZACIÓN VIAL, NAVEGACIÓN, CONTRA INCENDIOS Y PLACAS</v>
      </c>
      <c r="X1078" s="57">
        <v>1300</v>
      </c>
      <c r="Y1078" s="57">
        <f>1300-1300</f>
        <v>0</v>
      </c>
      <c r="Z1078" s="58">
        <v>0</v>
      </c>
      <c r="AA1078" s="58">
        <v>0</v>
      </c>
      <c r="AB1078" s="58">
        <v>0</v>
      </c>
      <c r="AC1078" s="58">
        <v>0</v>
      </c>
      <c r="AD1078" s="58">
        <v>0</v>
      </c>
      <c r="AE1078" s="58">
        <v>0</v>
      </c>
      <c r="AF1078" s="58">
        <v>0</v>
      </c>
      <c r="AG1078" s="58">
        <v>0</v>
      </c>
      <c r="AH1078" s="58">
        <v>0</v>
      </c>
      <c r="AI1078" s="58">
        <v>0</v>
      </c>
      <c r="AJ1078" s="58">
        <v>0</v>
      </c>
      <c r="AK1078" s="58">
        <v>0</v>
      </c>
      <c r="AL1078" s="75">
        <f>+SUBTOTAL(9,Tabla6[[#This Row],[ENE]:[DIC]])</f>
        <v>0</v>
      </c>
      <c r="AM1078" s="76" t="str">
        <f t="shared" si="35"/>
        <v>OK</v>
      </c>
      <c r="AN1078" s="60">
        <v>0</v>
      </c>
      <c r="AO1078" s="61">
        <f>+Tabla6[[#This Row],[PRESUPUESTO VIGENTE]]-Tabla6[[#This Row],[CERTIFICACIÓN PAPP]]</f>
        <v>0</v>
      </c>
      <c r="AP1078" s="59">
        <v>0</v>
      </c>
    </row>
    <row r="1079" spans="1:42" ht="93" customHeight="1" x14ac:dyDescent="0.25">
      <c r="A1079" s="62" t="s">
        <v>78</v>
      </c>
      <c r="B1079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079" s="64" t="s">
        <v>79</v>
      </c>
      <c r="D1079" s="64" t="s">
        <v>80</v>
      </c>
      <c r="E1079" s="64" t="s">
        <v>81</v>
      </c>
      <c r="F1079" s="64" t="s">
        <v>110</v>
      </c>
      <c r="G1079" s="64" t="s">
        <v>83</v>
      </c>
      <c r="H1079" s="65" t="str">
        <f>VLOOKUP(Tabla6[[#This Row],[DIRECCIÓN]],DIRECCIÓN[#All],2,0)</f>
        <v>ADMINISTRACIÓN CENTRAL</v>
      </c>
      <c r="I1079" s="66" t="s">
        <v>525</v>
      </c>
      <c r="J1079" s="67">
        <v>1</v>
      </c>
      <c r="K1079" s="68" t="str">
        <f>VLOOKUP(Tabla6[[#This Row],[DIRECCIÓN GENERAL / COORDINACIÓN / SUBDIRECCIÓN]],Tabla37[[#All],[Columna1]:[EOD]],2,0)</f>
        <v>266_0006</v>
      </c>
      <c r="L1079" s="69">
        <f>VLOOKUP(Tabla6[[#This Row],[OBJETIVOS PND]],Listas!$A$1:$C$3,3,0)</f>
        <v>1</v>
      </c>
      <c r="M1079" s="70">
        <f>VLOOKUP(Tabla6[[#This Row],[PG]],Listas2!$G$14:$K$16,5,0)</f>
        <v>0</v>
      </c>
      <c r="N1079" s="71">
        <v>1</v>
      </c>
      <c r="O1079" s="72">
        <v>1401</v>
      </c>
      <c r="P1079" s="73" t="str">
        <f>VLOOKUP(Tabla6[[#This Row],[GEO]],Listas!$A$48:$B$77,2,0)</f>
        <v>MACAS</v>
      </c>
      <c r="Q1079" s="70">
        <f>VLOOKUP(Tabla6[[#This Row],[PG]],Listas2!$G$14:$K$16,3,0)</f>
        <v>1</v>
      </c>
      <c r="R1079" s="73">
        <f>VLOOKUP(Tabla6[[#This Row],[PG]],Listas2!H181:'Listas2'!$G$14:$K$16,4,0)</f>
        <v>0</v>
      </c>
      <c r="S1079" s="73">
        <f>VLOOKUP(Tabla6[[#This Row],[PG]],Listas2!$G$14:$K$16,2,0)</f>
        <v>0</v>
      </c>
      <c r="T1079" s="66" t="s">
        <v>84</v>
      </c>
      <c r="U1079" s="74">
        <v>53</v>
      </c>
      <c r="V1079" s="66">
        <v>530813</v>
      </c>
      <c r="W1079" s="63" t="str">
        <f>VLOOKUP(Tabla6[[#This Row],[ÍTEM PRESUPUESTARIO]],Tabla2[#All],2,0)</f>
        <v>REPUESTOS Y ACCESORIOS</v>
      </c>
      <c r="X1079" s="57">
        <v>1950</v>
      </c>
      <c r="Y1079" s="57">
        <f>1950-1950</f>
        <v>0</v>
      </c>
      <c r="Z1079" s="58">
        <v>0</v>
      </c>
      <c r="AA1079" s="58">
        <v>0</v>
      </c>
      <c r="AB1079" s="58">
        <v>0</v>
      </c>
      <c r="AC1079" s="58">
        <v>0</v>
      </c>
      <c r="AD1079" s="58">
        <v>0</v>
      </c>
      <c r="AE1079" s="58">
        <v>0</v>
      </c>
      <c r="AF1079" s="58">
        <v>0</v>
      </c>
      <c r="AG1079" s="58">
        <v>0</v>
      </c>
      <c r="AH1079" s="58">
        <v>0</v>
      </c>
      <c r="AI1079" s="58">
        <v>0</v>
      </c>
      <c r="AJ1079" s="58">
        <v>0</v>
      </c>
      <c r="AK1079" s="58">
        <v>0</v>
      </c>
      <c r="AL1079" s="75">
        <f>+SUBTOTAL(9,Tabla6[[#This Row],[ENE]:[DIC]])</f>
        <v>0</v>
      </c>
      <c r="AM1079" s="76" t="str">
        <f t="shared" si="35"/>
        <v>OK</v>
      </c>
      <c r="AN1079" s="60">
        <v>0</v>
      </c>
      <c r="AO1079" s="61">
        <f>+Tabla6[[#This Row],[PRESUPUESTO VIGENTE]]-Tabla6[[#This Row],[CERTIFICACIÓN PAPP]]</f>
        <v>0</v>
      </c>
      <c r="AP1079" s="59">
        <v>0</v>
      </c>
    </row>
    <row r="1080" spans="1:42" ht="93" customHeight="1" x14ac:dyDescent="0.25">
      <c r="A1080" s="62" t="s">
        <v>78</v>
      </c>
      <c r="B1080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080" s="64" t="s">
        <v>79</v>
      </c>
      <c r="D1080" s="64" t="s">
        <v>80</v>
      </c>
      <c r="E1080" s="64" t="s">
        <v>81</v>
      </c>
      <c r="F1080" s="64" t="s">
        <v>110</v>
      </c>
      <c r="G1080" s="64" t="s">
        <v>83</v>
      </c>
      <c r="H1080" s="65" t="str">
        <f>VLOOKUP(Tabla6[[#This Row],[DIRECCIÓN]],DIRECCIÓN[#All],2,0)</f>
        <v>ADMINISTRACIÓN CENTRAL</v>
      </c>
      <c r="I1080" s="66" t="s">
        <v>526</v>
      </c>
      <c r="J1080" s="67">
        <v>1</v>
      </c>
      <c r="K1080" s="68" t="str">
        <f>VLOOKUP(Tabla6[[#This Row],[DIRECCIÓN GENERAL / COORDINACIÓN / SUBDIRECCIÓN]],Tabla37[[#All],[Columna1]:[EOD]],2,0)</f>
        <v>266_0006</v>
      </c>
      <c r="L1080" s="69">
        <f>VLOOKUP(Tabla6[[#This Row],[OBJETIVOS PND]],Listas!$A$1:$C$3,3,0)</f>
        <v>1</v>
      </c>
      <c r="M1080" s="70">
        <f>VLOOKUP(Tabla6[[#This Row],[PG]],Listas2!$G$14:$K$16,5,0)</f>
        <v>0</v>
      </c>
      <c r="N1080" s="71">
        <v>1</v>
      </c>
      <c r="O1080" s="72">
        <v>1401</v>
      </c>
      <c r="P1080" s="73" t="str">
        <f>VLOOKUP(Tabla6[[#This Row],[GEO]],Listas!$A$48:$B$77,2,0)</f>
        <v>MACAS</v>
      </c>
      <c r="Q1080" s="70">
        <f>VLOOKUP(Tabla6[[#This Row],[PG]],Listas2!$G$14:$K$16,3,0)</f>
        <v>1</v>
      </c>
      <c r="R1080" s="73">
        <f>VLOOKUP(Tabla6[[#This Row],[PG]],Listas2!H182:'Listas2'!$G$14:$K$16,4,0)</f>
        <v>0</v>
      </c>
      <c r="S1080" s="73">
        <f>VLOOKUP(Tabla6[[#This Row],[PG]],Listas2!$G$14:$K$16,2,0)</f>
        <v>0</v>
      </c>
      <c r="T1080" s="66" t="s">
        <v>84</v>
      </c>
      <c r="U1080" s="74">
        <v>53</v>
      </c>
      <c r="V1080" s="66">
        <v>530813</v>
      </c>
      <c r="W1080" s="63" t="str">
        <f>VLOOKUP(Tabla6[[#This Row],[ÍTEM PRESUPUESTARIO]],Tabla2[#All],2,0)</f>
        <v>REPUESTOS Y ACCESORIOS</v>
      </c>
      <c r="X1080" s="57">
        <v>160</v>
      </c>
      <c r="Y1080" s="57">
        <f>160-160</f>
        <v>0</v>
      </c>
      <c r="Z1080" s="58">
        <v>0</v>
      </c>
      <c r="AA1080" s="58">
        <v>0</v>
      </c>
      <c r="AB1080" s="58">
        <v>0</v>
      </c>
      <c r="AC1080" s="58">
        <v>0</v>
      </c>
      <c r="AD1080" s="58">
        <v>0</v>
      </c>
      <c r="AE1080" s="58">
        <v>0</v>
      </c>
      <c r="AF1080" s="58">
        <v>0</v>
      </c>
      <c r="AG1080" s="58">
        <v>0</v>
      </c>
      <c r="AH1080" s="58">
        <v>0</v>
      </c>
      <c r="AI1080" s="58">
        <v>0</v>
      </c>
      <c r="AJ1080" s="58">
        <v>0</v>
      </c>
      <c r="AK1080" s="58">
        <v>0</v>
      </c>
      <c r="AL1080" s="75">
        <f>+SUBTOTAL(9,Tabla6[[#This Row],[ENE]:[DIC]])</f>
        <v>0</v>
      </c>
      <c r="AM1080" s="76" t="str">
        <f t="shared" si="35"/>
        <v>OK</v>
      </c>
      <c r="AN1080" s="60">
        <v>0</v>
      </c>
      <c r="AO1080" s="61">
        <f>+Tabla6[[#This Row],[PRESUPUESTO VIGENTE]]-Tabla6[[#This Row],[CERTIFICACIÓN PAPP]]</f>
        <v>0</v>
      </c>
      <c r="AP1080" s="59">
        <v>0</v>
      </c>
    </row>
    <row r="1081" spans="1:42" ht="93" customHeight="1" x14ac:dyDescent="0.25">
      <c r="A1081" s="62" t="s">
        <v>78</v>
      </c>
      <c r="B1081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081" s="64" t="s">
        <v>79</v>
      </c>
      <c r="D1081" s="64" t="s">
        <v>80</v>
      </c>
      <c r="E1081" s="64" t="s">
        <v>81</v>
      </c>
      <c r="F1081" s="64" t="s">
        <v>110</v>
      </c>
      <c r="G1081" s="64" t="s">
        <v>83</v>
      </c>
      <c r="H1081" s="65" t="str">
        <f>VLOOKUP(Tabla6[[#This Row],[DIRECCIÓN]],DIRECCIÓN[#All],2,0)</f>
        <v>ADMINISTRACIÓN CENTRAL</v>
      </c>
      <c r="I1081" s="66" t="s">
        <v>527</v>
      </c>
      <c r="J1081" s="67">
        <v>1</v>
      </c>
      <c r="K1081" s="68" t="str">
        <f>VLOOKUP(Tabla6[[#This Row],[DIRECCIÓN GENERAL / COORDINACIÓN / SUBDIRECCIÓN]],Tabla37[[#All],[Columna1]:[EOD]],2,0)</f>
        <v>266_0006</v>
      </c>
      <c r="L1081" s="69">
        <f>VLOOKUP(Tabla6[[#This Row],[OBJETIVOS PND]],Listas!$A$1:$C$3,3,0)</f>
        <v>1</v>
      </c>
      <c r="M1081" s="70">
        <f>VLOOKUP(Tabla6[[#This Row],[PG]],Listas2!$G$14:$K$16,5,0)</f>
        <v>0</v>
      </c>
      <c r="N1081" s="71">
        <v>1</v>
      </c>
      <c r="O1081" s="72">
        <v>1401</v>
      </c>
      <c r="P1081" s="73" t="str">
        <f>VLOOKUP(Tabla6[[#This Row],[GEO]],Listas!$A$48:$B$77,2,0)</f>
        <v>MACAS</v>
      </c>
      <c r="Q1081" s="70">
        <f>VLOOKUP(Tabla6[[#This Row],[PG]],Listas2!$G$14:$K$16,3,0)</f>
        <v>1</v>
      </c>
      <c r="R1081" s="73">
        <f>VLOOKUP(Tabla6[[#This Row],[PG]],Listas2!H183:'Listas2'!$G$14:$K$16,4,0)</f>
        <v>0</v>
      </c>
      <c r="S1081" s="73">
        <f>VLOOKUP(Tabla6[[#This Row],[PG]],Listas2!$G$14:$K$16,2,0)</f>
        <v>0</v>
      </c>
      <c r="T1081" s="66" t="s">
        <v>84</v>
      </c>
      <c r="U1081" s="74">
        <v>53</v>
      </c>
      <c r="V1081" s="66">
        <v>530813</v>
      </c>
      <c r="W1081" s="63" t="str">
        <f>VLOOKUP(Tabla6[[#This Row],[ÍTEM PRESUPUESTARIO]],Tabla2[#All],2,0)</f>
        <v>REPUESTOS Y ACCESORIOS</v>
      </c>
      <c r="X1081" s="57">
        <v>500</v>
      </c>
      <c r="Y1081" s="57">
        <f>500-500</f>
        <v>0</v>
      </c>
      <c r="Z1081" s="58">
        <v>0</v>
      </c>
      <c r="AA1081" s="58">
        <v>0</v>
      </c>
      <c r="AB1081" s="58">
        <v>0</v>
      </c>
      <c r="AC1081" s="58">
        <v>0</v>
      </c>
      <c r="AD1081" s="58">
        <v>0</v>
      </c>
      <c r="AE1081" s="58">
        <v>0</v>
      </c>
      <c r="AF1081" s="58">
        <v>0</v>
      </c>
      <c r="AG1081" s="58">
        <v>0</v>
      </c>
      <c r="AH1081" s="58">
        <v>0</v>
      </c>
      <c r="AI1081" s="58">
        <v>0</v>
      </c>
      <c r="AJ1081" s="58">
        <v>0</v>
      </c>
      <c r="AK1081" s="58">
        <v>0</v>
      </c>
      <c r="AL1081" s="75">
        <f>+SUBTOTAL(9,Tabla6[[#This Row],[ENE]:[DIC]])</f>
        <v>0</v>
      </c>
      <c r="AM1081" s="76" t="str">
        <f t="shared" si="35"/>
        <v>OK</v>
      </c>
      <c r="AN1081" s="60">
        <v>0</v>
      </c>
      <c r="AO1081" s="61">
        <f>+Tabla6[[#This Row],[PRESUPUESTO VIGENTE]]-Tabla6[[#This Row],[CERTIFICACIÓN PAPP]]</f>
        <v>0</v>
      </c>
      <c r="AP1081" s="59">
        <v>0</v>
      </c>
    </row>
    <row r="1082" spans="1:42" ht="93" customHeight="1" x14ac:dyDescent="0.25">
      <c r="A1082" s="62" t="s">
        <v>78</v>
      </c>
      <c r="B1082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082" s="64" t="s">
        <v>79</v>
      </c>
      <c r="D1082" s="64" t="s">
        <v>80</v>
      </c>
      <c r="E1082" s="64" t="s">
        <v>81</v>
      </c>
      <c r="F1082" s="64" t="s">
        <v>110</v>
      </c>
      <c r="G1082" s="64" t="s">
        <v>83</v>
      </c>
      <c r="H1082" s="65" t="str">
        <f>VLOOKUP(Tabla6[[#This Row],[DIRECCIÓN]],DIRECCIÓN[#All],2,0)</f>
        <v>ADMINISTRACIÓN CENTRAL</v>
      </c>
      <c r="I1082" s="66" t="s">
        <v>528</v>
      </c>
      <c r="J1082" s="67">
        <v>1</v>
      </c>
      <c r="K1082" s="68" t="str">
        <f>VLOOKUP(Tabla6[[#This Row],[DIRECCIÓN GENERAL / COORDINACIÓN / SUBDIRECCIÓN]],Tabla37[[#All],[Columna1]:[EOD]],2,0)</f>
        <v>266_0006</v>
      </c>
      <c r="L1082" s="69">
        <f>VLOOKUP(Tabla6[[#This Row],[OBJETIVOS PND]],Listas!$A$1:$C$3,3,0)</f>
        <v>1</v>
      </c>
      <c r="M1082" s="70">
        <f>VLOOKUP(Tabla6[[#This Row],[PG]],Listas2!$G$14:$K$16,5,0)</f>
        <v>0</v>
      </c>
      <c r="N1082" s="71">
        <v>1</v>
      </c>
      <c r="O1082" s="72">
        <v>1401</v>
      </c>
      <c r="P1082" s="73" t="str">
        <f>VLOOKUP(Tabla6[[#This Row],[GEO]],Listas!$A$48:$B$77,2,0)</f>
        <v>MACAS</v>
      </c>
      <c r="Q1082" s="70">
        <f>VLOOKUP(Tabla6[[#This Row],[PG]],Listas2!$G$14:$K$16,3,0)</f>
        <v>1</v>
      </c>
      <c r="R1082" s="73">
        <f>VLOOKUP(Tabla6[[#This Row],[PG]],Listas2!H184:'Listas2'!$G$14:$K$16,4,0)</f>
        <v>0</v>
      </c>
      <c r="S1082" s="73">
        <f>VLOOKUP(Tabla6[[#This Row],[PG]],Listas2!$G$14:$K$16,2,0)</f>
        <v>0</v>
      </c>
      <c r="T1082" s="66" t="s">
        <v>84</v>
      </c>
      <c r="U1082" s="74">
        <v>53</v>
      </c>
      <c r="V1082" s="66">
        <v>530813</v>
      </c>
      <c r="W1082" s="63" t="str">
        <f>VLOOKUP(Tabla6[[#This Row],[ÍTEM PRESUPUESTARIO]],Tabla2[#All],2,0)</f>
        <v>REPUESTOS Y ACCESORIOS</v>
      </c>
      <c r="X1082" s="57">
        <v>3000</v>
      </c>
      <c r="Y1082" s="57">
        <f>3000-3000</f>
        <v>0</v>
      </c>
      <c r="Z1082" s="58">
        <v>0</v>
      </c>
      <c r="AA1082" s="58">
        <v>0</v>
      </c>
      <c r="AB1082" s="58">
        <v>0</v>
      </c>
      <c r="AC1082" s="58">
        <v>0</v>
      </c>
      <c r="AD1082" s="58">
        <v>0</v>
      </c>
      <c r="AE1082" s="58">
        <v>0</v>
      </c>
      <c r="AF1082" s="58">
        <v>0</v>
      </c>
      <c r="AG1082" s="58">
        <v>0</v>
      </c>
      <c r="AH1082" s="58">
        <v>0</v>
      </c>
      <c r="AI1082" s="58">
        <v>0</v>
      </c>
      <c r="AJ1082" s="58">
        <v>0</v>
      </c>
      <c r="AK1082" s="58">
        <v>0</v>
      </c>
      <c r="AL1082" s="75">
        <f>+SUBTOTAL(9,Tabla6[[#This Row],[ENE]:[DIC]])</f>
        <v>0</v>
      </c>
      <c r="AM1082" s="76" t="str">
        <f t="shared" si="35"/>
        <v>OK</v>
      </c>
      <c r="AN1082" s="60">
        <v>0</v>
      </c>
      <c r="AO1082" s="61">
        <f>+Tabla6[[#This Row],[PRESUPUESTO VIGENTE]]-Tabla6[[#This Row],[CERTIFICACIÓN PAPP]]</f>
        <v>0</v>
      </c>
      <c r="AP1082" s="59">
        <v>0</v>
      </c>
    </row>
    <row r="1083" spans="1:42" ht="93" customHeight="1" x14ac:dyDescent="0.25">
      <c r="A1083" s="62" t="s">
        <v>78</v>
      </c>
      <c r="B1083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083" s="64" t="s">
        <v>79</v>
      </c>
      <c r="D1083" s="64" t="s">
        <v>80</v>
      </c>
      <c r="E1083" s="64" t="s">
        <v>81</v>
      </c>
      <c r="F1083" s="64" t="s">
        <v>110</v>
      </c>
      <c r="G1083" s="64" t="s">
        <v>83</v>
      </c>
      <c r="H1083" s="65" t="str">
        <f>VLOOKUP(Tabla6[[#This Row],[DIRECCIÓN]],DIRECCIÓN[#All],2,0)</f>
        <v>ADMINISTRACIÓN CENTRAL</v>
      </c>
      <c r="I1083" s="66" t="s">
        <v>529</v>
      </c>
      <c r="J1083" s="67">
        <v>1</v>
      </c>
      <c r="K1083" s="68" t="str">
        <f>VLOOKUP(Tabla6[[#This Row],[DIRECCIÓN GENERAL / COORDINACIÓN / SUBDIRECCIÓN]],Tabla37[[#All],[Columna1]:[EOD]],2,0)</f>
        <v>266_0006</v>
      </c>
      <c r="L1083" s="69">
        <f>VLOOKUP(Tabla6[[#This Row],[OBJETIVOS PND]],Listas!$A$1:$C$3,3,0)</f>
        <v>1</v>
      </c>
      <c r="M1083" s="70">
        <f>VLOOKUP(Tabla6[[#This Row],[PG]],Listas2!$G$14:$K$16,5,0)</f>
        <v>0</v>
      </c>
      <c r="N1083" s="71">
        <v>1</v>
      </c>
      <c r="O1083" s="72">
        <v>1401</v>
      </c>
      <c r="P1083" s="73" t="str">
        <f>VLOOKUP(Tabla6[[#This Row],[GEO]],Listas!$A$48:$B$77,2,0)</f>
        <v>MACAS</v>
      </c>
      <c r="Q1083" s="70">
        <f>VLOOKUP(Tabla6[[#This Row],[PG]],Listas2!$G$14:$K$16,3,0)</f>
        <v>1</v>
      </c>
      <c r="R1083" s="73">
        <f>VLOOKUP(Tabla6[[#This Row],[PG]],Listas2!H185:'Listas2'!$G$14:$K$16,4,0)</f>
        <v>0</v>
      </c>
      <c r="S1083" s="73">
        <f>VLOOKUP(Tabla6[[#This Row],[PG]],Listas2!$G$14:$K$16,2,0)</f>
        <v>0</v>
      </c>
      <c r="T1083" s="66" t="s">
        <v>84</v>
      </c>
      <c r="U1083" s="74">
        <v>53</v>
      </c>
      <c r="V1083" s="66">
        <v>530813</v>
      </c>
      <c r="W1083" s="63" t="str">
        <f>VLOOKUP(Tabla6[[#This Row],[ÍTEM PRESUPUESTARIO]],Tabla2[#All],2,0)</f>
        <v>REPUESTOS Y ACCESORIOS</v>
      </c>
      <c r="X1083" s="57">
        <v>0</v>
      </c>
      <c r="Y1083" s="57">
        <f>850-91</f>
        <v>759</v>
      </c>
      <c r="Z1083" s="58">
        <v>0</v>
      </c>
      <c r="AA1083" s="58">
        <v>0</v>
      </c>
      <c r="AB1083" s="58">
        <v>0</v>
      </c>
      <c r="AC1083" s="58">
        <v>0</v>
      </c>
      <c r="AD1083" s="58">
        <v>0</v>
      </c>
      <c r="AE1083" s="58">
        <v>0</v>
      </c>
      <c r="AF1083" s="58">
        <v>0</v>
      </c>
      <c r="AG1083" s="58">
        <v>0</v>
      </c>
      <c r="AH1083" s="58">
        <v>0</v>
      </c>
      <c r="AI1083" s="58">
        <v>0</v>
      </c>
      <c r="AJ1083" s="58">
        <f>850-91</f>
        <v>759</v>
      </c>
      <c r="AK1083" s="58">
        <v>0</v>
      </c>
      <c r="AL1083" s="75">
        <f>+SUBTOTAL(9,Tabla6[[#This Row],[ENE]:[DIC]])</f>
        <v>759</v>
      </c>
      <c r="AM1083" s="76" t="str">
        <f t="shared" si="35"/>
        <v>OK</v>
      </c>
      <c r="AN1083" s="60">
        <v>759</v>
      </c>
      <c r="AO1083" s="61">
        <f>+Tabla6[[#This Row],[PRESUPUESTO VIGENTE]]-Tabla6[[#This Row],[CERTIFICACIÓN PAPP]]</f>
        <v>0</v>
      </c>
      <c r="AP1083" s="59">
        <v>0</v>
      </c>
    </row>
    <row r="1084" spans="1:42" ht="93" customHeight="1" x14ac:dyDescent="0.25">
      <c r="A1084" s="62" t="s">
        <v>78</v>
      </c>
      <c r="B1084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084" s="64" t="s">
        <v>79</v>
      </c>
      <c r="D1084" s="64" t="s">
        <v>80</v>
      </c>
      <c r="E1084" s="64" t="s">
        <v>81</v>
      </c>
      <c r="F1084" s="64" t="s">
        <v>110</v>
      </c>
      <c r="G1084" s="64" t="s">
        <v>83</v>
      </c>
      <c r="H1084" s="65" t="str">
        <f>VLOOKUP(Tabla6[[#This Row],[DIRECCIÓN]],DIRECCIÓN[#All],2,0)</f>
        <v>ADMINISTRACIÓN CENTRAL</v>
      </c>
      <c r="I1084" s="66" t="s">
        <v>530</v>
      </c>
      <c r="J1084" s="67">
        <v>1</v>
      </c>
      <c r="K1084" s="68" t="str">
        <f>VLOOKUP(Tabla6[[#This Row],[DIRECCIÓN GENERAL / COORDINACIÓN / SUBDIRECCIÓN]],Tabla37[[#All],[Columna1]:[EOD]],2,0)</f>
        <v>266_0006</v>
      </c>
      <c r="L1084" s="69">
        <f>VLOOKUP(Tabla6[[#This Row],[OBJETIVOS PND]],Listas!$A$1:$C$3,3,0)</f>
        <v>1</v>
      </c>
      <c r="M1084" s="70">
        <f>VLOOKUP(Tabla6[[#This Row],[PG]],Listas2!$G$14:$K$16,5,0)</f>
        <v>0</v>
      </c>
      <c r="N1084" s="71">
        <v>1</v>
      </c>
      <c r="O1084" s="72">
        <v>1401</v>
      </c>
      <c r="P1084" s="73" t="str">
        <f>VLOOKUP(Tabla6[[#This Row],[GEO]],Listas!$A$48:$B$77,2,0)</f>
        <v>MACAS</v>
      </c>
      <c r="Q1084" s="70">
        <f>VLOOKUP(Tabla6[[#This Row],[PG]],Listas2!$G$14:$K$16,3,0)</f>
        <v>1</v>
      </c>
      <c r="R1084" s="73">
        <f>VLOOKUP(Tabla6[[#This Row],[PG]],Listas2!H186:'Listas2'!$G$14:$K$16,4,0)</f>
        <v>0</v>
      </c>
      <c r="S1084" s="73">
        <f>VLOOKUP(Tabla6[[#This Row],[PG]],Listas2!$G$14:$K$16,2,0)</f>
        <v>0</v>
      </c>
      <c r="T1084" s="66" t="s">
        <v>84</v>
      </c>
      <c r="U1084" s="74">
        <v>53</v>
      </c>
      <c r="V1084" s="66">
        <v>530813</v>
      </c>
      <c r="W1084" s="63" t="str">
        <f>VLOOKUP(Tabla6[[#This Row],[ÍTEM PRESUPUESTARIO]],Tabla2[#All],2,0)</f>
        <v>REPUESTOS Y ACCESORIOS</v>
      </c>
      <c r="X1084" s="57">
        <v>0</v>
      </c>
      <c r="Y1084" s="57">
        <f>1080-738</f>
        <v>342</v>
      </c>
      <c r="Z1084" s="58">
        <v>0</v>
      </c>
      <c r="AA1084" s="58">
        <v>0</v>
      </c>
      <c r="AB1084" s="58">
        <v>0</v>
      </c>
      <c r="AC1084" s="58">
        <v>0</v>
      </c>
      <c r="AD1084" s="58">
        <v>0</v>
      </c>
      <c r="AE1084" s="58">
        <v>0</v>
      </c>
      <c r="AF1084" s="58">
        <v>0</v>
      </c>
      <c r="AG1084" s="58">
        <v>0</v>
      </c>
      <c r="AH1084" s="58">
        <v>0</v>
      </c>
      <c r="AI1084" s="58">
        <v>0</v>
      </c>
      <c r="AJ1084" s="58">
        <f>1080-738</f>
        <v>342</v>
      </c>
      <c r="AK1084" s="58">
        <v>0</v>
      </c>
      <c r="AL1084" s="75">
        <f>+SUBTOTAL(9,Tabla6[[#This Row],[ENE]:[DIC]])</f>
        <v>342</v>
      </c>
      <c r="AM1084" s="76" t="str">
        <f t="shared" si="35"/>
        <v>OK</v>
      </c>
      <c r="AN1084" s="60">
        <v>342</v>
      </c>
      <c r="AO1084" s="61">
        <f>+Tabla6[[#This Row],[PRESUPUESTO VIGENTE]]-Tabla6[[#This Row],[CERTIFICACIÓN PAPP]]</f>
        <v>0</v>
      </c>
      <c r="AP1084" s="59">
        <v>0</v>
      </c>
    </row>
    <row r="1085" spans="1:42" ht="93" customHeight="1" x14ac:dyDescent="0.25">
      <c r="A1085" s="62" t="s">
        <v>78</v>
      </c>
      <c r="B1085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085" s="64" t="s">
        <v>79</v>
      </c>
      <c r="D1085" s="64" t="s">
        <v>80</v>
      </c>
      <c r="E1085" s="64" t="s">
        <v>81</v>
      </c>
      <c r="F1085" s="64" t="s">
        <v>110</v>
      </c>
      <c r="G1085" s="64" t="s">
        <v>83</v>
      </c>
      <c r="H1085" s="65" t="str">
        <f>VLOOKUP(Tabla6[[#This Row],[DIRECCIÓN]],DIRECCIÓN[#All],2,0)</f>
        <v>ADMINISTRACIÓN CENTRAL</v>
      </c>
      <c r="I1085" s="66" t="s">
        <v>531</v>
      </c>
      <c r="J1085" s="67">
        <v>1</v>
      </c>
      <c r="K1085" s="68" t="str">
        <f>VLOOKUP(Tabla6[[#This Row],[DIRECCIÓN GENERAL / COORDINACIÓN / SUBDIRECCIÓN]],Tabla37[[#All],[Columna1]:[EOD]],2,0)</f>
        <v>266_0006</v>
      </c>
      <c r="L1085" s="69">
        <f>VLOOKUP(Tabla6[[#This Row],[OBJETIVOS PND]],Listas!$A$1:$C$3,3,0)</f>
        <v>1</v>
      </c>
      <c r="M1085" s="70">
        <f>VLOOKUP(Tabla6[[#This Row],[PG]],Listas2!$G$14:$K$16,5,0)</f>
        <v>0</v>
      </c>
      <c r="N1085" s="71">
        <v>1</v>
      </c>
      <c r="O1085" s="72">
        <v>1401</v>
      </c>
      <c r="P1085" s="73" t="str">
        <f>VLOOKUP(Tabla6[[#This Row],[GEO]],Listas!$A$48:$B$77,2,0)</f>
        <v>MACAS</v>
      </c>
      <c r="Q1085" s="70">
        <f>VLOOKUP(Tabla6[[#This Row],[PG]],Listas2!$G$14:$K$16,3,0)</f>
        <v>1</v>
      </c>
      <c r="R1085" s="73">
        <f>VLOOKUP(Tabla6[[#This Row],[PG]],Listas2!H187:'Listas2'!$G$14:$K$16,4,0)</f>
        <v>0</v>
      </c>
      <c r="S1085" s="73">
        <f>VLOOKUP(Tabla6[[#This Row],[PG]],Listas2!$G$14:$K$16,2,0)</f>
        <v>0</v>
      </c>
      <c r="T1085" s="66" t="s">
        <v>84</v>
      </c>
      <c r="U1085" s="74">
        <v>53</v>
      </c>
      <c r="V1085" s="66">
        <v>531406</v>
      </c>
      <c r="W1085" s="63" t="str">
        <f>VLOOKUP(Tabla6[[#This Row],[ÍTEM PRESUPUESTARIO]],Tabla2[#All],2,0)</f>
        <v>HERRAMIENTAS Y EQUIPOS MENORES</v>
      </c>
      <c r="X1085" s="57">
        <v>500</v>
      </c>
      <c r="Y1085" s="57">
        <f>500-500</f>
        <v>0</v>
      </c>
      <c r="Z1085" s="58">
        <v>0</v>
      </c>
      <c r="AA1085" s="58">
        <v>0</v>
      </c>
      <c r="AB1085" s="58">
        <v>0</v>
      </c>
      <c r="AC1085" s="58">
        <v>0</v>
      </c>
      <c r="AD1085" s="58">
        <v>0</v>
      </c>
      <c r="AE1085" s="58">
        <v>0</v>
      </c>
      <c r="AF1085" s="58">
        <v>0</v>
      </c>
      <c r="AG1085" s="58">
        <v>0</v>
      </c>
      <c r="AH1085" s="58">
        <v>0</v>
      </c>
      <c r="AI1085" s="58">
        <v>0</v>
      </c>
      <c r="AJ1085" s="58">
        <v>0</v>
      </c>
      <c r="AK1085" s="58">
        <v>0</v>
      </c>
      <c r="AL1085" s="75">
        <f>+SUBTOTAL(9,Tabla6[[#This Row],[ENE]:[DIC]])</f>
        <v>0</v>
      </c>
      <c r="AM1085" s="76" t="str">
        <f t="shared" si="35"/>
        <v>OK</v>
      </c>
      <c r="AN1085" s="60">
        <v>0</v>
      </c>
      <c r="AO1085" s="61">
        <f>+Tabla6[[#This Row],[PRESUPUESTO VIGENTE]]-Tabla6[[#This Row],[CERTIFICACIÓN PAPP]]</f>
        <v>0</v>
      </c>
      <c r="AP1085" s="59">
        <v>0</v>
      </c>
    </row>
    <row r="1086" spans="1:42" ht="93" customHeight="1" x14ac:dyDescent="0.25">
      <c r="A1086" s="62" t="s">
        <v>78</v>
      </c>
      <c r="B1086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086" s="64" t="s">
        <v>79</v>
      </c>
      <c r="D1086" s="64" t="s">
        <v>80</v>
      </c>
      <c r="E1086" s="64" t="s">
        <v>81</v>
      </c>
      <c r="F1086" s="64" t="s">
        <v>110</v>
      </c>
      <c r="G1086" s="64" t="s">
        <v>83</v>
      </c>
      <c r="H1086" s="65" t="str">
        <f>VLOOKUP(Tabla6[[#This Row],[DIRECCIÓN]],DIRECCIÓN[#All],2,0)</f>
        <v>ADMINISTRACIÓN CENTRAL</v>
      </c>
      <c r="I1086" s="66" t="s">
        <v>532</v>
      </c>
      <c r="J1086" s="67">
        <v>1</v>
      </c>
      <c r="K1086" s="68" t="str">
        <f>VLOOKUP(Tabla6[[#This Row],[DIRECCIÓN GENERAL / COORDINACIÓN / SUBDIRECCIÓN]],Tabla37[[#All],[Columna1]:[EOD]],2,0)</f>
        <v>266_0006</v>
      </c>
      <c r="L1086" s="69">
        <f>VLOOKUP(Tabla6[[#This Row],[OBJETIVOS PND]],Listas!$A$1:$C$3,3,0)</f>
        <v>1</v>
      </c>
      <c r="M1086" s="70">
        <f>VLOOKUP(Tabla6[[#This Row],[PG]],Listas2!$G$14:$K$16,5,0)</f>
        <v>0</v>
      </c>
      <c r="N1086" s="71">
        <v>1</v>
      </c>
      <c r="O1086" s="72">
        <v>1401</v>
      </c>
      <c r="P1086" s="73" t="str">
        <f>VLOOKUP(Tabla6[[#This Row],[GEO]],Listas!$A$48:$B$77,2,0)</f>
        <v>MACAS</v>
      </c>
      <c r="Q1086" s="70">
        <f>VLOOKUP(Tabla6[[#This Row],[PG]],Listas2!$G$14:$K$16,3,0)</f>
        <v>1</v>
      </c>
      <c r="R1086" s="73">
        <f>VLOOKUP(Tabla6[[#This Row],[PG]],Listas2!H188:'Listas2'!$G$14:$K$16,4,0)</f>
        <v>0</v>
      </c>
      <c r="S1086" s="73">
        <f>VLOOKUP(Tabla6[[#This Row],[PG]],Listas2!$G$14:$K$16,2,0)</f>
        <v>0</v>
      </c>
      <c r="T1086" s="66" t="s">
        <v>84</v>
      </c>
      <c r="U1086" s="74">
        <v>53</v>
      </c>
      <c r="V1086" s="66">
        <v>531408</v>
      </c>
      <c r="W1086" s="63" t="str">
        <f>VLOOKUP(Tabla6[[#This Row],[ÍTEM PRESUPUESTARIO]],Tabla2[#All],2,0)</f>
        <v>BIENES ARTÍSTICOS, CULTURALES, DEPORTIVOS Y SÍMBOLOS PATRIOS</v>
      </c>
      <c r="X1086" s="57">
        <v>0</v>
      </c>
      <c r="Y1086" s="57">
        <f>235-0.13</f>
        <v>234.87</v>
      </c>
      <c r="Z1086" s="58">
        <v>0</v>
      </c>
      <c r="AA1086" s="58">
        <v>0</v>
      </c>
      <c r="AB1086" s="58">
        <v>0</v>
      </c>
      <c r="AC1086" s="58">
        <v>0</v>
      </c>
      <c r="AD1086" s="58">
        <v>0</v>
      </c>
      <c r="AE1086" s="58">
        <v>0</v>
      </c>
      <c r="AF1086" s="58">
        <v>0</v>
      </c>
      <c r="AG1086" s="58">
        <v>0</v>
      </c>
      <c r="AH1086" s="58">
        <v>0</v>
      </c>
      <c r="AI1086" s="58">
        <f>235-0.13</f>
        <v>234.87</v>
      </c>
      <c r="AJ1086" s="58">
        <v>0</v>
      </c>
      <c r="AK1086" s="58">
        <v>0</v>
      </c>
      <c r="AL1086" s="75">
        <f>+SUBTOTAL(9,Tabla6[[#This Row],[ENE]:[DIC]])</f>
        <v>234.87</v>
      </c>
      <c r="AM1086" s="76" t="str">
        <f t="shared" ref="AM1086:AM1087" si="36">IF(AL1086=Y1086,"OK",Y1086-AL1086)</f>
        <v>OK</v>
      </c>
      <c r="AN1086" s="60">
        <v>234.87</v>
      </c>
      <c r="AO1086" s="61">
        <f>+Tabla6[[#This Row],[PRESUPUESTO VIGENTE]]-Tabla6[[#This Row],[CERTIFICACIÓN PAPP]]</f>
        <v>0</v>
      </c>
      <c r="AP1086" s="59">
        <v>0</v>
      </c>
    </row>
    <row r="1087" spans="1:42" ht="93" customHeight="1" x14ac:dyDescent="0.25">
      <c r="A1087" s="62" t="s">
        <v>78</v>
      </c>
      <c r="B1087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087" s="64" t="s">
        <v>79</v>
      </c>
      <c r="D1087" s="64" t="s">
        <v>80</v>
      </c>
      <c r="E1087" s="64" t="s">
        <v>81</v>
      </c>
      <c r="F1087" s="64" t="s">
        <v>110</v>
      </c>
      <c r="G1087" s="64" t="s">
        <v>83</v>
      </c>
      <c r="H1087" s="65" t="str">
        <f>VLOOKUP(Tabla6[[#This Row],[DIRECCIÓN]],DIRECCIÓN[#All],2,0)</f>
        <v>ADMINISTRACIÓN CENTRAL</v>
      </c>
      <c r="I1087" s="66" t="s">
        <v>533</v>
      </c>
      <c r="J1087" s="67">
        <v>1</v>
      </c>
      <c r="K1087" s="68" t="str">
        <f>VLOOKUP(Tabla6[[#This Row],[DIRECCIÓN GENERAL / COORDINACIÓN / SUBDIRECCIÓN]],Tabla37[[#All],[Columna1]:[EOD]],2,0)</f>
        <v>266_0006</v>
      </c>
      <c r="L1087" s="69">
        <f>VLOOKUP(Tabla6[[#This Row],[OBJETIVOS PND]],Listas!$A$1:$C$3,3,0)</f>
        <v>1</v>
      </c>
      <c r="M1087" s="70">
        <f>VLOOKUP(Tabla6[[#This Row],[PG]],Listas2!$G$14:$K$16,5,0)</f>
        <v>0</v>
      </c>
      <c r="N1087" s="71">
        <v>1</v>
      </c>
      <c r="O1087" s="72">
        <v>1401</v>
      </c>
      <c r="P1087" s="73" t="str">
        <f>VLOOKUP(Tabla6[[#This Row],[GEO]],Listas!$A$48:$B$77,2,0)</f>
        <v>MACAS</v>
      </c>
      <c r="Q1087" s="70">
        <f>VLOOKUP(Tabla6[[#This Row],[PG]],Listas2!$G$14:$K$16,3,0)</f>
        <v>1</v>
      </c>
      <c r="R1087" s="73">
        <f>VLOOKUP(Tabla6[[#This Row],[PG]],Listas2!H189:'Listas2'!$G$14:$K$16,4,0)</f>
        <v>0</v>
      </c>
      <c r="S1087" s="73">
        <f>VLOOKUP(Tabla6[[#This Row],[PG]],Listas2!$G$14:$K$16,2,0)</f>
        <v>0</v>
      </c>
      <c r="T1087" s="66" t="s">
        <v>84</v>
      </c>
      <c r="U1087" s="74">
        <v>57</v>
      </c>
      <c r="V1087" s="66">
        <v>570102</v>
      </c>
      <c r="W1087" s="63" t="str">
        <f>VLOOKUP(Tabla6[[#This Row],[ÍTEM PRESUPUESTARIO]],Tabla2[#All],2,0)</f>
        <v>TASAS GENERALES, IMPUESTOS, CONTRIBUCIONES, PERMISOS, LICENCIAS Y PATENTES</v>
      </c>
      <c r="X1087" s="57">
        <v>900</v>
      </c>
      <c r="Y1087" s="57">
        <f>900+50-3.98-25</f>
        <v>921.02</v>
      </c>
      <c r="Z1087" s="58">
        <v>0</v>
      </c>
      <c r="AA1087" s="58">
        <v>400</v>
      </c>
      <c r="AB1087" s="58">
        <v>0</v>
      </c>
      <c r="AC1087" s="58">
        <f>480+50-25</f>
        <v>505</v>
      </c>
      <c r="AD1087" s="58">
        <v>0</v>
      </c>
      <c r="AE1087" s="58">
        <v>0</v>
      </c>
      <c r="AF1087" s="58">
        <v>10</v>
      </c>
      <c r="AG1087" s="58">
        <v>0</v>
      </c>
      <c r="AH1087" s="58">
        <v>0</v>
      </c>
      <c r="AI1087" s="58">
        <v>0</v>
      </c>
      <c r="AJ1087" s="58">
        <f>10-3.98</f>
        <v>6.02</v>
      </c>
      <c r="AK1087" s="58">
        <v>0</v>
      </c>
      <c r="AL1087" s="75">
        <f>+SUBTOTAL(9,Tabla6[[#This Row],[ENE]:[DIC]])</f>
        <v>921.02</v>
      </c>
      <c r="AM1087" s="76" t="str">
        <f t="shared" si="36"/>
        <v>OK</v>
      </c>
      <c r="AN1087" s="60">
        <f>139.22+30+22+228.27+7+58.73+460.8-30+30-25</f>
        <v>921.02</v>
      </c>
      <c r="AO1087" s="61">
        <f>+Tabla6[[#This Row],[PRESUPUESTO VIGENTE]]-Tabla6[[#This Row],[CERTIFICACIÓN PAPP]]</f>
        <v>0</v>
      </c>
      <c r="AP1087" s="59">
        <v>0</v>
      </c>
    </row>
    <row r="1088" spans="1:42" ht="93" customHeight="1" x14ac:dyDescent="0.25">
      <c r="A1088" s="62" t="s">
        <v>88</v>
      </c>
      <c r="B1088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088" s="64" t="s">
        <v>89</v>
      </c>
      <c r="D1088" s="64" t="s">
        <v>80</v>
      </c>
      <c r="E1088" s="64" t="s">
        <v>81</v>
      </c>
      <c r="F1088" s="64" t="s">
        <v>110</v>
      </c>
      <c r="G1088" s="64" t="s">
        <v>90</v>
      </c>
      <c r="H1088" s="65" t="str">
        <f>VLOOKUP(Tabla6[[#This Row],[DIRECCIÓN]],DIRECCIÓN[#All],2,0)</f>
        <v>TECNOLOGÍA</v>
      </c>
      <c r="I1088" s="66" t="s">
        <v>534</v>
      </c>
      <c r="J1088" s="67">
        <v>1</v>
      </c>
      <c r="K1088" s="68" t="str">
        <f>VLOOKUP(Tabla6[[#This Row],[DIRECCIÓN GENERAL / COORDINACIÓN / SUBDIRECCIÓN]],Tabla37[[#All],[Columna1]:[EOD]],2,0)</f>
        <v>266_0006</v>
      </c>
      <c r="L1088" s="69">
        <f>VLOOKUP(Tabla6[[#This Row],[OBJETIVOS PND]],Listas!$A$1:$C$3,3,0)</f>
        <v>55</v>
      </c>
      <c r="M1088" s="70">
        <f>VLOOKUP(Tabla6[[#This Row],[PG]],Listas2!$G$14:$K$16,5,0)</f>
        <v>0</v>
      </c>
      <c r="N1088" s="71">
        <v>3</v>
      </c>
      <c r="O1088" s="72">
        <v>1401</v>
      </c>
      <c r="P1088" s="73" t="str">
        <f>VLOOKUP(Tabla6[[#This Row],[GEO]],Listas!$A$48:$B$77,2,0)</f>
        <v>MACAS</v>
      </c>
      <c r="Q1088" s="70">
        <f>VLOOKUP(Tabla6[[#This Row],[PG]],Listas2!$G$14:$K$16,3,0)</f>
        <v>1</v>
      </c>
      <c r="R1088" s="73">
        <f>VLOOKUP(Tabla6[[#This Row],[PG]],Listas2!H188:'Listas2'!$G$14:$K$16,4,0)</f>
        <v>0</v>
      </c>
      <c r="S1088" s="73">
        <f>VLOOKUP(Tabla6[[#This Row],[PG]],Listas2!$G$14:$K$16,2,0)</f>
        <v>0</v>
      </c>
      <c r="T1088" s="66" t="s">
        <v>84</v>
      </c>
      <c r="U1088" s="74">
        <v>53</v>
      </c>
      <c r="V1088" s="66">
        <v>530105</v>
      </c>
      <c r="W1088" s="63" t="str">
        <f>VLOOKUP(Tabla6[[#This Row],[ÍTEM PRESUPUESTARIO]],Tabla2[#All],2,0)</f>
        <v>TELECOMUNICACIONES</v>
      </c>
      <c r="X1088" s="57">
        <v>80000</v>
      </c>
      <c r="Y1088" s="57">
        <f>80000-11854.99-22236.19-9523.63</f>
        <v>36385.189999999995</v>
      </c>
      <c r="Z1088" s="58">
        <f t="shared" ref="Z1088:AJ1088" si="37">5678.75-1853.02-793.64</f>
        <v>3032.09</v>
      </c>
      <c r="AA1088" s="58">
        <f t="shared" si="37"/>
        <v>3032.09</v>
      </c>
      <c r="AB1088" s="58">
        <f t="shared" si="37"/>
        <v>3032.09</v>
      </c>
      <c r="AC1088" s="58">
        <f t="shared" si="37"/>
        <v>3032.09</v>
      </c>
      <c r="AD1088" s="58">
        <f t="shared" si="37"/>
        <v>3032.09</v>
      </c>
      <c r="AE1088" s="58">
        <f t="shared" si="37"/>
        <v>3032.09</v>
      </c>
      <c r="AF1088" s="58">
        <f t="shared" si="37"/>
        <v>3032.09</v>
      </c>
      <c r="AG1088" s="58">
        <f t="shared" si="37"/>
        <v>3032.09</v>
      </c>
      <c r="AH1088" s="58">
        <f t="shared" si="37"/>
        <v>3032.09</v>
      </c>
      <c r="AI1088" s="58">
        <f t="shared" si="37"/>
        <v>3032.09</v>
      </c>
      <c r="AJ1088" s="58">
        <f t="shared" si="37"/>
        <v>3032.09</v>
      </c>
      <c r="AK1088" s="58">
        <f>5678.75-1853.02-793.64+0.11</f>
        <v>3032.2000000000003</v>
      </c>
      <c r="AL1088" s="75">
        <f>+SUBTOTAL(9,Tabla6[[#This Row],[ENE]:[DIC]])</f>
        <v>36385.19</v>
      </c>
      <c r="AM1088" s="76" t="str">
        <f t="shared" si="35"/>
        <v>OK</v>
      </c>
      <c r="AN1088" s="60">
        <f>4462.5+61587.19-20188-9476.51+0.01</f>
        <v>36385.19</v>
      </c>
      <c r="AO1088" s="61">
        <f>+Tabla6[[#This Row],[PRESUPUESTO VIGENTE]]-Tabla6[[#This Row],[CERTIFICACIÓN PAPP]]</f>
        <v>0</v>
      </c>
      <c r="AP1088" s="59">
        <v>0</v>
      </c>
    </row>
    <row r="1089" spans="1:42" ht="93" customHeight="1" x14ac:dyDescent="0.25">
      <c r="A1089" s="62" t="s">
        <v>88</v>
      </c>
      <c r="B1089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089" s="64" t="s">
        <v>89</v>
      </c>
      <c r="D1089" s="64" t="s">
        <v>80</v>
      </c>
      <c r="E1089" s="64" t="s">
        <v>81</v>
      </c>
      <c r="F1089" s="64" t="s">
        <v>110</v>
      </c>
      <c r="G1089" s="64" t="s">
        <v>90</v>
      </c>
      <c r="H1089" s="65" t="str">
        <f>VLOOKUP(Tabla6[[#This Row],[DIRECCIÓN]],DIRECCIÓN[#All],2,0)</f>
        <v>TECNOLOGÍA</v>
      </c>
      <c r="I1089" s="66" t="s">
        <v>535</v>
      </c>
      <c r="J1089" s="67">
        <v>1</v>
      </c>
      <c r="K1089" s="68" t="str">
        <f>VLOOKUP(Tabla6[[#This Row],[DIRECCIÓN GENERAL / COORDINACIÓN / SUBDIRECCIÓN]],Tabla37[[#All],[Columna1]:[EOD]],2,0)</f>
        <v>266_0006</v>
      </c>
      <c r="L1089" s="69">
        <f>VLOOKUP(Tabla6[[#This Row],[OBJETIVOS PND]],Listas!$A$1:$C$3,3,0)</f>
        <v>55</v>
      </c>
      <c r="M1089" s="70">
        <f>VLOOKUP(Tabla6[[#This Row],[PG]],Listas2!$G$14:$K$16,5,0)</f>
        <v>0</v>
      </c>
      <c r="N1089" s="71">
        <v>3</v>
      </c>
      <c r="O1089" s="72">
        <v>1401</v>
      </c>
      <c r="P1089" s="73" t="str">
        <f>VLOOKUP(Tabla6[[#This Row],[GEO]],Listas!$A$48:$B$77,2,0)</f>
        <v>MACAS</v>
      </c>
      <c r="Q1089" s="70">
        <f>VLOOKUP(Tabla6[[#This Row],[PG]],Listas2!$G$14:$K$16,3,0)</f>
        <v>1</v>
      </c>
      <c r="R1089" s="73">
        <f>VLOOKUP(Tabla6[[#This Row],[PG]],Listas2!H189:'Listas2'!$G$14:$K$16,4,0)</f>
        <v>0</v>
      </c>
      <c r="S1089" s="73">
        <f>VLOOKUP(Tabla6[[#This Row],[PG]],Listas2!$G$14:$K$16,2,0)</f>
        <v>0</v>
      </c>
      <c r="T1089" s="66" t="s">
        <v>84</v>
      </c>
      <c r="U1089" s="74">
        <v>53</v>
      </c>
      <c r="V1089" s="66">
        <v>530704</v>
      </c>
      <c r="W1089" s="63" t="str">
        <f>VLOOKUP(Tabla6[[#This Row],[ÍTEM PRESUPUESTARIO]],Tabla2[#All],2,0)</f>
        <v xml:space="preserve">MANTENIMIENTO Y REPARACIÓN DE EQUIPOS Y SISTEMAS INFORMÁTICOS </v>
      </c>
      <c r="X1089" s="57">
        <f>25000-9768</f>
        <v>15232</v>
      </c>
      <c r="Y1089" s="57">
        <f>15232-15232</f>
        <v>0</v>
      </c>
      <c r="Z1089" s="58">
        <v>0</v>
      </c>
      <c r="AA1089" s="58">
        <v>0</v>
      </c>
      <c r="AB1089" s="58">
        <v>0</v>
      </c>
      <c r="AC1089" s="58">
        <v>0</v>
      </c>
      <c r="AD1089" s="58">
        <v>0</v>
      </c>
      <c r="AE1089" s="58">
        <v>0</v>
      </c>
      <c r="AF1089" s="58">
        <v>0</v>
      </c>
      <c r="AG1089" s="58">
        <v>0</v>
      </c>
      <c r="AH1089" s="58">
        <v>0</v>
      </c>
      <c r="AI1089" s="58">
        <v>0</v>
      </c>
      <c r="AJ1089" s="58">
        <v>0</v>
      </c>
      <c r="AK1089" s="58">
        <v>0</v>
      </c>
      <c r="AL1089" s="75">
        <f>+SUBTOTAL(9,Tabla6[[#This Row],[ENE]:[DIC]])</f>
        <v>0</v>
      </c>
      <c r="AM1089" s="76" t="str">
        <f t="shared" si="35"/>
        <v>OK</v>
      </c>
      <c r="AN1089" s="60">
        <v>0</v>
      </c>
      <c r="AO1089" s="61">
        <f>+Tabla6[[#This Row],[PRESUPUESTO VIGENTE]]-Tabla6[[#This Row],[CERTIFICACIÓN PAPP]]</f>
        <v>0</v>
      </c>
      <c r="AP1089" s="59">
        <v>0</v>
      </c>
    </row>
    <row r="1090" spans="1:42" ht="93" customHeight="1" x14ac:dyDescent="0.25">
      <c r="A1090" s="62" t="s">
        <v>78</v>
      </c>
      <c r="B1090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090" s="64" t="s">
        <v>79</v>
      </c>
      <c r="D1090" s="64" t="s">
        <v>80</v>
      </c>
      <c r="E1090" s="64" t="s">
        <v>81</v>
      </c>
      <c r="F1090" s="64" t="s">
        <v>112</v>
      </c>
      <c r="G1090" s="64" t="s">
        <v>92</v>
      </c>
      <c r="H1090" s="65" t="str">
        <f>VLOOKUP(Tabla6[[#This Row],[DIRECCIÓN]],DIRECCIÓN[#All],2,0)</f>
        <v>ADMINISTRACIÓN CENTRAL</v>
      </c>
      <c r="I1090" s="66" t="s">
        <v>93</v>
      </c>
      <c r="J1090" s="67">
        <v>1</v>
      </c>
      <c r="K1090" s="68" t="str">
        <f>VLOOKUP(Tabla6[[#This Row],[DIRECCIÓN GENERAL / COORDINACIÓN / SUBDIRECCIÓN]],Tabla37[[#All],[Columna1]:[EOD]],2,0)</f>
        <v>266_0007</v>
      </c>
      <c r="L1090" s="69">
        <f>VLOOKUP(Tabla6[[#This Row],[OBJETIVOS PND]],Listas!$A$1:$C$3,3,0)</f>
        <v>1</v>
      </c>
      <c r="M1090" s="70">
        <f>VLOOKUP(Tabla6[[#This Row],[PG]],Listas2!$G$14:$K$16,5,0)</f>
        <v>0</v>
      </c>
      <c r="N1090" s="71" t="s">
        <v>775</v>
      </c>
      <c r="O1090" s="72">
        <v>700</v>
      </c>
      <c r="P1090" s="73" t="str">
        <f>VLOOKUP(Tabla6[[#This Row],[GEO]],Listas!$A$48:$B$77,2,0)</f>
        <v>EL ORO</v>
      </c>
      <c r="Q1090" s="70">
        <f>VLOOKUP(Tabla6[[#This Row],[PG]],Listas2!$G$14:$K$16,3,0)</f>
        <v>1</v>
      </c>
      <c r="R1090" s="73">
        <f>VLOOKUP(Tabla6[[#This Row],[PG]],Listas2!H544:'Listas2'!$G$14:$K$16,4,0)</f>
        <v>0</v>
      </c>
      <c r="S1090" s="73">
        <f>VLOOKUP(Tabla6[[#This Row],[PG]],Listas2!$G$14:$K$16,2,0)</f>
        <v>0</v>
      </c>
      <c r="T1090" s="66" t="s">
        <v>84</v>
      </c>
      <c r="U1090" s="74">
        <v>51</v>
      </c>
      <c r="V1090" s="66">
        <v>510105</v>
      </c>
      <c r="W1090" s="63" t="str">
        <f>VLOOKUP(Tabla6[[#This Row],[ÍTEM PRESUPUESTARIO]],Tabla2[#All],2,0)</f>
        <v>REMUNERACIONES UNIFICADAS</v>
      </c>
      <c r="X1090" s="57">
        <v>236280</v>
      </c>
      <c r="Y1090" s="57">
        <f>236280-1785.29-1949.1-9645.21</f>
        <v>222900.4</v>
      </c>
      <c r="Z1090" s="58">
        <v>19690</v>
      </c>
      <c r="AA1090" s="58">
        <v>19690</v>
      </c>
      <c r="AB1090" s="58">
        <v>19690</v>
      </c>
      <c r="AC1090" s="58">
        <v>19690</v>
      </c>
      <c r="AD1090" s="58">
        <v>19690</v>
      </c>
      <c r="AE1090" s="58">
        <v>19690</v>
      </c>
      <c r="AF1090" s="58">
        <v>19690</v>
      </c>
      <c r="AG1090" s="58">
        <v>19690</v>
      </c>
      <c r="AH1090" s="58">
        <v>19690</v>
      </c>
      <c r="AI1090" s="58">
        <v>19690</v>
      </c>
      <c r="AJ1090" s="58">
        <v>19690</v>
      </c>
      <c r="AK1090" s="58">
        <v>6310.4</v>
      </c>
      <c r="AL1090" s="75">
        <f>+SUBTOTAL(9,Tabla6[[#This Row],[ENE]:[DIC]])</f>
        <v>222900.4</v>
      </c>
      <c r="AM1090" s="76" t="str">
        <f t="shared" ref="AM1090:AM1121" si="38">IF(AL1090=Y1090,"OK",Y1090-AL1090)</f>
        <v>OK</v>
      </c>
      <c r="AN1090" s="60">
        <v>0</v>
      </c>
      <c r="AO1090" s="61">
        <f>+Tabla6[[#This Row],[PRESUPUESTO VIGENTE]]-Tabla6[[#This Row],[CERTIFICACIÓN PAPP]]</f>
        <v>222900.4</v>
      </c>
      <c r="AP1090" s="59">
        <v>0</v>
      </c>
    </row>
    <row r="1091" spans="1:42" ht="93" customHeight="1" x14ac:dyDescent="0.25">
      <c r="A1091" s="62" t="s">
        <v>78</v>
      </c>
      <c r="B1091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091" s="64" t="s">
        <v>79</v>
      </c>
      <c r="D1091" s="64" t="s">
        <v>80</v>
      </c>
      <c r="E1091" s="64" t="s">
        <v>81</v>
      </c>
      <c r="F1091" s="64" t="s">
        <v>112</v>
      </c>
      <c r="G1091" s="64" t="s">
        <v>92</v>
      </c>
      <c r="H1091" s="65" t="str">
        <f>VLOOKUP(Tabla6[[#This Row],[DIRECCIÓN]],DIRECCIÓN[#All],2,0)</f>
        <v>ADMINISTRACIÓN CENTRAL</v>
      </c>
      <c r="I1091" s="66" t="s">
        <v>93</v>
      </c>
      <c r="J1091" s="67">
        <v>1</v>
      </c>
      <c r="K1091" s="68" t="str">
        <f>VLOOKUP(Tabla6[[#This Row],[DIRECCIÓN GENERAL / COORDINACIÓN / SUBDIRECCIÓN]],Tabla37[[#All],[Columna1]:[EOD]],2,0)</f>
        <v>266_0007</v>
      </c>
      <c r="L1091" s="69">
        <f>VLOOKUP(Tabla6[[#This Row],[OBJETIVOS PND]],Listas!$A$1:$C$3,3,0)</f>
        <v>1</v>
      </c>
      <c r="M1091" s="70">
        <f>VLOOKUP(Tabla6[[#This Row],[PG]],Listas2!$G$14:$K$16,5,0)</f>
        <v>0</v>
      </c>
      <c r="N1091" s="71" t="s">
        <v>775</v>
      </c>
      <c r="O1091" s="72">
        <v>700</v>
      </c>
      <c r="P1091" s="73" t="str">
        <f>VLOOKUP(Tabla6[[#This Row],[GEO]],Listas!$A$48:$B$77,2,0)</f>
        <v>EL ORO</v>
      </c>
      <c r="Q1091" s="70">
        <f>VLOOKUP(Tabla6[[#This Row],[PG]],Listas2!$G$14:$K$16,3,0)</f>
        <v>1</v>
      </c>
      <c r="R1091" s="73">
        <f>VLOOKUP(Tabla6[[#This Row],[PG]],Listas2!H545:'Listas2'!$G$14:$K$16,4,0)</f>
        <v>0</v>
      </c>
      <c r="S1091" s="73">
        <f>VLOOKUP(Tabla6[[#This Row],[PG]],Listas2!$G$14:$K$16,2,0)</f>
        <v>0</v>
      </c>
      <c r="T1091" s="66" t="s">
        <v>84</v>
      </c>
      <c r="U1091" s="74">
        <v>51</v>
      </c>
      <c r="V1091" s="66">
        <v>510106</v>
      </c>
      <c r="W1091" s="63" t="str">
        <f>VLOOKUP(Tabla6[[#This Row],[ÍTEM PRESUPUESTARIO]],Tabla2[#All],2,0)</f>
        <v>SALARIOS UNIFICADOS</v>
      </c>
      <c r="X1091" s="57">
        <v>42888</v>
      </c>
      <c r="Y1091" s="57">
        <v>42888</v>
      </c>
      <c r="Z1091" s="58">
        <v>3574</v>
      </c>
      <c r="AA1091" s="58">
        <v>3574</v>
      </c>
      <c r="AB1091" s="58">
        <v>3574</v>
      </c>
      <c r="AC1091" s="58">
        <v>3574</v>
      </c>
      <c r="AD1091" s="58">
        <v>3574</v>
      </c>
      <c r="AE1091" s="58">
        <v>3574</v>
      </c>
      <c r="AF1091" s="58">
        <v>3574</v>
      </c>
      <c r="AG1091" s="58">
        <v>3574</v>
      </c>
      <c r="AH1091" s="58">
        <v>3574</v>
      </c>
      <c r="AI1091" s="58">
        <v>3574</v>
      </c>
      <c r="AJ1091" s="58">
        <v>3574</v>
      </c>
      <c r="AK1091" s="58">
        <v>3574</v>
      </c>
      <c r="AL1091" s="75">
        <f>+SUBTOTAL(9,Tabla6[[#This Row],[ENE]:[DIC]])</f>
        <v>42888</v>
      </c>
      <c r="AM1091" s="76" t="str">
        <f t="shared" si="38"/>
        <v>OK</v>
      </c>
      <c r="AN1091" s="60">
        <v>0</v>
      </c>
      <c r="AO1091" s="61">
        <f>+Tabla6[[#This Row],[PRESUPUESTO VIGENTE]]-Tabla6[[#This Row],[CERTIFICACIÓN PAPP]]</f>
        <v>42888</v>
      </c>
      <c r="AP1091" s="59">
        <v>0</v>
      </c>
    </row>
    <row r="1092" spans="1:42" ht="93" customHeight="1" x14ac:dyDescent="0.25">
      <c r="A1092" s="62" t="s">
        <v>78</v>
      </c>
      <c r="B1092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092" s="64" t="s">
        <v>79</v>
      </c>
      <c r="D1092" s="64" t="s">
        <v>80</v>
      </c>
      <c r="E1092" s="64" t="s">
        <v>81</v>
      </c>
      <c r="F1092" s="64" t="s">
        <v>112</v>
      </c>
      <c r="G1092" s="64" t="s">
        <v>92</v>
      </c>
      <c r="H1092" s="65" t="str">
        <f>VLOOKUP(Tabla6[[#This Row],[DIRECCIÓN]],DIRECCIÓN[#All],2,0)</f>
        <v>ADMINISTRACIÓN CENTRAL</v>
      </c>
      <c r="I1092" s="66" t="s">
        <v>93</v>
      </c>
      <c r="J1092" s="67">
        <v>1</v>
      </c>
      <c r="K1092" s="68" t="str">
        <f>VLOOKUP(Tabla6[[#This Row],[DIRECCIÓN GENERAL / COORDINACIÓN / SUBDIRECCIÓN]],Tabla37[[#All],[Columna1]:[EOD]],2,0)</f>
        <v>266_0007</v>
      </c>
      <c r="L1092" s="69">
        <f>VLOOKUP(Tabla6[[#This Row],[OBJETIVOS PND]],Listas!$A$1:$C$3,3,0)</f>
        <v>1</v>
      </c>
      <c r="M1092" s="70">
        <f>VLOOKUP(Tabla6[[#This Row],[PG]],Listas2!$G$14:$K$16,5,0)</f>
        <v>0</v>
      </c>
      <c r="N1092" s="71" t="s">
        <v>775</v>
      </c>
      <c r="O1092" s="72">
        <v>700</v>
      </c>
      <c r="P1092" s="73" t="str">
        <f>VLOOKUP(Tabla6[[#This Row],[GEO]],Listas!$A$48:$B$77,2,0)</f>
        <v>EL ORO</v>
      </c>
      <c r="Q1092" s="70">
        <f>VLOOKUP(Tabla6[[#This Row],[PG]],Listas2!$G$14:$K$16,3,0)</f>
        <v>1</v>
      </c>
      <c r="R1092" s="73">
        <f>VLOOKUP(Tabla6[[#This Row],[PG]],Listas2!H546:'Listas2'!$G$14:$K$16,4,0)</f>
        <v>0</v>
      </c>
      <c r="S1092" s="73">
        <f>VLOOKUP(Tabla6[[#This Row],[PG]],Listas2!$G$14:$K$16,2,0)</f>
        <v>0</v>
      </c>
      <c r="T1092" s="66" t="s">
        <v>84</v>
      </c>
      <c r="U1092" s="74">
        <v>51</v>
      </c>
      <c r="V1092" s="66">
        <v>510203</v>
      </c>
      <c r="W1092" s="63" t="str">
        <f>VLOOKUP(Tabla6[[#This Row],[ÍTEM PRESUPUESTARIO]],Tabla2[#All],2,0)</f>
        <v>DÉCIMO TERCER SUELDO</v>
      </c>
      <c r="X1092" s="57">
        <v>23264</v>
      </c>
      <c r="Y1092" s="57">
        <f>23269-1115.98</f>
        <v>22153.02</v>
      </c>
      <c r="Z1092" s="58">
        <v>0</v>
      </c>
      <c r="AA1092" s="58">
        <v>0</v>
      </c>
      <c r="AB1092" s="58">
        <v>0</v>
      </c>
      <c r="AC1092" s="58">
        <v>0</v>
      </c>
      <c r="AD1092" s="58">
        <v>0</v>
      </c>
      <c r="AE1092" s="58">
        <v>0</v>
      </c>
      <c r="AF1092" s="58">
        <v>0</v>
      </c>
      <c r="AG1092" s="58">
        <v>0</v>
      </c>
      <c r="AH1092" s="58">
        <v>0</v>
      </c>
      <c r="AI1092" s="58">
        <v>0</v>
      </c>
      <c r="AJ1092" s="58">
        <v>0</v>
      </c>
      <c r="AK1092" s="58">
        <v>22153.02</v>
      </c>
      <c r="AL1092" s="75">
        <f>+SUBTOTAL(9,Tabla6[[#This Row],[ENE]:[DIC]])</f>
        <v>22153.02</v>
      </c>
      <c r="AM1092" s="76" t="str">
        <f t="shared" si="38"/>
        <v>OK</v>
      </c>
      <c r="AN1092" s="60">
        <v>0</v>
      </c>
      <c r="AO1092" s="61">
        <f>+Tabla6[[#This Row],[PRESUPUESTO VIGENTE]]-Tabla6[[#This Row],[CERTIFICACIÓN PAPP]]</f>
        <v>22153.02</v>
      </c>
      <c r="AP1092" s="59">
        <v>0</v>
      </c>
    </row>
    <row r="1093" spans="1:42" ht="93" customHeight="1" x14ac:dyDescent="0.25">
      <c r="A1093" s="62" t="s">
        <v>78</v>
      </c>
      <c r="B1093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093" s="64" t="s">
        <v>79</v>
      </c>
      <c r="D1093" s="64" t="s">
        <v>80</v>
      </c>
      <c r="E1093" s="64" t="s">
        <v>81</v>
      </c>
      <c r="F1093" s="64" t="s">
        <v>112</v>
      </c>
      <c r="G1093" s="64" t="s">
        <v>92</v>
      </c>
      <c r="H1093" s="65" t="str">
        <f>VLOOKUP(Tabla6[[#This Row],[DIRECCIÓN]],DIRECCIÓN[#All],2,0)</f>
        <v>ADMINISTRACIÓN CENTRAL</v>
      </c>
      <c r="I1093" s="66" t="s">
        <v>93</v>
      </c>
      <c r="J1093" s="67">
        <v>1</v>
      </c>
      <c r="K1093" s="68" t="str">
        <f>VLOOKUP(Tabla6[[#This Row],[DIRECCIÓN GENERAL / COORDINACIÓN / SUBDIRECCIÓN]],Tabla37[[#All],[Columna1]:[EOD]],2,0)</f>
        <v>266_0007</v>
      </c>
      <c r="L1093" s="69">
        <f>VLOOKUP(Tabla6[[#This Row],[OBJETIVOS PND]],Listas!$A$1:$C$3,3,0)</f>
        <v>1</v>
      </c>
      <c r="M1093" s="70">
        <f>VLOOKUP(Tabla6[[#This Row],[PG]],Listas2!$G$14:$K$16,5,0)</f>
        <v>0</v>
      </c>
      <c r="N1093" s="71" t="s">
        <v>775</v>
      </c>
      <c r="O1093" s="72">
        <v>700</v>
      </c>
      <c r="P1093" s="73" t="str">
        <f>VLOOKUP(Tabla6[[#This Row],[GEO]],Listas!$A$48:$B$77,2,0)</f>
        <v>EL ORO</v>
      </c>
      <c r="Q1093" s="70">
        <f>VLOOKUP(Tabla6[[#This Row],[PG]],Listas2!$G$14:$K$16,3,0)</f>
        <v>1</v>
      </c>
      <c r="R1093" s="73">
        <f>VLOOKUP(Tabla6[[#This Row],[PG]],Listas2!H547:'Listas2'!$G$14:$K$16,4,0)</f>
        <v>0</v>
      </c>
      <c r="S1093" s="73">
        <f>VLOOKUP(Tabla6[[#This Row],[PG]],Listas2!$G$14:$K$16,2,0)</f>
        <v>0</v>
      </c>
      <c r="T1093" s="66" t="s">
        <v>84</v>
      </c>
      <c r="U1093" s="74">
        <v>51</v>
      </c>
      <c r="V1093" s="66">
        <v>510204</v>
      </c>
      <c r="W1093" s="63" t="str">
        <f>VLOOKUP(Tabla6[[#This Row],[ÍTEM PRESUPUESTARIO]],Tabla2[#All],2,0)</f>
        <v>DÉCIMO CUARTO SUELDO</v>
      </c>
      <c r="X1093" s="57">
        <v>9775</v>
      </c>
      <c r="Y1093" s="57">
        <f>10862.4+280-112.5</f>
        <v>11029.9</v>
      </c>
      <c r="Z1093" s="58">
        <v>0</v>
      </c>
      <c r="AA1093" s="58">
        <v>0</v>
      </c>
      <c r="AB1093" s="58">
        <v>0</v>
      </c>
      <c r="AC1093" s="58">
        <v>11029.9</v>
      </c>
      <c r="AD1093" s="58">
        <v>0</v>
      </c>
      <c r="AE1093" s="58">
        <v>0</v>
      </c>
      <c r="AF1093" s="58">
        <v>0</v>
      </c>
      <c r="AG1093" s="58">
        <v>0</v>
      </c>
      <c r="AH1093" s="58">
        <v>0</v>
      </c>
      <c r="AI1093" s="58">
        <v>0</v>
      </c>
      <c r="AJ1093" s="58">
        <v>0</v>
      </c>
      <c r="AK1093" s="58">
        <v>0</v>
      </c>
      <c r="AL1093" s="75">
        <f>+SUBTOTAL(9,Tabla6[[#This Row],[ENE]:[DIC]])</f>
        <v>11029.9</v>
      </c>
      <c r="AM1093" s="76" t="str">
        <f t="shared" si="38"/>
        <v>OK</v>
      </c>
      <c r="AN1093" s="60">
        <v>0</v>
      </c>
      <c r="AO1093" s="61">
        <f>+Tabla6[[#This Row],[PRESUPUESTO VIGENTE]]-Tabla6[[#This Row],[CERTIFICACIÓN PAPP]]</f>
        <v>11029.9</v>
      </c>
      <c r="AP1093" s="59">
        <v>0</v>
      </c>
    </row>
    <row r="1094" spans="1:42" ht="93" customHeight="1" x14ac:dyDescent="0.25">
      <c r="A1094" s="62" t="s">
        <v>78</v>
      </c>
      <c r="B1094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094" s="64" t="s">
        <v>79</v>
      </c>
      <c r="D1094" s="64" t="s">
        <v>80</v>
      </c>
      <c r="E1094" s="64" t="s">
        <v>81</v>
      </c>
      <c r="F1094" s="64" t="s">
        <v>112</v>
      </c>
      <c r="G1094" s="64" t="s">
        <v>92</v>
      </c>
      <c r="H1094" s="65" t="str">
        <f>VLOOKUP(Tabla6[[#This Row],[DIRECCIÓN]],DIRECCIÓN[#All],2,0)</f>
        <v>ADMINISTRACIÓN CENTRAL</v>
      </c>
      <c r="I1094" s="66" t="s">
        <v>93</v>
      </c>
      <c r="J1094" s="67">
        <v>1</v>
      </c>
      <c r="K1094" s="68" t="str">
        <f>VLOOKUP(Tabla6[[#This Row],[DIRECCIÓN GENERAL / COORDINACIÓN / SUBDIRECCIÓN]],Tabla37[[#All],[Columna1]:[EOD]],2,0)</f>
        <v>266_0007</v>
      </c>
      <c r="L1094" s="69">
        <f>VLOOKUP(Tabla6[[#This Row],[OBJETIVOS PND]],Listas!$A$1:$C$3,3,0)</f>
        <v>1</v>
      </c>
      <c r="M1094" s="70">
        <f>VLOOKUP(Tabla6[[#This Row],[PG]],Listas2!$G$14:$K$16,5,0)</f>
        <v>0</v>
      </c>
      <c r="N1094" s="71" t="s">
        <v>775</v>
      </c>
      <c r="O1094" s="72">
        <v>700</v>
      </c>
      <c r="P1094" s="73" t="str">
        <f>VLOOKUP(Tabla6[[#This Row],[GEO]],Listas!$A$48:$B$77,2,0)</f>
        <v>EL ORO</v>
      </c>
      <c r="Q1094" s="70">
        <f>VLOOKUP(Tabla6[[#This Row],[PG]],Listas2!$G$14:$K$16,3,0)</f>
        <v>1</v>
      </c>
      <c r="R1094" s="73">
        <f>VLOOKUP(Tabla6[[#This Row],[PG]],Listas2!H548:'Listas2'!$G$14:$K$16,4,0)</f>
        <v>0</v>
      </c>
      <c r="S1094" s="73">
        <f>VLOOKUP(Tabla6[[#This Row],[PG]],Listas2!$G$14:$K$16,2,0)</f>
        <v>0</v>
      </c>
      <c r="T1094" s="66" t="s">
        <v>84</v>
      </c>
      <c r="U1094" s="74">
        <v>51</v>
      </c>
      <c r="V1094" s="66">
        <v>510509</v>
      </c>
      <c r="W1094" s="63" t="str">
        <f>VLOOKUP(Tabla6[[#This Row],[ÍTEM PRESUPUESTARIO]],Tabla2[#All],2,0)</f>
        <v>HORAS EXTRAORDINARIAS Y SUPLEMENTARIAS</v>
      </c>
      <c r="X1094" s="57">
        <v>1199</v>
      </c>
      <c r="Y1094" s="57">
        <f>1199-105.29-895.21</f>
        <v>198.5</v>
      </c>
      <c r="Z1094" s="58">
        <v>0</v>
      </c>
      <c r="AA1094" s="58">
        <v>0</v>
      </c>
      <c r="AB1094" s="58">
        <v>0</v>
      </c>
      <c r="AC1094" s="58">
        <v>0</v>
      </c>
      <c r="AD1094" s="58">
        <v>0</v>
      </c>
      <c r="AE1094" s="58">
        <v>0</v>
      </c>
      <c r="AF1094" s="58">
        <v>0</v>
      </c>
      <c r="AG1094" s="58">
        <v>198.5</v>
      </c>
      <c r="AH1094" s="58">
        <v>0</v>
      </c>
      <c r="AI1094" s="58">
        <v>0</v>
      </c>
      <c r="AJ1094" s="58">
        <v>0</v>
      </c>
      <c r="AK1094" s="58">
        <v>0</v>
      </c>
      <c r="AL1094" s="75">
        <f>+SUBTOTAL(9,Tabla6[[#This Row],[ENE]:[DIC]])</f>
        <v>198.5</v>
      </c>
      <c r="AM1094" s="76" t="str">
        <f t="shared" si="38"/>
        <v>OK</v>
      </c>
      <c r="AN1094" s="60">
        <v>0</v>
      </c>
      <c r="AO1094" s="61">
        <f>+Tabla6[[#This Row],[PRESUPUESTO VIGENTE]]-Tabla6[[#This Row],[CERTIFICACIÓN PAPP]]</f>
        <v>198.5</v>
      </c>
      <c r="AP1094" s="59">
        <v>0</v>
      </c>
    </row>
    <row r="1095" spans="1:42" ht="93" customHeight="1" x14ac:dyDescent="0.25">
      <c r="A1095" s="62" t="s">
        <v>78</v>
      </c>
      <c r="B1095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095" s="64" t="s">
        <v>79</v>
      </c>
      <c r="D1095" s="64" t="s">
        <v>80</v>
      </c>
      <c r="E1095" s="64" t="s">
        <v>81</v>
      </c>
      <c r="F1095" s="64" t="s">
        <v>112</v>
      </c>
      <c r="G1095" s="64" t="s">
        <v>92</v>
      </c>
      <c r="H1095" s="65" t="str">
        <f>VLOOKUP(Tabla6[[#This Row],[DIRECCIÓN]],DIRECCIÓN[#All],2,0)</f>
        <v>ADMINISTRACIÓN CENTRAL</v>
      </c>
      <c r="I1095" s="66" t="s">
        <v>93</v>
      </c>
      <c r="J1095" s="67">
        <v>1</v>
      </c>
      <c r="K1095" s="68" t="str">
        <f>VLOOKUP(Tabla6[[#This Row],[DIRECCIÓN GENERAL / COORDINACIÓN / SUBDIRECCIÓN]],Tabla37[[#All],[Columna1]:[EOD]],2,0)</f>
        <v>266_0007</v>
      </c>
      <c r="L1095" s="69">
        <f>VLOOKUP(Tabla6[[#This Row],[OBJETIVOS PND]],Listas!$A$1:$C$3,3,0)</f>
        <v>1</v>
      </c>
      <c r="M1095" s="70">
        <f>VLOOKUP(Tabla6[[#This Row],[PG]],Listas2!$G$14:$K$16,5,0)</f>
        <v>0</v>
      </c>
      <c r="N1095" s="71" t="s">
        <v>775</v>
      </c>
      <c r="O1095" s="72">
        <v>700</v>
      </c>
      <c r="P1095" s="73" t="str">
        <f>VLOOKUP(Tabla6[[#This Row],[GEO]],Listas!$A$48:$B$77,2,0)</f>
        <v>EL ORO</v>
      </c>
      <c r="Q1095" s="70">
        <f>VLOOKUP(Tabla6[[#This Row],[PG]],Listas2!$G$14:$K$16,3,0)</f>
        <v>1</v>
      </c>
      <c r="R1095" s="73">
        <f>VLOOKUP(Tabla6[[#This Row],[PG]],Listas2!H549:'Listas2'!$G$14:$K$16,4,0)</f>
        <v>0</v>
      </c>
      <c r="S1095" s="73">
        <f>VLOOKUP(Tabla6[[#This Row],[PG]],Listas2!$G$14:$K$16,2,0)</f>
        <v>0</v>
      </c>
      <c r="T1095" s="66" t="s">
        <v>84</v>
      </c>
      <c r="U1095" s="74">
        <v>51</v>
      </c>
      <c r="V1095" s="66">
        <v>510601</v>
      </c>
      <c r="W1095" s="63" t="str">
        <f>VLOOKUP(Tabla6[[#This Row],[ÍTEM PRESUPUESTARIO]],Tabla2[#All],2,0)</f>
        <v>APORTE PATRONAL</v>
      </c>
      <c r="X1095" s="57">
        <v>28012</v>
      </c>
      <c r="Y1095" s="57">
        <f>28092.75-1365.52</f>
        <v>26727.23</v>
      </c>
      <c r="Z1095" s="58">
        <v>2334</v>
      </c>
      <c r="AA1095" s="58">
        <v>2334</v>
      </c>
      <c r="AB1095" s="58">
        <v>2334</v>
      </c>
      <c r="AC1095" s="58">
        <v>2334</v>
      </c>
      <c r="AD1095" s="58">
        <v>2334</v>
      </c>
      <c r="AE1095" s="58">
        <v>2334</v>
      </c>
      <c r="AF1095" s="58">
        <v>2334</v>
      </c>
      <c r="AG1095" s="58">
        <v>2334</v>
      </c>
      <c r="AH1095" s="58">
        <v>2335</v>
      </c>
      <c r="AI1095" s="58">
        <v>2335</v>
      </c>
      <c r="AJ1095" s="58">
        <v>2335</v>
      </c>
      <c r="AK1095" s="58">
        <v>1050.23</v>
      </c>
      <c r="AL1095" s="75">
        <f>+SUBTOTAL(9,Tabla6[[#This Row],[ENE]:[DIC]])</f>
        <v>26727.23</v>
      </c>
      <c r="AM1095" s="76" t="str">
        <f t="shared" si="38"/>
        <v>OK</v>
      </c>
      <c r="AN1095" s="60">
        <v>0</v>
      </c>
      <c r="AO1095" s="61">
        <f>+Tabla6[[#This Row],[PRESUPUESTO VIGENTE]]-Tabla6[[#This Row],[CERTIFICACIÓN PAPP]]</f>
        <v>26727.23</v>
      </c>
      <c r="AP1095" s="59">
        <v>0</v>
      </c>
    </row>
    <row r="1096" spans="1:42" ht="93" customHeight="1" x14ac:dyDescent="0.25">
      <c r="A1096" s="62" t="s">
        <v>78</v>
      </c>
      <c r="B1096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096" s="64" t="s">
        <v>79</v>
      </c>
      <c r="D1096" s="64" t="s">
        <v>80</v>
      </c>
      <c r="E1096" s="64" t="s">
        <v>81</v>
      </c>
      <c r="F1096" s="64" t="s">
        <v>112</v>
      </c>
      <c r="G1096" s="64" t="s">
        <v>92</v>
      </c>
      <c r="H1096" s="65" t="str">
        <f>VLOOKUP(Tabla6[[#This Row],[DIRECCIÓN]],DIRECCIÓN[#All],2,0)</f>
        <v>ADMINISTRACIÓN CENTRAL</v>
      </c>
      <c r="I1096" s="66" t="s">
        <v>93</v>
      </c>
      <c r="J1096" s="67">
        <v>1</v>
      </c>
      <c r="K1096" s="68" t="str">
        <f>VLOOKUP(Tabla6[[#This Row],[DIRECCIÓN GENERAL / COORDINACIÓN / SUBDIRECCIÓN]],Tabla37[[#All],[Columna1]:[EOD]],2,0)</f>
        <v>266_0007</v>
      </c>
      <c r="L1096" s="69">
        <f>VLOOKUP(Tabla6[[#This Row],[OBJETIVOS PND]],Listas!$A$1:$C$3,3,0)</f>
        <v>1</v>
      </c>
      <c r="M1096" s="70">
        <f>VLOOKUP(Tabla6[[#This Row],[PG]],Listas2!$G$14:$K$16,5,0)</f>
        <v>0</v>
      </c>
      <c r="N1096" s="71" t="s">
        <v>775</v>
      </c>
      <c r="O1096" s="72">
        <v>700</v>
      </c>
      <c r="P1096" s="73" t="str">
        <f>VLOOKUP(Tabla6[[#This Row],[GEO]],Listas!$A$48:$B$77,2,0)</f>
        <v>EL ORO</v>
      </c>
      <c r="Q1096" s="70">
        <f>VLOOKUP(Tabla6[[#This Row],[PG]],Listas2!$G$14:$K$16,3,0)</f>
        <v>1</v>
      </c>
      <c r="R1096" s="73">
        <f>VLOOKUP(Tabla6[[#This Row],[PG]],Listas2!H550:'Listas2'!$G$14:$K$16,4,0)</f>
        <v>0</v>
      </c>
      <c r="S1096" s="73">
        <f>VLOOKUP(Tabla6[[#This Row],[PG]],Listas2!$G$14:$K$16,2,0)</f>
        <v>0</v>
      </c>
      <c r="T1096" s="66" t="s">
        <v>84</v>
      </c>
      <c r="U1096" s="74">
        <v>51</v>
      </c>
      <c r="V1096" s="66">
        <v>510602</v>
      </c>
      <c r="W1096" s="63" t="str">
        <f>VLOOKUP(Tabla6[[#This Row],[ÍTEM PRESUPUESTARIO]],Tabla2[#All],2,0)</f>
        <v>FONDO DE RESERVA</v>
      </c>
      <c r="X1096" s="57">
        <v>23255</v>
      </c>
      <c r="Y1096" s="57">
        <f>23255.11+21.65-1132.85</f>
        <v>22143.910000000003</v>
      </c>
      <c r="Z1096" s="58">
        <v>1937</v>
      </c>
      <c r="AA1096" s="58">
        <v>1939.09</v>
      </c>
      <c r="AB1096" s="58">
        <v>1939.09</v>
      </c>
      <c r="AC1096" s="58">
        <v>1939.09</v>
      </c>
      <c r="AD1096" s="58">
        <v>1939.09</v>
      </c>
      <c r="AE1096" s="58">
        <v>1939.09</v>
      </c>
      <c r="AF1096" s="58">
        <v>1939.09</v>
      </c>
      <c r="AG1096" s="58">
        <v>1939.09</v>
      </c>
      <c r="AH1096" s="58">
        <v>1939.09</v>
      </c>
      <c r="AI1096" s="58">
        <v>1939.09</v>
      </c>
      <c r="AJ1096" s="58">
        <v>1939.09</v>
      </c>
      <c r="AK1096" s="58">
        <v>816.01</v>
      </c>
      <c r="AL1096" s="75">
        <f>+SUBTOTAL(9,Tabla6[[#This Row],[ENE]:[DIC]])</f>
        <v>22143.91</v>
      </c>
      <c r="AM1096" s="76" t="str">
        <f t="shared" si="38"/>
        <v>OK</v>
      </c>
      <c r="AN1096" s="60">
        <v>0</v>
      </c>
      <c r="AO1096" s="61">
        <f>+Tabla6[[#This Row],[PRESUPUESTO VIGENTE]]-Tabla6[[#This Row],[CERTIFICACIÓN PAPP]]</f>
        <v>22143.910000000003</v>
      </c>
      <c r="AP1096" s="59">
        <v>0</v>
      </c>
    </row>
    <row r="1097" spans="1:42" ht="93" customHeight="1" x14ac:dyDescent="0.25">
      <c r="A1097" s="62" t="s">
        <v>78</v>
      </c>
      <c r="B1097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097" s="64" t="s">
        <v>79</v>
      </c>
      <c r="D1097" s="64" t="s">
        <v>80</v>
      </c>
      <c r="E1097" s="64" t="s">
        <v>81</v>
      </c>
      <c r="F1097" s="64" t="s">
        <v>112</v>
      </c>
      <c r="G1097" s="64" t="s">
        <v>92</v>
      </c>
      <c r="H1097" s="65" t="str">
        <f>VLOOKUP(Tabla6[[#This Row],[DIRECCIÓN]],DIRECCIÓN[#All],2,0)</f>
        <v>ADMINISTRACIÓN CENTRAL</v>
      </c>
      <c r="I1097" s="66" t="s">
        <v>669</v>
      </c>
      <c r="J1097" s="67">
        <v>1</v>
      </c>
      <c r="K1097" s="68" t="str">
        <f>VLOOKUP(Tabla6[[#This Row],[DIRECCIÓN GENERAL / COORDINACIÓN / SUBDIRECCIÓN]],Tabla37[[#All],[Columna1]:[EOD]],2,0)</f>
        <v>266_0007</v>
      </c>
      <c r="L1097" s="69">
        <f>VLOOKUP(Tabla6[[#This Row],[OBJETIVOS PND]],Listas!$A$1:$C$3,3,0)</f>
        <v>1</v>
      </c>
      <c r="M1097" s="70">
        <f>VLOOKUP(Tabla6[[#This Row],[PG]],Listas2!$G$14:$K$16,5,0)</f>
        <v>0</v>
      </c>
      <c r="N1097" s="71">
        <v>1</v>
      </c>
      <c r="O1097" s="72">
        <v>700</v>
      </c>
      <c r="P1097" s="73" t="str">
        <f>VLOOKUP(Tabla6[[#This Row],[GEO]],Listas!$A$48:$B$77,2,0)</f>
        <v>EL ORO</v>
      </c>
      <c r="Q1097" s="70">
        <f>VLOOKUP(Tabla6[[#This Row],[PG]],Listas2!$G$14:$K$16,3,0)</f>
        <v>1</v>
      </c>
      <c r="R1097" s="73">
        <f>VLOOKUP(Tabla6[[#This Row],[PG]],Listas2!H551:'Listas2'!$G$14:$K$16,4,0)</f>
        <v>0</v>
      </c>
      <c r="S1097" s="73">
        <f>VLOOKUP(Tabla6[[#This Row],[PG]],Listas2!$G$14:$K$16,2,0)</f>
        <v>0</v>
      </c>
      <c r="T1097" s="66" t="s">
        <v>84</v>
      </c>
      <c r="U1097" s="74">
        <v>51</v>
      </c>
      <c r="V1097" s="66">
        <v>510707</v>
      </c>
      <c r="W1097" s="63" t="str">
        <f>VLOOKUP(Tabla6[[#This Row],[ÍTEM PRESUPUESTARIO]],Tabla2[#All],2,0)</f>
        <v>COMPENSACIÓN POR VACACIONES NO GOZADAS POR CESACIÓN DE FUNCIONES</v>
      </c>
      <c r="X1097" s="57">
        <v>0</v>
      </c>
      <c r="Y1097" s="57">
        <v>1785.29</v>
      </c>
      <c r="Z1097" s="58">
        <v>0</v>
      </c>
      <c r="AA1097" s="58">
        <v>0</v>
      </c>
      <c r="AB1097" s="58">
        <v>0</v>
      </c>
      <c r="AC1097" s="58">
        <v>0</v>
      </c>
      <c r="AD1097" s="58">
        <v>0</v>
      </c>
      <c r="AE1097" s="58">
        <v>0</v>
      </c>
      <c r="AF1097" s="58">
        <v>0</v>
      </c>
      <c r="AG1097" s="58">
        <v>1785.29</v>
      </c>
      <c r="AH1097" s="58">
        <v>0</v>
      </c>
      <c r="AI1097" s="58">
        <v>0</v>
      </c>
      <c r="AJ1097" s="58">
        <v>0</v>
      </c>
      <c r="AK1097" s="58">
        <v>0</v>
      </c>
      <c r="AL1097" s="75">
        <f>+SUBTOTAL(9,Tabla6[[#This Row],[ENE]:[DIC]])</f>
        <v>1785.29</v>
      </c>
      <c r="AM1097" s="76" t="str">
        <f t="shared" si="38"/>
        <v>OK</v>
      </c>
      <c r="AN1097" s="60">
        <v>0</v>
      </c>
      <c r="AO1097" s="61">
        <f>+Tabla6[[#This Row],[PRESUPUESTO VIGENTE]]-Tabla6[[#This Row],[CERTIFICACIÓN PAPP]]</f>
        <v>1785.29</v>
      </c>
      <c r="AP1097" s="59">
        <v>0</v>
      </c>
    </row>
    <row r="1098" spans="1:42" ht="93" customHeight="1" x14ac:dyDescent="0.25">
      <c r="A1098" s="62" t="s">
        <v>78</v>
      </c>
      <c r="B1098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098" s="64" t="s">
        <v>79</v>
      </c>
      <c r="D1098" s="64" t="s">
        <v>80</v>
      </c>
      <c r="E1098" s="64" t="s">
        <v>81</v>
      </c>
      <c r="F1098" s="64" t="s">
        <v>112</v>
      </c>
      <c r="G1098" s="64" t="s">
        <v>92</v>
      </c>
      <c r="H1098" s="65" t="str">
        <f>VLOOKUP(Tabla6[[#This Row],[DIRECCIÓN]],DIRECCIÓN[#All],2,0)</f>
        <v>ADMINISTRACIÓN CENTRAL</v>
      </c>
      <c r="I1098" s="66" t="s">
        <v>93</v>
      </c>
      <c r="J1098" s="67">
        <v>1</v>
      </c>
      <c r="K1098" s="68" t="str">
        <f>VLOOKUP(Tabla6[[#This Row],[DIRECCIÓN GENERAL / COORDINACIÓN / SUBDIRECCIÓN]],Tabla37[[#All],[Columna1]:[EOD]],2,0)</f>
        <v>266_0007</v>
      </c>
      <c r="L1098" s="69">
        <f>VLOOKUP(Tabla6[[#This Row],[OBJETIVOS PND]],Listas!$A$1:$C$3,3,0)</f>
        <v>1</v>
      </c>
      <c r="M1098" s="70">
        <f>VLOOKUP(Tabla6[[#This Row],[PG]],Listas2!$G$14:$K$16,5,0)</f>
        <v>0</v>
      </c>
      <c r="N1098" s="71">
        <v>2</v>
      </c>
      <c r="O1098" s="72">
        <v>700</v>
      </c>
      <c r="P1098" s="73" t="str">
        <f>VLOOKUP(Tabla6[[#This Row],[GEO]],Listas!$A$48:$B$77,2,0)</f>
        <v>EL ORO</v>
      </c>
      <c r="Q1098" s="70">
        <f>VLOOKUP(Tabla6[[#This Row],[PG]],Listas2!$G$14:$K$16,3,0)</f>
        <v>1</v>
      </c>
      <c r="R1098" s="73">
        <f>VLOOKUP(Tabla6[[#This Row],[PG]],Listas2!H552:'Listas2'!$G$14:$K$16,4,0)</f>
        <v>0</v>
      </c>
      <c r="S1098" s="73">
        <f>VLOOKUP(Tabla6[[#This Row],[PG]],Listas2!$G$14:$K$16,2,0)</f>
        <v>0</v>
      </c>
      <c r="T1098" s="66" t="s">
        <v>84</v>
      </c>
      <c r="U1098" s="74">
        <v>51</v>
      </c>
      <c r="V1098" s="66">
        <v>510203</v>
      </c>
      <c r="W1098" s="63" t="str">
        <f>VLOOKUP(Tabla6[[#This Row],[ÍTEM PRESUPUESTARIO]],Tabla2[#All],2,0)</f>
        <v>DÉCIMO TERCER SUELDO</v>
      </c>
      <c r="X1098" s="57">
        <v>733</v>
      </c>
      <c r="Y1098" s="57">
        <v>0</v>
      </c>
      <c r="Z1098" s="58">
        <v>0</v>
      </c>
      <c r="AA1098" s="58">
        <v>0</v>
      </c>
      <c r="AB1098" s="58">
        <v>0</v>
      </c>
      <c r="AC1098" s="58">
        <v>0</v>
      </c>
      <c r="AD1098" s="58">
        <v>0</v>
      </c>
      <c r="AE1098" s="58">
        <v>0</v>
      </c>
      <c r="AF1098" s="58">
        <v>0</v>
      </c>
      <c r="AG1098" s="58">
        <v>0</v>
      </c>
      <c r="AH1098" s="58">
        <v>0</v>
      </c>
      <c r="AI1098" s="58">
        <v>0</v>
      </c>
      <c r="AJ1098" s="58">
        <v>0</v>
      </c>
      <c r="AK1098" s="58">
        <v>0</v>
      </c>
      <c r="AL1098" s="75">
        <f>+SUBTOTAL(9,Tabla6[[#This Row],[ENE]:[DIC]])</f>
        <v>0</v>
      </c>
      <c r="AM1098" s="76" t="str">
        <f t="shared" si="38"/>
        <v>OK</v>
      </c>
      <c r="AN1098" s="60">
        <v>0</v>
      </c>
      <c r="AO1098" s="61">
        <f>+Tabla6[[#This Row],[PRESUPUESTO VIGENTE]]-Tabla6[[#This Row],[CERTIFICACIÓN PAPP]]</f>
        <v>0</v>
      </c>
      <c r="AP1098" s="59">
        <v>0</v>
      </c>
    </row>
    <row r="1099" spans="1:42" ht="93" customHeight="1" x14ac:dyDescent="0.25">
      <c r="A1099" s="62" t="s">
        <v>78</v>
      </c>
      <c r="B1099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099" s="64" t="s">
        <v>79</v>
      </c>
      <c r="D1099" s="64" t="s">
        <v>80</v>
      </c>
      <c r="E1099" s="64" t="s">
        <v>81</v>
      </c>
      <c r="F1099" s="64" t="s">
        <v>112</v>
      </c>
      <c r="G1099" s="64" t="s">
        <v>92</v>
      </c>
      <c r="H1099" s="65" t="str">
        <f>VLOOKUP(Tabla6[[#This Row],[DIRECCIÓN]],DIRECCIÓN[#All],2,0)</f>
        <v>ADMINISTRACIÓN CENTRAL</v>
      </c>
      <c r="I1099" s="66" t="s">
        <v>93</v>
      </c>
      <c r="J1099" s="67">
        <v>1</v>
      </c>
      <c r="K1099" s="68" t="str">
        <f>VLOOKUP(Tabla6[[#This Row],[DIRECCIÓN GENERAL / COORDINACIÓN / SUBDIRECCIÓN]],Tabla37[[#All],[Columna1]:[EOD]],2,0)</f>
        <v>266_0007</v>
      </c>
      <c r="L1099" s="69">
        <f>VLOOKUP(Tabla6[[#This Row],[OBJETIVOS PND]],Listas!$A$1:$C$3,3,0)</f>
        <v>1</v>
      </c>
      <c r="M1099" s="70">
        <f>VLOOKUP(Tabla6[[#This Row],[PG]],Listas2!$G$14:$K$16,5,0)</f>
        <v>0</v>
      </c>
      <c r="N1099" s="71">
        <v>2</v>
      </c>
      <c r="O1099" s="72">
        <v>700</v>
      </c>
      <c r="P1099" s="73" t="str">
        <f>VLOOKUP(Tabla6[[#This Row],[GEO]],Listas!$A$48:$B$77,2,0)</f>
        <v>EL ORO</v>
      </c>
      <c r="Q1099" s="70">
        <f>VLOOKUP(Tabla6[[#This Row],[PG]],Listas2!$G$14:$K$16,3,0)</f>
        <v>1</v>
      </c>
      <c r="R1099" s="73">
        <f>VLOOKUP(Tabla6[[#This Row],[PG]],Listas2!H553:'Listas2'!$G$14:$K$16,4,0)</f>
        <v>0</v>
      </c>
      <c r="S1099" s="73">
        <f>VLOOKUP(Tabla6[[#This Row],[PG]],Listas2!$G$14:$K$16,2,0)</f>
        <v>0</v>
      </c>
      <c r="T1099" s="66" t="s">
        <v>84</v>
      </c>
      <c r="U1099" s="74">
        <v>51</v>
      </c>
      <c r="V1099" s="66">
        <v>510204</v>
      </c>
      <c r="W1099" s="63" t="str">
        <f>VLOOKUP(Tabla6[[#This Row],[ÍTEM PRESUPUESTARIO]],Tabla2[#All],2,0)</f>
        <v>DÉCIMO CUARTO SUELDO</v>
      </c>
      <c r="X1099" s="57">
        <v>425</v>
      </c>
      <c r="Y1099" s="57">
        <v>0</v>
      </c>
      <c r="Z1099" s="58">
        <v>0</v>
      </c>
      <c r="AA1099" s="58">
        <v>0</v>
      </c>
      <c r="AB1099" s="58">
        <v>0</v>
      </c>
      <c r="AC1099" s="58">
        <v>0</v>
      </c>
      <c r="AD1099" s="58">
        <v>0</v>
      </c>
      <c r="AE1099" s="58">
        <v>0</v>
      </c>
      <c r="AF1099" s="58">
        <v>0</v>
      </c>
      <c r="AG1099" s="58">
        <v>0</v>
      </c>
      <c r="AH1099" s="58">
        <v>0</v>
      </c>
      <c r="AI1099" s="58">
        <v>0</v>
      </c>
      <c r="AJ1099" s="58">
        <v>0</v>
      </c>
      <c r="AK1099" s="58">
        <v>0</v>
      </c>
      <c r="AL1099" s="75">
        <f>+SUBTOTAL(9,Tabla6[[#This Row],[ENE]:[DIC]])</f>
        <v>0</v>
      </c>
      <c r="AM1099" s="76" t="str">
        <f t="shared" si="38"/>
        <v>OK</v>
      </c>
      <c r="AN1099" s="60">
        <v>0</v>
      </c>
      <c r="AO1099" s="61">
        <f>+Tabla6[[#This Row],[PRESUPUESTO VIGENTE]]-Tabla6[[#This Row],[CERTIFICACIÓN PAPP]]</f>
        <v>0</v>
      </c>
      <c r="AP1099" s="59">
        <v>0</v>
      </c>
    </row>
    <row r="1100" spans="1:42" ht="93" customHeight="1" x14ac:dyDescent="0.25">
      <c r="A1100" s="62" t="s">
        <v>78</v>
      </c>
      <c r="B1100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100" s="64" t="s">
        <v>79</v>
      </c>
      <c r="D1100" s="64" t="s">
        <v>80</v>
      </c>
      <c r="E1100" s="64" t="s">
        <v>81</v>
      </c>
      <c r="F1100" s="64" t="s">
        <v>112</v>
      </c>
      <c r="G1100" s="64" t="s">
        <v>92</v>
      </c>
      <c r="H1100" s="65" t="str">
        <f>VLOOKUP(Tabla6[[#This Row],[DIRECCIÓN]],DIRECCIÓN[#All],2,0)</f>
        <v>ADMINISTRACIÓN CENTRAL</v>
      </c>
      <c r="I1100" s="66" t="s">
        <v>93</v>
      </c>
      <c r="J1100" s="67">
        <v>1</v>
      </c>
      <c r="K1100" s="68" t="str">
        <f>VLOOKUP(Tabla6[[#This Row],[DIRECCIÓN GENERAL / COORDINACIÓN / SUBDIRECCIÓN]],Tabla37[[#All],[Columna1]:[EOD]],2,0)</f>
        <v>266_0007</v>
      </c>
      <c r="L1100" s="69">
        <f>VLOOKUP(Tabla6[[#This Row],[OBJETIVOS PND]],Listas!$A$1:$C$3,3,0)</f>
        <v>1</v>
      </c>
      <c r="M1100" s="70">
        <f>VLOOKUP(Tabla6[[#This Row],[PG]],Listas2!$G$14:$K$16,5,0)</f>
        <v>0</v>
      </c>
      <c r="N1100" s="71">
        <v>2</v>
      </c>
      <c r="O1100" s="72">
        <v>700</v>
      </c>
      <c r="P1100" s="73" t="str">
        <f>VLOOKUP(Tabla6[[#This Row],[GEO]],Listas!$A$48:$B$77,2,0)</f>
        <v>EL ORO</v>
      </c>
      <c r="Q1100" s="70">
        <f>VLOOKUP(Tabla6[[#This Row],[PG]],Listas2!$G$14:$K$16,3,0)</f>
        <v>1</v>
      </c>
      <c r="R1100" s="73">
        <f>VLOOKUP(Tabla6[[#This Row],[PG]],Listas2!H554:'Listas2'!$G$14:$K$16,4,0)</f>
        <v>0</v>
      </c>
      <c r="S1100" s="73">
        <f>VLOOKUP(Tabla6[[#This Row],[PG]],Listas2!$G$14:$K$16,2,0)</f>
        <v>0</v>
      </c>
      <c r="T1100" s="66" t="s">
        <v>84</v>
      </c>
      <c r="U1100" s="74">
        <v>51</v>
      </c>
      <c r="V1100" s="66">
        <v>510510</v>
      </c>
      <c r="W1100" s="63" t="str">
        <f>VLOOKUP(Tabla6[[#This Row],[ÍTEM PRESUPUESTARIO]],Tabla2[#All],2,0)</f>
        <v>SERVICIOS PERSONALES POR CONTRATO</v>
      </c>
      <c r="X1100" s="57">
        <v>8796</v>
      </c>
      <c r="Y1100" s="57">
        <v>0</v>
      </c>
      <c r="Z1100" s="58">
        <v>0</v>
      </c>
      <c r="AA1100" s="58">
        <v>0</v>
      </c>
      <c r="AB1100" s="58">
        <v>0</v>
      </c>
      <c r="AC1100" s="58">
        <v>0</v>
      </c>
      <c r="AD1100" s="58">
        <v>0</v>
      </c>
      <c r="AE1100" s="58">
        <v>0</v>
      </c>
      <c r="AF1100" s="58">
        <v>0</v>
      </c>
      <c r="AG1100" s="58">
        <v>0</v>
      </c>
      <c r="AH1100" s="58">
        <v>0</v>
      </c>
      <c r="AI1100" s="58">
        <v>0</v>
      </c>
      <c r="AJ1100" s="58">
        <v>0</v>
      </c>
      <c r="AK1100" s="58">
        <v>0</v>
      </c>
      <c r="AL1100" s="75">
        <f>+SUBTOTAL(9,Tabla6[[#This Row],[ENE]:[DIC]])</f>
        <v>0</v>
      </c>
      <c r="AM1100" s="76" t="str">
        <f t="shared" si="38"/>
        <v>OK</v>
      </c>
      <c r="AN1100" s="60">
        <v>0</v>
      </c>
      <c r="AO1100" s="61">
        <f>+Tabla6[[#This Row],[PRESUPUESTO VIGENTE]]-Tabla6[[#This Row],[CERTIFICACIÓN PAPP]]</f>
        <v>0</v>
      </c>
      <c r="AP1100" s="59">
        <v>0</v>
      </c>
    </row>
    <row r="1101" spans="1:42" ht="93" customHeight="1" x14ac:dyDescent="0.25">
      <c r="A1101" s="62" t="s">
        <v>78</v>
      </c>
      <c r="B1101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101" s="64" t="s">
        <v>79</v>
      </c>
      <c r="D1101" s="64" t="s">
        <v>80</v>
      </c>
      <c r="E1101" s="64" t="s">
        <v>81</v>
      </c>
      <c r="F1101" s="64" t="s">
        <v>112</v>
      </c>
      <c r="G1101" s="64" t="s">
        <v>92</v>
      </c>
      <c r="H1101" s="65" t="str">
        <f>VLOOKUP(Tabla6[[#This Row],[DIRECCIÓN]],DIRECCIÓN[#All],2,0)</f>
        <v>ADMINISTRACIÓN CENTRAL</v>
      </c>
      <c r="I1101" s="66" t="s">
        <v>93</v>
      </c>
      <c r="J1101" s="67">
        <v>1</v>
      </c>
      <c r="K1101" s="68" t="str">
        <f>VLOOKUP(Tabla6[[#This Row],[DIRECCIÓN GENERAL / COORDINACIÓN / SUBDIRECCIÓN]],Tabla37[[#All],[Columna1]:[EOD]],2,0)</f>
        <v>266_0007</v>
      </c>
      <c r="L1101" s="69">
        <f>VLOOKUP(Tabla6[[#This Row],[OBJETIVOS PND]],Listas!$A$1:$C$3,3,0)</f>
        <v>1</v>
      </c>
      <c r="M1101" s="70">
        <f>VLOOKUP(Tabla6[[#This Row],[PG]],Listas2!$G$14:$K$16,5,0)</f>
        <v>0</v>
      </c>
      <c r="N1101" s="71">
        <v>2</v>
      </c>
      <c r="O1101" s="72">
        <v>700</v>
      </c>
      <c r="P1101" s="73" t="str">
        <f>VLOOKUP(Tabla6[[#This Row],[GEO]],Listas!$A$48:$B$77,2,0)</f>
        <v>EL ORO</v>
      </c>
      <c r="Q1101" s="70">
        <f>VLOOKUP(Tabla6[[#This Row],[PG]],Listas2!$G$14:$K$16,3,0)</f>
        <v>1</v>
      </c>
      <c r="R1101" s="73">
        <f>VLOOKUP(Tabla6[[#This Row],[PG]],Listas2!H555:'Listas2'!$G$14:$K$16,4,0)</f>
        <v>0</v>
      </c>
      <c r="S1101" s="73">
        <f>VLOOKUP(Tabla6[[#This Row],[PG]],Listas2!$G$14:$K$16,2,0)</f>
        <v>0</v>
      </c>
      <c r="T1101" s="66" t="s">
        <v>84</v>
      </c>
      <c r="U1101" s="74">
        <v>51</v>
      </c>
      <c r="V1101" s="66">
        <v>510601</v>
      </c>
      <c r="W1101" s="63" t="str">
        <f>VLOOKUP(Tabla6[[#This Row],[ÍTEM PRESUPUESTARIO]],Tabla2[#All],2,0)</f>
        <v>APORTE PATRONAL</v>
      </c>
      <c r="X1101" s="57">
        <v>849</v>
      </c>
      <c r="Y1101" s="57">
        <v>0</v>
      </c>
      <c r="Z1101" s="58">
        <v>0</v>
      </c>
      <c r="AA1101" s="58">
        <v>0</v>
      </c>
      <c r="AB1101" s="58">
        <v>0</v>
      </c>
      <c r="AC1101" s="58">
        <v>0</v>
      </c>
      <c r="AD1101" s="58">
        <v>0</v>
      </c>
      <c r="AE1101" s="58">
        <v>0</v>
      </c>
      <c r="AF1101" s="58">
        <v>0</v>
      </c>
      <c r="AG1101" s="58">
        <v>0</v>
      </c>
      <c r="AH1101" s="58">
        <v>0</v>
      </c>
      <c r="AI1101" s="58">
        <v>0</v>
      </c>
      <c r="AJ1101" s="58">
        <v>0</v>
      </c>
      <c r="AK1101" s="58">
        <v>0</v>
      </c>
      <c r="AL1101" s="75">
        <f>+SUBTOTAL(9,Tabla6[[#This Row],[ENE]:[DIC]])</f>
        <v>0</v>
      </c>
      <c r="AM1101" s="76" t="str">
        <f t="shared" si="38"/>
        <v>OK</v>
      </c>
      <c r="AN1101" s="60">
        <v>0</v>
      </c>
      <c r="AO1101" s="61">
        <f>+Tabla6[[#This Row],[PRESUPUESTO VIGENTE]]-Tabla6[[#This Row],[CERTIFICACIÓN PAPP]]</f>
        <v>0</v>
      </c>
      <c r="AP1101" s="59">
        <v>0</v>
      </c>
    </row>
    <row r="1102" spans="1:42" ht="93" customHeight="1" x14ac:dyDescent="0.25">
      <c r="A1102" s="62" t="s">
        <v>78</v>
      </c>
      <c r="B1102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102" s="64" t="s">
        <v>79</v>
      </c>
      <c r="D1102" s="64" t="s">
        <v>80</v>
      </c>
      <c r="E1102" s="64" t="s">
        <v>81</v>
      </c>
      <c r="F1102" s="64" t="s">
        <v>112</v>
      </c>
      <c r="G1102" s="64" t="s">
        <v>92</v>
      </c>
      <c r="H1102" s="65" t="str">
        <f>VLOOKUP(Tabla6[[#This Row],[DIRECCIÓN]],DIRECCIÓN[#All],2,0)</f>
        <v>ADMINISTRACIÓN CENTRAL</v>
      </c>
      <c r="I1102" s="66" t="s">
        <v>93</v>
      </c>
      <c r="J1102" s="67">
        <v>1</v>
      </c>
      <c r="K1102" s="68" t="str">
        <f>VLOOKUP(Tabla6[[#This Row],[DIRECCIÓN GENERAL / COORDINACIÓN / SUBDIRECCIÓN]],Tabla37[[#All],[Columna1]:[EOD]],2,0)</f>
        <v>266_0007</v>
      </c>
      <c r="L1102" s="69">
        <f>VLOOKUP(Tabla6[[#This Row],[OBJETIVOS PND]],Listas!$A$1:$C$3,3,0)</f>
        <v>1</v>
      </c>
      <c r="M1102" s="70">
        <f>VLOOKUP(Tabla6[[#This Row],[PG]],Listas2!$G$14:$K$16,5,0)</f>
        <v>0</v>
      </c>
      <c r="N1102" s="71">
        <v>2</v>
      </c>
      <c r="O1102" s="72">
        <v>700</v>
      </c>
      <c r="P1102" s="73" t="str">
        <f>VLOOKUP(Tabla6[[#This Row],[GEO]],Listas!$A$48:$B$77,2,0)</f>
        <v>EL ORO</v>
      </c>
      <c r="Q1102" s="70">
        <f>VLOOKUP(Tabla6[[#This Row],[PG]],Listas2!$G$14:$K$16,3,0)</f>
        <v>1</v>
      </c>
      <c r="R1102" s="73">
        <f>VLOOKUP(Tabla6[[#This Row],[PG]],Listas2!H556:'Listas2'!$G$14:$K$16,4,0)</f>
        <v>0</v>
      </c>
      <c r="S1102" s="73">
        <f>VLOOKUP(Tabla6[[#This Row],[PG]],Listas2!$G$14:$K$16,2,0)</f>
        <v>0</v>
      </c>
      <c r="T1102" s="66" t="s">
        <v>84</v>
      </c>
      <c r="U1102" s="74">
        <v>51</v>
      </c>
      <c r="V1102" s="66">
        <v>510602</v>
      </c>
      <c r="W1102" s="63" t="str">
        <f>VLOOKUP(Tabla6[[#This Row],[ÍTEM PRESUPUESTARIO]],Tabla2[#All],2,0)</f>
        <v>FONDO DE RESERVA</v>
      </c>
      <c r="X1102" s="57">
        <v>733</v>
      </c>
      <c r="Y1102" s="57">
        <v>0</v>
      </c>
      <c r="Z1102" s="58">
        <v>0</v>
      </c>
      <c r="AA1102" s="58">
        <v>0</v>
      </c>
      <c r="AB1102" s="58">
        <v>0</v>
      </c>
      <c r="AC1102" s="58">
        <v>0</v>
      </c>
      <c r="AD1102" s="58">
        <v>0</v>
      </c>
      <c r="AE1102" s="58">
        <v>0</v>
      </c>
      <c r="AF1102" s="58">
        <v>0</v>
      </c>
      <c r="AG1102" s="58">
        <v>0</v>
      </c>
      <c r="AH1102" s="58">
        <v>0</v>
      </c>
      <c r="AI1102" s="58">
        <v>0</v>
      </c>
      <c r="AJ1102" s="58">
        <v>0</v>
      </c>
      <c r="AK1102" s="58">
        <v>0</v>
      </c>
      <c r="AL1102" s="75">
        <f>+SUBTOTAL(9,Tabla6[[#This Row],[ENE]:[DIC]])</f>
        <v>0</v>
      </c>
      <c r="AM1102" s="76" t="str">
        <f t="shared" si="38"/>
        <v>OK</v>
      </c>
      <c r="AN1102" s="60">
        <v>0</v>
      </c>
      <c r="AO1102" s="61">
        <f>+Tabla6[[#This Row],[PRESUPUESTO VIGENTE]]-Tabla6[[#This Row],[CERTIFICACIÓN PAPP]]</f>
        <v>0</v>
      </c>
      <c r="AP1102" s="59">
        <v>0</v>
      </c>
    </row>
    <row r="1103" spans="1:42" ht="93" customHeight="1" x14ac:dyDescent="0.25">
      <c r="A1103" s="62" t="s">
        <v>88</v>
      </c>
      <c r="B1103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103" s="64" t="s">
        <v>89</v>
      </c>
      <c r="D1103" s="64" t="s">
        <v>80</v>
      </c>
      <c r="E1103" s="64" t="s">
        <v>81</v>
      </c>
      <c r="F1103" s="64" t="s">
        <v>112</v>
      </c>
      <c r="G1103" s="64" t="s">
        <v>9</v>
      </c>
      <c r="H1103" s="65" t="str">
        <f>VLOOKUP(Tabla6[[#This Row],[DIRECCIÓN]],DIRECCIÓN[#All],2,0)</f>
        <v>OPERACIONES</v>
      </c>
      <c r="I1103" s="66" t="s">
        <v>93</v>
      </c>
      <c r="J1103" s="67">
        <v>1</v>
      </c>
      <c r="K1103" s="68" t="str">
        <f>VLOOKUP(Tabla6[[#This Row],[DIRECCIÓN GENERAL / COORDINACIÓN / SUBDIRECCIÓN]],Tabla37[[#All],[Columna1]:[EOD]],2,0)</f>
        <v>266_0007</v>
      </c>
      <c r="L1103" s="69">
        <f>VLOOKUP(Tabla6[[#This Row],[OBJETIVOS PND]],Listas!$A$1:$C$3,3,0)</f>
        <v>55</v>
      </c>
      <c r="M1103" s="70">
        <f>VLOOKUP(Tabla6[[#This Row],[PG]],Listas2!$G$14:$K$16,5,0)</f>
        <v>0</v>
      </c>
      <c r="N1103" s="71" t="s">
        <v>776</v>
      </c>
      <c r="O1103" s="72">
        <v>700</v>
      </c>
      <c r="P1103" s="73" t="str">
        <f>VLOOKUP(Tabla6[[#This Row],[GEO]],Listas!$A$48:$B$77,2,0)</f>
        <v>EL ORO</v>
      </c>
      <c r="Q1103" s="70">
        <f>VLOOKUP(Tabla6[[#This Row],[PG]],Listas2!$G$14:$K$16,3,0)</f>
        <v>1</v>
      </c>
      <c r="R1103" s="73">
        <f>VLOOKUP(Tabla6[[#This Row],[PG]],Listas2!H557:'Listas2'!$G$14:$K$16,4,0)</f>
        <v>0</v>
      </c>
      <c r="S1103" s="73">
        <f>VLOOKUP(Tabla6[[#This Row],[PG]],Listas2!$G$14:$K$16,2,0)</f>
        <v>0</v>
      </c>
      <c r="T1103" s="66" t="s">
        <v>84</v>
      </c>
      <c r="U1103" s="74">
        <v>51</v>
      </c>
      <c r="V1103" s="66">
        <v>510105</v>
      </c>
      <c r="W1103" s="63" t="str">
        <f>VLOOKUP(Tabla6[[#This Row],[ÍTEM PRESUPUESTARIO]],Tabla2[#All],2,0)</f>
        <v>REMUNERACIONES UNIFICADAS</v>
      </c>
      <c r="X1103" s="57">
        <v>535608</v>
      </c>
      <c r="Y1103" s="57">
        <f>535608-1056.2-110.68-3309.02</f>
        <v>531132.1</v>
      </c>
      <c r="Z1103" s="58">
        <v>44634</v>
      </c>
      <c r="AA1103" s="58">
        <v>44634</v>
      </c>
      <c r="AB1103" s="58">
        <v>44634</v>
      </c>
      <c r="AC1103" s="58">
        <v>44634</v>
      </c>
      <c r="AD1103" s="58">
        <v>44634</v>
      </c>
      <c r="AE1103" s="58">
        <v>44634</v>
      </c>
      <c r="AF1103" s="58">
        <v>44634</v>
      </c>
      <c r="AG1103" s="58">
        <v>44634</v>
      </c>
      <c r="AH1103" s="58">
        <v>44634</v>
      </c>
      <c r="AI1103" s="58">
        <v>44634</v>
      </c>
      <c r="AJ1103" s="58">
        <v>44634</v>
      </c>
      <c r="AK1103" s="58">
        <v>40158.1</v>
      </c>
      <c r="AL1103" s="75">
        <f>+SUBTOTAL(9,Tabla6[[#This Row],[ENE]:[DIC]])</f>
        <v>531132.1</v>
      </c>
      <c r="AM1103" s="76" t="str">
        <f t="shared" si="38"/>
        <v>OK</v>
      </c>
      <c r="AN1103" s="60">
        <v>0</v>
      </c>
      <c r="AO1103" s="61">
        <f>+Tabla6[[#This Row],[PRESUPUESTO VIGENTE]]-Tabla6[[#This Row],[CERTIFICACIÓN PAPP]]</f>
        <v>531132.1</v>
      </c>
      <c r="AP1103" s="59">
        <v>0</v>
      </c>
    </row>
    <row r="1104" spans="1:42" ht="93" customHeight="1" x14ac:dyDescent="0.25">
      <c r="A1104" s="62" t="s">
        <v>88</v>
      </c>
      <c r="B1104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104" s="64" t="s">
        <v>89</v>
      </c>
      <c r="D1104" s="64" t="s">
        <v>80</v>
      </c>
      <c r="E1104" s="64" t="s">
        <v>81</v>
      </c>
      <c r="F1104" s="64" t="s">
        <v>112</v>
      </c>
      <c r="G1104" s="64" t="s">
        <v>9</v>
      </c>
      <c r="H1104" s="65" t="str">
        <f>VLOOKUP(Tabla6[[#This Row],[DIRECCIÓN]],DIRECCIÓN[#All],2,0)</f>
        <v>OPERACIONES</v>
      </c>
      <c r="I1104" s="66" t="s">
        <v>93</v>
      </c>
      <c r="J1104" s="67">
        <v>1</v>
      </c>
      <c r="K1104" s="68" t="str">
        <f>VLOOKUP(Tabla6[[#This Row],[DIRECCIÓN GENERAL / COORDINACIÓN / SUBDIRECCIÓN]],Tabla37[[#All],[Columna1]:[EOD]],2,0)</f>
        <v>266_0007</v>
      </c>
      <c r="L1104" s="69">
        <f>VLOOKUP(Tabla6[[#This Row],[OBJETIVOS PND]],Listas!$A$1:$C$3,3,0)</f>
        <v>55</v>
      </c>
      <c r="M1104" s="70">
        <f>VLOOKUP(Tabla6[[#This Row],[PG]],Listas2!$G$14:$K$16,5,0)</f>
        <v>0</v>
      </c>
      <c r="N1104" s="71" t="s">
        <v>776</v>
      </c>
      <c r="O1104" s="72">
        <v>700</v>
      </c>
      <c r="P1104" s="73" t="str">
        <f>VLOOKUP(Tabla6[[#This Row],[GEO]],Listas!$A$48:$B$77,2,0)</f>
        <v>EL ORO</v>
      </c>
      <c r="Q1104" s="70">
        <f>VLOOKUP(Tabla6[[#This Row],[PG]],Listas2!$G$14:$K$16,3,0)</f>
        <v>1</v>
      </c>
      <c r="R1104" s="73">
        <f>VLOOKUP(Tabla6[[#This Row],[PG]],Listas2!H558:'Listas2'!$G$14:$K$16,4,0)</f>
        <v>0</v>
      </c>
      <c r="S1104" s="73">
        <f>VLOOKUP(Tabla6[[#This Row],[PG]],Listas2!$G$14:$K$16,2,0)</f>
        <v>0</v>
      </c>
      <c r="T1104" s="66" t="s">
        <v>84</v>
      </c>
      <c r="U1104" s="74">
        <v>51</v>
      </c>
      <c r="V1104" s="66">
        <v>510203</v>
      </c>
      <c r="W1104" s="63" t="str">
        <f>VLOOKUP(Tabla6[[#This Row],[ÍTEM PRESUPUESTARIO]],Tabla2[#All],2,0)</f>
        <v>DÉCIMO TERCER SUELDO</v>
      </c>
      <c r="X1104" s="57">
        <v>48299</v>
      </c>
      <c r="Y1104" s="57">
        <f>47932.9-600.09</f>
        <v>47332.810000000005</v>
      </c>
      <c r="Z1104" s="58">
        <v>0</v>
      </c>
      <c r="AA1104" s="58">
        <v>0</v>
      </c>
      <c r="AB1104" s="58">
        <v>0</v>
      </c>
      <c r="AC1104" s="58">
        <v>0</v>
      </c>
      <c r="AD1104" s="58">
        <v>0</v>
      </c>
      <c r="AE1104" s="58">
        <v>0</v>
      </c>
      <c r="AF1104" s="58">
        <v>0</v>
      </c>
      <c r="AG1104" s="58">
        <v>0</v>
      </c>
      <c r="AH1104" s="58">
        <v>0</v>
      </c>
      <c r="AI1104" s="58">
        <v>0</v>
      </c>
      <c r="AJ1104" s="58">
        <v>0</v>
      </c>
      <c r="AK1104" s="58">
        <v>47332.81</v>
      </c>
      <c r="AL1104" s="75">
        <f>+SUBTOTAL(9,Tabla6[[#This Row],[ENE]:[DIC]])</f>
        <v>47332.81</v>
      </c>
      <c r="AM1104" s="76" t="str">
        <f t="shared" si="38"/>
        <v>OK</v>
      </c>
      <c r="AN1104" s="60">
        <v>0</v>
      </c>
      <c r="AO1104" s="61">
        <f>+Tabla6[[#This Row],[PRESUPUESTO VIGENTE]]-Tabla6[[#This Row],[CERTIFICACIÓN PAPP]]</f>
        <v>47332.810000000005</v>
      </c>
      <c r="AP1104" s="59">
        <v>0</v>
      </c>
    </row>
    <row r="1105" spans="1:42" ht="93" customHeight="1" x14ac:dyDescent="0.25">
      <c r="A1105" s="62" t="s">
        <v>88</v>
      </c>
      <c r="B1105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105" s="64" t="s">
        <v>89</v>
      </c>
      <c r="D1105" s="64" t="s">
        <v>80</v>
      </c>
      <c r="E1105" s="64" t="s">
        <v>81</v>
      </c>
      <c r="F1105" s="64" t="s">
        <v>112</v>
      </c>
      <c r="G1105" s="64" t="s">
        <v>9</v>
      </c>
      <c r="H1105" s="65" t="str">
        <f>VLOOKUP(Tabla6[[#This Row],[DIRECCIÓN]],DIRECCIÓN[#All],2,0)</f>
        <v>OPERACIONES</v>
      </c>
      <c r="I1105" s="66" t="s">
        <v>93</v>
      </c>
      <c r="J1105" s="67">
        <v>1</v>
      </c>
      <c r="K1105" s="68" t="str">
        <f>VLOOKUP(Tabla6[[#This Row],[DIRECCIÓN GENERAL / COORDINACIÓN / SUBDIRECCIÓN]],Tabla37[[#All],[Columna1]:[EOD]],2,0)</f>
        <v>266_0007</v>
      </c>
      <c r="L1105" s="69">
        <f>VLOOKUP(Tabla6[[#This Row],[OBJETIVOS PND]],Listas!$A$1:$C$3,3,0)</f>
        <v>55</v>
      </c>
      <c r="M1105" s="70">
        <f>VLOOKUP(Tabla6[[#This Row],[PG]],Listas2!$G$14:$K$16,5,0)</f>
        <v>0</v>
      </c>
      <c r="N1105" s="71" t="s">
        <v>776</v>
      </c>
      <c r="O1105" s="72">
        <v>700</v>
      </c>
      <c r="P1105" s="73" t="str">
        <f>VLOOKUP(Tabla6[[#This Row],[GEO]],Listas!$A$48:$B$77,2,0)</f>
        <v>EL ORO</v>
      </c>
      <c r="Q1105" s="70">
        <f>VLOOKUP(Tabla6[[#This Row],[PG]],Listas2!$G$14:$K$16,3,0)</f>
        <v>1</v>
      </c>
      <c r="R1105" s="73">
        <f>VLOOKUP(Tabla6[[#This Row],[PG]],Listas2!H559:'Listas2'!$G$14:$K$16,4,0)</f>
        <v>0</v>
      </c>
      <c r="S1105" s="73">
        <f>VLOOKUP(Tabla6[[#This Row],[PG]],Listas2!$G$14:$K$16,2,0)</f>
        <v>0</v>
      </c>
      <c r="T1105" s="66" t="s">
        <v>84</v>
      </c>
      <c r="U1105" s="74">
        <v>51</v>
      </c>
      <c r="V1105" s="66">
        <v>510204</v>
      </c>
      <c r="W1105" s="63" t="str">
        <f>VLOOKUP(Tabla6[[#This Row],[ÍTEM PRESUPUESTARIO]],Tabla2[#All],2,0)</f>
        <v>DÉCIMO CUARTO SUELDO</v>
      </c>
      <c r="X1105" s="57">
        <v>24225</v>
      </c>
      <c r="Y1105" s="57">
        <f>25592.2-448.75</f>
        <v>25143.45</v>
      </c>
      <c r="Z1105" s="58">
        <v>0</v>
      </c>
      <c r="AA1105" s="58">
        <v>0</v>
      </c>
      <c r="AB1105" s="58">
        <v>0</v>
      </c>
      <c r="AC1105" s="58">
        <v>25143.45</v>
      </c>
      <c r="AD1105" s="58">
        <v>0</v>
      </c>
      <c r="AE1105" s="58">
        <v>0</v>
      </c>
      <c r="AF1105" s="58">
        <v>0</v>
      </c>
      <c r="AG1105" s="58">
        <v>0</v>
      </c>
      <c r="AH1105" s="58">
        <v>0</v>
      </c>
      <c r="AI1105" s="58">
        <v>0</v>
      </c>
      <c r="AJ1105" s="58">
        <v>0</v>
      </c>
      <c r="AK1105" s="58">
        <v>0</v>
      </c>
      <c r="AL1105" s="75">
        <f>+SUBTOTAL(9,Tabla6[[#This Row],[ENE]:[DIC]])</f>
        <v>25143.45</v>
      </c>
      <c r="AM1105" s="76" t="str">
        <f t="shared" si="38"/>
        <v>OK</v>
      </c>
      <c r="AN1105" s="60">
        <v>0</v>
      </c>
      <c r="AO1105" s="61">
        <f>+Tabla6[[#This Row],[PRESUPUESTO VIGENTE]]-Tabla6[[#This Row],[CERTIFICACIÓN PAPP]]</f>
        <v>25143.45</v>
      </c>
      <c r="AP1105" s="59">
        <v>0</v>
      </c>
    </row>
    <row r="1106" spans="1:42" ht="93" customHeight="1" x14ac:dyDescent="0.25">
      <c r="A1106" s="62" t="s">
        <v>88</v>
      </c>
      <c r="B1106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106" s="64" t="s">
        <v>89</v>
      </c>
      <c r="D1106" s="64" t="s">
        <v>80</v>
      </c>
      <c r="E1106" s="64" t="s">
        <v>81</v>
      </c>
      <c r="F1106" s="64" t="s">
        <v>112</v>
      </c>
      <c r="G1106" s="64" t="s">
        <v>9</v>
      </c>
      <c r="H1106" s="65" t="str">
        <f>VLOOKUP(Tabla6[[#This Row],[DIRECCIÓN]],DIRECCIÓN[#All],2,0)</f>
        <v>OPERACIONES</v>
      </c>
      <c r="I1106" s="66" t="s">
        <v>93</v>
      </c>
      <c r="J1106" s="67">
        <v>1</v>
      </c>
      <c r="K1106" s="68" t="str">
        <f>VLOOKUP(Tabla6[[#This Row],[DIRECCIÓN GENERAL / COORDINACIÓN / SUBDIRECCIÓN]],Tabla37[[#All],[Columna1]:[EOD]],2,0)</f>
        <v>266_0007</v>
      </c>
      <c r="L1106" s="69">
        <f>VLOOKUP(Tabla6[[#This Row],[OBJETIVOS PND]],Listas!$A$1:$C$3,3,0)</f>
        <v>55</v>
      </c>
      <c r="M1106" s="70">
        <f>VLOOKUP(Tabla6[[#This Row],[PG]],Listas2!$G$14:$K$16,5,0)</f>
        <v>0</v>
      </c>
      <c r="N1106" s="71" t="s">
        <v>776</v>
      </c>
      <c r="O1106" s="72">
        <v>700</v>
      </c>
      <c r="P1106" s="73" t="str">
        <f>VLOOKUP(Tabla6[[#This Row],[GEO]],Listas!$A$48:$B$77,2,0)</f>
        <v>EL ORO</v>
      </c>
      <c r="Q1106" s="70">
        <f>VLOOKUP(Tabla6[[#This Row],[PG]],Listas2!$G$14:$K$16,3,0)</f>
        <v>1</v>
      </c>
      <c r="R1106" s="73">
        <f>VLOOKUP(Tabla6[[#This Row],[PG]],Listas2!H560:'Listas2'!$G$14:$K$16,4,0)</f>
        <v>0</v>
      </c>
      <c r="S1106" s="73">
        <f>VLOOKUP(Tabla6[[#This Row],[PG]],Listas2!$G$14:$K$16,2,0)</f>
        <v>0</v>
      </c>
      <c r="T1106" s="66" t="s">
        <v>84</v>
      </c>
      <c r="U1106" s="74">
        <v>51</v>
      </c>
      <c r="V1106" s="66">
        <v>510510</v>
      </c>
      <c r="W1106" s="63" t="str">
        <f>VLOOKUP(Tabla6[[#This Row],[ÍTEM PRESUPUESTARIO]],Tabla2[#All],2,0)</f>
        <v>SERVICIOS PERSONALES POR CONTRATO</v>
      </c>
      <c r="X1106" s="57">
        <v>43980</v>
      </c>
      <c r="Y1106" s="57">
        <f>38242.79-5990.79</f>
        <v>32252</v>
      </c>
      <c r="Z1106" s="58">
        <v>0</v>
      </c>
      <c r="AA1106" s="58">
        <v>1339.21</v>
      </c>
      <c r="AB1106" s="58">
        <v>3665</v>
      </c>
      <c r="AC1106" s="58">
        <v>3176.33</v>
      </c>
      <c r="AD1106" s="58">
        <v>3176.33</v>
      </c>
      <c r="AE1106" s="58">
        <v>3176.33</v>
      </c>
      <c r="AF1106" s="58">
        <v>3176.33</v>
      </c>
      <c r="AG1106" s="58">
        <v>3176.33</v>
      </c>
      <c r="AH1106" s="58">
        <v>3176.33</v>
      </c>
      <c r="AI1106" s="58">
        <v>3176.33</v>
      </c>
      <c r="AJ1106" s="58">
        <v>3176.33</v>
      </c>
      <c r="AK1106" s="58">
        <v>1837.15</v>
      </c>
      <c r="AL1106" s="75">
        <f>+SUBTOTAL(9,Tabla6[[#This Row],[ENE]:[DIC]])</f>
        <v>32252.000000000007</v>
      </c>
      <c r="AM1106" s="76" t="str">
        <f t="shared" si="38"/>
        <v>OK</v>
      </c>
      <c r="AN1106" s="60">
        <v>0</v>
      </c>
      <c r="AO1106" s="61">
        <f>+Tabla6[[#This Row],[PRESUPUESTO VIGENTE]]-Tabla6[[#This Row],[CERTIFICACIÓN PAPP]]</f>
        <v>32252</v>
      </c>
      <c r="AP1106" s="59">
        <v>0</v>
      </c>
    </row>
    <row r="1107" spans="1:42" ht="93" customHeight="1" x14ac:dyDescent="0.25">
      <c r="A1107" s="62" t="s">
        <v>88</v>
      </c>
      <c r="B1107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107" s="64" t="s">
        <v>89</v>
      </c>
      <c r="D1107" s="64" t="s">
        <v>80</v>
      </c>
      <c r="E1107" s="64" t="s">
        <v>81</v>
      </c>
      <c r="F1107" s="64" t="s">
        <v>112</v>
      </c>
      <c r="G1107" s="64" t="s">
        <v>9</v>
      </c>
      <c r="H1107" s="65" t="str">
        <f>VLOOKUP(Tabla6[[#This Row],[DIRECCIÓN]],DIRECCIÓN[#All],2,0)</f>
        <v>OPERACIONES</v>
      </c>
      <c r="I1107" s="66" t="s">
        <v>93</v>
      </c>
      <c r="J1107" s="67">
        <v>1</v>
      </c>
      <c r="K1107" s="68" t="str">
        <f>VLOOKUP(Tabla6[[#This Row],[DIRECCIÓN GENERAL / COORDINACIÓN / SUBDIRECCIÓN]],Tabla37[[#All],[Columna1]:[EOD]],2,0)</f>
        <v>266_0007</v>
      </c>
      <c r="L1107" s="69">
        <f>VLOOKUP(Tabla6[[#This Row],[OBJETIVOS PND]],Listas!$A$1:$C$3,3,0)</f>
        <v>55</v>
      </c>
      <c r="M1107" s="70">
        <f>VLOOKUP(Tabla6[[#This Row],[PG]],Listas2!$G$14:$K$16,5,0)</f>
        <v>0</v>
      </c>
      <c r="N1107" s="71" t="s">
        <v>776</v>
      </c>
      <c r="O1107" s="72">
        <v>700</v>
      </c>
      <c r="P1107" s="73" t="str">
        <f>VLOOKUP(Tabla6[[#This Row],[GEO]],Listas!$A$48:$B$77,2,0)</f>
        <v>EL ORO</v>
      </c>
      <c r="Q1107" s="70">
        <f>VLOOKUP(Tabla6[[#This Row],[PG]],Listas2!$G$14:$K$16,3,0)</f>
        <v>1</v>
      </c>
      <c r="R1107" s="73">
        <f>VLOOKUP(Tabla6[[#This Row],[PG]],Listas2!H561:'Listas2'!$G$14:$K$16,4,0)</f>
        <v>0</v>
      </c>
      <c r="S1107" s="73">
        <f>VLOOKUP(Tabla6[[#This Row],[PG]],Listas2!$G$14:$K$16,2,0)</f>
        <v>0</v>
      </c>
      <c r="T1107" s="66" t="s">
        <v>84</v>
      </c>
      <c r="U1107" s="74">
        <v>51</v>
      </c>
      <c r="V1107" s="66">
        <v>510512</v>
      </c>
      <c r="W1107" s="63" t="str">
        <f>VLOOKUP(Tabla6[[#This Row],[ÍTEM PRESUPUESTARIO]],Tabla2[#All],2,0)</f>
        <v xml:space="preserve">SUBROGACIÓN </v>
      </c>
      <c r="X1107" s="57">
        <v>808</v>
      </c>
      <c r="Y1107" s="57">
        <f>851-131.67+1208.53+2076</f>
        <v>4003.86</v>
      </c>
      <c r="Z1107" s="58">
        <v>67</v>
      </c>
      <c r="AA1107" s="58">
        <v>71.27</v>
      </c>
      <c r="AB1107" s="58">
        <v>71.27</v>
      </c>
      <c r="AC1107" s="58">
        <v>71.27</v>
      </c>
      <c r="AD1107" s="58">
        <v>71.27</v>
      </c>
      <c r="AE1107" s="58">
        <v>71.27</v>
      </c>
      <c r="AF1107" s="58">
        <v>71.27</v>
      </c>
      <c r="AG1107" s="58">
        <v>286.64</v>
      </c>
      <c r="AH1107" s="58">
        <v>286.64</v>
      </c>
      <c r="AI1107" s="58">
        <v>286.64</v>
      </c>
      <c r="AJ1107" s="58">
        <v>286.64</v>
      </c>
      <c r="AK1107" s="58">
        <v>2362.6799999999998</v>
      </c>
      <c r="AL1107" s="75">
        <f>+SUBTOTAL(9,Tabla6[[#This Row],[ENE]:[DIC]])</f>
        <v>4003.8599999999997</v>
      </c>
      <c r="AM1107" s="76" t="str">
        <f t="shared" si="38"/>
        <v>OK</v>
      </c>
      <c r="AN1107" s="60">
        <v>0</v>
      </c>
      <c r="AO1107" s="61">
        <f>+Tabla6[[#This Row],[PRESUPUESTO VIGENTE]]-Tabla6[[#This Row],[CERTIFICACIÓN PAPP]]</f>
        <v>4003.86</v>
      </c>
      <c r="AP1107" s="59">
        <v>0</v>
      </c>
    </row>
    <row r="1108" spans="1:42" ht="93" customHeight="1" x14ac:dyDescent="0.25">
      <c r="A1108" s="62" t="s">
        <v>88</v>
      </c>
      <c r="B1108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108" s="64" t="s">
        <v>89</v>
      </c>
      <c r="D1108" s="64" t="s">
        <v>80</v>
      </c>
      <c r="E1108" s="64" t="s">
        <v>81</v>
      </c>
      <c r="F1108" s="64" t="s">
        <v>112</v>
      </c>
      <c r="G1108" s="64" t="s">
        <v>9</v>
      </c>
      <c r="H1108" s="65" t="str">
        <f>VLOOKUP(Tabla6[[#This Row],[DIRECCIÓN]],DIRECCIÓN[#All],2,0)</f>
        <v>OPERACIONES</v>
      </c>
      <c r="I1108" s="66" t="s">
        <v>670</v>
      </c>
      <c r="J1108" s="67">
        <v>1</v>
      </c>
      <c r="K1108" s="68" t="str">
        <f>VLOOKUP(Tabla6[[#This Row],[DIRECCIÓN GENERAL / COORDINACIÓN / SUBDIRECCIÓN]],Tabla37[[#All],[Columna1]:[EOD]],2,0)</f>
        <v>266_0007</v>
      </c>
      <c r="L1108" s="69">
        <f>VLOOKUP(Tabla6[[#This Row],[OBJETIVOS PND]],Listas!$A$1:$C$3,3,0)</f>
        <v>55</v>
      </c>
      <c r="M1108" s="70">
        <f>VLOOKUP(Tabla6[[#This Row],[PG]],Listas2!$G$14:$K$16,5,0)</f>
        <v>0</v>
      </c>
      <c r="N1108" s="71">
        <v>2</v>
      </c>
      <c r="O1108" s="72">
        <v>700</v>
      </c>
      <c r="P1108" s="73" t="str">
        <f>VLOOKUP(Tabla6[[#This Row],[GEO]],Listas!$A$48:$B$77,2,0)</f>
        <v>EL ORO</v>
      </c>
      <c r="Q1108" s="70">
        <f>VLOOKUP(Tabla6[[#This Row],[PG]],Listas2!$G$14:$K$16,3,0)</f>
        <v>1</v>
      </c>
      <c r="R1108" s="73">
        <f>VLOOKUP(Tabla6[[#This Row],[PG]],Listas2!H562:'Listas2'!$G$14:$K$16,4,0)</f>
        <v>0</v>
      </c>
      <c r="S1108" s="73">
        <f>VLOOKUP(Tabla6[[#This Row],[PG]],Listas2!$G$14:$K$16,2,0)</f>
        <v>0</v>
      </c>
      <c r="T1108" s="66" t="s">
        <v>84</v>
      </c>
      <c r="U1108" s="74">
        <v>51</v>
      </c>
      <c r="V1108" s="66">
        <v>510513</v>
      </c>
      <c r="W1108" s="63" t="str">
        <f>VLOOKUP(Tabla6[[#This Row],[ÍTEM PRESUPUESTARIO]],Tabla2[#All],2,0)</f>
        <v>ENCARGOS</v>
      </c>
      <c r="X1108" s="57">
        <v>0</v>
      </c>
      <c r="Y1108" s="57">
        <f>131.67+145</f>
        <v>276.66999999999996</v>
      </c>
      <c r="Z1108" s="58">
        <v>0</v>
      </c>
      <c r="AA1108" s="58">
        <v>0</v>
      </c>
      <c r="AB1108" s="58">
        <v>0</v>
      </c>
      <c r="AC1108" s="58">
        <v>0</v>
      </c>
      <c r="AD1108" s="58">
        <v>0</v>
      </c>
      <c r="AE1108" s="58">
        <v>0</v>
      </c>
      <c r="AF1108" s="58">
        <v>0</v>
      </c>
      <c r="AG1108" s="58">
        <v>276.67</v>
      </c>
      <c r="AH1108" s="58">
        <v>0</v>
      </c>
      <c r="AI1108" s="58">
        <v>0</v>
      </c>
      <c r="AJ1108" s="58">
        <v>0</v>
      </c>
      <c r="AK1108" s="58">
        <v>0</v>
      </c>
      <c r="AL1108" s="75">
        <f>+SUBTOTAL(9,Tabla6[[#This Row],[ENE]:[DIC]])</f>
        <v>276.67</v>
      </c>
      <c r="AM1108" s="76" t="str">
        <f t="shared" si="38"/>
        <v>OK</v>
      </c>
      <c r="AN1108" s="60">
        <v>131.66999999999999</v>
      </c>
      <c r="AO1108" s="61">
        <f>+Tabla6[[#This Row],[PRESUPUESTO VIGENTE]]-Tabla6[[#This Row],[CERTIFICACIÓN PAPP]]</f>
        <v>144.99999999999997</v>
      </c>
      <c r="AP1108" s="59">
        <v>0</v>
      </c>
    </row>
    <row r="1109" spans="1:42" ht="93" customHeight="1" x14ac:dyDescent="0.25">
      <c r="A1109" s="62" t="s">
        <v>88</v>
      </c>
      <c r="B1109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109" s="64" t="s">
        <v>89</v>
      </c>
      <c r="D1109" s="64" t="s">
        <v>80</v>
      </c>
      <c r="E1109" s="64" t="s">
        <v>81</v>
      </c>
      <c r="F1109" s="64" t="s">
        <v>112</v>
      </c>
      <c r="G1109" s="64" t="s">
        <v>9</v>
      </c>
      <c r="H1109" s="65" t="str">
        <f>VLOOKUP(Tabla6[[#This Row],[DIRECCIÓN]],DIRECCIÓN[#All],2,0)</f>
        <v>OPERACIONES</v>
      </c>
      <c r="I1109" s="66" t="s">
        <v>93</v>
      </c>
      <c r="J1109" s="67">
        <v>1</v>
      </c>
      <c r="K1109" s="68" t="str">
        <f>VLOOKUP(Tabla6[[#This Row],[DIRECCIÓN GENERAL / COORDINACIÓN / SUBDIRECCIÓN]],Tabla37[[#All],[Columna1]:[EOD]],2,0)</f>
        <v>266_0007</v>
      </c>
      <c r="L1109" s="69">
        <f>VLOOKUP(Tabla6[[#This Row],[OBJETIVOS PND]],Listas!$A$1:$C$3,3,0)</f>
        <v>55</v>
      </c>
      <c r="M1109" s="70">
        <f>VLOOKUP(Tabla6[[#This Row],[PG]],Listas2!$G$14:$K$16,5,0)</f>
        <v>0</v>
      </c>
      <c r="N1109" s="71" t="s">
        <v>776</v>
      </c>
      <c r="O1109" s="72">
        <v>700</v>
      </c>
      <c r="P1109" s="73" t="str">
        <f>VLOOKUP(Tabla6[[#This Row],[GEO]],Listas!$A$48:$B$77,2,0)</f>
        <v>EL ORO</v>
      </c>
      <c r="Q1109" s="70">
        <f>VLOOKUP(Tabla6[[#This Row],[PG]],Listas2!$G$14:$K$16,3,0)</f>
        <v>1</v>
      </c>
      <c r="R1109" s="73">
        <f>VLOOKUP(Tabla6[[#This Row],[PG]],Listas2!H563:'Listas2'!$G$14:$K$16,4,0)</f>
        <v>0</v>
      </c>
      <c r="S1109" s="73">
        <f>VLOOKUP(Tabla6[[#This Row],[PG]],Listas2!$G$14:$K$16,2,0)</f>
        <v>0</v>
      </c>
      <c r="T1109" s="66" t="s">
        <v>84</v>
      </c>
      <c r="U1109" s="74">
        <v>51</v>
      </c>
      <c r="V1109" s="66">
        <v>510601</v>
      </c>
      <c r="W1109" s="63" t="str">
        <f>VLOOKUP(Tabla6[[#This Row],[ÍTEM PRESUPUESTARIO]],Tabla2[#All],2,0)</f>
        <v>APORTE PATRONAL</v>
      </c>
      <c r="X1109" s="57">
        <v>55931</v>
      </c>
      <c r="Y1109" s="57">
        <f>55506.8-735.41</f>
        <v>54771.39</v>
      </c>
      <c r="Z1109" s="58">
        <v>4661</v>
      </c>
      <c r="AA1109" s="58">
        <v>4661</v>
      </c>
      <c r="AB1109" s="58">
        <v>4661</v>
      </c>
      <c r="AC1109" s="58">
        <v>4661</v>
      </c>
      <c r="AD1109" s="58">
        <v>4661</v>
      </c>
      <c r="AE1109" s="58">
        <v>4661</v>
      </c>
      <c r="AF1109" s="58">
        <v>4661</v>
      </c>
      <c r="AG1109" s="58">
        <v>4661</v>
      </c>
      <c r="AH1109" s="58">
        <v>4661</v>
      </c>
      <c r="AI1109" s="58">
        <v>4661</v>
      </c>
      <c r="AJ1109" s="58">
        <v>4661</v>
      </c>
      <c r="AK1109" s="58">
        <v>3500.39</v>
      </c>
      <c r="AL1109" s="75">
        <f>+SUBTOTAL(9,Tabla6[[#This Row],[ENE]:[DIC]])</f>
        <v>54771.39</v>
      </c>
      <c r="AM1109" s="76" t="str">
        <f t="shared" si="38"/>
        <v>OK</v>
      </c>
      <c r="AN1109" s="60">
        <v>0</v>
      </c>
      <c r="AO1109" s="61">
        <f>+Tabla6[[#This Row],[PRESUPUESTO VIGENTE]]-Tabla6[[#This Row],[CERTIFICACIÓN PAPP]]</f>
        <v>54771.39</v>
      </c>
      <c r="AP1109" s="59">
        <v>0</v>
      </c>
    </row>
    <row r="1110" spans="1:42" ht="93" customHeight="1" x14ac:dyDescent="0.25">
      <c r="A1110" s="62" t="s">
        <v>88</v>
      </c>
      <c r="B1110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110" s="64" t="s">
        <v>89</v>
      </c>
      <c r="D1110" s="64" t="s">
        <v>80</v>
      </c>
      <c r="E1110" s="64" t="s">
        <v>81</v>
      </c>
      <c r="F1110" s="64" t="s">
        <v>112</v>
      </c>
      <c r="G1110" s="64" t="s">
        <v>9</v>
      </c>
      <c r="H1110" s="65" t="str">
        <f>VLOOKUP(Tabla6[[#This Row],[DIRECCIÓN]],DIRECCIÓN[#All],2,0)</f>
        <v>OPERACIONES</v>
      </c>
      <c r="I1110" s="66" t="s">
        <v>93</v>
      </c>
      <c r="J1110" s="67">
        <v>1</v>
      </c>
      <c r="K1110" s="68" t="str">
        <f>VLOOKUP(Tabla6[[#This Row],[DIRECCIÓN GENERAL / COORDINACIÓN / SUBDIRECCIÓN]],Tabla37[[#All],[Columna1]:[EOD]],2,0)</f>
        <v>266_0007</v>
      </c>
      <c r="L1110" s="69">
        <f>VLOOKUP(Tabla6[[#This Row],[OBJETIVOS PND]],Listas!$A$1:$C$3,3,0)</f>
        <v>55</v>
      </c>
      <c r="M1110" s="70">
        <f>VLOOKUP(Tabla6[[#This Row],[PG]],Listas2!$G$14:$K$16,5,0)</f>
        <v>0</v>
      </c>
      <c r="N1110" s="71" t="s">
        <v>776</v>
      </c>
      <c r="O1110" s="72">
        <v>700</v>
      </c>
      <c r="P1110" s="73" t="str">
        <f>VLOOKUP(Tabla6[[#This Row],[GEO]],Listas!$A$48:$B$77,2,0)</f>
        <v>EL ORO</v>
      </c>
      <c r="Q1110" s="70">
        <f>VLOOKUP(Tabla6[[#This Row],[PG]],Listas2!$G$14:$K$16,3,0)</f>
        <v>1</v>
      </c>
      <c r="R1110" s="73">
        <f>VLOOKUP(Tabla6[[#This Row],[PG]],Listas2!H564:'Listas2'!$G$14:$K$16,4,0)</f>
        <v>0</v>
      </c>
      <c r="S1110" s="73">
        <f>VLOOKUP(Tabla6[[#This Row],[PG]],Listas2!$G$14:$K$16,2,0)</f>
        <v>0</v>
      </c>
      <c r="T1110" s="66" t="s">
        <v>84</v>
      </c>
      <c r="U1110" s="74">
        <v>51</v>
      </c>
      <c r="V1110" s="66">
        <v>510602</v>
      </c>
      <c r="W1110" s="63" t="str">
        <f>VLOOKUP(Tabla6[[#This Row],[ÍTEM PRESUPUESTARIO]],Tabla2[#All],2,0)</f>
        <v>FONDO DE RESERVA</v>
      </c>
      <c r="X1110" s="57">
        <v>18280</v>
      </c>
      <c r="Y1110" s="57">
        <f>46692.58-1177.82</f>
        <v>45514.76</v>
      </c>
      <c r="Z1110" s="58">
        <v>1523</v>
      </c>
      <c r="AA1110" s="58">
        <v>4239.5</v>
      </c>
      <c r="AB1110" s="58">
        <v>4239.5</v>
      </c>
      <c r="AC1110" s="58">
        <v>4239.5</v>
      </c>
      <c r="AD1110" s="58">
        <v>4239.5</v>
      </c>
      <c r="AE1110" s="58">
        <v>4239.5</v>
      </c>
      <c r="AF1110" s="58">
        <v>4239.5</v>
      </c>
      <c r="AG1110" s="58">
        <v>4239.5</v>
      </c>
      <c r="AH1110" s="58">
        <v>4239.5</v>
      </c>
      <c r="AI1110" s="58">
        <v>4239.5</v>
      </c>
      <c r="AJ1110" s="58">
        <v>4239.5</v>
      </c>
      <c r="AK1110" s="58">
        <v>1596.76</v>
      </c>
      <c r="AL1110" s="75">
        <f>+SUBTOTAL(9,Tabla6[[#This Row],[ENE]:[DIC]])</f>
        <v>45514.76</v>
      </c>
      <c r="AM1110" s="76" t="str">
        <f t="shared" si="38"/>
        <v>OK</v>
      </c>
      <c r="AN1110" s="60">
        <v>0</v>
      </c>
      <c r="AO1110" s="61">
        <f>+Tabla6[[#This Row],[PRESUPUESTO VIGENTE]]-Tabla6[[#This Row],[CERTIFICACIÓN PAPP]]</f>
        <v>45514.76</v>
      </c>
      <c r="AP1110" s="59">
        <v>0</v>
      </c>
    </row>
    <row r="1111" spans="1:42" ht="93" customHeight="1" x14ac:dyDescent="0.25">
      <c r="A1111" s="62" t="s">
        <v>88</v>
      </c>
      <c r="B1111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111" s="64" t="s">
        <v>89</v>
      </c>
      <c r="D1111" s="64" t="s">
        <v>80</v>
      </c>
      <c r="E1111" s="64" t="s">
        <v>81</v>
      </c>
      <c r="F1111" s="64" t="s">
        <v>112</v>
      </c>
      <c r="G1111" s="64" t="s">
        <v>9</v>
      </c>
      <c r="H1111" s="65" t="str">
        <f>VLOOKUP(Tabla6[[#This Row],[DIRECCIÓN]],DIRECCIÓN[#All],2,0)</f>
        <v>OPERACIONES</v>
      </c>
      <c r="I1111" s="66" t="s">
        <v>669</v>
      </c>
      <c r="J1111" s="67">
        <v>1</v>
      </c>
      <c r="K1111" s="68" t="str">
        <f>VLOOKUP(Tabla6[[#This Row],[DIRECCIÓN GENERAL / COORDINACIÓN / SUBDIRECCIÓN]],Tabla37[[#All],[Columna1]:[EOD]],2,0)</f>
        <v>266_0007</v>
      </c>
      <c r="L1111" s="69">
        <f>VLOOKUP(Tabla6[[#This Row],[OBJETIVOS PND]],Listas!$A$1:$C$3,3,0)</f>
        <v>55</v>
      </c>
      <c r="M1111" s="70">
        <f>VLOOKUP(Tabla6[[#This Row],[PG]],Listas2!$G$14:$K$16,5,0)</f>
        <v>0</v>
      </c>
      <c r="N1111" s="71">
        <v>2</v>
      </c>
      <c r="O1111" s="72">
        <v>700</v>
      </c>
      <c r="P1111" s="73" t="str">
        <f>VLOOKUP(Tabla6[[#This Row],[GEO]],Listas!$A$48:$B$77,2,0)</f>
        <v>EL ORO</v>
      </c>
      <c r="Q1111" s="70">
        <f>VLOOKUP(Tabla6[[#This Row],[PG]],Listas2!$G$14:$K$16,3,0)</f>
        <v>1</v>
      </c>
      <c r="R1111" s="73">
        <f>VLOOKUP(Tabla6[[#This Row],[PG]],Listas2!H565:'Listas2'!$G$14:$K$16,4,0)</f>
        <v>0</v>
      </c>
      <c r="S1111" s="73">
        <f>VLOOKUP(Tabla6[[#This Row],[PG]],Listas2!$G$14:$K$16,2,0)</f>
        <v>0</v>
      </c>
      <c r="T1111" s="66" t="s">
        <v>84</v>
      </c>
      <c r="U1111" s="74">
        <v>51</v>
      </c>
      <c r="V1111" s="66">
        <v>510707</v>
      </c>
      <c r="W1111" s="63" t="str">
        <f>VLOOKUP(Tabla6[[#This Row],[ÍTEM PRESUPUESTARIO]],Tabla2[#All],2,0)</f>
        <v>COMPENSACIÓN POR VACACIONES NO GOZADAS POR CESACIÓN DE FUNCIONES</v>
      </c>
      <c r="X1111" s="57">
        <v>0</v>
      </c>
      <c r="Y1111" s="57">
        <v>110.68</v>
      </c>
      <c r="Z1111" s="58">
        <v>0</v>
      </c>
      <c r="AA1111" s="58">
        <v>0</v>
      </c>
      <c r="AB1111" s="58">
        <v>0</v>
      </c>
      <c r="AC1111" s="58">
        <v>0</v>
      </c>
      <c r="AD1111" s="58">
        <v>0</v>
      </c>
      <c r="AE1111" s="58">
        <v>0</v>
      </c>
      <c r="AF1111" s="58">
        <v>0</v>
      </c>
      <c r="AG1111" s="58">
        <v>0</v>
      </c>
      <c r="AH1111" s="58">
        <v>0</v>
      </c>
      <c r="AI1111" s="58">
        <v>0</v>
      </c>
      <c r="AJ1111" s="58">
        <v>0</v>
      </c>
      <c r="AK1111" s="58">
        <v>110.68</v>
      </c>
      <c r="AL1111" s="75">
        <f>+SUBTOTAL(9,Tabla6[[#This Row],[ENE]:[DIC]])</f>
        <v>110.68</v>
      </c>
      <c r="AM1111" s="76" t="str">
        <f t="shared" si="38"/>
        <v>OK</v>
      </c>
      <c r="AN1111" s="60">
        <v>0</v>
      </c>
      <c r="AO1111" s="61">
        <f>+Tabla6[[#This Row],[PRESUPUESTO VIGENTE]]-Tabla6[[#This Row],[CERTIFICACIÓN PAPP]]</f>
        <v>110.68</v>
      </c>
      <c r="AP1111" s="59">
        <v>0</v>
      </c>
    </row>
    <row r="1112" spans="1:42" ht="93" customHeight="1" x14ac:dyDescent="0.25">
      <c r="A1112" s="62" t="s">
        <v>88</v>
      </c>
      <c r="B1112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112" s="64" t="s">
        <v>89</v>
      </c>
      <c r="D1112" s="64" t="s">
        <v>80</v>
      </c>
      <c r="E1112" s="64" t="s">
        <v>81</v>
      </c>
      <c r="F1112" s="64" t="s">
        <v>112</v>
      </c>
      <c r="G1112" s="64" t="s">
        <v>10</v>
      </c>
      <c r="H1112" s="65" t="str">
        <f>VLOOKUP(Tabla6[[#This Row],[DIRECCIÓN]],DIRECCIÓN[#All],2,0)</f>
        <v>TECNOLOGÍA</v>
      </c>
      <c r="I1112" s="66" t="s">
        <v>93</v>
      </c>
      <c r="J1112" s="67">
        <v>1</v>
      </c>
      <c r="K1112" s="68" t="str">
        <f>VLOOKUP(Tabla6[[#This Row],[DIRECCIÓN GENERAL / COORDINACIÓN / SUBDIRECCIÓN]],Tabla37[[#All],[Columna1]:[EOD]],2,0)</f>
        <v>266_0007</v>
      </c>
      <c r="L1112" s="69">
        <f>VLOOKUP(Tabla6[[#This Row],[OBJETIVOS PND]],Listas!$A$1:$C$3,3,0)</f>
        <v>55</v>
      </c>
      <c r="M1112" s="70">
        <f>VLOOKUP(Tabla6[[#This Row],[PG]],Listas2!$G$14:$K$16,5,0)</f>
        <v>0</v>
      </c>
      <c r="N1112" s="71" t="s">
        <v>777</v>
      </c>
      <c r="O1112" s="72">
        <v>700</v>
      </c>
      <c r="P1112" s="73" t="str">
        <f>VLOOKUP(Tabla6[[#This Row],[GEO]],Listas!$A$48:$B$77,2,0)</f>
        <v>EL ORO</v>
      </c>
      <c r="Q1112" s="70">
        <f>VLOOKUP(Tabla6[[#This Row],[PG]],Listas2!$G$14:$K$16,3,0)</f>
        <v>1</v>
      </c>
      <c r="R1112" s="73">
        <f>VLOOKUP(Tabla6[[#This Row],[PG]],Listas2!H566:'Listas2'!$G$14:$K$16,4,0)</f>
        <v>0</v>
      </c>
      <c r="S1112" s="73">
        <f>VLOOKUP(Tabla6[[#This Row],[PG]],Listas2!$G$14:$K$16,2,0)</f>
        <v>0</v>
      </c>
      <c r="T1112" s="66" t="s">
        <v>84</v>
      </c>
      <c r="U1112" s="74">
        <v>51</v>
      </c>
      <c r="V1112" s="66">
        <v>510105</v>
      </c>
      <c r="W1112" s="63" t="str">
        <f>VLOOKUP(Tabla6[[#This Row],[ÍTEM PRESUPUESTARIO]],Tabla2[#All],2,0)</f>
        <v>REMUNERACIONES UNIFICADAS</v>
      </c>
      <c r="X1112" s="57">
        <v>92160</v>
      </c>
      <c r="Y1112" s="57">
        <f>89903.54-2479.54</f>
        <v>87424</v>
      </c>
      <c r="Z1112" s="58">
        <v>7680</v>
      </c>
      <c r="AA1112" s="58">
        <v>7680</v>
      </c>
      <c r="AB1112" s="58">
        <v>7680</v>
      </c>
      <c r="AC1112" s="58">
        <v>7680</v>
      </c>
      <c r="AD1112" s="58">
        <v>7680</v>
      </c>
      <c r="AE1112" s="58">
        <v>7680</v>
      </c>
      <c r="AF1112" s="58">
        <v>7680</v>
      </c>
      <c r="AG1112" s="58">
        <v>7680</v>
      </c>
      <c r="AH1112" s="58">
        <v>7680</v>
      </c>
      <c r="AI1112" s="58">
        <v>7680</v>
      </c>
      <c r="AJ1112" s="58">
        <v>7680</v>
      </c>
      <c r="AK1112" s="58">
        <v>2944</v>
      </c>
      <c r="AL1112" s="75">
        <f>+SUBTOTAL(9,Tabla6[[#This Row],[ENE]:[DIC]])</f>
        <v>87424</v>
      </c>
      <c r="AM1112" s="76" t="str">
        <f t="shared" si="38"/>
        <v>OK</v>
      </c>
      <c r="AN1112" s="60">
        <v>0</v>
      </c>
      <c r="AO1112" s="61">
        <f>+Tabla6[[#This Row],[PRESUPUESTO VIGENTE]]-Tabla6[[#This Row],[CERTIFICACIÓN PAPP]]</f>
        <v>87424</v>
      </c>
      <c r="AP1112" s="59">
        <v>0</v>
      </c>
    </row>
    <row r="1113" spans="1:42" ht="93" customHeight="1" x14ac:dyDescent="0.25">
      <c r="A1113" s="62" t="s">
        <v>88</v>
      </c>
      <c r="B1113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113" s="64" t="s">
        <v>89</v>
      </c>
      <c r="D1113" s="64" t="s">
        <v>80</v>
      </c>
      <c r="E1113" s="64" t="s">
        <v>81</v>
      </c>
      <c r="F1113" s="64" t="s">
        <v>112</v>
      </c>
      <c r="G1113" s="64" t="s">
        <v>10</v>
      </c>
      <c r="H1113" s="65" t="str">
        <f>VLOOKUP(Tabla6[[#This Row],[DIRECCIÓN]],DIRECCIÓN[#All],2,0)</f>
        <v>TECNOLOGÍA</v>
      </c>
      <c r="I1113" s="66" t="s">
        <v>93</v>
      </c>
      <c r="J1113" s="67">
        <v>1</v>
      </c>
      <c r="K1113" s="68" t="str">
        <f>VLOOKUP(Tabla6[[#This Row],[DIRECCIÓN GENERAL / COORDINACIÓN / SUBDIRECCIÓN]],Tabla37[[#All],[Columna1]:[EOD]],2,0)</f>
        <v>266_0007</v>
      </c>
      <c r="L1113" s="69">
        <f>VLOOKUP(Tabla6[[#This Row],[OBJETIVOS PND]],Listas!$A$1:$C$3,3,0)</f>
        <v>55</v>
      </c>
      <c r="M1113" s="70">
        <f>VLOOKUP(Tabla6[[#This Row],[PG]],Listas2!$G$14:$K$16,5,0)</f>
        <v>0</v>
      </c>
      <c r="N1113" s="71" t="s">
        <v>777</v>
      </c>
      <c r="O1113" s="72">
        <v>700</v>
      </c>
      <c r="P1113" s="73" t="str">
        <f>VLOOKUP(Tabla6[[#This Row],[GEO]],Listas!$A$48:$B$77,2,0)</f>
        <v>EL ORO</v>
      </c>
      <c r="Q1113" s="70">
        <f>VLOOKUP(Tabla6[[#This Row],[PG]],Listas2!$G$14:$K$16,3,0)</f>
        <v>1</v>
      </c>
      <c r="R1113" s="73">
        <f>VLOOKUP(Tabla6[[#This Row],[PG]],Listas2!H567:'Listas2'!$G$14:$K$16,4,0)</f>
        <v>0</v>
      </c>
      <c r="S1113" s="73">
        <f>VLOOKUP(Tabla6[[#This Row],[PG]],Listas2!$G$14:$K$16,2,0)</f>
        <v>0</v>
      </c>
      <c r="T1113" s="66" t="s">
        <v>84</v>
      </c>
      <c r="U1113" s="74">
        <v>51</v>
      </c>
      <c r="V1113" s="66">
        <v>510203</v>
      </c>
      <c r="W1113" s="63" t="str">
        <f>VLOOKUP(Tabla6[[#This Row],[ÍTEM PRESUPUESTARIO]],Tabla2[#All],2,0)</f>
        <v>DÉCIMO TERCER SUELDO</v>
      </c>
      <c r="X1113" s="57">
        <v>7680</v>
      </c>
      <c r="Y1113" s="57">
        <f>7680-283.19</f>
        <v>7396.81</v>
      </c>
      <c r="Z1113" s="58">
        <v>0</v>
      </c>
      <c r="AA1113" s="58">
        <v>0</v>
      </c>
      <c r="AB1113" s="58">
        <v>0</v>
      </c>
      <c r="AC1113" s="58">
        <v>0</v>
      </c>
      <c r="AD1113" s="58">
        <v>0</v>
      </c>
      <c r="AE1113" s="58">
        <v>0</v>
      </c>
      <c r="AF1113" s="58">
        <v>0</v>
      </c>
      <c r="AG1113" s="58">
        <v>0</v>
      </c>
      <c r="AH1113" s="58">
        <v>0</v>
      </c>
      <c r="AI1113" s="58">
        <v>0</v>
      </c>
      <c r="AJ1113" s="58">
        <v>0</v>
      </c>
      <c r="AK1113" s="58">
        <v>7396.81</v>
      </c>
      <c r="AL1113" s="75">
        <f>+SUBTOTAL(9,Tabla6[[#This Row],[ENE]:[DIC]])</f>
        <v>7396.81</v>
      </c>
      <c r="AM1113" s="76" t="str">
        <f t="shared" si="38"/>
        <v>OK</v>
      </c>
      <c r="AN1113" s="60">
        <v>0</v>
      </c>
      <c r="AO1113" s="61">
        <f>+Tabla6[[#This Row],[PRESUPUESTO VIGENTE]]-Tabla6[[#This Row],[CERTIFICACIÓN PAPP]]</f>
        <v>7396.81</v>
      </c>
      <c r="AP1113" s="59">
        <v>0</v>
      </c>
    </row>
    <row r="1114" spans="1:42" ht="93" customHeight="1" x14ac:dyDescent="0.25">
      <c r="A1114" s="62" t="s">
        <v>88</v>
      </c>
      <c r="B1114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114" s="64" t="s">
        <v>89</v>
      </c>
      <c r="D1114" s="64" t="s">
        <v>80</v>
      </c>
      <c r="E1114" s="64" t="s">
        <v>81</v>
      </c>
      <c r="F1114" s="64" t="s">
        <v>112</v>
      </c>
      <c r="G1114" s="64" t="s">
        <v>10</v>
      </c>
      <c r="H1114" s="65" t="str">
        <f>VLOOKUP(Tabla6[[#This Row],[DIRECCIÓN]],DIRECCIÓN[#All],2,0)</f>
        <v>TECNOLOGÍA</v>
      </c>
      <c r="I1114" s="66" t="s">
        <v>93</v>
      </c>
      <c r="J1114" s="67">
        <v>1</v>
      </c>
      <c r="K1114" s="68" t="str">
        <f>VLOOKUP(Tabla6[[#This Row],[DIRECCIÓN GENERAL / COORDINACIÓN / SUBDIRECCIÓN]],Tabla37[[#All],[Columna1]:[EOD]],2,0)</f>
        <v>266_0007</v>
      </c>
      <c r="L1114" s="69">
        <f>VLOOKUP(Tabla6[[#This Row],[OBJETIVOS PND]],Listas!$A$1:$C$3,3,0)</f>
        <v>55</v>
      </c>
      <c r="M1114" s="70">
        <f>VLOOKUP(Tabla6[[#This Row],[PG]],Listas2!$G$14:$K$16,5,0)</f>
        <v>0</v>
      </c>
      <c r="N1114" s="71" t="s">
        <v>777</v>
      </c>
      <c r="O1114" s="72">
        <v>700</v>
      </c>
      <c r="P1114" s="73" t="str">
        <f>VLOOKUP(Tabla6[[#This Row],[GEO]],Listas!$A$48:$B$77,2,0)</f>
        <v>EL ORO</v>
      </c>
      <c r="Q1114" s="70">
        <f>VLOOKUP(Tabla6[[#This Row],[PG]],Listas2!$G$14:$K$16,3,0)</f>
        <v>1</v>
      </c>
      <c r="R1114" s="73">
        <f>VLOOKUP(Tabla6[[#This Row],[PG]],Listas2!H568:'Listas2'!$G$14:$K$16,4,0)</f>
        <v>0</v>
      </c>
      <c r="S1114" s="73">
        <f>VLOOKUP(Tabla6[[#This Row],[PG]],Listas2!$G$14:$K$16,2,0)</f>
        <v>0</v>
      </c>
      <c r="T1114" s="66" t="s">
        <v>84</v>
      </c>
      <c r="U1114" s="74">
        <v>51</v>
      </c>
      <c r="V1114" s="66">
        <v>510204</v>
      </c>
      <c r="W1114" s="63" t="str">
        <f>VLOOKUP(Tabla6[[#This Row],[ÍTEM PRESUPUESTARIO]],Tabla2[#All],2,0)</f>
        <v>DÉCIMO CUARTO SUELDO</v>
      </c>
      <c r="X1114" s="57">
        <v>2125</v>
      </c>
      <c r="Y1114" s="57">
        <f>2212.5-616.7</f>
        <v>1595.8</v>
      </c>
      <c r="Z1114" s="58">
        <v>0</v>
      </c>
      <c r="AA1114" s="58">
        <v>0</v>
      </c>
      <c r="AB1114" s="58">
        <v>0</v>
      </c>
      <c r="AC1114" s="58">
        <v>1595.8</v>
      </c>
      <c r="AD1114" s="58">
        <v>0</v>
      </c>
      <c r="AE1114" s="58">
        <v>0</v>
      </c>
      <c r="AF1114" s="58">
        <v>0</v>
      </c>
      <c r="AG1114" s="58">
        <v>0</v>
      </c>
      <c r="AH1114" s="58">
        <v>0</v>
      </c>
      <c r="AI1114" s="58">
        <v>0</v>
      </c>
      <c r="AJ1114" s="58">
        <v>0</v>
      </c>
      <c r="AK1114" s="58">
        <v>0</v>
      </c>
      <c r="AL1114" s="75">
        <f>+SUBTOTAL(9,Tabla6[[#This Row],[ENE]:[DIC]])</f>
        <v>1595.8</v>
      </c>
      <c r="AM1114" s="76" t="str">
        <f t="shared" si="38"/>
        <v>OK</v>
      </c>
      <c r="AN1114" s="60">
        <v>0</v>
      </c>
      <c r="AO1114" s="61">
        <f>+Tabla6[[#This Row],[PRESUPUESTO VIGENTE]]-Tabla6[[#This Row],[CERTIFICACIÓN PAPP]]</f>
        <v>1595.8</v>
      </c>
      <c r="AP1114" s="59">
        <v>0</v>
      </c>
    </row>
    <row r="1115" spans="1:42" ht="93" customHeight="1" x14ac:dyDescent="0.25">
      <c r="A1115" s="62" t="s">
        <v>88</v>
      </c>
      <c r="B1115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115" s="64" t="s">
        <v>89</v>
      </c>
      <c r="D1115" s="64" t="s">
        <v>80</v>
      </c>
      <c r="E1115" s="64" t="s">
        <v>81</v>
      </c>
      <c r="F1115" s="64" t="s">
        <v>112</v>
      </c>
      <c r="G1115" s="64" t="s">
        <v>10</v>
      </c>
      <c r="H1115" s="65" t="str">
        <f>VLOOKUP(Tabla6[[#This Row],[DIRECCIÓN]],DIRECCIÓN[#All],2,0)</f>
        <v>TECNOLOGÍA</v>
      </c>
      <c r="I1115" s="66" t="s">
        <v>93</v>
      </c>
      <c r="J1115" s="67">
        <v>1</v>
      </c>
      <c r="K1115" s="68" t="str">
        <f>VLOOKUP(Tabla6[[#This Row],[DIRECCIÓN GENERAL / COORDINACIÓN / SUBDIRECCIÓN]],Tabla37[[#All],[Columna1]:[EOD]],2,0)</f>
        <v>266_0007</v>
      </c>
      <c r="L1115" s="69">
        <f>VLOOKUP(Tabla6[[#This Row],[OBJETIVOS PND]],Listas!$A$1:$C$3,3,0)</f>
        <v>55</v>
      </c>
      <c r="M1115" s="70">
        <f>VLOOKUP(Tabla6[[#This Row],[PG]],Listas2!$G$14:$K$16,5,0)</f>
        <v>0</v>
      </c>
      <c r="N1115" s="71" t="s">
        <v>777</v>
      </c>
      <c r="O1115" s="72">
        <v>700</v>
      </c>
      <c r="P1115" s="73" t="str">
        <f>VLOOKUP(Tabla6[[#This Row],[GEO]],Listas!$A$48:$B$77,2,0)</f>
        <v>EL ORO</v>
      </c>
      <c r="Q1115" s="70">
        <f>VLOOKUP(Tabla6[[#This Row],[PG]],Listas2!$G$14:$K$16,3,0)</f>
        <v>1</v>
      </c>
      <c r="R1115" s="73">
        <f>VLOOKUP(Tabla6[[#This Row],[PG]],Listas2!H569:'Listas2'!$G$14:$K$16,4,0)</f>
        <v>0</v>
      </c>
      <c r="S1115" s="73">
        <f>VLOOKUP(Tabla6[[#This Row],[PG]],Listas2!$G$14:$K$16,2,0)</f>
        <v>0</v>
      </c>
      <c r="T1115" s="66" t="s">
        <v>84</v>
      </c>
      <c r="U1115" s="74">
        <v>51</v>
      </c>
      <c r="V1115" s="66">
        <v>510512</v>
      </c>
      <c r="W1115" s="63" t="str">
        <f>VLOOKUP(Tabla6[[#This Row],[ÍTEM PRESUPUESTARIO]],Tabla2[#All],2,0)</f>
        <v xml:space="preserve">SUBROGACIÓN </v>
      </c>
      <c r="X1115" s="57">
        <v>680</v>
      </c>
      <c r="Y1115" s="57">
        <f>717-555.53</f>
        <v>161.47000000000003</v>
      </c>
      <c r="Z1115" s="58">
        <v>57</v>
      </c>
      <c r="AA1115" s="58">
        <v>0</v>
      </c>
      <c r="AB1115" s="58">
        <v>0</v>
      </c>
      <c r="AC1115" s="58">
        <v>0</v>
      </c>
      <c r="AD1115" s="58">
        <v>0</v>
      </c>
      <c r="AE1115" s="58">
        <v>0</v>
      </c>
      <c r="AF1115" s="58">
        <v>0</v>
      </c>
      <c r="AG1115" s="58">
        <v>0</v>
      </c>
      <c r="AH1115" s="58">
        <v>0</v>
      </c>
      <c r="AI1115" s="58">
        <v>0</v>
      </c>
      <c r="AJ1115" s="58">
        <v>44.47</v>
      </c>
      <c r="AK1115" s="58">
        <v>60</v>
      </c>
      <c r="AL1115" s="75">
        <f>+SUBTOTAL(9,Tabla6[[#This Row],[ENE]:[DIC]])</f>
        <v>161.47</v>
      </c>
      <c r="AM1115" s="76" t="str">
        <f t="shared" si="38"/>
        <v>OK</v>
      </c>
      <c r="AN1115" s="60">
        <v>0</v>
      </c>
      <c r="AO1115" s="61">
        <f>+Tabla6[[#This Row],[PRESUPUESTO VIGENTE]]-Tabla6[[#This Row],[CERTIFICACIÓN PAPP]]</f>
        <v>161.47000000000003</v>
      </c>
      <c r="AP1115" s="59">
        <v>0</v>
      </c>
    </row>
    <row r="1116" spans="1:42" ht="93" customHeight="1" x14ac:dyDescent="0.25">
      <c r="A1116" s="62" t="s">
        <v>88</v>
      </c>
      <c r="B1116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116" s="64" t="s">
        <v>89</v>
      </c>
      <c r="D1116" s="64" t="s">
        <v>80</v>
      </c>
      <c r="E1116" s="64" t="s">
        <v>81</v>
      </c>
      <c r="F1116" s="64" t="s">
        <v>112</v>
      </c>
      <c r="G1116" s="64" t="s">
        <v>10</v>
      </c>
      <c r="H1116" s="65" t="str">
        <f>VLOOKUP(Tabla6[[#This Row],[DIRECCIÓN]],DIRECCIÓN[#All],2,0)</f>
        <v>TECNOLOGÍA</v>
      </c>
      <c r="I1116" s="66" t="s">
        <v>670</v>
      </c>
      <c r="J1116" s="67">
        <v>1</v>
      </c>
      <c r="K1116" s="68" t="str">
        <f>VLOOKUP(Tabla6[[#This Row],[DIRECCIÓN GENERAL / COORDINACIÓN / SUBDIRECCIÓN]],Tabla37[[#All],[Columna1]:[EOD]],2,0)</f>
        <v>266_0007</v>
      </c>
      <c r="L1116" s="69">
        <f>VLOOKUP(Tabla6[[#This Row],[OBJETIVOS PND]],Listas!$A$1:$C$3,3,0)</f>
        <v>55</v>
      </c>
      <c r="M1116" s="70">
        <f>VLOOKUP(Tabla6[[#This Row],[PG]],Listas2!$G$14:$K$16,5,0)</f>
        <v>0</v>
      </c>
      <c r="N1116" s="71">
        <v>3</v>
      </c>
      <c r="O1116" s="72">
        <v>700</v>
      </c>
      <c r="P1116" s="73" t="str">
        <f>VLOOKUP(Tabla6[[#This Row],[GEO]],Listas!$A$48:$B$77,2,0)</f>
        <v>EL ORO</v>
      </c>
      <c r="Q1116" s="70">
        <f>VLOOKUP(Tabla6[[#This Row],[PG]],Listas2!$G$14:$K$16,3,0)</f>
        <v>1</v>
      </c>
      <c r="R1116" s="73">
        <f>VLOOKUP(Tabla6[[#This Row],[PG]],Listas2!H570:'Listas2'!$G$14:$K$16,4,0)</f>
        <v>0</v>
      </c>
      <c r="S1116" s="73">
        <f>VLOOKUP(Tabla6[[#This Row],[PG]],Listas2!$G$14:$K$16,2,0)</f>
        <v>0</v>
      </c>
      <c r="T1116" s="66" t="s">
        <v>84</v>
      </c>
      <c r="U1116" s="74">
        <v>51</v>
      </c>
      <c r="V1116" s="66">
        <v>510513</v>
      </c>
      <c r="W1116" s="63" t="str">
        <f>VLOOKUP(Tabla6[[#This Row],[ÍTEM PRESUPUESTARIO]],Tabla2[#All],2,0)</f>
        <v>ENCARGOS</v>
      </c>
      <c r="X1116" s="57">
        <v>0</v>
      </c>
      <c r="Y1116" s="57">
        <f>1384-207.6</f>
        <v>1176.4000000000001</v>
      </c>
      <c r="Z1116" s="58">
        <v>0</v>
      </c>
      <c r="AA1116" s="58">
        <v>0</v>
      </c>
      <c r="AB1116" s="58">
        <v>0</v>
      </c>
      <c r="AC1116" s="58">
        <v>0</v>
      </c>
      <c r="AD1116" s="58">
        <v>173</v>
      </c>
      <c r="AE1116" s="58">
        <v>173</v>
      </c>
      <c r="AF1116" s="58">
        <v>173</v>
      </c>
      <c r="AG1116" s="58">
        <v>173</v>
      </c>
      <c r="AH1116" s="58">
        <v>173</v>
      </c>
      <c r="AI1116" s="58">
        <v>173</v>
      </c>
      <c r="AJ1116" s="58">
        <v>69</v>
      </c>
      <c r="AK1116" s="58">
        <v>69.400000000000006</v>
      </c>
      <c r="AL1116" s="75">
        <f>+SUBTOTAL(9,Tabla6[[#This Row],[ENE]:[DIC]])</f>
        <v>1176.4000000000001</v>
      </c>
      <c r="AM1116" s="76" t="str">
        <f t="shared" si="38"/>
        <v>OK</v>
      </c>
      <c r="AN1116" s="60">
        <v>0</v>
      </c>
      <c r="AO1116" s="61">
        <f>+Tabla6[[#This Row],[PRESUPUESTO VIGENTE]]-Tabla6[[#This Row],[CERTIFICACIÓN PAPP]]</f>
        <v>1176.4000000000001</v>
      </c>
      <c r="AP1116" s="59">
        <v>0</v>
      </c>
    </row>
    <row r="1117" spans="1:42" ht="93" customHeight="1" x14ac:dyDescent="0.25">
      <c r="A1117" s="62" t="s">
        <v>88</v>
      </c>
      <c r="B1117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117" s="64" t="s">
        <v>89</v>
      </c>
      <c r="D1117" s="64" t="s">
        <v>80</v>
      </c>
      <c r="E1117" s="64" t="s">
        <v>81</v>
      </c>
      <c r="F1117" s="64" t="s">
        <v>112</v>
      </c>
      <c r="G1117" s="64" t="s">
        <v>10</v>
      </c>
      <c r="H1117" s="65" t="str">
        <f>VLOOKUP(Tabla6[[#This Row],[DIRECCIÓN]],DIRECCIÓN[#All],2,0)</f>
        <v>TECNOLOGÍA</v>
      </c>
      <c r="I1117" s="66" t="s">
        <v>93</v>
      </c>
      <c r="J1117" s="67">
        <v>1</v>
      </c>
      <c r="K1117" s="68" t="str">
        <f>VLOOKUP(Tabla6[[#This Row],[DIRECCIÓN GENERAL / COORDINACIÓN / SUBDIRECCIÓN]],Tabla37[[#All],[Columna1]:[EOD]],2,0)</f>
        <v>266_0007</v>
      </c>
      <c r="L1117" s="69">
        <f>VLOOKUP(Tabla6[[#This Row],[OBJETIVOS PND]],Listas!$A$1:$C$3,3,0)</f>
        <v>55</v>
      </c>
      <c r="M1117" s="70">
        <f>VLOOKUP(Tabla6[[#This Row],[PG]],Listas2!$G$14:$K$16,5,0)</f>
        <v>0</v>
      </c>
      <c r="N1117" s="71" t="s">
        <v>777</v>
      </c>
      <c r="O1117" s="72">
        <v>700</v>
      </c>
      <c r="P1117" s="73" t="str">
        <f>VLOOKUP(Tabla6[[#This Row],[GEO]],Listas!$A$48:$B$77,2,0)</f>
        <v>EL ORO</v>
      </c>
      <c r="Q1117" s="70">
        <f>VLOOKUP(Tabla6[[#This Row],[PG]],Listas2!$G$14:$K$16,3,0)</f>
        <v>1</v>
      </c>
      <c r="R1117" s="73">
        <f>VLOOKUP(Tabla6[[#This Row],[PG]],Listas2!H571:'Listas2'!$G$14:$K$16,4,0)</f>
        <v>0</v>
      </c>
      <c r="S1117" s="73">
        <f>VLOOKUP(Tabla6[[#This Row],[PG]],Listas2!$G$14:$K$16,2,0)</f>
        <v>0</v>
      </c>
      <c r="T1117" s="66" t="s">
        <v>84</v>
      </c>
      <c r="U1117" s="74">
        <v>51</v>
      </c>
      <c r="V1117" s="66">
        <v>510601</v>
      </c>
      <c r="W1117" s="63" t="str">
        <f>VLOOKUP(Tabla6[[#This Row],[ÍTEM PRESUPUESTARIO]],Tabla2[#All],2,0)</f>
        <v>APORTE PATRONAL</v>
      </c>
      <c r="X1117" s="57">
        <v>8894</v>
      </c>
      <c r="Y1117" s="57">
        <f>8903.44-337.92</f>
        <v>8565.52</v>
      </c>
      <c r="Z1117" s="58">
        <v>741</v>
      </c>
      <c r="AA1117" s="58">
        <v>741</v>
      </c>
      <c r="AB1117" s="58">
        <v>741</v>
      </c>
      <c r="AC1117" s="58">
        <v>741</v>
      </c>
      <c r="AD1117" s="58">
        <v>741</v>
      </c>
      <c r="AE1117" s="58">
        <v>741</v>
      </c>
      <c r="AF1117" s="58">
        <v>741</v>
      </c>
      <c r="AG1117" s="58">
        <v>741</v>
      </c>
      <c r="AH1117" s="58">
        <v>741</v>
      </c>
      <c r="AI1117" s="58">
        <v>741</v>
      </c>
      <c r="AJ1117" s="58">
        <v>404.08</v>
      </c>
      <c r="AK1117" s="58">
        <v>751.44</v>
      </c>
      <c r="AL1117" s="75">
        <f>+SUBTOTAL(9,Tabla6[[#This Row],[ENE]:[DIC]])</f>
        <v>8565.52</v>
      </c>
      <c r="AM1117" s="76" t="str">
        <f t="shared" si="38"/>
        <v>OK</v>
      </c>
      <c r="AN1117" s="60">
        <v>0</v>
      </c>
      <c r="AO1117" s="61">
        <f>+Tabla6[[#This Row],[PRESUPUESTO VIGENTE]]-Tabla6[[#This Row],[CERTIFICACIÓN PAPP]]</f>
        <v>8565.52</v>
      </c>
      <c r="AP1117" s="59">
        <v>0</v>
      </c>
    </row>
    <row r="1118" spans="1:42" ht="93" customHeight="1" x14ac:dyDescent="0.25">
      <c r="A1118" s="62" t="s">
        <v>88</v>
      </c>
      <c r="B1118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118" s="64" t="s">
        <v>89</v>
      </c>
      <c r="D1118" s="64" t="s">
        <v>80</v>
      </c>
      <c r="E1118" s="64" t="s">
        <v>81</v>
      </c>
      <c r="F1118" s="64" t="s">
        <v>112</v>
      </c>
      <c r="G1118" s="64" t="s">
        <v>10</v>
      </c>
      <c r="H1118" s="65" t="str">
        <f>VLOOKUP(Tabla6[[#This Row],[DIRECCIÓN]],DIRECCIÓN[#All],2,0)</f>
        <v>TECNOLOGÍA</v>
      </c>
      <c r="I1118" s="66" t="s">
        <v>93</v>
      </c>
      <c r="J1118" s="67">
        <v>1</v>
      </c>
      <c r="K1118" s="68" t="str">
        <f>VLOOKUP(Tabla6[[#This Row],[DIRECCIÓN GENERAL / COORDINACIÓN / SUBDIRECCIÓN]],Tabla37[[#All],[Columna1]:[EOD]],2,0)</f>
        <v>266_0007</v>
      </c>
      <c r="L1118" s="69">
        <f>VLOOKUP(Tabla6[[#This Row],[OBJETIVOS PND]],Listas!$A$1:$C$3,3,0)</f>
        <v>55</v>
      </c>
      <c r="M1118" s="70">
        <f>VLOOKUP(Tabla6[[#This Row],[PG]],Listas2!$G$14:$K$16,5,0)</f>
        <v>0</v>
      </c>
      <c r="N1118" s="71" t="s">
        <v>777</v>
      </c>
      <c r="O1118" s="72">
        <v>700</v>
      </c>
      <c r="P1118" s="73" t="str">
        <f>VLOOKUP(Tabla6[[#This Row],[GEO]],Listas!$A$48:$B$77,2,0)</f>
        <v>EL ORO</v>
      </c>
      <c r="Q1118" s="70">
        <f>VLOOKUP(Tabla6[[#This Row],[PG]],Listas2!$G$14:$K$16,3,0)</f>
        <v>1</v>
      </c>
      <c r="R1118" s="73">
        <f>VLOOKUP(Tabla6[[#This Row],[PG]],Listas2!H572:'Listas2'!$G$14:$K$16,4,0)</f>
        <v>0</v>
      </c>
      <c r="S1118" s="73">
        <f>VLOOKUP(Tabla6[[#This Row],[PG]],Listas2!$G$14:$K$16,2,0)</f>
        <v>0</v>
      </c>
      <c r="T1118" s="66" t="s">
        <v>84</v>
      </c>
      <c r="U1118" s="74">
        <v>51</v>
      </c>
      <c r="V1118" s="66">
        <v>510602</v>
      </c>
      <c r="W1118" s="63" t="str">
        <f>VLOOKUP(Tabla6[[#This Row],[ÍTEM PRESUPUESTARIO]],Tabla2[#All],2,0)</f>
        <v>FONDO DE RESERVA</v>
      </c>
      <c r="X1118" s="57">
        <v>7680</v>
      </c>
      <c r="Y1118" s="57">
        <f>6680.77-296.55</f>
        <v>6384.22</v>
      </c>
      <c r="Z1118" s="58">
        <v>640</v>
      </c>
      <c r="AA1118" s="58">
        <v>641.17999999999995</v>
      </c>
      <c r="AB1118" s="58">
        <v>641.17999999999995</v>
      </c>
      <c r="AC1118" s="58">
        <v>641.17999999999995</v>
      </c>
      <c r="AD1118" s="58">
        <v>514.65</v>
      </c>
      <c r="AE1118" s="58">
        <v>514.65</v>
      </c>
      <c r="AF1118" s="58">
        <v>514.65</v>
      </c>
      <c r="AG1118" s="58">
        <v>514.65</v>
      </c>
      <c r="AH1118" s="58">
        <v>514.65</v>
      </c>
      <c r="AI1118" s="58">
        <v>514.65</v>
      </c>
      <c r="AJ1118" s="58">
        <v>218.1</v>
      </c>
      <c r="AK1118" s="58">
        <v>514.67999999999995</v>
      </c>
      <c r="AL1118" s="75">
        <f>+SUBTOTAL(9,Tabla6[[#This Row],[ENE]:[DIC]])</f>
        <v>6384.2199999999993</v>
      </c>
      <c r="AM1118" s="76" t="str">
        <f t="shared" si="38"/>
        <v>OK</v>
      </c>
      <c r="AN1118" s="60">
        <v>0</v>
      </c>
      <c r="AO1118" s="61">
        <f>+Tabla6[[#This Row],[PRESUPUESTO VIGENTE]]-Tabla6[[#This Row],[CERTIFICACIÓN PAPP]]</f>
        <v>6384.22</v>
      </c>
      <c r="AP1118" s="59">
        <v>0</v>
      </c>
    </row>
    <row r="1119" spans="1:42" ht="93" customHeight="1" x14ac:dyDescent="0.25">
      <c r="A1119" s="62" t="s">
        <v>88</v>
      </c>
      <c r="B1119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119" s="64" t="s">
        <v>89</v>
      </c>
      <c r="D1119" s="64" t="s">
        <v>80</v>
      </c>
      <c r="E1119" s="64" t="s">
        <v>81</v>
      </c>
      <c r="F1119" s="64" t="s">
        <v>112</v>
      </c>
      <c r="G1119" s="64" t="s">
        <v>10</v>
      </c>
      <c r="H1119" s="65" t="str">
        <f>VLOOKUP(Tabla6[[#This Row],[DIRECCIÓN]],DIRECCIÓN[#All],2,0)</f>
        <v>TECNOLOGÍA</v>
      </c>
      <c r="I1119" s="66" t="s">
        <v>669</v>
      </c>
      <c r="J1119" s="67">
        <v>1</v>
      </c>
      <c r="K1119" s="68" t="str">
        <f>VLOOKUP(Tabla6[[#This Row],[DIRECCIÓN GENERAL / COORDINACIÓN / SUBDIRECCIÓN]],Tabla37[[#All],[Columna1]:[EOD]],2,0)</f>
        <v>266_0007</v>
      </c>
      <c r="L1119" s="69">
        <f>VLOOKUP(Tabla6[[#This Row],[OBJETIVOS PND]],Listas!$A$1:$C$3,3,0)</f>
        <v>55</v>
      </c>
      <c r="M1119" s="70">
        <f>VLOOKUP(Tabla6[[#This Row],[PG]],Listas2!$G$14:$K$16,5,0)</f>
        <v>0</v>
      </c>
      <c r="N1119" s="71">
        <v>3</v>
      </c>
      <c r="O1119" s="72">
        <v>700</v>
      </c>
      <c r="P1119" s="73" t="str">
        <f>VLOOKUP(Tabla6[[#This Row],[GEO]],Listas!$A$48:$B$77,2,0)</f>
        <v>EL ORO</v>
      </c>
      <c r="Q1119" s="70">
        <f>VLOOKUP(Tabla6[[#This Row],[PG]],Listas2!$G$14:$K$16,3,0)</f>
        <v>1</v>
      </c>
      <c r="R1119" s="73">
        <f>VLOOKUP(Tabla6[[#This Row],[PG]],Listas2!H573:'Listas2'!$G$14:$K$16,4,0)</f>
        <v>0</v>
      </c>
      <c r="S1119" s="73">
        <f>VLOOKUP(Tabla6[[#This Row],[PG]],Listas2!$G$14:$K$16,2,0)</f>
        <v>0</v>
      </c>
      <c r="T1119" s="66" t="s">
        <v>84</v>
      </c>
      <c r="U1119" s="74">
        <v>51</v>
      </c>
      <c r="V1119" s="66">
        <v>510707</v>
      </c>
      <c r="W1119" s="63" t="str">
        <f>VLOOKUP(Tabla6[[#This Row],[ÍTEM PRESUPUESTARIO]],Tabla2[#All],2,0)</f>
        <v>COMPENSACIÓN POR VACACIONES NO GOZADAS POR CESACIÓN DE FUNCIONES</v>
      </c>
      <c r="X1119" s="57">
        <v>0</v>
      </c>
      <c r="Y1119" s="57">
        <f>1564.46</f>
        <v>1564.46</v>
      </c>
      <c r="Z1119" s="58">
        <v>0</v>
      </c>
      <c r="AA1119" s="58">
        <v>0</v>
      </c>
      <c r="AB1119" s="58">
        <v>0</v>
      </c>
      <c r="AC1119" s="58">
        <v>1564.46</v>
      </c>
      <c r="AD1119" s="58">
        <v>0</v>
      </c>
      <c r="AE1119" s="58">
        <v>0</v>
      </c>
      <c r="AF1119" s="58">
        <v>0</v>
      </c>
      <c r="AG1119" s="58">
        <v>0</v>
      </c>
      <c r="AH1119" s="58">
        <v>0</v>
      </c>
      <c r="AI1119" s="58">
        <v>0</v>
      </c>
      <c r="AJ1119" s="58">
        <v>0</v>
      </c>
      <c r="AK1119" s="58">
        <v>0</v>
      </c>
      <c r="AL1119" s="75">
        <f>+SUBTOTAL(9,Tabla6[[#This Row],[ENE]:[DIC]])</f>
        <v>1564.46</v>
      </c>
      <c r="AM1119" s="76" t="str">
        <f t="shared" si="38"/>
        <v>OK</v>
      </c>
      <c r="AN1119" s="60">
        <v>0</v>
      </c>
      <c r="AO1119" s="61">
        <f>+Tabla6[[#This Row],[PRESUPUESTO VIGENTE]]-Tabla6[[#This Row],[CERTIFICACIÓN PAPP]]</f>
        <v>1564.46</v>
      </c>
      <c r="AP1119" s="59">
        <v>0</v>
      </c>
    </row>
    <row r="1120" spans="1:42" ht="93" customHeight="1" x14ac:dyDescent="0.25">
      <c r="A1120" s="62" t="s">
        <v>78</v>
      </c>
      <c r="B1120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120" s="64" t="s">
        <v>79</v>
      </c>
      <c r="D1120" s="64" t="s">
        <v>80</v>
      </c>
      <c r="E1120" s="64" t="s">
        <v>81</v>
      </c>
      <c r="F1120" s="64" t="s">
        <v>112</v>
      </c>
      <c r="G1120" s="64" t="s">
        <v>92</v>
      </c>
      <c r="H1120" s="65" t="str">
        <f>VLOOKUP(Tabla6[[#This Row],[DIRECCIÓN]],DIRECCIÓN[#All],2,0)</f>
        <v>ADMINISTRACIÓN CENTRAL</v>
      </c>
      <c r="I1120" s="66" t="s">
        <v>671</v>
      </c>
      <c r="J1120" s="67">
        <v>1</v>
      </c>
      <c r="K1120" s="68" t="str">
        <f>VLOOKUP(Tabla6[[#This Row],[DIRECCIÓN GENERAL / COORDINACIÓN / SUBDIRECCIÓN]],Tabla37[[#All],[Columna1]:[EOD]],2,0)</f>
        <v>266_0007</v>
      </c>
      <c r="L1120" s="69">
        <f>VLOOKUP(Tabla6[[#This Row],[OBJETIVOS PND]],Listas!$A$1:$C$3,3,0)</f>
        <v>1</v>
      </c>
      <c r="M1120" s="70">
        <f>VLOOKUP(Tabla6[[#This Row],[PG]],Listas2!$G$14:$K$16,5,0)</f>
        <v>0</v>
      </c>
      <c r="N1120" s="71">
        <v>1</v>
      </c>
      <c r="O1120" s="72">
        <v>701</v>
      </c>
      <c r="P1120" s="73" t="str">
        <f>VLOOKUP(Tabla6[[#This Row],[GEO]],Listas!$A$48:$B$77,2,0)</f>
        <v>MACHALA</v>
      </c>
      <c r="Q1120" s="70">
        <f>VLOOKUP(Tabla6[[#This Row],[PG]],Listas2!$G$14:$K$16,3,0)</f>
        <v>1</v>
      </c>
      <c r="R1120" s="73">
        <f>VLOOKUP(Tabla6[[#This Row],[PG]],Listas2!H574:'Listas2'!$G$14:$K$16,4,0)</f>
        <v>0</v>
      </c>
      <c r="S1120" s="73">
        <f>VLOOKUP(Tabla6[[#This Row],[PG]],Listas2!$G$14:$K$16,2,0)</f>
        <v>0</v>
      </c>
      <c r="T1120" s="66" t="s">
        <v>84</v>
      </c>
      <c r="U1120" s="74">
        <v>53</v>
      </c>
      <c r="V1120" s="66">
        <v>530101</v>
      </c>
      <c r="W1120" s="63" t="str">
        <f>VLOOKUP(Tabla6[[#This Row],[ÍTEM PRESUPUESTARIO]],Tabla2[#All],2,0)</f>
        <v>AGUA POTABLE</v>
      </c>
      <c r="X1120" s="57">
        <v>1320</v>
      </c>
      <c r="Y1120" s="57">
        <f>1320-200.02</f>
        <v>1119.98</v>
      </c>
      <c r="Z1120" s="58">
        <v>0</v>
      </c>
      <c r="AA1120" s="58">
        <v>0</v>
      </c>
      <c r="AB1120" s="58">
        <v>129.97999999999999</v>
      </c>
      <c r="AC1120" s="58">
        <v>110</v>
      </c>
      <c r="AD1120" s="58">
        <v>110</v>
      </c>
      <c r="AE1120" s="58">
        <v>110</v>
      </c>
      <c r="AF1120" s="58">
        <v>110</v>
      </c>
      <c r="AG1120" s="58">
        <v>110</v>
      </c>
      <c r="AH1120" s="58">
        <v>110</v>
      </c>
      <c r="AI1120" s="58">
        <v>110</v>
      </c>
      <c r="AJ1120" s="58">
        <v>110</v>
      </c>
      <c r="AK1120" s="58">
        <v>110</v>
      </c>
      <c r="AL1120" s="75">
        <f>+SUBTOTAL(9,Tabla6[[#This Row],[ENE]:[DIC]])</f>
        <v>1119.98</v>
      </c>
      <c r="AM1120" s="76" t="str">
        <f t="shared" si="38"/>
        <v>OK</v>
      </c>
      <c r="AN1120" s="60">
        <f>91.81+1228.19-200.02-153.11</f>
        <v>966.87</v>
      </c>
      <c r="AO1120" s="61">
        <f>+Tabla6[[#This Row],[PRESUPUESTO VIGENTE]]-Tabla6[[#This Row],[CERTIFICACIÓN PAPP]]</f>
        <v>153.11000000000001</v>
      </c>
      <c r="AP1120" s="59">
        <v>0</v>
      </c>
    </row>
    <row r="1121" spans="1:42" ht="93" customHeight="1" x14ac:dyDescent="0.25">
      <c r="A1121" s="62" t="s">
        <v>78</v>
      </c>
      <c r="B1121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121" s="64" t="s">
        <v>79</v>
      </c>
      <c r="D1121" s="64" t="s">
        <v>80</v>
      </c>
      <c r="E1121" s="64" t="s">
        <v>81</v>
      </c>
      <c r="F1121" s="64" t="s">
        <v>112</v>
      </c>
      <c r="G1121" s="64" t="s">
        <v>92</v>
      </c>
      <c r="H1121" s="65" t="str">
        <f>VLOOKUP(Tabla6[[#This Row],[DIRECCIÓN]],DIRECCIÓN[#All],2,0)</f>
        <v>ADMINISTRACIÓN CENTRAL</v>
      </c>
      <c r="I1121" s="66" t="s">
        <v>672</v>
      </c>
      <c r="J1121" s="67">
        <v>1</v>
      </c>
      <c r="K1121" s="68" t="str">
        <f>VLOOKUP(Tabla6[[#This Row],[DIRECCIÓN GENERAL / COORDINACIÓN / SUBDIRECCIÓN]],Tabla37[[#All],[Columna1]:[EOD]],2,0)</f>
        <v>266_0007</v>
      </c>
      <c r="L1121" s="69">
        <f>VLOOKUP(Tabla6[[#This Row],[OBJETIVOS PND]],Listas!$A$1:$C$3,3,0)</f>
        <v>1</v>
      </c>
      <c r="M1121" s="70">
        <f>VLOOKUP(Tabla6[[#This Row],[PG]],Listas2!$G$14:$K$16,5,0)</f>
        <v>0</v>
      </c>
      <c r="N1121" s="71">
        <v>1</v>
      </c>
      <c r="O1121" s="72">
        <v>701</v>
      </c>
      <c r="P1121" s="73" t="str">
        <f>VLOOKUP(Tabla6[[#This Row],[GEO]],Listas!$A$48:$B$77,2,0)</f>
        <v>MACHALA</v>
      </c>
      <c r="Q1121" s="70">
        <f>VLOOKUP(Tabla6[[#This Row],[PG]],Listas2!$G$14:$K$16,3,0)</f>
        <v>1</v>
      </c>
      <c r="R1121" s="73">
        <f>VLOOKUP(Tabla6[[#This Row],[PG]],Listas2!H575:'Listas2'!$G$14:$K$16,4,0)</f>
        <v>0</v>
      </c>
      <c r="S1121" s="73">
        <f>VLOOKUP(Tabla6[[#This Row],[PG]],Listas2!$G$14:$K$16,2,0)</f>
        <v>0</v>
      </c>
      <c r="T1121" s="66" t="s">
        <v>84</v>
      </c>
      <c r="U1121" s="74">
        <v>53</v>
      </c>
      <c r="V1121" s="66">
        <v>530104</v>
      </c>
      <c r="W1121" s="63" t="str">
        <f>VLOOKUP(Tabla6[[#This Row],[ÍTEM PRESUPUESTARIO]],Tabla2[#All],2,0)</f>
        <v>ENERGÍA ELÉCTRICA</v>
      </c>
      <c r="X1121" s="57">
        <v>72000</v>
      </c>
      <c r="Y1121" s="57">
        <f>72000+2000-3974.02</f>
        <v>70025.98</v>
      </c>
      <c r="Z1121" s="58">
        <v>6000</v>
      </c>
      <c r="AA1121" s="58">
        <v>6000</v>
      </c>
      <c r="AB1121" s="58">
        <v>6000</v>
      </c>
      <c r="AC1121" s="58">
        <v>2025.98</v>
      </c>
      <c r="AD1121" s="58">
        <v>6000</v>
      </c>
      <c r="AE1121" s="58">
        <v>6000</v>
      </c>
      <c r="AF1121" s="58">
        <v>6000</v>
      </c>
      <c r="AG1121" s="58">
        <v>6000</v>
      </c>
      <c r="AH1121" s="58">
        <v>6000</v>
      </c>
      <c r="AI1121" s="58">
        <v>6000</v>
      </c>
      <c r="AJ1121" s="58">
        <v>6000</v>
      </c>
      <c r="AK1121" s="58">
        <v>8000</v>
      </c>
      <c r="AL1121" s="75">
        <f>+SUBTOTAL(9,Tabla6[[#This Row],[ENE]:[DIC]])</f>
        <v>70025.98</v>
      </c>
      <c r="AM1121" s="76" t="str">
        <f t="shared" si="38"/>
        <v>OK</v>
      </c>
      <c r="AN1121" s="60">
        <f>5413.25+66586.75-11850.2+13850.2-3781.94-192.08</f>
        <v>70025.98</v>
      </c>
      <c r="AO1121" s="61">
        <f>+Tabla6[[#This Row],[PRESUPUESTO VIGENTE]]-Tabla6[[#This Row],[CERTIFICACIÓN PAPP]]</f>
        <v>0</v>
      </c>
      <c r="AP1121" s="59">
        <v>0</v>
      </c>
    </row>
    <row r="1122" spans="1:42" ht="93" customHeight="1" x14ac:dyDescent="0.25">
      <c r="A1122" s="62" t="s">
        <v>78</v>
      </c>
      <c r="B1122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122" s="64" t="s">
        <v>79</v>
      </c>
      <c r="D1122" s="64" t="s">
        <v>80</v>
      </c>
      <c r="E1122" s="64" t="s">
        <v>81</v>
      </c>
      <c r="F1122" s="64" t="s">
        <v>112</v>
      </c>
      <c r="G1122" s="64" t="s">
        <v>92</v>
      </c>
      <c r="H1122" s="65" t="str">
        <f>VLOOKUP(Tabla6[[#This Row],[DIRECCIÓN]],DIRECCIÓN[#All],2,0)</f>
        <v>ADMINISTRACIÓN CENTRAL</v>
      </c>
      <c r="I1122" s="66" t="s">
        <v>673</v>
      </c>
      <c r="J1122" s="67">
        <v>1</v>
      </c>
      <c r="K1122" s="68" t="str">
        <f>VLOOKUP(Tabla6[[#This Row],[DIRECCIÓN GENERAL / COORDINACIÓN / SUBDIRECCIÓN]],Tabla37[[#All],[Columna1]:[EOD]],2,0)</f>
        <v>266_0007</v>
      </c>
      <c r="L1122" s="69">
        <f>VLOOKUP(Tabla6[[#This Row],[OBJETIVOS PND]],Listas!$A$1:$C$3,3,0)</f>
        <v>1</v>
      </c>
      <c r="M1122" s="70">
        <f>VLOOKUP(Tabla6[[#This Row],[PG]],Listas2!$G$14:$K$16,5,0)</f>
        <v>0</v>
      </c>
      <c r="N1122" s="71">
        <v>1</v>
      </c>
      <c r="O1122" s="72">
        <v>701</v>
      </c>
      <c r="P1122" s="73" t="str">
        <f>VLOOKUP(Tabla6[[#This Row],[GEO]],Listas!$A$48:$B$77,2,0)</f>
        <v>MACHALA</v>
      </c>
      <c r="Q1122" s="70">
        <f>VLOOKUP(Tabla6[[#This Row],[PG]],Listas2!$G$14:$K$16,3,0)</f>
        <v>1</v>
      </c>
      <c r="R1122" s="73">
        <f>VLOOKUP(Tabla6[[#This Row],[PG]],Listas2!H576:'Listas2'!$G$14:$K$16,4,0)</f>
        <v>0</v>
      </c>
      <c r="S1122" s="73">
        <f>VLOOKUP(Tabla6[[#This Row],[PG]],Listas2!$G$14:$K$16,2,0)</f>
        <v>0</v>
      </c>
      <c r="T1122" s="66" t="s">
        <v>84</v>
      </c>
      <c r="U1122" s="74">
        <v>53</v>
      </c>
      <c r="V1122" s="66">
        <v>530106</v>
      </c>
      <c r="W1122" s="63" t="str">
        <f>VLOOKUP(Tabla6[[#This Row],[ÍTEM PRESUPUESTARIO]],Tabla2[#All],2,0)</f>
        <v>SERVICIO DE CORREO</v>
      </c>
      <c r="X1122" s="57">
        <v>800</v>
      </c>
      <c r="Y1122" s="57">
        <f>763.1-217.36</f>
        <v>545.74</v>
      </c>
      <c r="Z1122" s="58">
        <v>0</v>
      </c>
      <c r="AA1122" s="58">
        <v>0</v>
      </c>
      <c r="AB1122" s="58">
        <v>0</v>
      </c>
      <c r="AC1122" s="58">
        <v>0</v>
      </c>
      <c r="AD1122" s="58">
        <v>0</v>
      </c>
      <c r="AE1122" s="58">
        <v>0</v>
      </c>
      <c r="AF1122" s="58">
        <v>122.64</v>
      </c>
      <c r="AG1122" s="58">
        <v>80</v>
      </c>
      <c r="AH1122" s="58">
        <v>80</v>
      </c>
      <c r="AI1122" s="58">
        <v>100</v>
      </c>
      <c r="AJ1122" s="58">
        <v>100</v>
      </c>
      <c r="AK1122" s="58">
        <v>63.1</v>
      </c>
      <c r="AL1122" s="75">
        <f>+SUBTOTAL(9,Tabla6[[#This Row],[ENE]:[DIC]])</f>
        <v>545.74</v>
      </c>
      <c r="AM1122" s="76" t="str">
        <f t="shared" ref="AM1122:AM1153" si="39">IF(AL1122=Y1122,"OK",Y1122-AL1122)</f>
        <v>OK</v>
      </c>
      <c r="AN1122" s="60">
        <f>112.85+650.25-217.36</f>
        <v>545.74</v>
      </c>
      <c r="AO1122" s="61">
        <f>+Tabla6[[#This Row],[PRESUPUESTO VIGENTE]]-Tabla6[[#This Row],[CERTIFICACIÓN PAPP]]</f>
        <v>0</v>
      </c>
      <c r="AP1122" s="59">
        <v>0</v>
      </c>
    </row>
    <row r="1123" spans="1:42" ht="93" customHeight="1" x14ac:dyDescent="0.25">
      <c r="A1123" s="62" t="s">
        <v>78</v>
      </c>
      <c r="B1123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123" s="64" t="s">
        <v>79</v>
      </c>
      <c r="D1123" s="64" t="s">
        <v>80</v>
      </c>
      <c r="E1123" s="64" t="s">
        <v>81</v>
      </c>
      <c r="F1123" s="64" t="s">
        <v>112</v>
      </c>
      <c r="G1123" s="64" t="s">
        <v>92</v>
      </c>
      <c r="H1123" s="65" t="str">
        <f>VLOOKUP(Tabla6[[#This Row],[DIRECCIÓN]],DIRECCIÓN[#All],2,0)</f>
        <v>ADMINISTRACIÓN CENTRAL</v>
      </c>
      <c r="I1123" s="66" t="s">
        <v>674</v>
      </c>
      <c r="J1123" s="67">
        <v>1</v>
      </c>
      <c r="K1123" s="68" t="str">
        <f>VLOOKUP(Tabla6[[#This Row],[DIRECCIÓN GENERAL / COORDINACIÓN / SUBDIRECCIÓN]],Tabla37[[#All],[Columna1]:[EOD]],2,0)</f>
        <v>266_0007</v>
      </c>
      <c r="L1123" s="69">
        <f>VLOOKUP(Tabla6[[#This Row],[OBJETIVOS PND]],Listas!$A$1:$C$3,3,0)</f>
        <v>1</v>
      </c>
      <c r="M1123" s="70">
        <f>VLOOKUP(Tabla6[[#This Row],[PG]],Listas2!$G$14:$K$16,5,0)</f>
        <v>0</v>
      </c>
      <c r="N1123" s="71">
        <v>1</v>
      </c>
      <c r="O1123" s="72">
        <v>701</v>
      </c>
      <c r="P1123" s="73" t="str">
        <f>VLOOKUP(Tabla6[[#This Row],[GEO]],Listas!$A$48:$B$77,2,0)</f>
        <v>MACHALA</v>
      </c>
      <c r="Q1123" s="70">
        <f>VLOOKUP(Tabla6[[#This Row],[PG]],Listas2!$G$14:$K$16,3,0)</f>
        <v>1</v>
      </c>
      <c r="R1123" s="73">
        <f>VLOOKUP(Tabla6[[#This Row],[PG]],Listas2!H577:'Listas2'!$G$14:$K$16,4,0)</f>
        <v>0</v>
      </c>
      <c r="S1123" s="73">
        <f>VLOOKUP(Tabla6[[#This Row],[PG]],Listas2!$G$14:$K$16,2,0)</f>
        <v>0</v>
      </c>
      <c r="T1123" s="66" t="s">
        <v>84</v>
      </c>
      <c r="U1123" s="74">
        <v>53</v>
      </c>
      <c r="V1123" s="66">
        <v>530201</v>
      </c>
      <c r="W1123" s="63" t="str">
        <f>VLOOKUP(Tabla6[[#This Row],[ÍTEM PRESUPUESTARIO]],Tabla2[#All],2,0)</f>
        <v>TRANSPORTE DE PERSONAL</v>
      </c>
      <c r="X1123" s="57">
        <v>28000</v>
      </c>
      <c r="Y1123" s="57">
        <f>28000+6300-17.27-437.8</f>
        <v>33844.93</v>
      </c>
      <c r="Z1123" s="58">
        <v>0</v>
      </c>
      <c r="AA1123" s="58">
        <v>2545</v>
      </c>
      <c r="AB1123" s="58">
        <v>2545</v>
      </c>
      <c r="AC1123" s="58">
        <v>2545</v>
      </c>
      <c r="AD1123" s="58">
        <v>2545</v>
      </c>
      <c r="AE1123" s="58">
        <v>2545</v>
      </c>
      <c r="AF1123" s="58">
        <v>2545</v>
      </c>
      <c r="AG1123" s="58">
        <v>2545</v>
      </c>
      <c r="AH1123" s="58">
        <v>2545</v>
      </c>
      <c r="AI1123" s="58">
        <v>2545</v>
      </c>
      <c r="AJ1123" s="58">
        <f>2545+3150</f>
        <v>5695</v>
      </c>
      <c r="AK1123" s="58">
        <v>5244.93</v>
      </c>
      <c r="AL1123" s="75">
        <f>+SUBTOTAL(9,Tabla6[[#This Row],[ENE]:[DIC]])</f>
        <v>33844.93</v>
      </c>
      <c r="AM1123" s="76" t="str">
        <f t="shared" si="39"/>
        <v>OK</v>
      </c>
      <c r="AN1123" s="60">
        <f>27612.31-1656.74+8327.16-17.28-420.52</f>
        <v>33844.93</v>
      </c>
      <c r="AO1123" s="61">
        <f>+Tabla6[[#This Row],[PRESUPUESTO VIGENTE]]-Tabla6[[#This Row],[CERTIFICACIÓN PAPP]]</f>
        <v>0</v>
      </c>
      <c r="AP1123" s="59">
        <v>0</v>
      </c>
    </row>
    <row r="1124" spans="1:42" ht="93" customHeight="1" x14ac:dyDescent="0.25">
      <c r="A1124" s="62" t="s">
        <v>78</v>
      </c>
      <c r="B1124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124" s="64" t="s">
        <v>79</v>
      </c>
      <c r="D1124" s="64" t="s">
        <v>80</v>
      </c>
      <c r="E1124" s="64" t="s">
        <v>81</v>
      </c>
      <c r="F1124" s="64" t="s">
        <v>112</v>
      </c>
      <c r="G1124" s="64" t="s">
        <v>92</v>
      </c>
      <c r="H1124" s="65" t="str">
        <f>VLOOKUP(Tabla6[[#This Row],[DIRECCIÓN]],DIRECCIÓN[#All],2,0)</f>
        <v>ADMINISTRACIÓN CENTRAL</v>
      </c>
      <c r="I1124" s="66" t="s">
        <v>675</v>
      </c>
      <c r="J1124" s="67">
        <v>1</v>
      </c>
      <c r="K1124" s="68" t="str">
        <f>VLOOKUP(Tabla6[[#This Row],[DIRECCIÓN GENERAL / COORDINACIÓN / SUBDIRECCIÓN]],Tabla37[[#All],[Columna1]:[EOD]],2,0)</f>
        <v>266_0007</v>
      </c>
      <c r="L1124" s="69">
        <f>VLOOKUP(Tabla6[[#This Row],[OBJETIVOS PND]],Listas!$A$1:$C$3,3,0)</f>
        <v>1</v>
      </c>
      <c r="M1124" s="70">
        <f>VLOOKUP(Tabla6[[#This Row],[PG]],Listas2!$G$14:$K$16,5,0)</f>
        <v>0</v>
      </c>
      <c r="N1124" s="71">
        <v>1</v>
      </c>
      <c r="O1124" s="72">
        <v>701</v>
      </c>
      <c r="P1124" s="73" t="str">
        <f>VLOOKUP(Tabla6[[#This Row],[GEO]],Listas!$A$48:$B$77,2,0)</f>
        <v>MACHALA</v>
      </c>
      <c r="Q1124" s="70">
        <f>VLOOKUP(Tabla6[[#This Row],[PG]],Listas2!$G$14:$K$16,3,0)</f>
        <v>1</v>
      </c>
      <c r="R1124" s="73">
        <f>VLOOKUP(Tabla6[[#This Row],[PG]],Listas2!H578:'Listas2'!$G$14:$K$16,4,0)</f>
        <v>0</v>
      </c>
      <c r="S1124" s="73">
        <f>VLOOKUP(Tabla6[[#This Row],[PG]],Listas2!$G$14:$K$16,2,0)</f>
        <v>0</v>
      </c>
      <c r="T1124" s="66" t="s">
        <v>84</v>
      </c>
      <c r="U1124" s="74">
        <v>53</v>
      </c>
      <c r="V1124" s="66">
        <v>530203</v>
      </c>
      <c r="W1124" s="63" t="str">
        <f>VLOOKUP(Tabla6[[#This Row],[ÍTEM PRESUPUESTARIO]],Tabla2[#All],2,0)</f>
        <v>ALMACENAMIENTO, EMBALAJE, DESEMBALAJE, ENVASE, DESENVASE Y RECARGA DE EXTINTORES</v>
      </c>
      <c r="X1124" s="57">
        <v>1000</v>
      </c>
      <c r="Y1124" s="57">
        <f>1000-500-222</f>
        <v>278</v>
      </c>
      <c r="Z1124" s="58">
        <v>0</v>
      </c>
      <c r="AA1124" s="58">
        <v>0</v>
      </c>
      <c r="AB1124" s="58">
        <v>0</v>
      </c>
      <c r="AC1124" s="58">
        <v>0</v>
      </c>
      <c r="AD1124" s="58">
        <v>0</v>
      </c>
      <c r="AE1124" s="58">
        <v>0</v>
      </c>
      <c r="AF1124" s="58">
        <v>0</v>
      </c>
      <c r="AG1124" s="58">
        <v>0</v>
      </c>
      <c r="AH1124" s="58">
        <v>0</v>
      </c>
      <c r="AI1124" s="58">
        <v>0</v>
      </c>
      <c r="AJ1124" s="58">
        <v>278</v>
      </c>
      <c r="AK1124" s="58">
        <v>0</v>
      </c>
      <c r="AL1124" s="75">
        <f>+SUBTOTAL(9,Tabla6[[#This Row],[ENE]:[DIC]])</f>
        <v>278</v>
      </c>
      <c r="AM1124" s="76" t="str">
        <f t="shared" si="39"/>
        <v>OK</v>
      </c>
      <c r="AN1124" s="60">
        <v>278</v>
      </c>
      <c r="AO1124" s="61">
        <f>+Tabla6[[#This Row],[PRESUPUESTO VIGENTE]]-Tabla6[[#This Row],[CERTIFICACIÓN PAPP]]</f>
        <v>0</v>
      </c>
      <c r="AP1124" s="59">
        <v>0</v>
      </c>
    </row>
    <row r="1125" spans="1:42" ht="93" customHeight="1" x14ac:dyDescent="0.25">
      <c r="A1125" s="62" t="s">
        <v>78</v>
      </c>
      <c r="B1125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125" s="64" t="s">
        <v>79</v>
      </c>
      <c r="D1125" s="64" t="s">
        <v>80</v>
      </c>
      <c r="E1125" s="64" t="s">
        <v>81</v>
      </c>
      <c r="F1125" s="64" t="s">
        <v>112</v>
      </c>
      <c r="G1125" s="64" t="s">
        <v>92</v>
      </c>
      <c r="H1125" s="65" t="str">
        <f>VLOOKUP(Tabla6[[#This Row],[DIRECCIÓN]],DIRECCIÓN[#All],2,0)</f>
        <v>ADMINISTRACIÓN CENTRAL</v>
      </c>
      <c r="I1125" s="66" t="s">
        <v>676</v>
      </c>
      <c r="J1125" s="67">
        <v>1</v>
      </c>
      <c r="K1125" s="68" t="str">
        <f>VLOOKUP(Tabla6[[#This Row],[DIRECCIÓN GENERAL / COORDINACIÓN / SUBDIRECCIÓN]],Tabla37[[#All],[Columna1]:[EOD]],2,0)</f>
        <v>266_0007</v>
      </c>
      <c r="L1125" s="69">
        <f>VLOOKUP(Tabla6[[#This Row],[OBJETIVOS PND]],Listas!$A$1:$C$3,3,0)</f>
        <v>1</v>
      </c>
      <c r="M1125" s="70">
        <f>VLOOKUP(Tabla6[[#This Row],[PG]],Listas2!$G$14:$K$16,5,0)</f>
        <v>0</v>
      </c>
      <c r="N1125" s="71">
        <v>1</v>
      </c>
      <c r="O1125" s="72">
        <v>701</v>
      </c>
      <c r="P1125" s="73" t="str">
        <f>VLOOKUP(Tabla6[[#This Row],[GEO]],Listas!$A$48:$B$77,2,0)</f>
        <v>MACHALA</v>
      </c>
      <c r="Q1125" s="70">
        <f>VLOOKUP(Tabla6[[#This Row],[PG]],Listas2!$G$14:$K$16,3,0)</f>
        <v>1</v>
      </c>
      <c r="R1125" s="73">
        <f>VLOOKUP(Tabla6[[#This Row],[PG]],Listas2!H579:'Listas2'!$G$14:$K$16,4,0)</f>
        <v>0</v>
      </c>
      <c r="S1125" s="73">
        <f>VLOOKUP(Tabla6[[#This Row],[PG]],Listas2!$G$14:$K$16,2,0)</f>
        <v>0</v>
      </c>
      <c r="T1125" s="66" t="s">
        <v>84</v>
      </c>
      <c r="U1125" s="74">
        <v>53</v>
      </c>
      <c r="V1125" s="66">
        <v>530204</v>
      </c>
      <c r="W1125" s="63" t="str">
        <f>VLOOKUP(Tabla6[[#This Row],[ÍTEM PRESUPUESTARIO]],Tabla2[#All],2,0)</f>
        <v>EDICIÓN, IMPRESIÓN, REPRODUCCIÓN, PUBLICACIONES, SUSCRIPCIONES, FOTOCOPIADO, TRADUCCIÓN, EMPASTADO, ENMARCACIÓN, SERIGRAFÍA, FOTOGRAFÍA, CARNETIZACIÓN, FILMACIÓN E IMÁGENES SATELITALES</v>
      </c>
      <c r="X1125" s="57">
        <v>100</v>
      </c>
      <c r="Y1125" s="57">
        <f>100-100</f>
        <v>0</v>
      </c>
      <c r="Z1125" s="58">
        <v>0</v>
      </c>
      <c r="AA1125" s="58">
        <v>0</v>
      </c>
      <c r="AB1125" s="58">
        <v>0</v>
      </c>
      <c r="AC1125" s="58">
        <v>0</v>
      </c>
      <c r="AD1125" s="58">
        <v>0</v>
      </c>
      <c r="AE1125" s="58">
        <v>0</v>
      </c>
      <c r="AF1125" s="58">
        <v>0</v>
      </c>
      <c r="AG1125" s="58">
        <v>0</v>
      </c>
      <c r="AH1125" s="58">
        <v>0</v>
      </c>
      <c r="AI1125" s="58">
        <v>0</v>
      </c>
      <c r="AJ1125" s="58">
        <v>0</v>
      </c>
      <c r="AK1125" s="58">
        <v>0</v>
      </c>
      <c r="AL1125" s="75">
        <f>+SUBTOTAL(9,Tabla6[[#This Row],[ENE]:[DIC]])</f>
        <v>0</v>
      </c>
      <c r="AM1125" s="76" t="str">
        <f t="shared" si="39"/>
        <v>OK</v>
      </c>
      <c r="AN1125" s="60">
        <v>0</v>
      </c>
      <c r="AO1125" s="61">
        <f>+Tabla6[[#This Row],[PRESUPUESTO VIGENTE]]-Tabla6[[#This Row],[CERTIFICACIÓN PAPP]]</f>
        <v>0</v>
      </c>
      <c r="AP1125" s="59">
        <v>0</v>
      </c>
    </row>
    <row r="1126" spans="1:42" ht="93" customHeight="1" x14ac:dyDescent="0.25">
      <c r="A1126" s="62" t="s">
        <v>78</v>
      </c>
      <c r="B1126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126" s="64" t="s">
        <v>79</v>
      </c>
      <c r="D1126" s="64" t="s">
        <v>80</v>
      </c>
      <c r="E1126" s="64" t="s">
        <v>81</v>
      </c>
      <c r="F1126" s="64" t="s">
        <v>112</v>
      </c>
      <c r="G1126" s="64" t="s">
        <v>92</v>
      </c>
      <c r="H1126" s="65" t="str">
        <f>VLOOKUP(Tabla6[[#This Row],[DIRECCIÓN]],DIRECCIÓN[#All],2,0)</f>
        <v>ADMINISTRACIÓN CENTRAL</v>
      </c>
      <c r="I1126" s="66" t="s">
        <v>677</v>
      </c>
      <c r="J1126" s="67">
        <v>1</v>
      </c>
      <c r="K1126" s="68" t="str">
        <f>VLOOKUP(Tabla6[[#This Row],[DIRECCIÓN GENERAL / COORDINACIÓN / SUBDIRECCIÓN]],Tabla37[[#All],[Columna1]:[EOD]],2,0)</f>
        <v>266_0007</v>
      </c>
      <c r="L1126" s="69">
        <f>VLOOKUP(Tabla6[[#This Row],[OBJETIVOS PND]],Listas!$A$1:$C$3,3,0)</f>
        <v>1</v>
      </c>
      <c r="M1126" s="70">
        <f>VLOOKUP(Tabla6[[#This Row],[PG]],Listas2!$G$14:$K$16,5,0)</f>
        <v>0</v>
      </c>
      <c r="N1126" s="71">
        <v>1</v>
      </c>
      <c r="O1126" s="72">
        <v>701</v>
      </c>
      <c r="P1126" s="73" t="str">
        <f>VLOOKUP(Tabla6[[#This Row],[GEO]],Listas!$A$48:$B$77,2,0)</f>
        <v>MACHALA</v>
      </c>
      <c r="Q1126" s="70">
        <f>VLOOKUP(Tabla6[[#This Row],[PG]],Listas2!$G$14:$K$16,3,0)</f>
        <v>1</v>
      </c>
      <c r="R1126" s="73">
        <f>VLOOKUP(Tabla6[[#This Row],[PG]],Listas2!H580:'Listas2'!$G$14:$K$16,4,0)</f>
        <v>0</v>
      </c>
      <c r="S1126" s="73">
        <f>VLOOKUP(Tabla6[[#This Row],[PG]],Listas2!$G$14:$K$16,2,0)</f>
        <v>0</v>
      </c>
      <c r="T1126" s="66" t="s">
        <v>84</v>
      </c>
      <c r="U1126" s="74">
        <v>53</v>
      </c>
      <c r="V1126" s="66">
        <v>530204</v>
      </c>
      <c r="W1126" s="63" t="str">
        <f>VLOOKUP(Tabla6[[#This Row],[ÍTEM PRESUPUESTARIO]],Tabla2[#All],2,0)</f>
        <v>EDICIÓN, IMPRESIÓN, REPRODUCCIÓN, PUBLICACIONES, SUSCRIPCIONES, FOTOCOPIADO, TRADUCCIÓN, EMPASTADO, ENMARCACIÓN, SERIGRAFÍA, FOTOGRAFÍA, CARNETIZACIÓN, FILMACIÓN E IMÁGENES SATELITALES</v>
      </c>
      <c r="X1126" s="57">
        <v>250</v>
      </c>
      <c r="Y1126" s="57">
        <v>0</v>
      </c>
      <c r="Z1126" s="58">
        <v>0</v>
      </c>
      <c r="AA1126" s="58">
        <v>0</v>
      </c>
      <c r="AB1126" s="58">
        <v>0</v>
      </c>
      <c r="AC1126" s="58">
        <v>0</v>
      </c>
      <c r="AD1126" s="58">
        <v>0</v>
      </c>
      <c r="AE1126" s="58">
        <v>0</v>
      </c>
      <c r="AF1126" s="58">
        <v>0</v>
      </c>
      <c r="AG1126" s="58">
        <v>0</v>
      </c>
      <c r="AH1126" s="58">
        <v>0</v>
      </c>
      <c r="AI1126" s="58">
        <v>0</v>
      </c>
      <c r="AJ1126" s="58">
        <v>0</v>
      </c>
      <c r="AK1126" s="58">
        <v>0</v>
      </c>
      <c r="AL1126" s="75">
        <f>+SUBTOTAL(9,Tabla6[[#This Row],[ENE]:[DIC]])</f>
        <v>0</v>
      </c>
      <c r="AM1126" s="76" t="str">
        <f t="shared" si="39"/>
        <v>OK</v>
      </c>
      <c r="AN1126" s="60">
        <v>0</v>
      </c>
      <c r="AO1126" s="61">
        <f>+Tabla6[[#This Row],[PRESUPUESTO VIGENTE]]-Tabla6[[#This Row],[CERTIFICACIÓN PAPP]]</f>
        <v>0</v>
      </c>
      <c r="AP1126" s="59">
        <v>0</v>
      </c>
    </row>
    <row r="1127" spans="1:42" ht="93" customHeight="1" x14ac:dyDescent="0.25">
      <c r="A1127" s="62" t="s">
        <v>78</v>
      </c>
      <c r="B1127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127" s="64" t="s">
        <v>85</v>
      </c>
      <c r="D1127" s="64" t="s">
        <v>80</v>
      </c>
      <c r="E1127" s="64" t="s">
        <v>81</v>
      </c>
      <c r="F1127" s="64" t="s">
        <v>112</v>
      </c>
      <c r="G1127" s="64" t="s">
        <v>94</v>
      </c>
      <c r="H1127" s="65" t="str">
        <f>VLOOKUP(Tabla6[[#This Row],[DIRECCIÓN]],DIRECCIÓN[#All],2,0)</f>
        <v>COMUNICACIÓN SOCIAL</v>
      </c>
      <c r="I1127" s="66" t="s">
        <v>678</v>
      </c>
      <c r="J1127" s="67">
        <v>1</v>
      </c>
      <c r="K1127" s="68" t="str">
        <f>VLOOKUP(Tabla6[[#This Row],[DIRECCIÓN GENERAL / COORDINACIÓN / SUBDIRECCIÓN]],Tabla37[[#All],[Columna1]:[EOD]],2,0)</f>
        <v>266_0007</v>
      </c>
      <c r="L1127" s="69">
        <f>VLOOKUP(Tabla6[[#This Row],[OBJETIVOS PND]],Listas!$A$1:$C$3,3,0)</f>
        <v>1</v>
      </c>
      <c r="M1127" s="70">
        <f>VLOOKUP(Tabla6[[#This Row],[PG]],Listas2!$G$14:$K$16,5,0)</f>
        <v>0</v>
      </c>
      <c r="N1127" s="71">
        <v>1</v>
      </c>
      <c r="O1127" s="72">
        <v>701</v>
      </c>
      <c r="P1127" s="73" t="str">
        <f>VLOOKUP(Tabla6[[#This Row],[GEO]],Listas!$A$48:$B$77,2,0)</f>
        <v>MACHALA</v>
      </c>
      <c r="Q1127" s="70">
        <f>VLOOKUP(Tabla6[[#This Row],[PG]],Listas2!$G$14:$K$16,3,0)</f>
        <v>1</v>
      </c>
      <c r="R1127" s="73">
        <f>VLOOKUP(Tabla6[[#This Row],[PG]],Listas2!H581:'Listas2'!$G$14:$K$16,4,0)</f>
        <v>0</v>
      </c>
      <c r="S1127" s="73">
        <f>VLOOKUP(Tabla6[[#This Row],[PG]],Listas2!$G$14:$K$16,2,0)</f>
        <v>0</v>
      </c>
      <c r="T1127" s="66" t="s">
        <v>84</v>
      </c>
      <c r="U1127" s="74">
        <v>53</v>
      </c>
      <c r="V1127" s="66">
        <v>530204</v>
      </c>
      <c r="W1127" s="63" t="str">
        <f>VLOOKUP(Tabla6[[#This Row],[ÍTEM PRESUPUESTARIO]],Tabla2[#All],2,0)</f>
        <v>EDICIÓN, IMPRESIÓN, REPRODUCCIÓN, PUBLICACIONES, SUSCRIPCIONES, FOTOCOPIADO, TRADUCCIÓN, EMPASTADO, ENMARCACIÓN, SERIGRAFÍA, FOTOGRAFÍA, CARNETIZACIÓN, FILMACIÓN E IMÁGENES SATELITALES</v>
      </c>
      <c r="X1127" s="57">
        <v>7000</v>
      </c>
      <c r="Y1127" s="57">
        <f>7000-741.5</f>
        <v>6258.5</v>
      </c>
      <c r="Z1127" s="58">
        <v>0</v>
      </c>
      <c r="AA1127" s="58">
        <v>0</v>
      </c>
      <c r="AB1127" s="58">
        <v>0</v>
      </c>
      <c r="AC1127" s="58">
        <v>0</v>
      </c>
      <c r="AD1127" s="58">
        <v>0</v>
      </c>
      <c r="AE1127" s="58">
        <v>6258.5</v>
      </c>
      <c r="AF1127" s="58">
        <v>0</v>
      </c>
      <c r="AG1127" s="58">
        <v>0</v>
      </c>
      <c r="AH1127" s="58">
        <v>0</v>
      </c>
      <c r="AI1127" s="58">
        <v>0</v>
      </c>
      <c r="AJ1127" s="58">
        <v>0</v>
      </c>
      <c r="AK1127" s="58">
        <v>0</v>
      </c>
      <c r="AL1127" s="75">
        <f>+SUBTOTAL(9,Tabla6[[#This Row],[ENE]:[DIC]])</f>
        <v>6258.5</v>
      </c>
      <c r="AM1127" s="76" t="str">
        <f t="shared" si="39"/>
        <v>OK</v>
      </c>
      <c r="AN1127" s="60">
        <v>6258.5</v>
      </c>
      <c r="AO1127" s="61">
        <f>+Tabla6[[#This Row],[PRESUPUESTO VIGENTE]]-Tabla6[[#This Row],[CERTIFICACIÓN PAPP]]</f>
        <v>0</v>
      </c>
      <c r="AP1127" s="59">
        <v>0</v>
      </c>
    </row>
    <row r="1128" spans="1:42" ht="93" customHeight="1" x14ac:dyDescent="0.25">
      <c r="A1128" s="62" t="s">
        <v>78</v>
      </c>
      <c r="B1128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128" s="64" t="s">
        <v>79</v>
      </c>
      <c r="D1128" s="64" t="s">
        <v>80</v>
      </c>
      <c r="E1128" s="64" t="s">
        <v>81</v>
      </c>
      <c r="F1128" s="64" t="s">
        <v>112</v>
      </c>
      <c r="G1128" s="64" t="s">
        <v>92</v>
      </c>
      <c r="H1128" s="65" t="str">
        <f>VLOOKUP(Tabla6[[#This Row],[DIRECCIÓN]],DIRECCIÓN[#All],2,0)</f>
        <v>ADMINISTRACIÓN CENTRAL</v>
      </c>
      <c r="I1128" s="66" t="s">
        <v>679</v>
      </c>
      <c r="J1128" s="67">
        <v>1</v>
      </c>
      <c r="K1128" s="68" t="str">
        <f>VLOOKUP(Tabla6[[#This Row],[DIRECCIÓN GENERAL / COORDINACIÓN / SUBDIRECCIÓN]],Tabla37[[#All],[Columna1]:[EOD]],2,0)</f>
        <v>266_0007</v>
      </c>
      <c r="L1128" s="69">
        <f>VLOOKUP(Tabla6[[#This Row],[OBJETIVOS PND]],Listas!$A$1:$C$3,3,0)</f>
        <v>1</v>
      </c>
      <c r="M1128" s="70">
        <f>VLOOKUP(Tabla6[[#This Row],[PG]],Listas2!$G$14:$K$16,5,0)</f>
        <v>0</v>
      </c>
      <c r="N1128" s="71">
        <v>1</v>
      </c>
      <c r="O1128" s="72">
        <v>701</v>
      </c>
      <c r="P1128" s="73" t="str">
        <f>VLOOKUP(Tabla6[[#This Row],[GEO]],Listas!$A$48:$B$77,2,0)</f>
        <v>MACHALA</v>
      </c>
      <c r="Q1128" s="70">
        <f>VLOOKUP(Tabla6[[#This Row],[PG]],Listas2!$G$14:$K$16,3,0)</f>
        <v>1</v>
      </c>
      <c r="R1128" s="73">
        <f>VLOOKUP(Tabla6[[#This Row],[PG]],Listas2!H582:'Listas2'!$G$14:$K$16,4,0)</f>
        <v>0</v>
      </c>
      <c r="S1128" s="73">
        <f>VLOOKUP(Tabla6[[#This Row],[PG]],Listas2!$G$14:$K$16,2,0)</f>
        <v>0</v>
      </c>
      <c r="T1128" s="66" t="s">
        <v>84</v>
      </c>
      <c r="U1128" s="74">
        <v>53</v>
      </c>
      <c r="V1128" s="66">
        <v>530204</v>
      </c>
      <c r="W1128" s="63" t="str">
        <f>VLOOKUP(Tabla6[[#This Row],[ÍTEM PRESUPUESTARIO]],Tabla2[#All],2,0)</f>
        <v>EDICIÓN, IMPRESIÓN, REPRODUCCIÓN, PUBLICACIONES, SUSCRIPCIONES, FOTOCOPIADO, TRADUCCIÓN, EMPASTADO, ENMARCACIÓN, SERIGRAFÍA, FOTOGRAFÍA, CARNETIZACIÓN, FILMACIÓN E IMÁGENES SATELITALES</v>
      </c>
      <c r="X1128" s="57">
        <v>0</v>
      </c>
      <c r="Y1128" s="57">
        <f>200-102.5-2.5</f>
        <v>95</v>
      </c>
      <c r="Z1128" s="58">
        <v>0</v>
      </c>
      <c r="AA1128" s="58">
        <v>0</v>
      </c>
      <c r="AB1128" s="58">
        <v>95</v>
      </c>
      <c r="AC1128" s="58">
        <v>0</v>
      </c>
      <c r="AD1128" s="58">
        <v>0</v>
      </c>
      <c r="AE1128" s="58">
        <v>0</v>
      </c>
      <c r="AF1128" s="58">
        <v>0</v>
      </c>
      <c r="AG1128" s="58">
        <v>0</v>
      </c>
      <c r="AH1128" s="58">
        <v>0</v>
      </c>
      <c r="AI1128" s="58">
        <v>0</v>
      </c>
      <c r="AJ1128" s="58">
        <v>0</v>
      </c>
      <c r="AK1128" s="58">
        <v>0</v>
      </c>
      <c r="AL1128" s="75">
        <f>+SUBTOTAL(9,Tabla6[[#This Row],[ENE]:[DIC]])</f>
        <v>95</v>
      </c>
      <c r="AM1128" s="76" t="str">
        <f t="shared" si="39"/>
        <v>OK</v>
      </c>
      <c r="AN1128" s="60">
        <v>95</v>
      </c>
      <c r="AO1128" s="61">
        <f>+Tabla6[[#This Row],[PRESUPUESTO VIGENTE]]-Tabla6[[#This Row],[CERTIFICACIÓN PAPP]]</f>
        <v>0</v>
      </c>
      <c r="AP1128" s="59">
        <v>0</v>
      </c>
    </row>
    <row r="1129" spans="1:42" ht="93" customHeight="1" x14ac:dyDescent="0.25">
      <c r="A1129" s="62" t="s">
        <v>78</v>
      </c>
      <c r="B1129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129" s="64" t="s">
        <v>79</v>
      </c>
      <c r="D1129" s="64" t="s">
        <v>80</v>
      </c>
      <c r="E1129" s="64" t="s">
        <v>81</v>
      </c>
      <c r="F1129" s="64" t="s">
        <v>112</v>
      </c>
      <c r="G1129" s="64" t="s">
        <v>92</v>
      </c>
      <c r="H1129" s="65" t="str">
        <f>VLOOKUP(Tabla6[[#This Row],[DIRECCIÓN]],DIRECCIÓN[#All],2,0)</f>
        <v>ADMINISTRACIÓN CENTRAL</v>
      </c>
      <c r="I1129" s="66" t="s">
        <v>680</v>
      </c>
      <c r="J1129" s="67">
        <v>1</v>
      </c>
      <c r="K1129" s="68" t="str">
        <f>VLOOKUP(Tabla6[[#This Row],[DIRECCIÓN GENERAL / COORDINACIÓN / SUBDIRECCIÓN]],Tabla37[[#All],[Columna1]:[EOD]],2,0)</f>
        <v>266_0007</v>
      </c>
      <c r="L1129" s="69">
        <f>VLOOKUP(Tabla6[[#This Row],[OBJETIVOS PND]],Listas!$A$1:$C$3,3,0)</f>
        <v>1</v>
      </c>
      <c r="M1129" s="70">
        <f>VLOOKUP(Tabla6[[#This Row],[PG]],Listas2!$G$14:$K$16,5,0)</f>
        <v>0</v>
      </c>
      <c r="N1129" s="71">
        <v>1</v>
      </c>
      <c r="O1129" s="72">
        <v>701</v>
      </c>
      <c r="P1129" s="73" t="str">
        <f>VLOOKUP(Tabla6[[#This Row],[GEO]],Listas!$A$48:$B$77,2,0)</f>
        <v>MACHALA</v>
      </c>
      <c r="Q1129" s="70">
        <f>VLOOKUP(Tabla6[[#This Row],[PG]],Listas2!$G$14:$K$16,3,0)</f>
        <v>1</v>
      </c>
      <c r="R1129" s="73">
        <f>VLOOKUP(Tabla6[[#This Row],[PG]],Listas2!H583:'Listas2'!$G$14:$K$16,4,0)</f>
        <v>0</v>
      </c>
      <c r="S1129" s="73">
        <f>VLOOKUP(Tabla6[[#This Row],[PG]],Listas2!$G$14:$K$16,2,0)</f>
        <v>0</v>
      </c>
      <c r="T1129" s="66" t="s">
        <v>84</v>
      </c>
      <c r="U1129" s="74">
        <v>53</v>
      </c>
      <c r="V1129" s="66">
        <v>530208</v>
      </c>
      <c r="W1129" s="63" t="str">
        <f>VLOOKUP(Tabla6[[#This Row],[ÍTEM PRESUPUESTARIO]],Tabla2[#All],2,0)</f>
        <v>SERVICIO DE SEGURIDAD Y VIGILANCIA</v>
      </c>
      <c r="X1129" s="57">
        <v>99680</v>
      </c>
      <c r="Y1129" s="57">
        <f>159040.73-1.06</f>
        <v>159039.67000000001</v>
      </c>
      <c r="Z1129" s="58">
        <v>0</v>
      </c>
      <c r="AA1129" s="58">
        <v>12333.45</v>
      </c>
      <c r="AB1129" s="58">
        <v>12333.45</v>
      </c>
      <c r="AC1129" s="58">
        <v>12333.45</v>
      </c>
      <c r="AD1129" s="58">
        <v>12333.45</v>
      </c>
      <c r="AE1129" s="58">
        <v>12333.45</v>
      </c>
      <c r="AF1129" s="58">
        <v>12333.45</v>
      </c>
      <c r="AG1129" s="58">
        <v>26309.22</v>
      </c>
      <c r="AH1129" s="58">
        <v>14173.16</v>
      </c>
      <c r="AI1129" s="58">
        <v>14173.16</v>
      </c>
      <c r="AJ1129" s="58">
        <v>14173.16</v>
      </c>
      <c r="AK1129" s="58">
        <v>16210.27</v>
      </c>
      <c r="AL1129" s="75">
        <f>+SUBTOTAL(9,Tabla6[[#This Row],[ENE]:[DIC]])</f>
        <v>159039.66999999998</v>
      </c>
      <c r="AM1129" s="76" t="str">
        <f t="shared" si="39"/>
        <v>OK</v>
      </c>
      <c r="AN1129" s="60">
        <f>85893.84-11893.13+85893.84-854.88</f>
        <v>159039.66999999998</v>
      </c>
      <c r="AO1129" s="61">
        <f>+Tabla6[[#This Row],[PRESUPUESTO VIGENTE]]-Tabla6[[#This Row],[CERTIFICACIÓN PAPP]]</f>
        <v>0</v>
      </c>
      <c r="AP1129" s="59" t="s">
        <v>87</v>
      </c>
    </row>
    <row r="1130" spans="1:42" ht="93" customHeight="1" x14ac:dyDescent="0.25">
      <c r="A1130" s="62" t="s">
        <v>78</v>
      </c>
      <c r="B1130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130" s="64" t="s">
        <v>79</v>
      </c>
      <c r="D1130" s="64" t="s">
        <v>80</v>
      </c>
      <c r="E1130" s="64" t="s">
        <v>81</v>
      </c>
      <c r="F1130" s="64" t="s">
        <v>112</v>
      </c>
      <c r="G1130" s="64" t="s">
        <v>92</v>
      </c>
      <c r="H1130" s="65" t="str">
        <f>VLOOKUP(Tabla6[[#This Row],[DIRECCIÓN]],DIRECCIÓN[#All],2,0)</f>
        <v>ADMINISTRACIÓN CENTRAL</v>
      </c>
      <c r="I1130" s="66" t="s">
        <v>681</v>
      </c>
      <c r="J1130" s="67">
        <v>1</v>
      </c>
      <c r="K1130" s="68" t="str">
        <f>VLOOKUP(Tabla6[[#This Row],[DIRECCIÓN GENERAL / COORDINACIÓN / SUBDIRECCIÓN]],Tabla37[[#All],[Columna1]:[EOD]],2,0)</f>
        <v>266_0007</v>
      </c>
      <c r="L1130" s="69">
        <f>VLOOKUP(Tabla6[[#This Row],[OBJETIVOS PND]],Listas!$A$1:$C$3,3,0)</f>
        <v>1</v>
      </c>
      <c r="M1130" s="70">
        <f>VLOOKUP(Tabla6[[#This Row],[PG]],Listas2!$G$14:$K$16,5,0)</f>
        <v>0</v>
      </c>
      <c r="N1130" s="71">
        <v>1</v>
      </c>
      <c r="O1130" s="72">
        <v>701</v>
      </c>
      <c r="P1130" s="73" t="str">
        <f>VLOOKUP(Tabla6[[#This Row],[GEO]],Listas!$A$48:$B$77,2,0)</f>
        <v>MACHALA</v>
      </c>
      <c r="Q1130" s="70">
        <f>VLOOKUP(Tabla6[[#This Row],[PG]],Listas2!$G$14:$K$16,3,0)</f>
        <v>1</v>
      </c>
      <c r="R1130" s="73">
        <f>VLOOKUP(Tabla6[[#This Row],[PG]],Listas2!H584:'Listas2'!$G$14:$K$16,4,0)</f>
        <v>0</v>
      </c>
      <c r="S1130" s="73">
        <f>VLOOKUP(Tabla6[[#This Row],[PG]],Listas2!$G$14:$K$16,2,0)</f>
        <v>0</v>
      </c>
      <c r="T1130" s="66" t="s">
        <v>84</v>
      </c>
      <c r="U1130" s="74">
        <v>53</v>
      </c>
      <c r="V1130" s="66">
        <v>530209</v>
      </c>
      <c r="W1130" s="63" t="str">
        <f>VLOOKUP(Tabla6[[#This Row],[ÍTEM PRESUPUESTARIO]],Tabla2[#All],2,0)</f>
        <v>SERVICIOS DE ASEO, LAVADO DE VESTIMENTA DE TRABAJO, FUMIGACIÓN, DESINFECCIÓN, LIMPIEZA DE INSTALACIONES, MANEJO DE DESECHOS CONTAMINADOS, RECUPERACIÓN Y CLASIFICACIÓN DE MATERIALES RECICLABLES</v>
      </c>
      <c r="X1130" s="57">
        <v>81268</v>
      </c>
      <c r="Y1130" s="57">
        <f>81268+45000-875-2.5-2.49</f>
        <v>125388.01</v>
      </c>
      <c r="Z1130" s="58">
        <v>0</v>
      </c>
      <c r="AA1130" s="58">
        <v>10449</v>
      </c>
      <c r="AB1130" s="58">
        <v>10449</v>
      </c>
      <c r="AC1130" s="58">
        <v>10449</v>
      </c>
      <c r="AD1130" s="58">
        <v>10449</v>
      </c>
      <c r="AE1130" s="58">
        <v>10449</v>
      </c>
      <c r="AF1130" s="58">
        <v>10449</v>
      </c>
      <c r="AG1130" s="58">
        <v>22500</v>
      </c>
      <c r="AH1130" s="58">
        <v>10449</v>
      </c>
      <c r="AI1130" s="58">
        <v>10449</v>
      </c>
      <c r="AJ1130" s="58">
        <v>10449</v>
      </c>
      <c r="AK1130" s="58">
        <v>8847.01</v>
      </c>
      <c r="AL1130" s="75">
        <f>+SUBTOTAL(9,Tabla6[[#This Row],[ENE]:[DIC]])</f>
        <v>125388.01</v>
      </c>
      <c r="AM1130" s="76" t="str">
        <f t="shared" si="39"/>
        <v>OK</v>
      </c>
      <c r="AN1130" s="60">
        <v>125388.01</v>
      </c>
      <c r="AO1130" s="61">
        <f>+Tabla6[[#This Row],[PRESUPUESTO VIGENTE]]-Tabla6[[#This Row],[CERTIFICACIÓN PAPP]]</f>
        <v>0</v>
      </c>
      <c r="AP1130" s="59" t="s">
        <v>87</v>
      </c>
    </row>
    <row r="1131" spans="1:42" ht="93" customHeight="1" x14ac:dyDescent="0.25">
      <c r="A1131" s="62" t="s">
        <v>78</v>
      </c>
      <c r="B1131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131" s="64" t="s">
        <v>79</v>
      </c>
      <c r="D1131" s="64" t="s">
        <v>80</v>
      </c>
      <c r="E1131" s="64" t="s">
        <v>81</v>
      </c>
      <c r="F1131" s="64" t="s">
        <v>112</v>
      </c>
      <c r="G1131" s="64" t="s">
        <v>92</v>
      </c>
      <c r="H1131" s="65" t="str">
        <f>VLOOKUP(Tabla6[[#This Row],[DIRECCIÓN]],DIRECCIÓN[#All],2,0)</f>
        <v>ADMINISTRACIÓN CENTRAL</v>
      </c>
      <c r="I1131" s="66" t="s">
        <v>682</v>
      </c>
      <c r="J1131" s="67">
        <v>1</v>
      </c>
      <c r="K1131" s="68" t="str">
        <f>VLOOKUP(Tabla6[[#This Row],[DIRECCIÓN GENERAL / COORDINACIÓN / SUBDIRECCIÓN]],Tabla37[[#All],[Columna1]:[EOD]],2,0)</f>
        <v>266_0007</v>
      </c>
      <c r="L1131" s="69">
        <f>VLOOKUP(Tabla6[[#This Row],[OBJETIVOS PND]],Listas!$A$1:$C$3,3,0)</f>
        <v>1</v>
      </c>
      <c r="M1131" s="70">
        <f>VLOOKUP(Tabla6[[#This Row],[PG]],Listas2!$G$14:$K$16,5,0)</f>
        <v>0</v>
      </c>
      <c r="N1131" s="71">
        <v>1</v>
      </c>
      <c r="O1131" s="72">
        <v>701</v>
      </c>
      <c r="P1131" s="73" t="str">
        <f>VLOOKUP(Tabla6[[#This Row],[GEO]],Listas!$A$48:$B$77,2,0)</f>
        <v>MACHALA</v>
      </c>
      <c r="Q1131" s="70">
        <f>VLOOKUP(Tabla6[[#This Row],[PG]],Listas2!$G$14:$K$16,3,0)</f>
        <v>1</v>
      </c>
      <c r="R1131" s="73">
        <f>VLOOKUP(Tabla6[[#This Row],[PG]],Listas2!H585:'Listas2'!$G$14:$K$16,4,0)</f>
        <v>0</v>
      </c>
      <c r="S1131" s="73">
        <f>VLOOKUP(Tabla6[[#This Row],[PG]],Listas2!$G$14:$K$16,2,0)</f>
        <v>0</v>
      </c>
      <c r="T1131" s="66" t="s">
        <v>84</v>
      </c>
      <c r="U1131" s="74">
        <v>53</v>
      </c>
      <c r="V1131" s="66">
        <v>530210</v>
      </c>
      <c r="W1131" s="63" t="str">
        <f>VLOOKUP(Tabla6[[#This Row],[ÍTEM PRESUPUESTARIO]],Tabla2[#All],2,0)</f>
        <v>SERVICIO DE GUARDERÍA</v>
      </c>
      <c r="X1131" s="57">
        <v>0</v>
      </c>
      <c r="Y1131" s="57">
        <f>4500-3663</f>
        <v>837</v>
      </c>
      <c r="Z1131" s="58">
        <v>0</v>
      </c>
      <c r="AA1131" s="58">
        <v>0</v>
      </c>
      <c r="AB1131" s="58">
        <v>0</v>
      </c>
      <c r="AC1131" s="58">
        <v>0</v>
      </c>
      <c r="AD1131" s="58">
        <v>0</v>
      </c>
      <c r="AE1131" s="58">
        <v>0</v>
      </c>
      <c r="AF1131" s="58">
        <v>0</v>
      </c>
      <c r="AG1131" s="58">
        <v>0</v>
      </c>
      <c r="AH1131" s="58">
        <v>0</v>
      </c>
      <c r="AI1131" s="58">
        <v>0</v>
      </c>
      <c r="AJ1131" s="58">
        <v>837</v>
      </c>
      <c r="AK1131" s="58">
        <v>0</v>
      </c>
      <c r="AL1131" s="75">
        <f>+SUBTOTAL(9,Tabla6[[#This Row],[ENE]:[DIC]])</f>
        <v>837</v>
      </c>
      <c r="AM1131" s="76" t="str">
        <f t="shared" si="39"/>
        <v>OK</v>
      </c>
      <c r="AN1131" s="60">
        <f>4500-3663</f>
        <v>837</v>
      </c>
      <c r="AO1131" s="61">
        <f>+Tabla6[[#This Row],[PRESUPUESTO VIGENTE]]-Tabla6[[#This Row],[CERTIFICACIÓN PAPP]]</f>
        <v>0</v>
      </c>
      <c r="AP1131" s="59">
        <v>0</v>
      </c>
    </row>
    <row r="1132" spans="1:42" ht="93" customHeight="1" x14ac:dyDescent="0.25">
      <c r="A1132" s="62" t="s">
        <v>78</v>
      </c>
      <c r="B1132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132" s="64" t="s">
        <v>79</v>
      </c>
      <c r="D1132" s="64" t="s">
        <v>80</v>
      </c>
      <c r="E1132" s="64" t="s">
        <v>81</v>
      </c>
      <c r="F1132" s="64" t="s">
        <v>112</v>
      </c>
      <c r="G1132" s="64" t="s">
        <v>92</v>
      </c>
      <c r="H1132" s="65" t="str">
        <f>VLOOKUP(Tabla6[[#This Row],[DIRECCIÓN]],DIRECCIÓN[#All],2,0)</f>
        <v>ADMINISTRACIÓN CENTRAL</v>
      </c>
      <c r="I1132" s="66" t="s">
        <v>683</v>
      </c>
      <c r="J1132" s="67">
        <v>1</v>
      </c>
      <c r="K1132" s="68" t="str">
        <f>VLOOKUP(Tabla6[[#This Row],[DIRECCIÓN GENERAL / COORDINACIÓN / SUBDIRECCIÓN]],Tabla37[[#All],[Columna1]:[EOD]],2,0)</f>
        <v>266_0007</v>
      </c>
      <c r="L1132" s="69">
        <f>VLOOKUP(Tabla6[[#This Row],[OBJETIVOS PND]],Listas!$A$1:$C$3,3,0)</f>
        <v>1</v>
      </c>
      <c r="M1132" s="70">
        <f>VLOOKUP(Tabla6[[#This Row],[PG]],Listas2!$G$14:$K$16,5,0)</f>
        <v>0</v>
      </c>
      <c r="N1132" s="71">
        <v>1</v>
      </c>
      <c r="O1132" s="72">
        <v>701</v>
      </c>
      <c r="P1132" s="73" t="str">
        <f>VLOOKUP(Tabla6[[#This Row],[GEO]],Listas!$A$48:$B$77,2,0)</f>
        <v>MACHALA</v>
      </c>
      <c r="Q1132" s="70">
        <f>VLOOKUP(Tabla6[[#This Row],[PG]],Listas2!$G$14:$K$16,3,0)</f>
        <v>1</v>
      </c>
      <c r="R1132" s="73">
        <f>VLOOKUP(Tabla6[[#This Row],[PG]],Listas2!H586:'Listas2'!$G$14:$K$16,4,0)</f>
        <v>0</v>
      </c>
      <c r="S1132" s="73">
        <f>VLOOKUP(Tabla6[[#This Row],[PG]],Listas2!$G$14:$K$16,2,0)</f>
        <v>0</v>
      </c>
      <c r="T1132" s="66" t="s">
        <v>84</v>
      </c>
      <c r="U1132" s="74">
        <v>53</v>
      </c>
      <c r="V1132" s="66">
        <v>530246</v>
      </c>
      <c r="W1132" s="63" t="str">
        <f>VLOOKUP(Tabla6[[#This Row],[ÍTEM PRESUPUESTARIO]],Tabla2[#All],2,0)</f>
        <v>SERVICIOS DE IDENTIFICACIÓN, MARCACIÓN, AUTENTIFICACIÓN, RASTREO, MONITOREO, SEGUIMIENTO Y/O TRAZABILIDAD</v>
      </c>
      <c r="X1132" s="57">
        <v>0</v>
      </c>
      <c r="Y1132" s="57">
        <f>900-600</f>
        <v>300</v>
      </c>
      <c r="Z1132" s="58">
        <v>0</v>
      </c>
      <c r="AA1132" s="58">
        <v>0</v>
      </c>
      <c r="AB1132" s="58">
        <v>0</v>
      </c>
      <c r="AC1132" s="58">
        <v>0</v>
      </c>
      <c r="AD1132" s="58">
        <v>0</v>
      </c>
      <c r="AE1132" s="58">
        <v>0</v>
      </c>
      <c r="AF1132" s="58">
        <v>0</v>
      </c>
      <c r="AG1132" s="58">
        <v>50</v>
      </c>
      <c r="AH1132" s="58">
        <v>100</v>
      </c>
      <c r="AI1132" s="58">
        <v>50</v>
      </c>
      <c r="AJ1132" s="58">
        <v>50</v>
      </c>
      <c r="AK1132" s="58">
        <v>50</v>
      </c>
      <c r="AL1132" s="75">
        <f>+SUBTOTAL(9,Tabla6[[#This Row],[ENE]:[DIC]])</f>
        <v>300</v>
      </c>
      <c r="AM1132" s="76" t="str">
        <f t="shared" si="39"/>
        <v>OK</v>
      </c>
      <c r="AN1132" s="60">
        <v>300</v>
      </c>
      <c r="AO1132" s="61">
        <f>+Tabla6[[#This Row],[PRESUPUESTO VIGENTE]]-Tabla6[[#This Row],[CERTIFICACIÓN PAPP]]</f>
        <v>0</v>
      </c>
      <c r="AP1132" s="59">
        <v>0</v>
      </c>
    </row>
    <row r="1133" spans="1:42" ht="93" customHeight="1" x14ac:dyDescent="0.25">
      <c r="A1133" s="62" t="s">
        <v>78</v>
      </c>
      <c r="B1133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133" s="64" t="s">
        <v>79</v>
      </c>
      <c r="D1133" s="64" t="s">
        <v>80</v>
      </c>
      <c r="E1133" s="64" t="s">
        <v>81</v>
      </c>
      <c r="F1133" s="64" t="s">
        <v>112</v>
      </c>
      <c r="G1133" s="64" t="s">
        <v>92</v>
      </c>
      <c r="H1133" s="65" t="str">
        <f>VLOOKUP(Tabla6[[#This Row],[DIRECCIÓN]],DIRECCIÓN[#All],2,0)</f>
        <v>ADMINISTRACIÓN CENTRAL</v>
      </c>
      <c r="I1133" s="66" t="s">
        <v>684</v>
      </c>
      <c r="J1133" s="67">
        <v>1</v>
      </c>
      <c r="K1133" s="68" t="str">
        <f>VLOOKUP(Tabla6[[#This Row],[DIRECCIÓN GENERAL / COORDINACIÓN / SUBDIRECCIÓN]],Tabla37[[#All],[Columna1]:[EOD]],2,0)</f>
        <v>266_0007</v>
      </c>
      <c r="L1133" s="69">
        <f>VLOOKUP(Tabla6[[#This Row],[OBJETIVOS PND]],Listas!$A$1:$C$3,3,0)</f>
        <v>1</v>
      </c>
      <c r="M1133" s="70">
        <f>VLOOKUP(Tabla6[[#This Row],[PG]],Listas2!$G$14:$K$16,5,0)</f>
        <v>0</v>
      </c>
      <c r="N1133" s="71">
        <v>1</v>
      </c>
      <c r="O1133" s="72">
        <v>701</v>
      </c>
      <c r="P1133" s="73" t="str">
        <f>VLOOKUP(Tabla6[[#This Row],[GEO]],Listas!$A$48:$B$77,2,0)</f>
        <v>MACHALA</v>
      </c>
      <c r="Q1133" s="70">
        <f>VLOOKUP(Tabla6[[#This Row],[PG]],Listas2!$G$14:$K$16,3,0)</f>
        <v>1</v>
      </c>
      <c r="R1133" s="73">
        <f>VLOOKUP(Tabla6[[#This Row],[PG]],Listas2!H587:'Listas2'!$G$14:$K$16,4,0)</f>
        <v>0</v>
      </c>
      <c r="S1133" s="73">
        <f>VLOOKUP(Tabla6[[#This Row],[PG]],Listas2!$G$14:$K$16,2,0)</f>
        <v>0</v>
      </c>
      <c r="T1133" s="66" t="s">
        <v>84</v>
      </c>
      <c r="U1133" s="74">
        <v>53</v>
      </c>
      <c r="V1133" s="66">
        <v>530255</v>
      </c>
      <c r="W1133" s="63" t="str">
        <f>VLOOKUP(Tabla6[[#This Row],[ÍTEM PRESUPUESTARIO]],Tabla2[#All],2,0)</f>
        <v>COMBUSTIBLES</v>
      </c>
      <c r="X1133" s="57">
        <v>0</v>
      </c>
      <c r="Y1133" s="57">
        <f>4260-2.49-3000-531.05</f>
        <v>726.46000000000026</v>
      </c>
      <c r="Z1133" s="58">
        <v>0</v>
      </c>
      <c r="AA1133" s="58">
        <v>0</v>
      </c>
      <c r="AB1133" s="58">
        <v>0</v>
      </c>
      <c r="AC1133" s="58">
        <v>0</v>
      </c>
      <c r="AD1133" s="58">
        <v>0</v>
      </c>
      <c r="AE1133" s="58">
        <v>0</v>
      </c>
      <c r="AF1133" s="58">
        <v>0</v>
      </c>
      <c r="AG1133" s="58">
        <v>0</v>
      </c>
      <c r="AH1133" s="58">
        <v>0</v>
      </c>
      <c r="AI1133" s="58">
        <v>237.86</v>
      </c>
      <c r="AJ1133" s="58">
        <v>200</v>
      </c>
      <c r="AK1133" s="58">
        <v>288.60000000000002</v>
      </c>
      <c r="AL1133" s="75">
        <f>+SUBTOTAL(9,Tabla6[[#This Row],[ENE]:[DIC]])</f>
        <v>726.46</v>
      </c>
      <c r="AM1133" s="76" t="str">
        <f t="shared" si="39"/>
        <v>OK</v>
      </c>
      <c r="AN1133" s="60">
        <v>726.46</v>
      </c>
      <c r="AO1133" s="61">
        <f>+Tabla6[[#This Row],[PRESUPUESTO VIGENTE]]-Tabla6[[#This Row],[CERTIFICACIÓN PAPP]]</f>
        <v>0</v>
      </c>
      <c r="AP1133" s="59">
        <v>0</v>
      </c>
    </row>
    <row r="1134" spans="1:42" ht="93" customHeight="1" x14ac:dyDescent="0.25">
      <c r="A1134" s="62" t="s">
        <v>78</v>
      </c>
      <c r="B1134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134" s="64" t="s">
        <v>79</v>
      </c>
      <c r="D1134" s="64" t="s">
        <v>80</v>
      </c>
      <c r="E1134" s="64" t="s">
        <v>81</v>
      </c>
      <c r="F1134" s="64" t="s">
        <v>112</v>
      </c>
      <c r="G1134" s="64" t="s">
        <v>92</v>
      </c>
      <c r="H1134" s="65" t="str">
        <f>VLOOKUP(Tabla6[[#This Row],[DIRECCIÓN]],DIRECCIÓN[#All],2,0)</f>
        <v>ADMINISTRACIÓN CENTRAL</v>
      </c>
      <c r="I1134" s="66" t="s">
        <v>685</v>
      </c>
      <c r="J1134" s="67">
        <v>1</v>
      </c>
      <c r="K1134" s="68" t="str">
        <f>VLOOKUP(Tabla6[[#This Row],[DIRECCIÓN GENERAL / COORDINACIÓN / SUBDIRECCIÓN]],Tabla37[[#All],[Columna1]:[EOD]],2,0)</f>
        <v>266_0007</v>
      </c>
      <c r="L1134" s="69">
        <f>VLOOKUP(Tabla6[[#This Row],[OBJETIVOS PND]],Listas!$A$1:$C$3,3,0)</f>
        <v>1</v>
      </c>
      <c r="M1134" s="70">
        <f>VLOOKUP(Tabla6[[#This Row],[PG]],Listas2!$G$14:$K$16,5,0)</f>
        <v>0</v>
      </c>
      <c r="N1134" s="71">
        <v>1</v>
      </c>
      <c r="O1134" s="72">
        <v>701</v>
      </c>
      <c r="P1134" s="73" t="str">
        <f>VLOOKUP(Tabla6[[#This Row],[GEO]],Listas!$A$48:$B$77,2,0)</f>
        <v>MACHALA</v>
      </c>
      <c r="Q1134" s="70">
        <f>VLOOKUP(Tabla6[[#This Row],[PG]],Listas2!$G$14:$K$16,3,0)</f>
        <v>1</v>
      </c>
      <c r="R1134" s="73">
        <f>VLOOKUP(Tabla6[[#This Row],[PG]],Listas2!H588:'Listas2'!$G$14:$K$16,4,0)</f>
        <v>0</v>
      </c>
      <c r="S1134" s="73">
        <f>VLOOKUP(Tabla6[[#This Row],[PG]],Listas2!$G$14:$K$16,2,0)</f>
        <v>0</v>
      </c>
      <c r="T1134" s="66" t="s">
        <v>84</v>
      </c>
      <c r="U1134" s="74">
        <v>53</v>
      </c>
      <c r="V1134" s="66">
        <v>530255</v>
      </c>
      <c r="W1134" s="63" t="str">
        <f>VLOOKUP(Tabla6[[#This Row],[ÍTEM PRESUPUESTARIO]],Tabla2[#All],2,0)</f>
        <v>COMBUSTIBLES</v>
      </c>
      <c r="X1134" s="57">
        <v>0</v>
      </c>
      <c r="Y1134" s="57">
        <v>0</v>
      </c>
      <c r="Z1134" s="58">
        <v>0</v>
      </c>
      <c r="AA1134" s="58">
        <v>0</v>
      </c>
      <c r="AB1134" s="58">
        <v>0</v>
      </c>
      <c r="AC1134" s="58">
        <v>0</v>
      </c>
      <c r="AD1134" s="58">
        <v>0</v>
      </c>
      <c r="AE1134" s="58">
        <v>0</v>
      </c>
      <c r="AF1134" s="58">
        <v>0</v>
      </c>
      <c r="AG1134" s="58">
        <v>0</v>
      </c>
      <c r="AH1134" s="58">
        <v>0</v>
      </c>
      <c r="AI1134" s="58">
        <v>0</v>
      </c>
      <c r="AJ1134" s="58">
        <v>0</v>
      </c>
      <c r="AK1134" s="58">
        <v>0</v>
      </c>
      <c r="AL1134" s="75">
        <f>+SUBTOTAL(9,Tabla6[[#This Row],[ENE]:[DIC]])</f>
        <v>0</v>
      </c>
      <c r="AM1134" s="76" t="str">
        <f t="shared" si="39"/>
        <v>OK</v>
      </c>
      <c r="AN1134" s="60">
        <v>0</v>
      </c>
      <c r="AO1134" s="61">
        <f>+Tabla6[[#This Row],[PRESUPUESTO VIGENTE]]-Tabla6[[#This Row],[CERTIFICACIÓN PAPP]]</f>
        <v>0</v>
      </c>
      <c r="AP1134" s="59">
        <v>0</v>
      </c>
    </row>
    <row r="1135" spans="1:42" ht="93" customHeight="1" x14ac:dyDescent="0.25">
      <c r="A1135" s="62" t="s">
        <v>78</v>
      </c>
      <c r="B1135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135" s="64" t="s">
        <v>79</v>
      </c>
      <c r="D1135" s="64" t="s">
        <v>80</v>
      </c>
      <c r="E1135" s="64" t="s">
        <v>81</v>
      </c>
      <c r="F1135" s="64" t="s">
        <v>112</v>
      </c>
      <c r="G1135" s="64" t="s">
        <v>92</v>
      </c>
      <c r="H1135" s="65" t="str">
        <f>VLOOKUP(Tabla6[[#This Row],[DIRECCIÓN]],DIRECCIÓN[#All],2,0)</f>
        <v>ADMINISTRACIÓN CENTRAL</v>
      </c>
      <c r="I1135" s="66" t="s">
        <v>686</v>
      </c>
      <c r="J1135" s="67">
        <v>1</v>
      </c>
      <c r="K1135" s="68" t="str">
        <f>VLOOKUP(Tabla6[[#This Row],[DIRECCIÓN GENERAL / COORDINACIÓN / SUBDIRECCIÓN]],Tabla37[[#All],[Columna1]:[EOD]],2,0)</f>
        <v>266_0007</v>
      </c>
      <c r="L1135" s="69">
        <f>VLOOKUP(Tabla6[[#This Row],[OBJETIVOS PND]],Listas!$A$1:$C$3,3,0)</f>
        <v>1</v>
      </c>
      <c r="M1135" s="70">
        <f>VLOOKUP(Tabla6[[#This Row],[PG]],Listas2!$G$14:$K$16,5,0)</f>
        <v>0</v>
      </c>
      <c r="N1135" s="71">
        <v>1</v>
      </c>
      <c r="O1135" s="72">
        <v>701</v>
      </c>
      <c r="P1135" s="73" t="str">
        <f>VLOOKUP(Tabla6[[#This Row],[GEO]],Listas!$A$48:$B$77,2,0)</f>
        <v>MACHALA</v>
      </c>
      <c r="Q1135" s="70">
        <f>VLOOKUP(Tabla6[[#This Row],[PG]],Listas2!$G$14:$K$16,3,0)</f>
        <v>1</v>
      </c>
      <c r="R1135" s="73">
        <f>VLOOKUP(Tabla6[[#This Row],[PG]],Listas2!H589:'Listas2'!$G$14:$K$16,4,0)</f>
        <v>0</v>
      </c>
      <c r="S1135" s="73">
        <f>VLOOKUP(Tabla6[[#This Row],[PG]],Listas2!$G$14:$K$16,2,0)</f>
        <v>0</v>
      </c>
      <c r="T1135" s="66" t="s">
        <v>84</v>
      </c>
      <c r="U1135" s="74">
        <v>53</v>
      </c>
      <c r="V1135" s="66">
        <v>530301</v>
      </c>
      <c r="W1135" s="63" t="str">
        <f>VLOOKUP(Tabla6[[#This Row],[ÍTEM PRESUPUESTARIO]],Tabla2[#All],2,0)</f>
        <v>PASAJES AL INTERIOR</v>
      </c>
      <c r="X1135" s="57">
        <v>1500</v>
      </c>
      <c r="Y1135" s="57">
        <f>1500+900+500+500-1476.96-66.55+30-39.5</f>
        <v>1846.99</v>
      </c>
      <c r="Z1135" s="58">
        <v>0</v>
      </c>
      <c r="AA1135" s="58">
        <v>0</v>
      </c>
      <c r="AB1135" s="58">
        <v>0</v>
      </c>
      <c r="AC1135" s="58">
        <v>0</v>
      </c>
      <c r="AD1135" s="58">
        <v>0</v>
      </c>
      <c r="AE1135" s="58">
        <v>300</v>
      </c>
      <c r="AF1135" s="58">
        <f>300+500+523.04</f>
        <v>1323.04</v>
      </c>
      <c r="AG1135" s="58">
        <v>193.95</v>
      </c>
      <c r="AH1135" s="58">
        <v>0</v>
      </c>
      <c r="AI1135" s="58">
        <v>0</v>
      </c>
      <c r="AJ1135" s="58">
        <v>0</v>
      </c>
      <c r="AK1135" s="58">
        <v>30</v>
      </c>
      <c r="AL1135" s="75">
        <f>+SUBTOTAL(9,Tabla6[[#This Row],[ENE]:[DIC]])</f>
        <v>1846.99</v>
      </c>
      <c r="AM1135" s="76" t="str">
        <f t="shared" si="39"/>
        <v>OK</v>
      </c>
      <c r="AN1135" s="60">
        <f>1500-544.46+834.95+66-29+59-39.5</f>
        <v>1846.99</v>
      </c>
      <c r="AO1135" s="61">
        <f>+Tabla6[[#This Row],[PRESUPUESTO VIGENTE]]-Tabla6[[#This Row],[CERTIFICACIÓN PAPP]]</f>
        <v>0</v>
      </c>
      <c r="AP1135" s="59">
        <v>0</v>
      </c>
    </row>
    <row r="1136" spans="1:42" ht="93" customHeight="1" x14ac:dyDescent="0.25">
      <c r="A1136" s="62" t="s">
        <v>78</v>
      </c>
      <c r="B1136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136" s="64" t="s">
        <v>79</v>
      </c>
      <c r="D1136" s="64" t="s">
        <v>80</v>
      </c>
      <c r="E1136" s="64" t="s">
        <v>81</v>
      </c>
      <c r="F1136" s="64" t="s">
        <v>112</v>
      </c>
      <c r="G1136" s="64" t="s">
        <v>92</v>
      </c>
      <c r="H1136" s="65" t="str">
        <f>VLOOKUP(Tabla6[[#This Row],[DIRECCIÓN]],DIRECCIÓN[#All],2,0)</f>
        <v>ADMINISTRACIÓN CENTRAL</v>
      </c>
      <c r="I1136" s="66" t="s">
        <v>687</v>
      </c>
      <c r="J1136" s="67">
        <v>1</v>
      </c>
      <c r="K1136" s="68" t="str">
        <f>VLOOKUP(Tabla6[[#This Row],[DIRECCIÓN GENERAL / COORDINACIÓN / SUBDIRECCIÓN]],Tabla37[[#All],[Columna1]:[EOD]],2,0)</f>
        <v>266_0007</v>
      </c>
      <c r="L1136" s="69">
        <f>VLOOKUP(Tabla6[[#This Row],[OBJETIVOS PND]],Listas!$A$1:$C$3,3,0)</f>
        <v>1</v>
      </c>
      <c r="M1136" s="70">
        <f>VLOOKUP(Tabla6[[#This Row],[PG]],Listas2!$G$14:$K$16,5,0)</f>
        <v>0</v>
      </c>
      <c r="N1136" s="71">
        <v>1</v>
      </c>
      <c r="O1136" s="72">
        <v>701</v>
      </c>
      <c r="P1136" s="73" t="str">
        <f>VLOOKUP(Tabla6[[#This Row],[GEO]],Listas!$A$48:$B$77,2,0)</f>
        <v>MACHALA</v>
      </c>
      <c r="Q1136" s="70">
        <f>VLOOKUP(Tabla6[[#This Row],[PG]],Listas2!$G$14:$K$16,3,0)</f>
        <v>1</v>
      </c>
      <c r="R1136" s="73">
        <f>VLOOKUP(Tabla6[[#This Row],[PG]],Listas2!H590:'Listas2'!$G$14:$K$16,4,0)</f>
        <v>0</v>
      </c>
      <c r="S1136" s="73">
        <f>VLOOKUP(Tabla6[[#This Row],[PG]],Listas2!$G$14:$K$16,2,0)</f>
        <v>0</v>
      </c>
      <c r="T1136" s="66" t="s">
        <v>84</v>
      </c>
      <c r="U1136" s="74">
        <v>53</v>
      </c>
      <c r="V1136" s="66">
        <v>530301</v>
      </c>
      <c r="W1136" s="63" t="str">
        <f>VLOOKUP(Tabla6[[#This Row],[ÍTEM PRESUPUESTARIO]],Tabla2[#All],2,0)</f>
        <v>PASAJES AL INTERIOR</v>
      </c>
      <c r="X1136" s="57">
        <v>0</v>
      </c>
      <c r="Y1136" s="57">
        <f>1500+1476.96-847-1809.7</f>
        <v>320.26</v>
      </c>
      <c r="Z1136" s="58">
        <v>0</v>
      </c>
      <c r="AA1136" s="58">
        <v>0</v>
      </c>
      <c r="AB1136" s="58">
        <v>0</v>
      </c>
      <c r="AC1136" s="58">
        <v>0</v>
      </c>
      <c r="AD1136" s="58">
        <v>0</v>
      </c>
      <c r="AE1136" s="58">
        <v>0</v>
      </c>
      <c r="AF1136" s="58">
        <v>0</v>
      </c>
      <c r="AG1136" s="58">
        <v>0</v>
      </c>
      <c r="AH1136" s="58">
        <v>0</v>
      </c>
      <c r="AI1136" s="58">
        <v>0</v>
      </c>
      <c r="AJ1136" s="58">
        <v>0</v>
      </c>
      <c r="AK1136" s="58">
        <v>320.26</v>
      </c>
      <c r="AL1136" s="75">
        <f>+SUBTOTAL(9,Tabla6[[#This Row],[ENE]:[DIC]])</f>
        <v>320.26</v>
      </c>
      <c r="AM1136" s="76" t="str">
        <f t="shared" si="39"/>
        <v>OK</v>
      </c>
      <c r="AN1136" s="60">
        <f>2129.4-320-696.8-792.34</f>
        <v>320.2600000000001</v>
      </c>
      <c r="AO1136" s="61">
        <f>+Tabla6[[#This Row],[PRESUPUESTO VIGENTE]]-Tabla6[[#This Row],[CERTIFICACIÓN PAPP]]</f>
        <v>0</v>
      </c>
      <c r="AP1136" s="59">
        <v>0</v>
      </c>
    </row>
    <row r="1137" spans="1:42" ht="93" customHeight="1" x14ac:dyDescent="0.25">
      <c r="A1137" s="62" t="s">
        <v>78</v>
      </c>
      <c r="B1137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137" s="64" t="s">
        <v>79</v>
      </c>
      <c r="D1137" s="64" t="s">
        <v>80</v>
      </c>
      <c r="E1137" s="64" t="s">
        <v>81</v>
      </c>
      <c r="F1137" s="64" t="s">
        <v>112</v>
      </c>
      <c r="G1137" s="64" t="s">
        <v>92</v>
      </c>
      <c r="H1137" s="65" t="str">
        <f>VLOOKUP(Tabla6[[#This Row],[DIRECCIÓN]],DIRECCIÓN[#All],2,0)</f>
        <v>ADMINISTRACIÓN CENTRAL</v>
      </c>
      <c r="I1137" s="66" t="s">
        <v>688</v>
      </c>
      <c r="J1137" s="67">
        <v>1</v>
      </c>
      <c r="K1137" s="68" t="str">
        <f>VLOOKUP(Tabla6[[#This Row],[DIRECCIÓN GENERAL / COORDINACIÓN / SUBDIRECCIÓN]],Tabla37[[#All],[Columna1]:[EOD]],2,0)</f>
        <v>266_0007</v>
      </c>
      <c r="L1137" s="69">
        <f>VLOOKUP(Tabla6[[#This Row],[OBJETIVOS PND]],Listas!$A$1:$C$3,3,0)</f>
        <v>1</v>
      </c>
      <c r="M1137" s="70">
        <f>VLOOKUP(Tabla6[[#This Row],[PG]],Listas2!$G$14:$K$16,5,0)</f>
        <v>0</v>
      </c>
      <c r="N1137" s="71">
        <v>1</v>
      </c>
      <c r="O1137" s="72">
        <v>701</v>
      </c>
      <c r="P1137" s="73" t="str">
        <f>VLOOKUP(Tabla6[[#This Row],[GEO]],Listas!$A$48:$B$77,2,0)</f>
        <v>MACHALA</v>
      </c>
      <c r="Q1137" s="70">
        <f>VLOOKUP(Tabla6[[#This Row],[PG]],Listas2!$G$14:$K$16,3,0)</f>
        <v>1</v>
      </c>
      <c r="R1137" s="73">
        <f>VLOOKUP(Tabla6[[#This Row],[PG]],Listas2!H591:'Listas2'!$G$14:$K$16,4,0)</f>
        <v>0</v>
      </c>
      <c r="S1137" s="73">
        <f>VLOOKUP(Tabla6[[#This Row],[PG]],Listas2!$G$14:$K$16,2,0)</f>
        <v>0</v>
      </c>
      <c r="T1137" s="66" t="s">
        <v>84</v>
      </c>
      <c r="U1137" s="74">
        <v>53</v>
      </c>
      <c r="V1137" s="66">
        <v>530303</v>
      </c>
      <c r="W1137" s="63" t="str">
        <f>VLOOKUP(Tabla6[[#This Row],[ÍTEM PRESUPUESTARIO]],Tabla2[#All],2,0)</f>
        <v>VIÁTICOS Y SUBSISTENCIAS EN EL INTERIOR</v>
      </c>
      <c r="X1137" s="57">
        <v>1800</v>
      </c>
      <c r="Y1137" s="57">
        <f>1800+2400+3500+2000-790.79+600-461.91</f>
        <v>9047.2999999999993</v>
      </c>
      <c r="Z1137" s="58">
        <v>0</v>
      </c>
      <c r="AA1137" s="58">
        <v>0</v>
      </c>
      <c r="AB1137" s="58">
        <v>0</v>
      </c>
      <c r="AC1137" s="58">
        <v>0</v>
      </c>
      <c r="AD1137" s="58">
        <v>0</v>
      </c>
      <c r="AE1137" s="58">
        <v>800</v>
      </c>
      <c r="AF1137" s="58">
        <f>800+3500</f>
        <v>4300</v>
      </c>
      <c r="AG1137" s="58">
        <v>0</v>
      </c>
      <c r="AH1137" s="58">
        <v>0</v>
      </c>
      <c r="AI1137" s="58">
        <v>0</v>
      </c>
      <c r="AJ1137" s="58">
        <v>0</v>
      </c>
      <c r="AK1137" s="58">
        <v>3947.3</v>
      </c>
      <c r="AL1137" s="75">
        <f>+SUBTOTAL(9,Tabla6[[#This Row],[ENE]:[DIC]])</f>
        <v>9047.2999999999993</v>
      </c>
      <c r="AM1137" s="76" t="str">
        <f t="shared" si="39"/>
        <v>OK</v>
      </c>
      <c r="AN1137" s="60">
        <f>2103.71+4086.86+1800+127.85+790.79-375.59+975.59-461.91</f>
        <v>9047.2999999999993</v>
      </c>
      <c r="AO1137" s="61">
        <f>+Tabla6[[#This Row],[PRESUPUESTO VIGENTE]]-Tabla6[[#This Row],[CERTIFICACIÓN PAPP]]</f>
        <v>0</v>
      </c>
      <c r="AP1137" s="59">
        <v>0</v>
      </c>
    </row>
    <row r="1138" spans="1:42" ht="93" customHeight="1" x14ac:dyDescent="0.25">
      <c r="A1138" s="62" t="s">
        <v>78</v>
      </c>
      <c r="B1138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138" s="64" t="s">
        <v>79</v>
      </c>
      <c r="D1138" s="64" t="s">
        <v>80</v>
      </c>
      <c r="E1138" s="64" t="s">
        <v>81</v>
      </c>
      <c r="F1138" s="64" t="s">
        <v>112</v>
      </c>
      <c r="G1138" s="64" t="s">
        <v>92</v>
      </c>
      <c r="H1138" s="65" t="str">
        <f>VLOOKUP(Tabla6[[#This Row],[DIRECCIÓN]],DIRECCIÓN[#All],2,0)</f>
        <v>ADMINISTRACIÓN CENTRAL</v>
      </c>
      <c r="I1138" s="66" t="s">
        <v>676</v>
      </c>
      <c r="J1138" s="67">
        <v>1</v>
      </c>
      <c r="K1138" s="68" t="str">
        <f>VLOOKUP(Tabla6[[#This Row],[DIRECCIÓN GENERAL / COORDINACIÓN / SUBDIRECCIÓN]],Tabla37[[#All],[Columna1]:[EOD]],2,0)</f>
        <v>266_0007</v>
      </c>
      <c r="L1138" s="69">
        <f>VLOOKUP(Tabla6[[#This Row],[OBJETIVOS PND]],Listas!$A$1:$C$3,3,0)</f>
        <v>1</v>
      </c>
      <c r="M1138" s="70">
        <f>VLOOKUP(Tabla6[[#This Row],[PG]],Listas2!$G$14:$K$16,5,0)</f>
        <v>0</v>
      </c>
      <c r="N1138" s="71">
        <v>1</v>
      </c>
      <c r="O1138" s="72">
        <v>701</v>
      </c>
      <c r="P1138" s="73" t="str">
        <f>VLOOKUP(Tabla6[[#This Row],[GEO]],Listas!$A$48:$B$77,2,0)</f>
        <v>MACHALA</v>
      </c>
      <c r="Q1138" s="70">
        <f>VLOOKUP(Tabla6[[#This Row],[PG]],Listas2!$G$14:$K$16,3,0)</f>
        <v>1</v>
      </c>
      <c r="R1138" s="73">
        <f>VLOOKUP(Tabla6[[#This Row],[PG]],Listas2!H592:'Listas2'!$G$14:$K$16,4,0)</f>
        <v>0</v>
      </c>
      <c r="S1138" s="73">
        <f>VLOOKUP(Tabla6[[#This Row],[PG]],Listas2!$G$14:$K$16,2,0)</f>
        <v>0</v>
      </c>
      <c r="T1138" s="66" t="s">
        <v>84</v>
      </c>
      <c r="U1138" s="74">
        <v>53</v>
      </c>
      <c r="V1138" s="66">
        <v>530402</v>
      </c>
      <c r="W1138" s="63" t="str">
        <f>VLOOKUP(Tabla6[[#This Row],[ÍTEM PRESUPUESTARIO]],Tabla2[#All],2,0)</f>
        <v>EDIFICIOS, LOCALES, RESIDENCIAS Y CABLEADO ESTRUCTURADO (INSTALACIÓN, MANTENIMIENTO Y REPARACIÓN)</v>
      </c>
      <c r="X1138" s="57">
        <v>100</v>
      </c>
      <c r="Y1138" s="57">
        <v>0</v>
      </c>
      <c r="Z1138" s="58">
        <v>0</v>
      </c>
      <c r="AA1138" s="58">
        <v>0</v>
      </c>
      <c r="AB1138" s="58">
        <v>0</v>
      </c>
      <c r="AC1138" s="58">
        <v>0</v>
      </c>
      <c r="AD1138" s="58">
        <v>0</v>
      </c>
      <c r="AE1138" s="58">
        <v>0</v>
      </c>
      <c r="AF1138" s="58">
        <v>0</v>
      </c>
      <c r="AG1138" s="58">
        <v>0</v>
      </c>
      <c r="AH1138" s="58">
        <v>0</v>
      </c>
      <c r="AI1138" s="58">
        <v>0</v>
      </c>
      <c r="AJ1138" s="58">
        <v>0</v>
      </c>
      <c r="AK1138" s="58">
        <v>0</v>
      </c>
      <c r="AL1138" s="75">
        <f>+SUBTOTAL(9,Tabla6[[#This Row],[ENE]:[DIC]])</f>
        <v>0</v>
      </c>
      <c r="AM1138" s="76" t="str">
        <f t="shared" si="39"/>
        <v>OK</v>
      </c>
      <c r="AN1138" s="60">
        <v>0</v>
      </c>
      <c r="AO1138" s="61">
        <f>+Tabla6[[#This Row],[PRESUPUESTO VIGENTE]]-Tabla6[[#This Row],[CERTIFICACIÓN PAPP]]</f>
        <v>0</v>
      </c>
      <c r="AP1138" s="59">
        <v>0</v>
      </c>
    </row>
    <row r="1139" spans="1:42" ht="93" customHeight="1" x14ac:dyDescent="0.25">
      <c r="A1139" s="62" t="s">
        <v>78</v>
      </c>
      <c r="B1139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139" s="64" t="s">
        <v>79</v>
      </c>
      <c r="D1139" s="64" t="s">
        <v>80</v>
      </c>
      <c r="E1139" s="64" t="s">
        <v>81</v>
      </c>
      <c r="F1139" s="64" t="s">
        <v>112</v>
      </c>
      <c r="G1139" s="64" t="s">
        <v>92</v>
      </c>
      <c r="H1139" s="65" t="str">
        <f>VLOOKUP(Tabla6[[#This Row],[DIRECCIÓN]],DIRECCIÓN[#All],2,0)</f>
        <v>ADMINISTRACIÓN CENTRAL</v>
      </c>
      <c r="I1139" s="66" t="s">
        <v>689</v>
      </c>
      <c r="J1139" s="67">
        <v>1</v>
      </c>
      <c r="K1139" s="68" t="str">
        <f>VLOOKUP(Tabla6[[#This Row],[DIRECCIÓN GENERAL / COORDINACIÓN / SUBDIRECCIÓN]],Tabla37[[#All],[Columna1]:[EOD]],2,0)</f>
        <v>266_0007</v>
      </c>
      <c r="L1139" s="69">
        <f>VLOOKUP(Tabla6[[#This Row],[OBJETIVOS PND]],Listas!$A$1:$C$3,3,0)</f>
        <v>1</v>
      </c>
      <c r="M1139" s="70">
        <f>VLOOKUP(Tabla6[[#This Row],[PG]],Listas2!$G$14:$K$16,5,0)</f>
        <v>0</v>
      </c>
      <c r="N1139" s="71">
        <v>1</v>
      </c>
      <c r="O1139" s="72">
        <v>701</v>
      </c>
      <c r="P1139" s="73" t="str">
        <f>VLOOKUP(Tabla6[[#This Row],[GEO]],Listas!$A$48:$B$77,2,0)</f>
        <v>MACHALA</v>
      </c>
      <c r="Q1139" s="70">
        <f>VLOOKUP(Tabla6[[#This Row],[PG]],Listas2!$G$14:$K$16,3,0)</f>
        <v>1</v>
      </c>
      <c r="R1139" s="73">
        <f>VLOOKUP(Tabla6[[#This Row],[PG]],Listas2!H593:'Listas2'!$G$14:$K$16,4,0)</f>
        <v>0</v>
      </c>
      <c r="S1139" s="73">
        <f>VLOOKUP(Tabla6[[#This Row],[PG]],Listas2!$G$14:$K$16,2,0)</f>
        <v>0</v>
      </c>
      <c r="T1139" s="66" t="s">
        <v>84</v>
      </c>
      <c r="U1139" s="74">
        <v>53</v>
      </c>
      <c r="V1139" s="66">
        <v>530402</v>
      </c>
      <c r="W1139" s="63" t="str">
        <f>VLOOKUP(Tabla6[[#This Row],[ÍTEM PRESUPUESTARIO]],Tabla2[#All],2,0)</f>
        <v>EDIFICIOS, LOCALES, RESIDENCIAS Y CABLEADO ESTRUCTURADO (INSTALACIÓN, MANTENIMIENTO Y REPARACIÓN)</v>
      </c>
      <c r="X1139" s="57">
        <v>3000</v>
      </c>
      <c r="Y1139" s="57">
        <v>0</v>
      </c>
      <c r="Z1139" s="58">
        <v>0</v>
      </c>
      <c r="AA1139" s="58">
        <v>0</v>
      </c>
      <c r="AB1139" s="58">
        <v>0</v>
      </c>
      <c r="AC1139" s="58">
        <v>0</v>
      </c>
      <c r="AD1139" s="58">
        <v>0</v>
      </c>
      <c r="AE1139" s="58">
        <v>0</v>
      </c>
      <c r="AF1139" s="58">
        <v>0</v>
      </c>
      <c r="AG1139" s="58">
        <v>0</v>
      </c>
      <c r="AH1139" s="58">
        <v>0</v>
      </c>
      <c r="AI1139" s="58">
        <v>0</v>
      </c>
      <c r="AJ1139" s="58">
        <v>0</v>
      </c>
      <c r="AK1139" s="58">
        <v>0</v>
      </c>
      <c r="AL1139" s="75">
        <f>+SUBTOTAL(9,Tabla6[[#This Row],[ENE]:[DIC]])</f>
        <v>0</v>
      </c>
      <c r="AM1139" s="76" t="str">
        <f t="shared" si="39"/>
        <v>OK</v>
      </c>
      <c r="AN1139" s="60">
        <v>0</v>
      </c>
      <c r="AO1139" s="61">
        <f>+Tabla6[[#This Row],[PRESUPUESTO VIGENTE]]-Tabla6[[#This Row],[CERTIFICACIÓN PAPP]]</f>
        <v>0</v>
      </c>
      <c r="AP1139" s="59">
        <v>0</v>
      </c>
    </row>
    <row r="1140" spans="1:42" ht="93" customHeight="1" x14ac:dyDescent="0.25">
      <c r="A1140" s="62" t="s">
        <v>78</v>
      </c>
      <c r="B1140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140" s="64" t="s">
        <v>79</v>
      </c>
      <c r="D1140" s="64" t="s">
        <v>80</v>
      </c>
      <c r="E1140" s="64" t="s">
        <v>81</v>
      </c>
      <c r="F1140" s="64" t="s">
        <v>112</v>
      </c>
      <c r="G1140" s="64" t="s">
        <v>92</v>
      </c>
      <c r="H1140" s="65" t="str">
        <f>VLOOKUP(Tabla6[[#This Row],[DIRECCIÓN]],DIRECCIÓN[#All],2,0)</f>
        <v>ADMINISTRACIÓN CENTRAL</v>
      </c>
      <c r="I1140" s="66" t="s">
        <v>690</v>
      </c>
      <c r="J1140" s="67">
        <v>1</v>
      </c>
      <c r="K1140" s="68" t="str">
        <f>VLOOKUP(Tabla6[[#This Row],[DIRECCIÓN GENERAL / COORDINACIÓN / SUBDIRECCIÓN]],Tabla37[[#All],[Columna1]:[EOD]],2,0)</f>
        <v>266_0007</v>
      </c>
      <c r="L1140" s="69">
        <f>VLOOKUP(Tabla6[[#This Row],[OBJETIVOS PND]],Listas!$A$1:$C$3,3,0)</f>
        <v>1</v>
      </c>
      <c r="M1140" s="70">
        <f>VLOOKUP(Tabla6[[#This Row],[PG]],Listas2!$G$14:$K$16,5,0)</f>
        <v>0</v>
      </c>
      <c r="N1140" s="71">
        <v>1</v>
      </c>
      <c r="O1140" s="72">
        <v>701</v>
      </c>
      <c r="P1140" s="73" t="str">
        <f>VLOOKUP(Tabla6[[#This Row],[GEO]],Listas!$A$48:$B$77,2,0)</f>
        <v>MACHALA</v>
      </c>
      <c r="Q1140" s="70">
        <f>VLOOKUP(Tabla6[[#This Row],[PG]],Listas2!$G$14:$K$16,3,0)</f>
        <v>1</v>
      </c>
      <c r="R1140" s="73">
        <f>VLOOKUP(Tabla6[[#This Row],[PG]],Listas2!H594:'Listas2'!$G$14:$K$16,4,0)</f>
        <v>0</v>
      </c>
      <c r="S1140" s="73">
        <f>VLOOKUP(Tabla6[[#This Row],[PG]],Listas2!$G$14:$K$16,2,0)</f>
        <v>0</v>
      </c>
      <c r="T1140" s="66" t="s">
        <v>84</v>
      </c>
      <c r="U1140" s="74">
        <v>53</v>
      </c>
      <c r="V1140" s="66">
        <v>530402</v>
      </c>
      <c r="W1140" s="63" t="str">
        <f>VLOOKUP(Tabla6[[#This Row],[ÍTEM PRESUPUESTARIO]],Tabla2[#All],2,0)</f>
        <v>EDIFICIOS, LOCALES, RESIDENCIAS Y CABLEADO ESTRUCTURADO (INSTALACIÓN, MANTENIMIENTO Y REPARACIÓN)</v>
      </c>
      <c r="X1140" s="57">
        <v>8000</v>
      </c>
      <c r="Y1140" s="57">
        <v>0</v>
      </c>
      <c r="Z1140" s="58">
        <v>0</v>
      </c>
      <c r="AA1140" s="58">
        <v>0</v>
      </c>
      <c r="AB1140" s="58">
        <v>0</v>
      </c>
      <c r="AC1140" s="58">
        <v>0</v>
      </c>
      <c r="AD1140" s="58">
        <v>0</v>
      </c>
      <c r="AE1140" s="58">
        <v>0</v>
      </c>
      <c r="AF1140" s="58">
        <v>0</v>
      </c>
      <c r="AG1140" s="58">
        <v>0</v>
      </c>
      <c r="AH1140" s="58">
        <v>0</v>
      </c>
      <c r="AI1140" s="58">
        <v>0</v>
      </c>
      <c r="AJ1140" s="58">
        <v>0</v>
      </c>
      <c r="AK1140" s="58">
        <v>0</v>
      </c>
      <c r="AL1140" s="75">
        <f>+SUBTOTAL(9,Tabla6[[#This Row],[ENE]:[DIC]])</f>
        <v>0</v>
      </c>
      <c r="AM1140" s="76" t="str">
        <f t="shared" si="39"/>
        <v>OK</v>
      </c>
      <c r="AN1140" s="60">
        <v>0</v>
      </c>
      <c r="AO1140" s="61">
        <f>+Tabla6[[#This Row],[PRESUPUESTO VIGENTE]]-Tabla6[[#This Row],[CERTIFICACIÓN PAPP]]</f>
        <v>0</v>
      </c>
      <c r="AP1140" s="59">
        <v>0</v>
      </c>
    </row>
    <row r="1141" spans="1:42" ht="93" customHeight="1" x14ac:dyDescent="0.25">
      <c r="A1141" s="62" t="s">
        <v>78</v>
      </c>
      <c r="B1141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141" s="64" t="s">
        <v>79</v>
      </c>
      <c r="D1141" s="64" t="s">
        <v>80</v>
      </c>
      <c r="E1141" s="64" t="s">
        <v>81</v>
      </c>
      <c r="F1141" s="64" t="s">
        <v>112</v>
      </c>
      <c r="G1141" s="64" t="s">
        <v>92</v>
      </c>
      <c r="H1141" s="65" t="str">
        <f>VLOOKUP(Tabla6[[#This Row],[DIRECCIÓN]],DIRECCIÓN[#All],2,0)</f>
        <v>ADMINISTRACIÓN CENTRAL</v>
      </c>
      <c r="I1141" s="66" t="s">
        <v>691</v>
      </c>
      <c r="J1141" s="67">
        <v>1</v>
      </c>
      <c r="K1141" s="68" t="str">
        <f>VLOOKUP(Tabla6[[#This Row],[DIRECCIÓN GENERAL / COORDINACIÓN / SUBDIRECCIÓN]],Tabla37[[#All],[Columna1]:[EOD]],2,0)</f>
        <v>266_0007</v>
      </c>
      <c r="L1141" s="69">
        <f>VLOOKUP(Tabla6[[#This Row],[OBJETIVOS PND]],Listas!$A$1:$C$3,3,0)</f>
        <v>1</v>
      </c>
      <c r="M1141" s="70">
        <f>VLOOKUP(Tabla6[[#This Row],[PG]],Listas2!$G$14:$K$16,5,0)</f>
        <v>0</v>
      </c>
      <c r="N1141" s="71">
        <v>1</v>
      </c>
      <c r="O1141" s="72">
        <v>701</v>
      </c>
      <c r="P1141" s="73" t="str">
        <f>VLOOKUP(Tabla6[[#This Row],[GEO]],Listas!$A$48:$B$77,2,0)</f>
        <v>MACHALA</v>
      </c>
      <c r="Q1141" s="70">
        <f>VLOOKUP(Tabla6[[#This Row],[PG]],Listas2!$G$14:$K$16,3,0)</f>
        <v>1</v>
      </c>
      <c r="R1141" s="73">
        <f>VLOOKUP(Tabla6[[#This Row],[PG]],Listas2!H595:'Listas2'!$G$14:$K$16,4,0)</f>
        <v>0</v>
      </c>
      <c r="S1141" s="73">
        <f>VLOOKUP(Tabla6[[#This Row],[PG]],Listas2!$G$14:$K$16,2,0)</f>
        <v>0</v>
      </c>
      <c r="T1141" s="66" t="s">
        <v>84</v>
      </c>
      <c r="U1141" s="74">
        <v>53</v>
      </c>
      <c r="V1141" s="66">
        <v>530402</v>
      </c>
      <c r="W1141" s="63" t="str">
        <f>VLOOKUP(Tabla6[[#This Row],[ÍTEM PRESUPUESTARIO]],Tabla2[#All],2,0)</f>
        <v>EDIFICIOS, LOCALES, RESIDENCIAS Y CABLEADO ESTRUCTURADO (INSTALACIÓN, MANTENIMIENTO Y REPARACIÓN)</v>
      </c>
      <c r="X1141" s="57">
        <v>80000</v>
      </c>
      <c r="Y1141" s="57">
        <f>46740+40000+8000+741.5-8400-1600+9000+300-69.5-3500-8330-20000-4882</f>
        <v>58000</v>
      </c>
      <c r="Z1141" s="58">
        <v>0</v>
      </c>
      <c r="AA1141" s="58">
        <v>0</v>
      </c>
      <c r="AB1141" s="58">
        <v>0</v>
      </c>
      <c r="AC1141" s="58">
        <v>0</v>
      </c>
      <c r="AD1141" s="58">
        <v>0</v>
      </c>
      <c r="AE1141" s="58">
        <v>0</v>
      </c>
      <c r="AF1141" s="58">
        <v>0</v>
      </c>
      <c r="AG1141" s="58">
        <v>0</v>
      </c>
      <c r="AH1141" s="58">
        <v>0</v>
      </c>
      <c r="AI1141" s="58">
        <v>0</v>
      </c>
      <c r="AJ1141" s="58">
        <v>0</v>
      </c>
      <c r="AK1141" s="58">
        <v>58000</v>
      </c>
      <c r="AL1141" s="75">
        <f>+SUBTOTAL(9,Tabla6[[#This Row],[ENE]:[DIC]])</f>
        <v>58000</v>
      </c>
      <c r="AM1141" s="76" t="str">
        <f t="shared" si="39"/>
        <v>OK</v>
      </c>
      <c r="AN1141" s="60">
        <f>94712-3500-8330-24882</f>
        <v>58000</v>
      </c>
      <c r="AO1141" s="61">
        <f>+Tabla6[[#This Row],[PRESUPUESTO VIGENTE]]-Tabla6[[#This Row],[CERTIFICACIÓN PAPP]]</f>
        <v>0</v>
      </c>
      <c r="AP1141" s="59">
        <v>0</v>
      </c>
    </row>
    <row r="1142" spans="1:42" ht="93" customHeight="1" x14ac:dyDescent="0.25">
      <c r="A1142" s="62" t="s">
        <v>78</v>
      </c>
      <c r="B1142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142" s="64" t="s">
        <v>79</v>
      </c>
      <c r="D1142" s="64" t="s">
        <v>80</v>
      </c>
      <c r="E1142" s="64" t="s">
        <v>81</v>
      </c>
      <c r="F1142" s="64" t="s">
        <v>112</v>
      </c>
      <c r="G1142" s="64" t="s">
        <v>92</v>
      </c>
      <c r="H1142" s="65" t="str">
        <f>VLOOKUP(Tabla6[[#This Row],[DIRECCIÓN]],DIRECCIÓN[#All],2,0)</f>
        <v>ADMINISTRACIÓN CENTRAL</v>
      </c>
      <c r="I1142" s="66" t="s">
        <v>692</v>
      </c>
      <c r="J1142" s="67">
        <v>1</v>
      </c>
      <c r="K1142" s="68" t="str">
        <f>VLOOKUP(Tabla6[[#This Row],[DIRECCIÓN GENERAL / COORDINACIÓN / SUBDIRECCIÓN]],Tabla37[[#All],[Columna1]:[EOD]],2,0)</f>
        <v>266_0007</v>
      </c>
      <c r="L1142" s="69">
        <f>VLOOKUP(Tabla6[[#This Row],[OBJETIVOS PND]],Listas!$A$1:$C$3,3,0)</f>
        <v>1</v>
      </c>
      <c r="M1142" s="70">
        <f>VLOOKUP(Tabla6[[#This Row],[PG]],Listas2!$G$14:$K$16,5,0)</f>
        <v>0</v>
      </c>
      <c r="N1142" s="71">
        <v>1</v>
      </c>
      <c r="O1142" s="72">
        <v>701</v>
      </c>
      <c r="P1142" s="73" t="str">
        <f>VLOOKUP(Tabla6[[#This Row],[GEO]],Listas!$A$48:$B$77,2,0)</f>
        <v>MACHALA</v>
      </c>
      <c r="Q1142" s="70">
        <f>VLOOKUP(Tabla6[[#This Row],[PG]],Listas2!$G$14:$K$16,3,0)</f>
        <v>1</v>
      </c>
      <c r="R1142" s="73">
        <f>VLOOKUP(Tabla6[[#This Row],[PG]],Listas2!H596:'Listas2'!$G$14:$K$16,4,0)</f>
        <v>0</v>
      </c>
      <c r="S1142" s="73">
        <f>VLOOKUP(Tabla6[[#This Row],[PG]],Listas2!$G$14:$K$16,2,0)</f>
        <v>0</v>
      </c>
      <c r="T1142" s="66" t="s">
        <v>84</v>
      </c>
      <c r="U1142" s="74">
        <v>53</v>
      </c>
      <c r="V1142" s="66">
        <v>530402</v>
      </c>
      <c r="W1142" s="63" t="str">
        <f>VLOOKUP(Tabla6[[#This Row],[ÍTEM PRESUPUESTARIO]],Tabla2[#All],2,0)</f>
        <v>EDIFICIOS, LOCALES, RESIDENCIAS Y CABLEADO ESTRUCTURADO (INSTALACIÓN, MANTENIMIENTO Y REPARACIÓN)</v>
      </c>
      <c r="X1142" s="57">
        <v>0</v>
      </c>
      <c r="Y1142" s="57">
        <f>2701-0.94</f>
        <v>2700.06</v>
      </c>
      <c r="Z1142" s="58">
        <v>0</v>
      </c>
      <c r="AA1142" s="58">
        <v>0</v>
      </c>
      <c r="AB1142" s="58">
        <v>0</v>
      </c>
      <c r="AC1142" s="58">
        <v>0</v>
      </c>
      <c r="AD1142" s="58">
        <v>0</v>
      </c>
      <c r="AE1142" s="58">
        <v>0</v>
      </c>
      <c r="AF1142" s="58">
        <v>0</v>
      </c>
      <c r="AG1142" s="58">
        <v>0</v>
      </c>
      <c r="AH1142" s="58">
        <v>0</v>
      </c>
      <c r="AI1142" s="58">
        <v>2700.06</v>
      </c>
      <c r="AJ1142" s="58">
        <v>0</v>
      </c>
      <c r="AK1142" s="58">
        <v>0</v>
      </c>
      <c r="AL1142" s="75">
        <f>+SUBTOTAL(9,Tabla6[[#This Row],[ENE]:[DIC]])</f>
        <v>2700.06</v>
      </c>
      <c r="AM1142" s="76" t="str">
        <f t="shared" si="39"/>
        <v>OK</v>
      </c>
      <c r="AN1142" s="60">
        <v>2700.06</v>
      </c>
      <c r="AO1142" s="61">
        <f>+Tabla6[[#This Row],[PRESUPUESTO VIGENTE]]-Tabla6[[#This Row],[CERTIFICACIÓN PAPP]]</f>
        <v>0</v>
      </c>
      <c r="AP1142" s="59">
        <v>0</v>
      </c>
    </row>
    <row r="1143" spans="1:42" ht="93" customHeight="1" x14ac:dyDescent="0.25">
      <c r="A1143" s="62" t="s">
        <v>78</v>
      </c>
      <c r="B1143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143" s="64" t="s">
        <v>79</v>
      </c>
      <c r="D1143" s="64" t="s">
        <v>80</v>
      </c>
      <c r="E1143" s="64" t="s">
        <v>81</v>
      </c>
      <c r="F1143" s="64" t="s">
        <v>112</v>
      </c>
      <c r="G1143" s="64" t="s">
        <v>92</v>
      </c>
      <c r="H1143" s="65" t="str">
        <f>VLOOKUP(Tabla6[[#This Row],[DIRECCIÓN]],DIRECCIÓN[#All],2,0)</f>
        <v>ADMINISTRACIÓN CENTRAL</v>
      </c>
      <c r="I1143" s="66" t="s">
        <v>693</v>
      </c>
      <c r="J1143" s="67">
        <v>1</v>
      </c>
      <c r="K1143" s="68" t="str">
        <f>VLOOKUP(Tabla6[[#This Row],[DIRECCIÓN GENERAL / COORDINACIÓN / SUBDIRECCIÓN]],Tabla37[[#All],[Columna1]:[EOD]],2,0)</f>
        <v>266_0007</v>
      </c>
      <c r="L1143" s="69">
        <f>VLOOKUP(Tabla6[[#This Row],[OBJETIVOS PND]],Listas!$A$1:$C$3,3,0)</f>
        <v>1</v>
      </c>
      <c r="M1143" s="70">
        <f>VLOOKUP(Tabla6[[#This Row],[PG]],Listas2!$G$14:$K$16,5,0)</f>
        <v>0</v>
      </c>
      <c r="N1143" s="71">
        <v>1</v>
      </c>
      <c r="O1143" s="72">
        <v>701</v>
      </c>
      <c r="P1143" s="73" t="str">
        <f>VLOOKUP(Tabla6[[#This Row],[GEO]],Listas!$A$48:$B$77,2,0)</f>
        <v>MACHALA</v>
      </c>
      <c r="Q1143" s="70">
        <f>VLOOKUP(Tabla6[[#This Row],[PG]],Listas2!$G$14:$K$16,3,0)</f>
        <v>1</v>
      </c>
      <c r="R1143" s="73">
        <f>VLOOKUP(Tabla6[[#This Row],[PG]],Listas2!H597:'Listas2'!$G$14:$K$16,4,0)</f>
        <v>0</v>
      </c>
      <c r="S1143" s="73">
        <f>VLOOKUP(Tabla6[[#This Row],[PG]],Listas2!$G$14:$K$16,2,0)</f>
        <v>0</v>
      </c>
      <c r="T1143" s="66" t="s">
        <v>84</v>
      </c>
      <c r="U1143" s="74">
        <v>53</v>
      </c>
      <c r="V1143" s="66">
        <v>530402</v>
      </c>
      <c r="W1143" s="63" t="str">
        <f>VLOOKUP(Tabla6[[#This Row],[ÍTEM PRESUPUESTARIO]],Tabla2[#All],2,0)</f>
        <v>EDIFICIOS, LOCALES, RESIDENCIAS Y CABLEADO ESTRUCTURADO (INSTALACIÓN, MANTENIMIENTO Y REPARACIÓN)</v>
      </c>
      <c r="X1143" s="57">
        <v>0</v>
      </c>
      <c r="Y1143" s="57">
        <f>6300-118-82.62</f>
        <v>6099.38</v>
      </c>
      <c r="Z1143" s="58">
        <v>0</v>
      </c>
      <c r="AA1143" s="58">
        <v>0</v>
      </c>
      <c r="AB1143" s="58">
        <v>0</v>
      </c>
      <c r="AC1143" s="58">
        <v>0</v>
      </c>
      <c r="AD1143" s="58">
        <v>0</v>
      </c>
      <c r="AE1143" s="58">
        <v>0</v>
      </c>
      <c r="AF1143" s="58">
        <v>0</v>
      </c>
      <c r="AG1143" s="58">
        <v>0</v>
      </c>
      <c r="AH1143" s="58">
        <v>0</v>
      </c>
      <c r="AI1143" s="58">
        <v>0</v>
      </c>
      <c r="AJ1143" s="58">
        <v>0</v>
      </c>
      <c r="AK1143" s="58">
        <v>6099.38</v>
      </c>
      <c r="AL1143" s="75">
        <f>+SUBTOTAL(9,Tabla6[[#This Row],[ENE]:[DIC]])</f>
        <v>6099.38</v>
      </c>
      <c r="AM1143" s="76" t="str">
        <f t="shared" si="39"/>
        <v>OK</v>
      </c>
      <c r="AN1143" s="60">
        <v>6099.38</v>
      </c>
      <c r="AO1143" s="61">
        <f>+Tabla6[[#This Row],[PRESUPUESTO VIGENTE]]-Tabla6[[#This Row],[CERTIFICACIÓN PAPP]]</f>
        <v>0</v>
      </c>
      <c r="AP1143" s="59">
        <v>0</v>
      </c>
    </row>
    <row r="1144" spans="1:42" ht="93" customHeight="1" x14ac:dyDescent="0.25">
      <c r="A1144" s="62" t="s">
        <v>78</v>
      </c>
      <c r="B1144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144" s="64" t="s">
        <v>79</v>
      </c>
      <c r="D1144" s="64" t="s">
        <v>80</v>
      </c>
      <c r="E1144" s="64" t="s">
        <v>81</v>
      </c>
      <c r="F1144" s="64" t="s">
        <v>112</v>
      </c>
      <c r="G1144" s="64" t="s">
        <v>92</v>
      </c>
      <c r="H1144" s="65" t="str">
        <f>VLOOKUP(Tabla6[[#This Row],[DIRECCIÓN]],DIRECCIÓN[#All],2,0)</f>
        <v>ADMINISTRACIÓN CENTRAL</v>
      </c>
      <c r="I1144" s="66" t="s">
        <v>694</v>
      </c>
      <c r="J1144" s="67">
        <v>1</v>
      </c>
      <c r="K1144" s="68" t="str">
        <f>VLOOKUP(Tabla6[[#This Row],[DIRECCIÓN GENERAL / COORDINACIÓN / SUBDIRECCIÓN]],Tabla37[[#All],[Columna1]:[EOD]],2,0)</f>
        <v>266_0007</v>
      </c>
      <c r="L1144" s="69">
        <f>VLOOKUP(Tabla6[[#This Row],[OBJETIVOS PND]],Listas!$A$1:$C$3,3,0)</f>
        <v>1</v>
      </c>
      <c r="M1144" s="70">
        <f>VLOOKUP(Tabla6[[#This Row],[PG]],Listas2!$G$14:$K$16,5,0)</f>
        <v>0</v>
      </c>
      <c r="N1144" s="71">
        <v>1</v>
      </c>
      <c r="O1144" s="72">
        <v>701</v>
      </c>
      <c r="P1144" s="73" t="str">
        <f>VLOOKUP(Tabla6[[#This Row],[GEO]],Listas!$A$48:$B$77,2,0)</f>
        <v>MACHALA</v>
      </c>
      <c r="Q1144" s="70">
        <f>VLOOKUP(Tabla6[[#This Row],[PG]],Listas2!$G$14:$K$16,3,0)</f>
        <v>1</v>
      </c>
      <c r="R1144" s="73">
        <f>VLOOKUP(Tabla6[[#This Row],[PG]],Listas2!H598:'Listas2'!$G$14:$K$16,4,0)</f>
        <v>0</v>
      </c>
      <c r="S1144" s="73">
        <f>VLOOKUP(Tabla6[[#This Row],[PG]],Listas2!$G$14:$K$16,2,0)</f>
        <v>0</v>
      </c>
      <c r="T1144" s="66" t="s">
        <v>84</v>
      </c>
      <c r="U1144" s="74">
        <v>53</v>
      </c>
      <c r="V1144" s="66">
        <v>530403</v>
      </c>
      <c r="W1144" s="63" t="str">
        <f>VLOOKUP(Tabla6[[#This Row],[ÍTEM PRESUPUESTARIO]],Tabla2[#All],2,0)</f>
        <v>MOBILIARIOS (INSTALACIÓN, MANTENIMIENTO Y REPARACIÓN)</v>
      </c>
      <c r="X1144" s="57">
        <v>2800</v>
      </c>
      <c r="Y1144" s="57">
        <v>0</v>
      </c>
      <c r="Z1144" s="58">
        <v>0</v>
      </c>
      <c r="AA1144" s="58">
        <v>0</v>
      </c>
      <c r="AB1144" s="58">
        <v>0</v>
      </c>
      <c r="AC1144" s="58">
        <v>0</v>
      </c>
      <c r="AD1144" s="58">
        <v>0</v>
      </c>
      <c r="AE1144" s="58">
        <v>0</v>
      </c>
      <c r="AF1144" s="58">
        <v>0</v>
      </c>
      <c r="AG1144" s="58">
        <v>0</v>
      </c>
      <c r="AH1144" s="58">
        <v>0</v>
      </c>
      <c r="AI1144" s="58">
        <v>0</v>
      </c>
      <c r="AJ1144" s="58">
        <v>0</v>
      </c>
      <c r="AK1144" s="58">
        <v>0</v>
      </c>
      <c r="AL1144" s="75">
        <f>+SUBTOTAL(9,Tabla6[[#This Row],[ENE]:[DIC]])</f>
        <v>0</v>
      </c>
      <c r="AM1144" s="76" t="str">
        <f t="shared" si="39"/>
        <v>OK</v>
      </c>
      <c r="AN1144" s="60">
        <v>0</v>
      </c>
      <c r="AO1144" s="61">
        <f>+Tabla6[[#This Row],[PRESUPUESTO VIGENTE]]-Tabla6[[#This Row],[CERTIFICACIÓN PAPP]]</f>
        <v>0</v>
      </c>
      <c r="AP1144" s="59">
        <v>0</v>
      </c>
    </row>
    <row r="1145" spans="1:42" ht="93" customHeight="1" x14ac:dyDescent="0.25">
      <c r="A1145" s="62" t="s">
        <v>78</v>
      </c>
      <c r="B1145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145" s="64" t="s">
        <v>79</v>
      </c>
      <c r="D1145" s="64" t="s">
        <v>80</v>
      </c>
      <c r="E1145" s="64" t="s">
        <v>81</v>
      </c>
      <c r="F1145" s="64" t="s">
        <v>112</v>
      </c>
      <c r="G1145" s="64" t="s">
        <v>92</v>
      </c>
      <c r="H1145" s="65" t="str">
        <f>VLOOKUP(Tabla6[[#This Row],[DIRECCIÓN]],DIRECCIÓN[#All],2,0)</f>
        <v>ADMINISTRACIÓN CENTRAL</v>
      </c>
      <c r="I1145" s="66" t="s">
        <v>676</v>
      </c>
      <c r="J1145" s="67">
        <v>1</v>
      </c>
      <c r="K1145" s="68" t="str">
        <f>VLOOKUP(Tabla6[[#This Row],[DIRECCIÓN GENERAL / COORDINACIÓN / SUBDIRECCIÓN]],Tabla37[[#All],[Columna1]:[EOD]],2,0)</f>
        <v>266_0007</v>
      </c>
      <c r="L1145" s="69">
        <f>VLOOKUP(Tabla6[[#This Row],[OBJETIVOS PND]],Listas!$A$1:$C$3,3,0)</f>
        <v>1</v>
      </c>
      <c r="M1145" s="70">
        <f>VLOOKUP(Tabla6[[#This Row],[PG]],Listas2!$G$14:$K$16,5,0)</f>
        <v>0</v>
      </c>
      <c r="N1145" s="71">
        <v>1</v>
      </c>
      <c r="O1145" s="72">
        <v>701</v>
      </c>
      <c r="P1145" s="73" t="str">
        <f>VLOOKUP(Tabla6[[#This Row],[GEO]],Listas!$A$48:$B$77,2,0)</f>
        <v>MACHALA</v>
      </c>
      <c r="Q1145" s="70">
        <f>VLOOKUP(Tabla6[[#This Row],[PG]],Listas2!$G$14:$K$16,3,0)</f>
        <v>1</v>
      </c>
      <c r="R1145" s="73">
        <f>VLOOKUP(Tabla6[[#This Row],[PG]],Listas2!H599:'Listas2'!$G$14:$K$16,4,0)</f>
        <v>0</v>
      </c>
      <c r="S1145" s="73">
        <f>VLOOKUP(Tabla6[[#This Row],[PG]],Listas2!$G$14:$K$16,2,0)</f>
        <v>0</v>
      </c>
      <c r="T1145" s="66" t="s">
        <v>84</v>
      </c>
      <c r="U1145" s="74">
        <v>53</v>
      </c>
      <c r="V1145" s="66">
        <v>530404</v>
      </c>
      <c r="W1145" s="63" t="str">
        <f>VLOOKUP(Tabla6[[#This Row],[ÍTEM PRESUPUESTARIO]],Tabla2[#All],2,0)</f>
        <v>MAQUINARIAS Y EQUIPOS (INSTALACIÓN, MANTENIMIENTO Y REPARACIÓN)</v>
      </c>
      <c r="X1145" s="57">
        <v>100</v>
      </c>
      <c r="Y1145" s="57">
        <v>0</v>
      </c>
      <c r="Z1145" s="58">
        <v>0</v>
      </c>
      <c r="AA1145" s="58">
        <v>0</v>
      </c>
      <c r="AB1145" s="58">
        <v>0</v>
      </c>
      <c r="AC1145" s="58">
        <v>0</v>
      </c>
      <c r="AD1145" s="58">
        <v>0</v>
      </c>
      <c r="AE1145" s="58">
        <v>0</v>
      </c>
      <c r="AF1145" s="58">
        <v>0</v>
      </c>
      <c r="AG1145" s="58">
        <v>0</v>
      </c>
      <c r="AH1145" s="58">
        <v>0</v>
      </c>
      <c r="AI1145" s="58">
        <v>0</v>
      </c>
      <c r="AJ1145" s="58">
        <v>0</v>
      </c>
      <c r="AK1145" s="58">
        <v>0</v>
      </c>
      <c r="AL1145" s="75">
        <f>+SUBTOTAL(9,Tabla6[[#This Row],[ENE]:[DIC]])</f>
        <v>0</v>
      </c>
      <c r="AM1145" s="76" t="str">
        <f t="shared" si="39"/>
        <v>OK</v>
      </c>
      <c r="AN1145" s="60">
        <v>0</v>
      </c>
      <c r="AO1145" s="61">
        <f>+Tabla6[[#This Row],[PRESUPUESTO VIGENTE]]-Tabla6[[#This Row],[CERTIFICACIÓN PAPP]]</f>
        <v>0</v>
      </c>
      <c r="AP1145" s="59">
        <v>0</v>
      </c>
    </row>
    <row r="1146" spans="1:42" ht="93" customHeight="1" x14ac:dyDescent="0.25">
      <c r="A1146" s="62" t="s">
        <v>78</v>
      </c>
      <c r="B1146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146" s="64" t="s">
        <v>79</v>
      </c>
      <c r="D1146" s="64" t="s">
        <v>80</v>
      </c>
      <c r="E1146" s="64" t="s">
        <v>81</v>
      </c>
      <c r="F1146" s="64" t="s">
        <v>112</v>
      </c>
      <c r="G1146" s="64" t="s">
        <v>92</v>
      </c>
      <c r="H1146" s="65" t="str">
        <f>VLOOKUP(Tabla6[[#This Row],[DIRECCIÓN]],DIRECCIÓN[#All],2,0)</f>
        <v>ADMINISTRACIÓN CENTRAL</v>
      </c>
      <c r="I1146" s="66" t="s">
        <v>695</v>
      </c>
      <c r="J1146" s="67">
        <v>1</v>
      </c>
      <c r="K1146" s="68" t="str">
        <f>VLOOKUP(Tabla6[[#This Row],[DIRECCIÓN GENERAL / COORDINACIÓN / SUBDIRECCIÓN]],Tabla37[[#All],[Columna1]:[EOD]],2,0)</f>
        <v>266_0007</v>
      </c>
      <c r="L1146" s="69">
        <f>VLOOKUP(Tabla6[[#This Row],[OBJETIVOS PND]],Listas!$A$1:$C$3,3,0)</f>
        <v>1</v>
      </c>
      <c r="M1146" s="70">
        <f>VLOOKUP(Tabla6[[#This Row],[PG]],Listas2!$G$14:$K$16,5,0)</f>
        <v>0</v>
      </c>
      <c r="N1146" s="71">
        <v>1</v>
      </c>
      <c r="O1146" s="72">
        <v>701</v>
      </c>
      <c r="P1146" s="73" t="str">
        <f>VLOOKUP(Tabla6[[#This Row],[GEO]],Listas!$A$48:$B$77,2,0)</f>
        <v>MACHALA</v>
      </c>
      <c r="Q1146" s="70">
        <f>VLOOKUP(Tabla6[[#This Row],[PG]],Listas2!$G$14:$K$16,3,0)</f>
        <v>1</v>
      </c>
      <c r="R1146" s="73">
        <f>VLOOKUP(Tabla6[[#This Row],[PG]],Listas2!H600:'Listas2'!$G$14:$K$16,4,0)</f>
        <v>0</v>
      </c>
      <c r="S1146" s="73">
        <f>VLOOKUP(Tabla6[[#This Row],[PG]],Listas2!$G$14:$K$16,2,0)</f>
        <v>0</v>
      </c>
      <c r="T1146" s="66" t="s">
        <v>84</v>
      </c>
      <c r="U1146" s="74">
        <v>53</v>
      </c>
      <c r="V1146" s="66">
        <v>530404</v>
      </c>
      <c r="W1146" s="63" t="str">
        <f>VLOOKUP(Tabla6[[#This Row],[ÍTEM PRESUPUESTARIO]],Tabla2[#All],2,0)</f>
        <v>MAQUINARIAS Y EQUIPOS (INSTALACIÓN, MANTENIMIENTO Y REPARACIÓN)</v>
      </c>
      <c r="X1146" s="57">
        <v>5500</v>
      </c>
      <c r="Y1146" s="57">
        <f>5500-730.74-59.37</f>
        <v>4709.8900000000003</v>
      </c>
      <c r="Z1146" s="58">
        <v>0</v>
      </c>
      <c r="AA1146" s="58">
        <v>392.49</v>
      </c>
      <c r="AB1146" s="58">
        <v>392.49</v>
      </c>
      <c r="AC1146" s="58">
        <v>392.49</v>
      </c>
      <c r="AD1146" s="58">
        <v>392.49</v>
      </c>
      <c r="AE1146" s="58">
        <v>392.49</v>
      </c>
      <c r="AF1146" s="58">
        <v>392.49</v>
      </c>
      <c r="AG1146" s="58">
        <v>392.49</v>
      </c>
      <c r="AH1146" s="58">
        <v>392.49</v>
      </c>
      <c r="AI1146" s="58">
        <v>392.49</v>
      </c>
      <c r="AJ1146" s="58">
        <v>392.49</v>
      </c>
      <c r="AK1146" s="58">
        <v>784.99</v>
      </c>
      <c r="AL1146" s="75">
        <f>+SUBTOTAL(9,Tabla6[[#This Row],[ENE]:[DIC]])</f>
        <v>4709.8899999999994</v>
      </c>
      <c r="AM1146" s="76" t="str">
        <f t="shared" si="39"/>
        <v>OK</v>
      </c>
      <c r="AN1146" s="60">
        <f>4709.88+0.01</f>
        <v>4709.8900000000003</v>
      </c>
      <c r="AO1146" s="61">
        <f>+Tabla6[[#This Row],[PRESUPUESTO VIGENTE]]-Tabla6[[#This Row],[CERTIFICACIÓN PAPP]]</f>
        <v>0</v>
      </c>
      <c r="AP1146" s="59" t="s">
        <v>87</v>
      </c>
    </row>
    <row r="1147" spans="1:42" ht="93" customHeight="1" x14ac:dyDescent="0.25">
      <c r="A1147" s="62" t="s">
        <v>78</v>
      </c>
      <c r="B1147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147" s="64" t="s">
        <v>79</v>
      </c>
      <c r="D1147" s="64" t="s">
        <v>80</v>
      </c>
      <c r="E1147" s="64" t="s">
        <v>81</v>
      </c>
      <c r="F1147" s="64" t="s">
        <v>112</v>
      </c>
      <c r="G1147" s="64" t="s">
        <v>92</v>
      </c>
      <c r="H1147" s="65" t="str">
        <f>VLOOKUP(Tabla6[[#This Row],[DIRECCIÓN]],DIRECCIÓN[#All],2,0)</f>
        <v>ADMINISTRACIÓN CENTRAL</v>
      </c>
      <c r="I1147" s="66" t="s">
        <v>696</v>
      </c>
      <c r="J1147" s="67">
        <v>1</v>
      </c>
      <c r="K1147" s="68" t="str">
        <f>VLOOKUP(Tabla6[[#This Row],[DIRECCIÓN GENERAL / COORDINACIÓN / SUBDIRECCIÓN]],Tabla37[[#All],[Columna1]:[EOD]],2,0)</f>
        <v>266_0007</v>
      </c>
      <c r="L1147" s="69">
        <f>VLOOKUP(Tabla6[[#This Row],[OBJETIVOS PND]],Listas!$A$1:$C$3,3,0)</f>
        <v>1</v>
      </c>
      <c r="M1147" s="70">
        <f>VLOOKUP(Tabla6[[#This Row],[PG]],Listas2!$G$14:$K$16,5,0)</f>
        <v>0</v>
      </c>
      <c r="N1147" s="71">
        <v>1</v>
      </c>
      <c r="O1147" s="72">
        <v>701</v>
      </c>
      <c r="P1147" s="73" t="str">
        <f>VLOOKUP(Tabla6[[#This Row],[GEO]],Listas!$A$48:$B$77,2,0)</f>
        <v>MACHALA</v>
      </c>
      <c r="Q1147" s="70">
        <f>VLOOKUP(Tabla6[[#This Row],[PG]],Listas2!$G$14:$K$16,3,0)</f>
        <v>1</v>
      </c>
      <c r="R1147" s="73">
        <f>VLOOKUP(Tabla6[[#This Row],[PG]],Listas2!H601:'Listas2'!$G$14:$K$16,4,0)</f>
        <v>0</v>
      </c>
      <c r="S1147" s="73">
        <f>VLOOKUP(Tabla6[[#This Row],[PG]],Listas2!$G$14:$K$16,2,0)</f>
        <v>0</v>
      </c>
      <c r="T1147" s="66" t="s">
        <v>84</v>
      </c>
      <c r="U1147" s="74">
        <v>53</v>
      </c>
      <c r="V1147" s="66">
        <v>530404</v>
      </c>
      <c r="W1147" s="63" t="str">
        <f>VLOOKUP(Tabla6[[#This Row],[ÍTEM PRESUPUESTARIO]],Tabla2[#All],2,0)</f>
        <v>MAQUINARIAS Y EQUIPOS (INSTALACIÓN, MANTENIMIENTO Y REPARACIÓN)</v>
      </c>
      <c r="X1147" s="57">
        <v>85000</v>
      </c>
      <c r="Y1147" s="57">
        <v>0</v>
      </c>
      <c r="Z1147" s="58">
        <v>0</v>
      </c>
      <c r="AA1147" s="58">
        <v>0</v>
      </c>
      <c r="AB1147" s="58">
        <v>0</v>
      </c>
      <c r="AC1147" s="58">
        <v>0</v>
      </c>
      <c r="AD1147" s="58">
        <v>0</v>
      </c>
      <c r="AE1147" s="58" t="s">
        <v>778</v>
      </c>
      <c r="AF1147" s="58">
        <v>0</v>
      </c>
      <c r="AG1147" s="58">
        <v>0</v>
      </c>
      <c r="AH1147" s="58" t="s">
        <v>778</v>
      </c>
      <c r="AI1147" s="58">
        <v>0</v>
      </c>
      <c r="AJ1147" s="58">
        <v>0</v>
      </c>
      <c r="AK1147" s="58">
        <v>0</v>
      </c>
      <c r="AL1147" s="75">
        <f>+SUBTOTAL(9,Tabla6[[#This Row],[ENE]:[DIC]])</f>
        <v>0</v>
      </c>
      <c r="AM1147" s="76" t="str">
        <f t="shared" si="39"/>
        <v>OK</v>
      </c>
      <c r="AN1147" s="60">
        <v>0</v>
      </c>
      <c r="AO1147" s="61">
        <f>+Tabla6[[#This Row],[PRESUPUESTO VIGENTE]]-Tabla6[[#This Row],[CERTIFICACIÓN PAPP]]</f>
        <v>0</v>
      </c>
      <c r="AP1147" s="59" t="s">
        <v>87</v>
      </c>
    </row>
    <row r="1148" spans="1:42" ht="93" customHeight="1" x14ac:dyDescent="0.25">
      <c r="A1148" s="62" t="s">
        <v>78</v>
      </c>
      <c r="B1148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148" s="64" t="s">
        <v>79</v>
      </c>
      <c r="D1148" s="64" t="s">
        <v>80</v>
      </c>
      <c r="E1148" s="64" t="s">
        <v>81</v>
      </c>
      <c r="F1148" s="64" t="s">
        <v>112</v>
      </c>
      <c r="G1148" s="64" t="s">
        <v>92</v>
      </c>
      <c r="H1148" s="65" t="str">
        <f>VLOOKUP(Tabla6[[#This Row],[DIRECCIÓN]],DIRECCIÓN[#All],2,0)</f>
        <v>ADMINISTRACIÓN CENTRAL</v>
      </c>
      <c r="I1148" s="66" t="s">
        <v>676</v>
      </c>
      <c r="J1148" s="67">
        <v>1</v>
      </c>
      <c r="K1148" s="68" t="str">
        <f>VLOOKUP(Tabla6[[#This Row],[DIRECCIÓN GENERAL / COORDINACIÓN / SUBDIRECCIÓN]],Tabla37[[#All],[Columna1]:[EOD]],2,0)</f>
        <v>266_0007</v>
      </c>
      <c r="L1148" s="69">
        <f>VLOOKUP(Tabla6[[#This Row],[OBJETIVOS PND]],Listas!$A$1:$C$3,3,0)</f>
        <v>1</v>
      </c>
      <c r="M1148" s="70">
        <f>VLOOKUP(Tabla6[[#This Row],[PG]],Listas2!$G$14:$K$16,5,0)</f>
        <v>0</v>
      </c>
      <c r="N1148" s="71">
        <v>1</v>
      </c>
      <c r="O1148" s="72">
        <v>701</v>
      </c>
      <c r="P1148" s="73" t="str">
        <f>VLOOKUP(Tabla6[[#This Row],[GEO]],Listas!$A$48:$B$77,2,0)</f>
        <v>MACHALA</v>
      </c>
      <c r="Q1148" s="70">
        <f>VLOOKUP(Tabla6[[#This Row],[PG]],Listas2!$G$14:$K$16,3,0)</f>
        <v>1</v>
      </c>
      <c r="R1148" s="73">
        <f>VLOOKUP(Tabla6[[#This Row],[PG]],Listas2!H602:'Listas2'!$G$14:$K$16,4,0)</f>
        <v>0</v>
      </c>
      <c r="S1148" s="73">
        <f>VLOOKUP(Tabla6[[#This Row],[PG]],Listas2!$G$14:$K$16,2,0)</f>
        <v>0</v>
      </c>
      <c r="T1148" s="66" t="s">
        <v>84</v>
      </c>
      <c r="U1148" s="74">
        <v>53</v>
      </c>
      <c r="V1148" s="66">
        <v>530405</v>
      </c>
      <c r="W1148" s="63" t="str">
        <f>VLOOKUP(Tabla6[[#This Row],[ÍTEM PRESUPUESTARIO]],Tabla2[#All],2,0)</f>
        <v>VEHÍCULOS (SERVICIO PARA MANTENIMIENTO Y REPARACIÓN)</v>
      </c>
      <c r="X1148" s="57">
        <v>100</v>
      </c>
      <c r="Y1148" s="57">
        <f>140-90-40</f>
        <v>10</v>
      </c>
      <c r="Z1148" s="58">
        <v>0</v>
      </c>
      <c r="AA1148" s="58">
        <v>0</v>
      </c>
      <c r="AB1148" s="58">
        <v>0</v>
      </c>
      <c r="AC1148" s="58">
        <v>0</v>
      </c>
      <c r="AD1148" s="58">
        <v>0</v>
      </c>
      <c r="AE1148" s="58">
        <v>0</v>
      </c>
      <c r="AF1148" s="58">
        <v>0</v>
      </c>
      <c r="AG1148" s="58">
        <v>0</v>
      </c>
      <c r="AH1148" s="58">
        <v>0</v>
      </c>
      <c r="AI1148" s="58">
        <v>0</v>
      </c>
      <c r="AJ1148" s="58">
        <v>0</v>
      </c>
      <c r="AK1148" s="58">
        <v>10</v>
      </c>
      <c r="AL1148" s="75">
        <f>+SUBTOTAL(9,Tabla6[[#This Row],[ENE]:[DIC]])</f>
        <v>10</v>
      </c>
      <c r="AM1148" s="76" t="str">
        <f t="shared" si="39"/>
        <v>OK</v>
      </c>
      <c r="AN1148" s="60">
        <f>80+40-70-40</f>
        <v>10</v>
      </c>
      <c r="AO1148" s="61">
        <f>+Tabla6[[#This Row],[PRESUPUESTO VIGENTE]]-Tabla6[[#This Row],[CERTIFICACIÓN PAPP]]</f>
        <v>0</v>
      </c>
      <c r="AP1148" s="59">
        <v>0</v>
      </c>
    </row>
    <row r="1149" spans="1:42" ht="93" customHeight="1" x14ac:dyDescent="0.25">
      <c r="A1149" s="62" t="s">
        <v>78</v>
      </c>
      <c r="B1149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149" s="64" t="s">
        <v>79</v>
      </c>
      <c r="D1149" s="64" t="s">
        <v>80</v>
      </c>
      <c r="E1149" s="64" t="s">
        <v>81</v>
      </c>
      <c r="F1149" s="64" t="s">
        <v>112</v>
      </c>
      <c r="G1149" s="64" t="s">
        <v>92</v>
      </c>
      <c r="H1149" s="65" t="str">
        <f>VLOOKUP(Tabla6[[#This Row],[DIRECCIÓN]],DIRECCIÓN[#All],2,0)</f>
        <v>ADMINISTRACIÓN CENTRAL</v>
      </c>
      <c r="I1149" s="66" t="s">
        <v>697</v>
      </c>
      <c r="J1149" s="67">
        <v>1</v>
      </c>
      <c r="K1149" s="68" t="str">
        <f>VLOOKUP(Tabla6[[#This Row],[DIRECCIÓN GENERAL / COORDINACIÓN / SUBDIRECCIÓN]],Tabla37[[#All],[Columna1]:[EOD]],2,0)</f>
        <v>266_0007</v>
      </c>
      <c r="L1149" s="69">
        <f>VLOOKUP(Tabla6[[#This Row],[OBJETIVOS PND]],Listas!$A$1:$C$3,3,0)</f>
        <v>1</v>
      </c>
      <c r="M1149" s="70">
        <f>VLOOKUP(Tabla6[[#This Row],[PG]],Listas2!$G$14:$K$16,5,0)</f>
        <v>0</v>
      </c>
      <c r="N1149" s="71">
        <v>1</v>
      </c>
      <c r="O1149" s="72">
        <v>701</v>
      </c>
      <c r="P1149" s="73" t="str">
        <f>VLOOKUP(Tabla6[[#This Row],[GEO]],Listas!$A$48:$B$77,2,0)</f>
        <v>MACHALA</v>
      </c>
      <c r="Q1149" s="70">
        <f>VLOOKUP(Tabla6[[#This Row],[PG]],Listas2!$G$14:$K$16,3,0)</f>
        <v>1</v>
      </c>
      <c r="R1149" s="73">
        <f>VLOOKUP(Tabla6[[#This Row],[PG]],Listas2!H603:'Listas2'!$G$14:$K$16,4,0)</f>
        <v>0</v>
      </c>
      <c r="S1149" s="73">
        <f>VLOOKUP(Tabla6[[#This Row],[PG]],Listas2!$G$14:$K$16,2,0)</f>
        <v>0</v>
      </c>
      <c r="T1149" s="66" t="s">
        <v>84</v>
      </c>
      <c r="U1149" s="74">
        <v>53</v>
      </c>
      <c r="V1149" s="66">
        <v>530405</v>
      </c>
      <c r="W1149" s="63" t="str">
        <f>VLOOKUP(Tabla6[[#This Row],[ÍTEM PRESUPUESTARIO]],Tabla2[#All],2,0)</f>
        <v>VEHÍCULOS (SERVICIO PARA MANTENIMIENTO Y REPARACIÓN)</v>
      </c>
      <c r="X1149" s="57">
        <v>650</v>
      </c>
      <c r="Y1149" s="57">
        <v>0</v>
      </c>
      <c r="Z1149" s="58">
        <v>0</v>
      </c>
      <c r="AA1149" s="58">
        <v>0</v>
      </c>
      <c r="AB1149" s="58">
        <v>0</v>
      </c>
      <c r="AC1149" s="58">
        <v>0</v>
      </c>
      <c r="AD1149" s="58">
        <v>0</v>
      </c>
      <c r="AE1149" s="58">
        <v>0</v>
      </c>
      <c r="AF1149" s="58">
        <v>0</v>
      </c>
      <c r="AG1149" s="58">
        <v>0</v>
      </c>
      <c r="AH1149" s="58">
        <v>0</v>
      </c>
      <c r="AI1149" s="58">
        <v>0</v>
      </c>
      <c r="AJ1149" s="58">
        <v>0</v>
      </c>
      <c r="AK1149" s="58">
        <v>0</v>
      </c>
      <c r="AL1149" s="75">
        <f>+SUBTOTAL(9,Tabla6[[#This Row],[ENE]:[DIC]])</f>
        <v>0</v>
      </c>
      <c r="AM1149" s="76" t="str">
        <f t="shared" si="39"/>
        <v>OK</v>
      </c>
      <c r="AN1149" s="60">
        <v>0</v>
      </c>
      <c r="AO1149" s="61">
        <f>+Tabla6[[#This Row],[PRESUPUESTO VIGENTE]]-Tabla6[[#This Row],[CERTIFICACIÓN PAPP]]</f>
        <v>0</v>
      </c>
      <c r="AP1149" s="59" t="s">
        <v>87</v>
      </c>
    </row>
    <row r="1150" spans="1:42" ht="93" customHeight="1" x14ac:dyDescent="0.25">
      <c r="A1150" s="62" t="s">
        <v>78</v>
      </c>
      <c r="B1150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150" s="64" t="s">
        <v>79</v>
      </c>
      <c r="D1150" s="64" t="s">
        <v>80</v>
      </c>
      <c r="E1150" s="64" t="s">
        <v>81</v>
      </c>
      <c r="F1150" s="64" t="s">
        <v>112</v>
      </c>
      <c r="G1150" s="64" t="s">
        <v>92</v>
      </c>
      <c r="H1150" s="65" t="str">
        <f>VLOOKUP(Tabla6[[#This Row],[DIRECCIÓN]],DIRECCIÓN[#All],2,0)</f>
        <v>ADMINISTRACIÓN CENTRAL</v>
      </c>
      <c r="I1150" s="66" t="s">
        <v>698</v>
      </c>
      <c r="J1150" s="67">
        <v>1</v>
      </c>
      <c r="K1150" s="68" t="str">
        <f>VLOOKUP(Tabla6[[#This Row],[DIRECCIÓN GENERAL / COORDINACIÓN / SUBDIRECCIÓN]],Tabla37[[#All],[Columna1]:[EOD]],2,0)</f>
        <v>266_0007</v>
      </c>
      <c r="L1150" s="69">
        <f>VLOOKUP(Tabla6[[#This Row],[OBJETIVOS PND]],Listas!$A$1:$C$3,3,0)</f>
        <v>1</v>
      </c>
      <c r="M1150" s="70">
        <f>VLOOKUP(Tabla6[[#This Row],[PG]],Listas2!$G$14:$K$16,5,0)</f>
        <v>0</v>
      </c>
      <c r="N1150" s="71">
        <v>1</v>
      </c>
      <c r="O1150" s="72">
        <v>701</v>
      </c>
      <c r="P1150" s="73" t="str">
        <f>VLOOKUP(Tabla6[[#This Row],[GEO]],Listas!$A$48:$B$77,2,0)</f>
        <v>MACHALA</v>
      </c>
      <c r="Q1150" s="70">
        <f>VLOOKUP(Tabla6[[#This Row],[PG]],Listas2!$G$14:$K$16,3,0)</f>
        <v>1</v>
      </c>
      <c r="R1150" s="73">
        <f>VLOOKUP(Tabla6[[#This Row],[PG]],Listas2!H604:'Listas2'!$G$14:$K$16,4,0)</f>
        <v>0</v>
      </c>
      <c r="S1150" s="73">
        <f>VLOOKUP(Tabla6[[#This Row],[PG]],Listas2!$G$14:$K$16,2,0)</f>
        <v>0</v>
      </c>
      <c r="T1150" s="66" t="s">
        <v>84</v>
      </c>
      <c r="U1150" s="74">
        <v>53</v>
      </c>
      <c r="V1150" s="66">
        <v>530405</v>
      </c>
      <c r="W1150" s="63" t="str">
        <f>VLOOKUP(Tabla6[[#This Row],[ÍTEM PRESUPUESTARIO]],Tabla2[#All],2,0)</f>
        <v>VEHÍCULOS (SERVICIO PARA MANTENIMIENTO Y REPARACIÓN)</v>
      </c>
      <c r="X1150" s="57">
        <v>3000</v>
      </c>
      <c r="Y1150" s="57">
        <f>30700-88.9-0.01</f>
        <v>30611.09</v>
      </c>
      <c r="Z1150" s="58">
        <v>0</v>
      </c>
      <c r="AA1150" s="58">
        <v>0</v>
      </c>
      <c r="AB1150" s="58">
        <v>0</v>
      </c>
      <c r="AC1150" s="58">
        <v>0</v>
      </c>
      <c r="AD1150" s="58">
        <v>0</v>
      </c>
      <c r="AE1150" s="58">
        <v>0</v>
      </c>
      <c r="AF1150" s="58">
        <v>0</v>
      </c>
      <c r="AG1150" s="58">
        <v>0</v>
      </c>
      <c r="AH1150" s="58">
        <v>0</v>
      </c>
      <c r="AI1150" s="58">
        <v>0</v>
      </c>
      <c r="AJ1150" s="58">
        <v>0</v>
      </c>
      <c r="AK1150" s="58">
        <v>30611.09</v>
      </c>
      <c r="AL1150" s="75">
        <f>+SUBTOTAL(9,Tabla6[[#This Row],[ENE]:[DIC]])</f>
        <v>30611.09</v>
      </c>
      <c r="AM1150" s="76" t="str">
        <f t="shared" si="39"/>
        <v>OK</v>
      </c>
      <c r="AN1150" s="60">
        <v>30611.09</v>
      </c>
      <c r="AO1150" s="61">
        <f>+Tabla6[[#This Row],[PRESUPUESTO VIGENTE]]-Tabla6[[#This Row],[CERTIFICACIÓN PAPP]]</f>
        <v>0</v>
      </c>
      <c r="AP1150" s="59">
        <v>0</v>
      </c>
    </row>
    <row r="1151" spans="1:42" ht="93" customHeight="1" x14ac:dyDescent="0.25">
      <c r="A1151" s="62" t="s">
        <v>78</v>
      </c>
      <c r="B1151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151" s="64" t="s">
        <v>79</v>
      </c>
      <c r="D1151" s="64" t="s">
        <v>80</v>
      </c>
      <c r="E1151" s="64" t="s">
        <v>81</v>
      </c>
      <c r="F1151" s="64" t="s">
        <v>112</v>
      </c>
      <c r="G1151" s="64" t="s">
        <v>92</v>
      </c>
      <c r="H1151" s="65" t="str">
        <f>VLOOKUP(Tabla6[[#This Row],[DIRECCIÓN]],DIRECCIÓN[#All],2,0)</f>
        <v>ADMINISTRACIÓN CENTRAL</v>
      </c>
      <c r="I1151" s="66" t="s">
        <v>699</v>
      </c>
      <c r="J1151" s="67">
        <v>1</v>
      </c>
      <c r="K1151" s="68" t="str">
        <f>VLOOKUP(Tabla6[[#This Row],[DIRECCIÓN GENERAL / COORDINACIÓN / SUBDIRECCIÓN]],Tabla37[[#All],[Columna1]:[EOD]],2,0)</f>
        <v>266_0007</v>
      </c>
      <c r="L1151" s="69">
        <f>VLOOKUP(Tabla6[[#This Row],[OBJETIVOS PND]],Listas!$A$1:$C$3,3,0)</f>
        <v>1</v>
      </c>
      <c r="M1151" s="70">
        <f>VLOOKUP(Tabla6[[#This Row],[PG]],Listas2!$G$14:$K$16,5,0)</f>
        <v>0</v>
      </c>
      <c r="N1151" s="71">
        <v>1</v>
      </c>
      <c r="O1151" s="72">
        <v>701</v>
      </c>
      <c r="P1151" s="73" t="str">
        <f>VLOOKUP(Tabla6[[#This Row],[GEO]],Listas!$A$48:$B$77,2,0)</f>
        <v>MACHALA</v>
      </c>
      <c r="Q1151" s="70">
        <f>VLOOKUP(Tabla6[[#This Row],[PG]],Listas2!$G$14:$K$16,3,0)</f>
        <v>1</v>
      </c>
      <c r="R1151" s="73">
        <f>VLOOKUP(Tabla6[[#This Row],[PG]],Listas2!H605:'Listas2'!$G$14:$K$16,4,0)</f>
        <v>0</v>
      </c>
      <c r="S1151" s="73">
        <f>VLOOKUP(Tabla6[[#This Row],[PG]],Listas2!$G$14:$K$16,2,0)</f>
        <v>0</v>
      </c>
      <c r="T1151" s="66" t="s">
        <v>84</v>
      </c>
      <c r="U1151" s="74">
        <v>53</v>
      </c>
      <c r="V1151" s="66">
        <v>530802</v>
      </c>
      <c r="W1151" s="63" t="str">
        <f>VLOOKUP(Tabla6[[#This Row],[ÍTEM PRESUPUESTARIO]],Tabla2[#All],2,0)</f>
        <v>VESTUARIO, LENCERÍA, PRENDAS DE PROTECCIÓN Y ACCESORIOS PARA UNIFORMES DEL PERSONAL DE PROTECCIÓN, VIGILANCIA Y SEGURIDAD</v>
      </c>
      <c r="X1151" s="57">
        <v>0</v>
      </c>
      <c r="Y1151" s="57">
        <v>0</v>
      </c>
      <c r="Z1151" s="58">
        <v>0</v>
      </c>
      <c r="AA1151" s="58">
        <v>0</v>
      </c>
      <c r="AB1151" s="58">
        <v>0</v>
      </c>
      <c r="AC1151" s="58">
        <v>0</v>
      </c>
      <c r="AD1151" s="58">
        <v>0</v>
      </c>
      <c r="AE1151" s="58">
        <v>0</v>
      </c>
      <c r="AF1151" s="58">
        <v>0</v>
      </c>
      <c r="AG1151" s="58">
        <v>0</v>
      </c>
      <c r="AH1151" s="58">
        <v>0</v>
      </c>
      <c r="AI1151" s="58">
        <v>0</v>
      </c>
      <c r="AJ1151" s="58">
        <v>0</v>
      </c>
      <c r="AK1151" s="58">
        <v>0</v>
      </c>
      <c r="AL1151" s="75">
        <f>+SUBTOTAL(9,Tabla6[[#This Row],[ENE]:[DIC]])</f>
        <v>0</v>
      </c>
      <c r="AM1151" s="76" t="str">
        <f t="shared" si="39"/>
        <v>OK</v>
      </c>
      <c r="AN1151" s="60">
        <v>0</v>
      </c>
      <c r="AO1151" s="61">
        <f>+Tabla6[[#This Row],[PRESUPUESTO VIGENTE]]-Tabla6[[#This Row],[CERTIFICACIÓN PAPP]]</f>
        <v>0</v>
      </c>
      <c r="AP1151" s="59">
        <v>0</v>
      </c>
    </row>
    <row r="1152" spans="1:42" ht="93" customHeight="1" x14ac:dyDescent="0.25">
      <c r="A1152" s="62" t="s">
        <v>78</v>
      </c>
      <c r="B1152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152" s="64" t="s">
        <v>79</v>
      </c>
      <c r="D1152" s="64" t="s">
        <v>80</v>
      </c>
      <c r="E1152" s="64" t="s">
        <v>81</v>
      </c>
      <c r="F1152" s="64" t="s">
        <v>112</v>
      </c>
      <c r="G1152" s="64" t="s">
        <v>92</v>
      </c>
      <c r="H1152" s="65" t="str">
        <f>VLOOKUP(Tabla6[[#This Row],[DIRECCIÓN]],DIRECCIÓN[#All],2,0)</f>
        <v>ADMINISTRACIÓN CENTRAL</v>
      </c>
      <c r="I1152" s="66" t="s">
        <v>700</v>
      </c>
      <c r="J1152" s="67">
        <v>1</v>
      </c>
      <c r="K1152" s="68" t="str">
        <f>VLOOKUP(Tabla6[[#This Row],[DIRECCIÓN GENERAL / COORDINACIÓN / SUBDIRECCIÓN]],Tabla37[[#All],[Columna1]:[EOD]],2,0)</f>
        <v>266_0007</v>
      </c>
      <c r="L1152" s="69">
        <f>VLOOKUP(Tabla6[[#This Row],[OBJETIVOS PND]],Listas!$A$1:$C$3,3,0)</f>
        <v>1</v>
      </c>
      <c r="M1152" s="70">
        <f>VLOOKUP(Tabla6[[#This Row],[PG]],Listas2!$G$14:$K$16,5,0)</f>
        <v>0</v>
      </c>
      <c r="N1152" s="71">
        <v>1</v>
      </c>
      <c r="O1152" s="72">
        <v>701</v>
      </c>
      <c r="P1152" s="73" t="str">
        <f>VLOOKUP(Tabla6[[#This Row],[GEO]],Listas!$A$48:$B$77,2,0)</f>
        <v>MACHALA</v>
      </c>
      <c r="Q1152" s="70">
        <f>VLOOKUP(Tabla6[[#This Row],[PG]],Listas2!$G$14:$K$16,3,0)</f>
        <v>1</v>
      </c>
      <c r="R1152" s="73">
        <f>VLOOKUP(Tabla6[[#This Row],[PG]],Listas2!H606:'Listas2'!$G$14:$K$16,4,0)</f>
        <v>0</v>
      </c>
      <c r="S1152" s="73">
        <f>VLOOKUP(Tabla6[[#This Row],[PG]],Listas2!$G$14:$K$16,2,0)</f>
        <v>0</v>
      </c>
      <c r="T1152" s="66" t="s">
        <v>84</v>
      </c>
      <c r="U1152" s="74">
        <v>53</v>
      </c>
      <c r="V1152" s="66">
        <v>530803</v>
      </c>
      <c r="W1152" s="63" t="str">
        <f>VLOOKUP(Tabla6[[#This Row],[ÍTEM PRESUPUESTARIO]],Tabla2[#All],2,0)</f>
        <v>LUBRICANTES</v>
      </c>
      <c r="X1152" s="57">
        <v>5500</v>
      </c>
      <c r="Y1152" s="57">
        <v>0</v>
      </c>
      <c r="Z1152" s="58">
        <v>0</v>
      </c>
      <c r="AA1152" s="58">
        <v>0</v>
      </c>
      <c r="AB1152" s="58">
        <v>0</v>
      </c>
      <c r="AC1152" s="58">
        <v>0</v>
      </c>
      <c r="AD1152" s="58">
        <v>0</v>
      </c>
      <c r="AE1152" s="58">
        <v>0</v>
      </c>
      <c r="AF1152" s="58">
        <v>0</v>
      </c>
      <c r="AG1152" s="58">
        <v>0</v>
      </c>
      <c r="AH1152" s="58">
        <v>0</v>
      </c>
      <c r="AI1152" s="58">
        <v>0</v>
      </c>
      <c r="AJ1152" s="58">
        <v>0</v>
      </c>
      <c r="AK1152" s="58">
        <v>0</v>
      </c>
      <c r="AL1152" s="75">
        <f>+SUBTOTAL(9,Tabla6[[#This Row],[ENE]:[DIC]])</f>
        <v>0</v>
      </c>
      <c r="AM1152" s="76" t="str">
        <f t="shared" si="39"/>
        <v>OK</v>
      </c>
      <c r="AN1152" s="60">
        <v>0</v>
      </c>
      <c r="AO1152" s="61">
        <f>+Tabla6[[#This Row],[PRESUPUESTO VIGENTE]]-Tabla6[[#This Row],[CERTIFICACIÓN PAPP]]</f>
        <v>0</v>
      </c>
      <c r="AP1152" s="59">
        <v>0</v>
      </c>
    </row>
    <row r="1153" spans="1:42" ht="93" customHeight="1" x14ac:dyDescent="0.25">
      <c r="A1153" s="62" t="s">
        <v>78</v>
      </c>
      <c r="B1153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153" s="64" t="s">
        <v>79</v>
      </c>
      <c r="D1153" s="64" t="s">
        <v>80</v>
      </c>
      <c r="E1153" s="64" t="s">
        <v>81</v>
      </c>
      <c r="F1153" s="64" t="s">
        <v>112</v>
      </c>
      <c r="G1153" s="64" t="s">
        <v>92</v>
      </c>
      <c r="H1153" s="65" t="str">
        <f>VLOOKUP(Tabla6[[#This Row],[DIRECCIÓN]],DIRECCIÓN[#All],2,0)</f>
        <v>ADMINISTRACIÓN CENTRAL</v>
      </c>
      <c r="I1153" s="66" t="s">
        <v>676</v>
      </c>
      <c r="J1153" s="67">
        <v>1</v>
      </c>
      <c r="K1153" s="68" t="str">
        <f>VLOOKUP(Tabla6[[#This Row],[DIRECCIÓN GENERAL / COORDINACIÓN / SUBDIRECCIÓN]],Tabla37[[#All],[Columna1]:[EOD]],2,0)</f>
        <v>266_0007</v>
      </c>
      <c r="L1153" s="69">
        <f>VLOOKUP(Tabla6[[#This Row],[OBJETIVOS PND]],Listas!$A$1:$C$3,3,0)</f>
        <v>1</v>
      </c>
      <c r="M1153" s="70">
        <f>VLOOKUP(Tabla6[[#This Row],[PG]],Listas2!$G$14:$K$16,5,0)</f>
        <v>0</v>
      </c>
      <c r="N1153" s="71">
        <v>1</v>
      </c>
      <c r="O1153" s="72">
        <v>701</v>
      </c>
      <c r="P1153" s="73" t="str">
        <f>VLOOKUP(Tabla6[[#This Row],[GEO]],Listas!$A$48:$B$77,2,0)</f>
        <v>MACHALA</v>
      </c>
      <c r="Q1153" s="70">
        <f>VLOOKUP(Tabla6[[#This Row],[PG]],Listas2!$G$14:$K$16,3,0)</f>
        <v>1</v>
      </c>
      <c r="R1153" s="73">
        <f>VLOOKUP(Tabla6[[#This Row],[PG]],Listas2!H607:'Listas2'!$G$14:$K$16,4,0)</f>
        <v>0</v>
      </c>
      <c r="S1153" s="73">
        <f>VLOOKUP(Tabla6[[#This Row],[PG]],Listas2!$G$14:$K$16,2,0)</f>
        <v>0</v>
      </c>
      <c r="T1153" s="66" t="s">
        <v>84</v>
      </c>
      <c r="U1153" s="74">
        <v>53</v>
      </c>
      <c r="V1153" s="66">
        <v>530803</v>
      </c>
      <c r="W1153" s="63" t="str">
        <f>VLOOKUP(Tabla6[[#This Row],[ÍTEM PRESUPUESTARIO]],Tabla2[#All],2,0)</f>
        <v>LUBRICANTES</v>
      </c>
      <c r="X1153" s="57">
        <v>0</v>
      </c>
      <c r="Y1153" s="57">
        <v>0</v>
      </c>
      <c r="Z1153" s="58">
        <v>0</v>
      </c>
      <c r="AA1153" s="58">
        <v>0</v>
      </c>
      <c r="AB1153" s="58">
        <v>0</v>
      </c>
      <c r="AC1153" s="58">
        <v>0</v>
      </c>
      <c r="AD1153" s="58">
        <v>0</v>
      </c>
      <c r="AE1153" s="58">
        <v>0</v>
      </c>
      <c r="AF1153" s="58">
        <v>0</v>
      </c>
      <c r="AG1153" s="58">
        <v>0</v>
      </c>
      <c r="AH1153" s="58">
        <v>0</v>
      </c>
      <c r="AI1153" s="58">
        <v>0</v>
      </c>
      <c r="AJ1153" s="58">
        <v>0</v>
      </c>
      <c r="AK1153" s="58">
        <v>0</v>
      </c>
      <c r="AL1153" s="75">
        <f>+SUBTOTAL(9,Tabla6[[#This Row],[ENE]:[DIC]])</f>
        <v>0</v>
      </c>
      <c r="AM1153" s="76" t="str">
        <f t="shared" si="39"/>
        <v>OK</v>
      </c>
      <c r="AN1153" s="60">
        <v>0</v>
      </c>
      <c r="AO1153" s="61">
        <f>+Tabla6[[#This Row],[PRESUPUESTO VIGENTE]]-Tabla6[[#This Row],[CERTIFICACIÓN PAPP]]</f>
        <v>0</v>
      </c>
      <c r="AP1153" s="59">
        <v>0</v>
      </c>
    </row>
    <row r="1154" spans="1:42" ht="93" customHeight="1" x14ac:dyDescent="0.25">
      <c r="A1154" s="62" t="s">
        <v>78</v>
      </c>
      <c r="B1154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154" s="64" t="s">
        <v>79</v>
      </c>
      <c r="D1154" s="64" t="s">
        <v>80</v>
      </c>
      <c r="E1154" s="64" t="s">
        <v>81</v>
      </c>
      <c r="F1154" s="64" t="s">
        <v>112</v>
      </c>
      <c r="G1154" s="64" t="s">
        <v>92</v>
      </c>
      <c r="H1154" s="65" t="str">
        <f>VLOOKUP(Tabla6[[#This Row],[DIRECCIÓN]],DIRECCIÓN[#All],2,0)</f>
        <v>ADMINISTRACIÓN CENTRAL</v>
      </c>
      <c r="I1154" s="66" t="s">
        <v>701</v>
      </c>
      <c r="J1154" s="67">
        <v>1</v>
      </c>
      <c r="K1154" s="68" t="str">
        <f>VLOOKUP(Tabla6[[#This Row],[DIRECCIÓN GENERAL / COORDINACIÓN / SUBDIRECCIÓN]],Tabla37[[#All],[Columna1]:[EOD]],2,0)</f>
        <v>266_0007</v>
      </c>
      <c r="L1154" s="69">
        <f>VLOOKUP(Tabla6[[#This Row],[OBJETIVOS PND]],Listas!$A$1:$C$3,3,0)</f>
        <v>1</v>
      </c>
      <c r="M1154" s="70">
        <f>VLOOKUP(Tabla6[[#This Row],[PG]],Listas2!$G$14:$K$16,5,0)</f>
        <v>0</v>
      </c>
      <c r="N1154" s="71">
        <v>1</v>
      </c>
      <c r="O1154" s="72">
        <v>701</v>
      </c>
      <c r="P1154" s="73" t="str">
        <f>VLOOKUP(Tabla6[[#This Row],[GEO]],Listas!$A$48:$B$77,2,0)</f>
        <v>MACHALA</v>
      </c>
      <c r="Q1154" s="70">
        <f>VLOOKUP(Tabla6[[#This Row],[PG]],Listas2!$G$14:$K$16,3,0)</f>
        <v>1</v>
      </c>
      <c r="R1154" s="73">
        <f>VLOOKUP(Tabla6[[#This Row],[PG]],Listas2!H608:'Listas2'!$G$14:$K$16,4,0)</f>
        <v>0</v>
      </c>
      <c r="S1154" s="73">
        <f>VLOOKUP(Tabla6[[#This Row],[PG]],Listas2!$G$14:$K$16,2,0)</f>
        <v>0</v>
      </c>
      <c r="T1154" s="66" t="s">
        <v>84</v>
      </c>
      <c r="U1154" s="74">
        <v>53</v>
      </c>
      <c r="V1154" s="66">
        <v>530804</v>
      </c>
      <c r="W1154" s="63" t="str">
        <f>VLOOKUP(Tabla6[[#This Row],[ÍTEM PRESUPUESTARIO]],Tabla2[#All],2,0)</f>
        <v>MATERIALES DE OFICINA</v>
      </c>
      <c r="X1154" s="57">
        <v>1200</v>
      </c>
      <c r="Y1154" s="57">
        <v>1111.03</v>
      </c>
      <c r="Z1154" s="58">
        <v>0</v>
      </c>
      <c r="AA1154" s="58">
        <v>0</v>
      </c>
      <c r="AB1154" s="58">
        <v>0</v>
      </c>
      <c r="AC1154" s="58">
        <v>800</v>
      </c>
      <c r="AD1154" s="58">
        <v>0</v>
      </c>
      <c r="AE1154" s="58">
        <v>311.02999999999997</v>
      </c>
      <c r="AF1154" s="58">
        <v>0</v>
      </c>
      <c r="AG1154" s="58">
        <v>0</v>
      </c>
      <c r="AH1154" s="58">
        <v>0</v>
      </c>
      <c r="AI1154" s="58">
        <v>0</v>
      </c>
      <c r="AJ1154" s="58">
        <v>0</v>
      </c>
      <c r="AK1154" s="58">
        <v>0</v>
      </c>
      <c r="AL1154" s="75">
        <f>+SUBTOTAL(9,Tabla6[[#This Row],[ENE]:[DIC]])</f>
        <v>1111.03</v>
      </c>
      <c r="AM1154" s="76" t="str">
        <f t="shared" ref="AM1154:AM1185" si="40">IF(AL1154=Y1154,"OK",Y1154-AL1154)</f>
        <v>OK</v>
      </c>
      <c r="AN1154" s="60">
        <f>418.37-116.49+809.15</f>
        <v>1111.03</v>
      </c>
      <c r="AO1154" s="61">
        <f>+Tabla6[[#This Row],[PRESUPUESTO VIGENTE]]-Tabla6[[#This Row],[CERTIFICACIÓN PAPP]]</f>
        <v>0</v>
      </c>
      <c r="AP1154" s="59">
        <v>0</v>
      </c>
    </row>
    <row r="1155" spans="1:42" ht="93" customHeight="1" x14ac:dyDescent="0.25">
      <c r="A1155" s="62" t="s">
        <v>78</v>
      </c>
      <c r="B1155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155" s="64" t="s">
        <v>79</v>
      </c>
      <c r="D1155" s="64" t="s">
        <v>80</v>
      </c>
      <c r="E1155" s="64" t="s">
        <v>81</v>
      </c>
      <c r="F1155" s="64" t="s">
        <v>112</v>
      </c>
      <c r="G1155" s="64" t="s">
        <v>92</v>
      </c>
      <c r="H1155" s="65" t="str">
        <f>VLOOKUP(Tabla6[[#This Row],[DIRECCIÓN]],DIRECCIÓN[#All],2,0)</f>
        <v>ADMINISTRACIÓN CENTRAL</v>
      </c>
      <c r="I1155" s="66" t="s">
        <v>702</v>
      </c>
      <c r="J1155" s="67">
        <v>1</v>
      </c>
      <c r="K1155" s="68" t="str">
        <f>VLOOKUP(Tabla6[[#This Row],[DIRECCIÓN GENERAL / COORDINACIÓN / SUBDIRECCIÓN]],Tabla37[[#All],[Columna1]:[EOD]],2,0)</f>
        <v>266_0007</v>
      </c>
      <c r="L1155" s="69">
        <f>VLOOKUP(Tabla6[[#This Row],[OBJETIVOS PND]],Listas!$A$1:$C$3,3,0)</f>
        <v>1</v>
      </c>
      <c r="M1155" s="70">
        <f>VLOOKUP(Tabla6[[#This Row],[PG]],Listas2!$G$14:$K$16,5,0)</f>
        <v>0</v>
      </c>
      <c r="N1155" s="71">
        <v>1</v>
      </c>
      <c r="O1155" s="72">
        <v>701</v>
      </c>
      <c r="P1155" s="73" t="str">
        <f>VLOOKUP(Tabla6[[#This Row],[GEO]],Listas!$A$48:$B$77,2,0)</f>
        <v>MACHALA</v>
      </c>
      <c r="Q1155" s="70">
        <f>VLOOKUP(Tabla6[[#This Row],[PG]],Listas2!$G$14:$K$16,3,0)</f>
        <v>1</v>
      </c>
      <c r="R1155" s="73">
        <f>VLOOKUP(Tabla6[[#This Row],[PG]],Listas2!H609:'Listas2'!$G$14:$K$16,4,0)</f>
        <v>0</v>
      </c>
      <c r="S1155" s="73">
        <f>VLOOKUP(Tabla6[[#This Row],[PG]],Listas2!$G$14:$K$16,2,0)</f>
        <v>0</v>
      </c>
      <c r="T1155" s="66" t="s">
        <v>84</v>
      </c>
      <c r="U1155" s="74">
        <v>53</v>
      </c>
      <c r="V1155" s="66">
        <v>530804</v>
      </c>
      <c r="W1155" s="63" t="str">
        <f>VLOOKUP(Tabla6[[#This Row],[ÍTEM PRESUPUESTARIO]],Tabla2[#All],2,0)</f>
        <v>MATERIALES DE OFICINA</v>
      </c>
      <c r="X1155" s="57">
        <v>0</v>
      </c>
      <c r="Y1155" s="57">
        <f>88.97-18.73-18.74</f>
        <v>51.5</v>
      </c>
      <c r="Z1155" s="58">
        <v>0</v>
      </c>
      <c r="AA1155" s="58">
        <v>0</v>
      </c>
      <c r="AB1155" s="58">
        <v>0</v>
      </c>
      <c r="AC1155" s="58">
        <v>0</v>
      </c>
      <c r="AD1155" s="58">
        <v>0</v>
      </c>
      <c r="AE1155" s="58">
        <v>51.5</v>
      </c>
      <c r="AF1155" s="58">
        <v>0</v>
      </c>
      <c r="AG1155" s="58">
        <v>0</v>
      </c>
      <c r="AH1155" s="58">
        <v>0</v>
      </c>
      <c r="AI1155" s="58">
        <v>0</v>
      </c>
      <c r="AJ1155" s="58">
        <v>0</v>
      </c>
      <c r="AK1155" s="58">
        <v>0</v>
      </c>
      <c r="AL1155" s="75">
        <f>+SUBTOTAL(9,Tabla6[[#This Row],[ENE]:[DIC]])</f>
        <v>51.5</v>
      </c>
      <c r="AM1155" s="76" t="str">
        <f t="shared" si="40"/>
        <v>OK</v>
      </c>
      <c r="AN1155" s="60">
        <v>51.5</v>
      </c>
      <c r="AO1155" s="61">
        <f>+Tabla6[[#This Row],[PRESUPUESTO VIGENTE]]-Tabla6[[#This Row],[CERTIFICACIÓN PAPP]]</f>
        <v>0</v>
      </c>
      <c r="AP1155" s="59">
        <v>0</v>
      </c>
    </row>
    <row r="1156" spans="1:42" ht="93" customHeight="1" x14ac:dyDescent="0.25">
      <c r="A1156" s="62" t="s">
        <v>78</v>
      </c>
      <c r="B1156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156" s="64" t="s">
        <v>79</v>
      </c>
      <c r="D1156" s="64" t="s">
        <v>80</v>
      </c>
      <c r="E1156" s="64" t="s">
        <v>81</v>
      </c>
      <c r="F1156" s="64" t="s">
        <v>112</v>
      </c>
      <c r="G1156" s="64" t="s">
        <v>92</v>
      </c>
      <c r="H1156" s="65" t="str">
        <f>VLOOKUP(Tabla6[[#This Row],[DIRECCIÓN]],DIRECCIÓN[#All],2,0)</f>
        <v>ADMINISTRACIÓN CENTRAL</v>
      </c>
      <c r="I1156" s="66" t="s">
        <v>703</v>
      </c>
      <c r="J1156" s="67">
        <v>1</v>
      </c>
      <c r="K1156" s="68" t="str">
        <f>VLOOKUP(Tabla6[[#This Row],[DIRECCIÓN GENERAL / COORDINACIÓN / SUBDIRECCIÓN]],Tabla37[[#All],[Columna1]:[EOD]],2,0)</f>
        <v>266_0007</v>
      </c>
      <c r="L1156" s="69">
        <f>VLOOKUP(Tabla6[[#This Row],[OBJETIVOS PND]],Listas!$A$1:$C$3,3,0)</f>
        <v>1</v>
      </c>
      <c r="M1156" s="70">
        <f>VLOOKUP(Tabla6[[#This Row],[PG]],Listas2!$G$14:$K$16,5,0)</f>
        <v>0</v>
      </c>
      <c r="N1156" s="71">
        <v>1</v>
      </c>
      <c r="O1156" s="72">
        <v>701</v>
      </c>
      <c r="P1156" s="73" t="str">
        <f>VLOOKUP(Tabla6[[#This Row],[GEO]],Listas!$A$48:$B$77,2,0)</f>
        <v>MACHALA</v>
      </c>
      <c r="Q1156" s="70">
        <f>VLOOKUP(Tabla6[[#This Row],[PG]],Listas2!$G$14:$K$16,3,0)</f>
        <v>1</v>
      </c>
      <c r="R1156" s="73">
        <f>VLOOKUP(Tabla6[[#This Row],[PG]],Listas2!H610:'Listas2'!$G$14:$K$16,4,0)</f>
        <v>0</v>
      </c>
      <c r="S1156" s="73">
        <f>VLOOKUP(Tabla6[[#This Row],[PG]],Listas2!$G$14:$K$16,2,0)</f>
        <v>0</v>
      </c>
      <c r="T1156" s="66" t="s">
        <v>84</v>
      </c>
      <c r="U1156" s="74">
        <v>53</v>
      </c>
      <c r="V1156" s="66">
        <v>530805</v>
      </c>
      <c r="W1156" s="63" t="str">
        <f>VLOOKUP(Tabla6[[#This Row],[ÍTEM PRESUPUESTARIO]],Tabla2[#All],2,0)</f>
        <v>MATERIALES DE ASEO</v>
      </c>
      <c r="X1156" s="57">
        <v>3000</v>
      </c>
      <c r="Y1156" s="57">
        <v>0</v>
      </c>
      <c r="Z1156" s="58">
        <v>0</v>
      </c>
      <c r="AA1156" s="58">
        <v>0</v>
      </c>
      <c r="AB1156" s="58">
        <v>0</v>
      </c>
      <c r="AC1156" s="58">
        <v>0</v>
      </c>
      <c r="AD1156" s="58">
        <v>0</v>
      </c>
      <c r="AE1156" s="58">
        <v>0</v>
      </c>
      <c r="AF1156" s="58">
        <v>0</v>
      </c>
      <c r="AG1156" s="58">
        <v>0</v>
      </c>
      <c r="AH1156" s="58">
        <v>0</v>
      </c>
      <c r="AI1156" s="58">
        <v>0</v>
      </c>
      <c r="AJ1156" s="58">
        <v>0</v>
      </c>
      <c r="AK1156" s="58">
        <v>0</v>
      </c>
      <c r="AL1156" s="75">
        <f>+SUBTOTAL(9,Tabla6[[#This Row],[ENE]:[DIC]])</f>
        <v>0</v>
      </c>
      <c r="AM1156" s="76" t="str">
        <f t="shared" si="40"/>
        <v>OK</v>
      </c>
      <c r="AN1156" s="60">
        <v>0</v>
      </c>
      <c r="AO1156" s="61">
        <f>+Tabla6[[#This Row],[PRESUPUESTO VIGENTE]]-Tabla6[[#This Row],[CERTIFICACIÓN PAPP]]</f>
        <v>0</v>
      </c>
      <c r="AP1156" s="59">
        <v>0</v>
      </c>
    </row>
    <row r="1157" spans="1:42" ht="93" customHeight="1" x14ac:dyDescent="0.25">
      <c r="A1157" s="62" t="s">
        <v>78</v>
      </c>
      <c r="B1157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157" s="64" t="s">
        <v>79</v>
      </c>
      <c r="D1157" s="64" t="s">
        <v>80</v>
      </c>
      <c r="E1157" s="64" t="s">
        <v>81</v>
      </c>
      <c r="F1157" s="64" t="s">
        <v>112</v>
      </c>
      <c r="G1157" s="64" t="s">
        <v>92</v>
      </c>
      <c r="H1157" s="65" t="str">
        <f>VLOOKUP(Tabla6[[#This Row],[DIRECCIÓN]],DIRECCIÓN[#All],2,0)</f>
        <v>ADMINISTRACIÓN CENTRAL</v>
      </c>
      <c r="I1157" s="66" t="s">
        <v>704</v>
      </c>
      <c r="J1157" s="67">
        <v>1</v>
      </c>
      <c r="K1157" s="68" t="str">
        <f>VLOOKUP(Tabla6[[#This Row],[DIRECCIÓN GENERAL / COORDINACIÓN / SUBDIRECCIÓN]],Tabla37[[#All],[Columna1]:[EOD]],2,0)</f>
        <v>266_0007</v>
      </c>
      <c r="L1157" s="69">
        <f>VLOOKUP(Tabla6[[#This Row],[OBJETIVOS PND]],Listas!$A$1:$C$3,3,0)</f>
        <v>1</v>
      </c>
      <c r="M1157" s="70">
        <f>VLOOKUP(Tabla6[[#This Row],[PG]],Listas2!$G$14:$K$16,5,0)</f>
        <v>0</v>
      </c>
      <c r="N1157" s="71">
        <v>1</v>
      </c>
      <c r="O1157" s="72">
        <v>701</v>
      </c>
      <c r="P1157" s="73" t="str">
        <f>VLOOKUP(Tabla6[[#This Row],[GEO]],Listas!$A$48:$B$77,2,0)</f>
        <v>MACHALA</v>
      </c>
      <c r="Q1157" s="70">
        <f>VLOOKUP(Tabla6[[#This Row],[PG]],Listas2!$G$14:$K$16,3,0)</f>
        <v>1</v>
      </c>
      <c r="R1157" s="73">
        <f>VLOOKUP(Tabla6[[#This Row],[PG]],Listas2!H611:'Listas2'!$G$14:$K$16,4,0)</f>
        <v>0</v>
      </c>
      <c r="S1157" s="73">
        <f>VLOOKUP(Tabla6[[#This Row],[PG]],Listas2!$G$14:$K$16,2,0)</f>
        <v>0</v>
      </c>
      <c r="T1157" s="66" t="s">
        <v>84</v>
      </c>
      <c r="U1157" s="74">
        <v>53</v>
      </c>
      <c r="V1157" s="66">
        <v>530805</v>
      </c>
      <c r="W1157" s="63" t="str">
        <f>VLOOKUP(Tabla6[[#This Row],[ÍTEM PRESUPUESTARIO]],Tabla2[#All],2,0)</f>
        <v>MATERIALES DE ASEO</v>
      </c>
      <c r="X1157" s="57">
        <v>7000</v>
      </c>
      <c r="Y1157" s="57">
        <f>900-5.05-5.05</f>
        <v>889.90000000000009</v>
      </c>
      <c r="Z1157" s="58">
        <v>0</v>
      </c>
      <c r="AA1157" s="58">
        <v>0</v>
      </c>
      <c r="AB1157" s="58">
        <v>889.9</v>
      </c>
      <c r="AC1157" s="58">
        <v>0</v>
      </c>
      <c r="AD1157" s="58">
        <v>0</v>
      </c>
      <c r="AE1157" s="58">
        <v>0</v>
      </c>
      <c r="AF1157" s="58">
        <v>0</v>
      </c>
      <c r="AG1157" s="58">
        <v>0</v>
      </c>
      <c r="AH1157" s="58">
        <v>0</v>
      </c>
      <c r="AI1157" s="58">
        <v>0</v>
      </c>
      <c r="AJ1157" s="58">
        <v>0</v>
      </c>
      <c r="AK1157" s="58">
        <v>0</v>
      </c>
      <c r="AL1157" s="75">
        <f>+SUBTOTAL(9,Tabla6[[#This Row],[ENE]:[DIC]])</f>
        <v>889.9</v>
      </c>
      <c r="AM1157" s="76" t="str">
        <f t="shared" si="40"/>
        <v>OK</v>
      </c>
      <c r="AN1157" s="60">
        <f>894.37-4.47</f>
        <v>889.9</v>
      </c>
      <c r="AO1157" s="61">
        <f>+Tabla6[[#This Row],[PRESUPUESTO VIGENTE]]-Tabla6[[#This Row],[CERTIFICACIÓN PAPP]]</f>
        <v>0</v>
      </c>
      <c r="AP1157" s="59">
        <v>0</v>
      </c>
    </row>
    <row r="1158" spans="1:42" ht="93" customHeight="1" x14ac:dyDescent="0.25">
      <c r="A1158" s="62" t="s">
        <v>78</v>
      </c>
      <c r="B1158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158" s="64" t="s">
        <v>79</v>
      </c>
      <c r="D1158" s="64" t="s">
        <v>80</v>
      </c>
      <c r="E1158" s="64" t="s">
        <v>81</v>
      </c>
      <c r="F1158" s="64" t="s">
        <v>112</v>
      </c>
      <c r="G1158" s="64" t="s">
        <v>92</v>
      </c>
      <c r="H1158" s="65" t="str">
        <f>VLOOKUP(Tabla6[[#This Row],[DIRECCIÓN]],DIRECCIÓN[#All],2,0)</f>
        <v>ADMINISTRACIÓN CENTRAL</v>
      </c>
      <c r="I1158" s="66" t="s">
        <v>705</v>
      </c>
      <c r="J1158" s="67">
        <v>1</v>
      </c>
      <c r="K1158" s="68" t="str">
        <f>VLOOKUP(Tabla6[[#This Row],[DIRECCIÓN GENERAL / COORDINACIÓN / SUBDIRECCIÓN]],Tabla37[[#All],[Columna1]:[EOD]],2,0)</f>
        <v>266_0007</v>
      </c>
      <c r="L1158" s="69">
        <f>VLOOKUP(Tabla6[[#This Row],[OBJETIVOS PND]],Listas!$A$1:$C$3,3,0)</f>
        <v>1</v>
      </c>
      <c r="M1158" s="70">
        <f>VLOOKUP(Tabla6[[#This Row],[PG]],Listas2!$G$14:$K$16,5,0)</f>
        <v>0</v>
      </c>
      <c r="N1158" s="71">
        <v>1</v>
      </c>
      <c r="O1158" s="72">
        <v>701</v>
      </c>
      <c r="P1158" s="73" t="str">
        <f>VLOOKUP(Tabla6[[#This Row],[GEO]],Listas!$A$48:$B$77,2,0)</f>
        <v>MACHALA</v>
      </c>
      <c r="Q1158" s="70">
        <f>VLOOKUP(Tabla6[[#This Row],[PG]],Listas2!$G$14:$K$16,3,0)</f>
        <v>1</v>
      </c>
      <c r="R1158" s="73">
        <f>VLOOKUP(Tabla6[[#This Row],[PG]],Listas2!H612:'Listas2'!$G$14:$K$16,4,0)</f>
        <v>0</v>
      </c>
      <c r="S1158" s="73">
        <f>VLOOKUP(Tabla6[[#This Row],[PG]],Listas2!$G$14:$K$16,2,0)</f>
        <v>0</v>
      </c>
      <c r="T1158" s="66" t="s">
        <v>84</v>
      </c>
      <c r="U1158" s="74">
        <v>53</v>
      </c>
      <c r="V1158" s="66">
        <v>530807</v>
      </c>
      <c r="W1158" s="63" t="str">
        <f>VLOOKUP(Tabla6[[#This Row],[ÍTEM PRESUPUESTARIO]],Tabla2[#All],2,0)</f>
        <v>MATERIALES DE IMPRESIÓN, FOTOGRAFÍA, REPRODUCCIÓN Y PUBLICACIONES</v>
      </c>
      <c r="X1158" s="57">
        <v>5500</v>
      </c>
      <c r="Y1158" s="57">
        <f>5500-1479-0.12</f>
        <v>4020.88</v>
      </c>
      <c r="Z1158" s="58">
        <v>0</v>
      </c>
      <c r="AA1158" s="58">
        <v>0</v>
      </c>
      <c r="AB1158" s="58">
        <v>0</v>
      </c>
      <c r="AC1158" s="58">
        <v>0</v>
      </c>
      <c r="AD1158" s="58">
        <v>0</v>
      </c>
      <c r="AE1158" s="58">
        <v>4020.88</v>
      </c>
      <c r="AF1158" s="58">
        <v>0</v>
      </c>
      <c r="AG1158" s="58">
        <v>0</v>
      </c>
      <c r="AH1158" s="58">
        <v>0</v>
      </c>
      <c r="AI1158" s="58">
        <v>0</v>
      </c>
      <c r="AJ1158" s="58">
        <v>0</v>
      </c>
      <c r="AK1158" s="58">
        <v>0</v>
      </c>
      <c r="AL1158" s="75">
        <f>+SUBTOTAL(9,Tabla6[[#This Row],[ENE]:[DIC]])</f>
        <v>4020.88</v>
      </c>
      <c r="AM1158" s="76" t="str">
        <f t="shared" si="40"/>
        <v>OK</v>
      </c>
      <c r="AN1158" s="60">
        <f>3820.81+274.1-74.03</f>
        <v>4020.8799999999997</v>
      </c>
      <c r="AO1158" s="61">
        <f>+Tabla6[[#This Row],[PRESUPUESTO VIGENTE]]-Tabla6[[#This Row],[CERTIFICACIÓN PAPP]]</f>
        <v>0</v>
      </c>
      <c r="AP1158" s="59" t="s">
        <v>87</v>
      </c>
    </row>
    <row r="1159" spans="1:42" ht="93" customHeight="1" x14ac:dyDescent="0.25">
      <c r="A1159" s="62" t="s">
        <v>78</v>
      </c>
      <c r="B1159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159" s="64" t="s">
        <v>79</v>
      </c>
      <c r="D1159" s="64" t="s">
        <v>80</v>
      </c>
      <c r="E1159" s="64" t="s">
        <v>81</v>
      </c>
      <c r="F1159" s="64" t="s">
        <v>112</v>
      </c>
      <c r="G1159" s="64" t="s">
        <v>92</v>
      </c>
      <c r="H1159" s="65" t="str">
        <f>VLOOKUP(Tabla6[[#This Row],[DIRECCIÓN]],DIRECCIÓN[#All],2,0)</f>
        <v>ADMINISTRACIÓN CENTRAL</v>
      </c>
      <c r="I1159" s="66" t="s">
        <v>676</v>
      </c>
      <c r="J1159" s="67">
        <v>1</v>
      </c>
      <c r="K1159" s="68" t="str">
        <f>VLOOKUP(Tabla6[[#This Row],[DIRECCIÓN GENERAL / COORDINACIÓN / SUBDIRECCIÓN]],Tabla37[[#All],[Columna1]:[EOD]],2,0)</f>
        <v>266_0007</v>
      </c>
      <c r="L1159" s="69">
        <f>VLOOKUP(Tabla6[[#This Row],[OBJETIVOS PND]],Listas!$A$1:$C$3,3,0)</f>
        <v>1</v>
      </c>
      <c r="M1159" s="70">
        <f>VLOOKUP(Tabla6[[#This Row],[PG]],Listas2!$G$14:$K$16,5,0)</f>
        <v>0</v>
      </c>
      <c r="N1159" s="71">
        <v>1</v>
      </c>
      <c r="O1159" s="72">
        <v>701</v>
      </c>
      <c r="P1159" s="73" t="str">
        <f>VLOOKUP(Tabla6[[#This Row],[GEO]],Listas!$A$48:$B$77,2,0)</f>
        <v>MACHALA</v>
      </c>
      <c r="Q1159" s="70">
        <f>VLOOKUP(Tabla6[[#This Row],[PG]],Listas2!$G$14:$K$16,3,0)</f>
        <v>1</v>
      </c>
      <c r="R1159" s="73">
        <f>VLOOKUP(Tabla6[[#This Row],[PG]],Listas2!H613:'Listas2'!$G$14:$K$16,4,0)</f>
        <v>0</v>
      </c>
      <c r="S1159" s="73">
        <f>VLOOKUP(Tabla6[[#This Row],[PG]],Listas2!$G$14:$K$16,2,0)</f>
        <v>0</v>
      </c>
      <c r="T1159" s="66" t="s">
        <v>84</v>
      </c>
      <c r="U1159" s="74">
        <v>53</v>
      </c>
      <c r="V1159" s="66">
        <v>530811</v>
      </c>
      <c r="W1159" s="63" t="str">
        <f>VLOOKUP(Tabla6[[#This Row],[ÍTEM PRESUPUESTARIO]],Tabla2[#All],2,0)</f>
        <v>INSUMOS, MATERIALES Y SUMINISTROS PARA CONSTRUCCIÓN, ELECTRICIDAD, PLOMERÍA, CARPINTERÍA, SEÑALIZACIÓN VIAL, NAVEGACIÓN, CONTRA INCENDIOS Y PLACAS</v>
      </c>
      <c r="X1159" s="57">
        <v>100</v>
      </c>
      <c r="Y1159" s="57">
        <f>200-1-37.92</f>
        <v>161.07999999999998</v>
      </c>
      <c r="Z1159" s="58">
        <v>0</v>
      </c>
      <c r="AA1159" s="58">
        <v>0</v>
      </c>
      <c r="AB1159" s="58">
        <v>0</v>
      </c>
      <c r="AC1159" s="58">
        <v>0</v>
      </c>
      <c r="AD1159" s="58">
        <v>0</v>
      </c>
      <c r="AE1159" s="58">
        <v>0</v>
      </c>
      <c r="AF1159" s="58">
        <v>0</v>
      </c>
      <c r="AG1159" s="58">
        <v>0</v>
      </c>
      <c r="AH1159" s="58">
        <v>0</v>
      </c>
      <c r="AI1159" s="58">
        <v>0</v>
      </c>
      <c r="AJ1159" s="58">
        <v>61.08</v>
      </c>
      <c r="AK1159" s="58">
        <v>100</v>
      </c>
      <c r="AL1159" s="75">
        <f>+SUBTOTAL(9,Tabla6[[#This Row],[ENE]:[DIC]])</f>
        <v>161.07999999999998</v>
      </c>
      <c r="AM1159" s="76" t="str">
        <f t="shared" si="40"/>
        <v>OK</v>
      </c>
      <c r="AN1159" s="60">
        <f>100+98.01-36.93</f>
        <v>161.07999999999998</v>
      </c>
      <c r="AO1159" s="61">
        <f>+Tabla6[[#This Row],[PRESUPUESTO VIGENTE]]-Tabla6[[#This Row],[CERTIFICACIÓN PAPP]]</f>
        <v>0</v>
      </c>
      <c r="AP1159" s="59">
        <v>0</v>
      </c>
    </row>
    <row r="1160" spans="1:42" ht="93" customHeight="1" x14ac:dyDescent="0.25">
      <c r="A1160" s="62" t="s">
        <v>78</v>
      </c>
      <c r="B1160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160" s="64" t="s">
        <v>79</v>
      </c>
      <c r="D1160" s="64" t="s">
        <v>80</v>
      </c>
      <c r="E1160" s="64" t="s">
        <v>81</v>
      </c>
      <c r="F1160" s="64" t="s">
        <v>112</v>
      </c>
      <c r="G1160" s="64" t="s">
        <v>92</v>
      </c>
      <c r="H1160" s="65" t="str">
        <f>VLOOKUP(Tabla6[[#This Row],[DIRECCIÓN]],DIRECCIÓN[#All],2,0)</f>
        <v>ADMINISTRACIÓN CENTRAL</v>
      </c>
      <c r="I1160" s="66" t="s">
        <v>706</v>
      </c>
      <c r="J1160" s="67">
        <v>1</v>
      </c>
      <c r="K1160" s="68" t="str">
        <f>VLOOKUP(Tabla6[[#This Row],[DIRECCIÓN GENERAL / COORDINACIÓN / SUBDIRECCIÓN]],Tabla37[[#All],[Columna1]:[EOD]],2,0)</f>
        <v>266_0007</v>
      </c>
      <c r="L1160" s="69">
        <f>VLOOKUP(Tabla6[[#This Row],[OBJETIVOS PND]],Listas!$A$1:$C$3,3,0)</f>
        <v>1</v>
      </c>
      <c r="M1160" s="70">
        <f>VLOOKUP(Tabla6[[#This Row],[PG]],Listas2!$G$14:$K$16,5,0)</f>
        <v>0</v>
      </c>
      <c r="N1160" s="71">
        <v>1</v>
      </c>
      <c r="O1160" s="72">
        <v>701</v>
      </c>
      <c r="P1160" s="73" t="str">
        <f>VLOOKUP(Tabla6[[#This Row],[GEO]],Listas!$A$48:$B$77,2,0)</f>
        <v>MACHALA</v>
      </c>
      <c r="Q1160" s="70">
        <f>VLOOKUP(Tabla6[[#This Row],[PG]],Listas2!$G$14:$K$16,3,0)</f>
        <v>1</v>
      </c>
      <c r="R1160" s="73">
        <f>VLOOKUP(Tabla6[[#This Row],[PG]],Listas2!H614:'Listas2'!$G$14:$K$16,4,0)</f>
        <v>0</v>
      </c>
      <c r="S1160" s="73">
        <f>VLOOKUP(Tabla6[[#This Row],[PG]],Listas2!$G$14:$K$16,2,0)</f>
        <v>0</v>
      </c>
      <c r="T1160" s="66" t="s">
        <v>84</v>
      </c>
      <c r="U1160" s="74">
        <v>53</v>
      </c>
      <c r="V1160" s="66">
        <v>530811</v>
      </c>
      <c r="W1160" s="63" t="str">
        <f>VLOOKUP(Tabla6[[#This Row],[ÍTEM PRESUPUESTARIO]],Tabla2[#All],2,0)</f>
        <v>INSUMOS, MATERIALES Y SUMINISTROS PARA CONSTRUCCIÓN, ELECTRICIDAD, PLOMERÍA, CARPINTERÍA, SEÑALIZACIÓN VIAL, NAVEGACIÓN, CONTRA INCENDIOS Y PLACAS</v>
      </c>
      <c r="X1160" s="57">
        <v>2800</v>
      </c>
      <c r="Y1160" s="57">
        <f>2800-422-0.02</f>
        <v>2377.98</v>
      </c>
      <c r="Z1160" s="58">
        <v>0</v>
      </c>
      <c r="AA1160" s="58">
        <v>0</v>
      </c>
      <c r="AB1160" s="58">
        <v>0</v>
      </c>
      <c r="AC1160" s="58">
        <v>0</v>
      </c>
      <c r="AD1160" s="58">
        <v>0</v>
      </c>
      <c r="AE1160" s="58">
        <v>0</v>
      </c>
      <c r="AF1160" s="58">
        <v>2377.98</v>
      </c>
      <c r="AG1160" s="58">
        <v>0</v>
      </c>
      <c r="AH1160" s="58">
        <v>0</v>
      </c>
      <c r="AI1160" s="58">
        <v>0</v>
      </c>
      <c r="AJ1160" s="58">
        <v>0</v>
      </c>
      <c r="AK1160" s="58">
        <v>0</v>
      </c>
      <c r="AL1160" s="75">
        <f>+SUBTOTAL(9,Tabla6[[#This Row],[ENE]:[DIC]])</f>
        <v>2377.98</v>
      </c>
      <c r="AM1160" s="76" t="str">
        <f t="shared" si="40"/>
        <v>OK</v>
      </c>
      <c r="AN1160" s="60">
        <v>2377.98</v>
      </c>
      <c r="AO1160" s="61">
        <f>+Tabla6[[#This Row],[PRESUPUESTO VIGENTE]]-Tabla6[[#This Row],[CERTIFICACIÓN PAPP]]</f>
        <v>0</v>
      </c>
      <c r="AP1160" s="59" t="s">
        <v>87</v>
      </c>
    </row>
    <row r="1161" spans="1:42" ht="93" customHeight="1" x14ac:dyDescent="0.25">
      <c r="A1161" s="62" t="s">
        <v>78</v>
      </c>
      <c r="B1161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161" s="64" t="s">
        <v>79</v>
      </c>
      <c r="D1161" s="64" t="s">
        <v>80</v>
      </c>
      <c r="E1161" s="64" t="s">
        <v>81</v>
      </c>
      <c r="F1161" s="64" t="s">
        <v>112</v>
      </c>
      <c r="G1161" s="64" t="s">
        <v>92</v>
      </c>
      <c r="H1161" s="65" t="str">
        <f>VLOOKUP(Tabla6[[#This Row],[DIRECCIÓN]],DIRECCIÓN[#All],2,0)</f>
        <v>ADMINISTRACIÓN CENTRAL</v>
      </c>
      <c r="I1161" s="66" t="s">
        <v>676</v>
      </c>
      <c r="J1161" s="67">
        <v>1</v>
      </c>
      <c r="K1161" s="68" t="str">
        <f>VLOOKUP(Tabla6[[#This Row],[DIRECCIÓN GENERAL / COORDINACIÓN / SUBDIRECCIÓN]],Tabla37[[#All],[Columna1]:[EOD]],2,0)</f>
        <v>266_0007</v>
      </c>
      <c r="L1161" s="69">
        <f>VLOOKUP(Tabla6[[#This Row],[OBJETIVOS PND]],Listas!$A$1:$C$3,3,0)</f>
        <v>1</v>
      </c>
      <c r="M1161" s="70">
        <f>VLOOKUP(Tabla6[[#This Row],[PG]],Listas2!$G$14:$K$16,5,0)</f>
        <v>0</v>
      </c>
      <c r="N1161" s="71">
        <v>1</v>
      </c>
      <c r="O1161" s="72">
        <v>701</v>
      </c>
      <c r="P1161" s="73" t="str">
        <f>VLOOKUP(Tabla6[[#This Row],[GEO]],Listas!$A$48:$B$77,2,0)</f>
        <v>MACHALA</v>
      </c>
      <c r="Q1161" s="70">
        <f>VLOOKUP(Tabla6[[#This Row],[PG]],Listas2!$G$14:$K$16,3,0)</f>
        <v>1</v>
      </c>
      <c r="R1161" s="73">
        <f>VLOOKUP(Tabla6[[#This Row],[PG]],Listas2!H615:'Listas2'!$G$14:$K$16,4,0)</f>
        <v>0</v>
      </c>
      <c r="S1161" s="73">
        <f>VLOOKUP(Tabla6[[#This Row],[PG]],Listas2!$G$14:$K$16,2,0)</f>
        <v>0</v>
      </c>
      <c r="T1161" s="66" t="s">
        <v>84</v>
      </c>
      <c r="U1161" s="74">
        <v>53</v>
      </c>
      <c r="V1161" s="66">
        <v>530813</v>
      </c>
      <c r="W1161" s="63" t="str">
        <f>VLOOKUP(Tabla6[[#This Row],[ÍTEM PRESUPUESTARIO]],Tabla2[#All],2,0)</f>
        <v>REPUESTOS Y ACCESORIOS</v>
      </c>
      <c r="X1161" s="57">
        <v>100</v>
      </c>
      <c r="Y1161" s="57">
        <f>160+60-153.75</f>
        <v>66.25</v>
      </c>
      <c r="Z1161" s="58">
        <v>0</v>
      </c>
      <c r="AA1161" s="58">
        <v>0</v>
      </c>
      <c r="AB1161" s="58">
        <v>0</v>
      </c>
      <c r="AC1161" s="58">
        <v>0</v>
      </c>
      <c r="AD1161" s="58">
        <v>0</v>
      </c>
      <c r="AE1161" s="58">
        <v>0</v>
      </c>
      <c r="AF1161" s="58">
        <v>0</v>
      </c>
      <c r="AG1161" s="58">
        <v>0</v>
      </c>
      <c r="AH1161" s="58">
        <v>0</v>
      </c>
      <c r="AI1161" s="58">
        <v>0</v>
      </c>
      <c r="AJ1161" s="58">
        <v>0</v>
      </c>
      <c r="AK1161" s="58">
        <v>66.25</v>
      </c>
      <c r="AL1161" s="75">
        <f>+SUBTOTAL(9,Tabla6[[#This Row],[ENE]:[DIC]])</f>
        <v>66.25</v>
      </c>
      <c r="AM1161" s="76" t="str">
        <f t="shared" si="40"/>
        <v>OK</v>
      </c>
      <c r="AN1161" s="60">
        <f>20+60+40-8.4-33.66-11.69</f>
        <v>66.25</v>
      </c>
      <c r="AO1161" s="61">
        <f>+Tabla6[[#This Row],[PRESUPUESTO VIGENTE]]-Tabla6[[#This Row],[CERTIFICACIÓN PAPP]]</f>
        <v>0</v>
      </c>
      <c r="AP1161" s="59">
        <v>0</v>
      </c>
    </row>
    <row r="1162" spans="1:42" ht="93" customHeight="1" x14ac:dyDescent="0.25">
      <c r="A1162" s="62" t="s">
        <v>78</v>
      </c>
      <c r="B1162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162" s="64" t="s">
        <v>79</v>
      </c>
      <c r="D1162" s="64" t="s">
        <v>80</v>
      </c>
      <c r="E1162" s="64" t="s">
        <v>81</v>
      </c>
      <c r="F1162" s="64" t="s">
        <v>112</v>
      </c>
      <c r="G1162" s="64" t="s">
        <v>92</v>
      </c>
      <c r="H1162" s="65" t="str">
        <f>VLOOKUP(Tabla6[[#This Row],[DIRECCIÓN]],DIRECCIÓN[#All],2,0)</f>
        <v>ADMINISTRACIÓN CENTRAL</v>
      </c>
      <c r="I1162" s="66" t="s">
        <v>707</v>
      </c>
      <c r="J1162" s="67">
        <v>1</v>
      </c>
      <c r="K1162" s="68" t="str">
        <f>VLOOKUP(Tabla6[[#This Row],[DIRECCIÓN GENERAL / COORDINACIÓN / SUBDIRECCIÓN]],Tabla37[[#All],[Columna1]:[EOD]],2,0)</f>
        <v>266_0007</v>
      </c>
      <c r="L1162" s="69">
        <f>VLOOKUP(Tabla6[[#This Row],[OBJETIVOS PND]],Listas!$A$1:$C$3,3,0)</f>
        <v>1</v>
      </c>
      <c r="M1162" s="70">
        <f>VLOOKUP(Tabla6[[#This Row],[PG]],Listas2!$G$14:$K$16,5,0)</f>
        <v>0</v>
      </c>
      <c r="N1162" s="71">
        <v>1</v>
      </c>
      <c r="O1162" s="72">
        <v>701</v>
      </c>
      <c r="P1162" s="73" t="str">
        <f>VLOOKUP(Tabla6[[#This Row],[GEO]],Listas!$A$48:$B$77,2,0)</f>
        <v>MACHALA</v>
      </c>
      <c r="Q1162" s="70">
        <f>VLOOKUP(Tabla6[[#This Row],[PG]],Listas2!$G$14:$K$16,3,0)</f>
        <v>1</v>
      </c>
      <c r="R1162" s="73">
        <f>VLOOKUP(Tabla6[[#This Row],[PG]],Listas2!H616:'Listas2'!$G$14:$K$16,4,0)</f>
        <v>0</v>
      </c>
      <c r="S1162" s="73">
        <f>VLOOKUP(Tabla6[[#This Row],[PG]],Listas2!$G$14:$K$16,2,0)</f>
        <v>0</v>
      </c>
      <c r="T1162" s="66" t="s">
        <v>84</v>
      </c>
      <c r="U1162" s="74">
        <v>53</v>
      </c>
      <c r="V1162" s="66">
        <v>530813</v>
      </c>
      <c r="W1162" s="63" t="str">
        <f>VLOOKUP(Tabla6[[#This Row],[ÍTEM PRESUPUESTARIO]],Tabla2[#All],2,0)</f>
        <v>REPUESTOS Y ACCESORIOS</v>
      </c>
      <c r="X1162" s="57">
        <v>200</v>
      </c>
      <c r="Y1162" s="57">
        <f>200-200</f>
        <v>0</v>
      </c>
      <c r="Z1162" s="58">
        <v>0</v>
      </c>
      <c r="AA1162" s="58">
        <v>0</v>
      </c>
      <c r="AB1162" s="58">
        <v>0</v>
      </c>
      <c r="AC1162" s="58">
        <v>0</v>
      </c>
      <c r="AD1162" s="58">
        <v>0</v>
      </c>
      <c r="AE1162" s="58">
        <v>0</v>
      </c>
      <c r="AF1162" s="58">
        <v>0</v>
      </c>
      <c r="AG1162" s="58">
        <v>0</v>
      </c>
      <c r="AH1162" s="58">
        <v>0</v>
      </c>
      <c r="AI1162" s="58">
        <v>0</v>
      </c>
      <c r="AJ1162" s="58">
        <v>0</v>
      </c>
      <c r="AK1162" s="58">
        <v>0</v>
      </c>
      <c r="AL1162" s="75">
        <f>+SUBTOTAL(9,Tabla6[[#This Row],[ENE]:[DIC]])</f>
        <v>0</v>
      </c>
      <c r="AM1162" s="76" t="str">
        <f t="shared" si="40"/>
        <v>OK</v>
      </c>
      <c r="AN1162" s="60">
        <v>0</v>
      </c>
      <c r="AO1162" s="61">
        <f>+Tabla6[[#This Row],[PRESUPUESTO VIGENTE]]-Tabla6[[#This Row],[CERTIFICACIÓN PAPP]]</f>
        <v>0</v>
      </c>
      <c r="AP1162" s="59">
        <v>0</v>
      </c>
    </row>
    <row r="1163" spans="1:42" ht="93" customHeight="1" x14ac:dyDescent="0.25">
      <c r="A1163" s="62" t="s">
        <v>78</v>
      </c>
      <c r="B1163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163" s="64" t="s">
        <v>79</v>
      </c>
      <c r="D1163" s="64" t="s">
        <v>80</v>
      </c>
      <c r="E1163" s="64" t="s">
        <v>81</v>
      </c>
      <c r="F1163" s="64" t="s">
        <v>112</v>
      </c>
      <c r="G1163" s="64" t="s">
        <v>92</v>
      </c>
      <c r="H1163" s="65" t="str">
        <f>VLOOKUP(Tabla6[[#This Row],[DIRECCIÓN]],DIRECCIÓN[#All],2,0)</f>
        <v>ADMINISTRACIÓN CENTRAL</v>
      </c>
      <c r="I1163" s="66" t="s">
        <v>707</v>
      </c>
      <c r="J1163" s="67">
        <v>1</v>
      </c>
      <c r="K1163" s="68" t="str">
        <f>VLOOKUP(Tabla6[[#This Row],[DIRECCIÓN GENERAL / COORDINACIÓN / SUBDIRECCIÓN]],Tabla37[[#All],[Columna1]:[EOD]],2,0)</f>
        <v>266_0007</v>
      </c>
      <c r="L1163" s="69">
        <f>VLOOKUP(Tabla6[[#This Row],[OBJETIVOS PND]],Listas!$A$1:$C$3,3,0)</f>
        <v>1</v>
      </c>
      <c r="M1163" s="70">
        <f>VLOOKUP(Tabla6[[#This Row],[PG]],Listas2!$G$14:$K$16,5,0)</f>
        <v>0</v>
      </c>
      <c r="N1163" s="71">
        <v>1</v>
      </c>
      <c r="O1163" s="72">
        <v>701</v>
      </c>
      <c r="P1163" s="73" t="str">
        <f>VLOOKUP(Tabla6[[#This Row],[GEO]],Listas!$A$48:$B$77,2,0)</f>
        <v>MACHALA</v>
      </c>
      <c r="Q1163" s="70">
        <f>VLOOKUP(Tabla6[[#This Row],[PG]],Listas2!$G$14:$K$16,3,0)</f>
        <v>1</v>
      </c>
      <c r="R1163" s="73">
        <f>VLOOKUP(Tabla6[[#This Row],[PG]],Listas2!H617:'Listas2'!$G$14:$K$16,4,0)</f>
        <v>0</v>
      </c>
      <c r="S1163" s="73">
        <f>VLOOKUP(Tabla6[[#This Row],[PG]],Listas2!$G$14:$K$16,2,0)</f>
        <v>0</v>
      </c>
      <c r="T1163" s="66" t="s">
        <v>84</v>
      </c>
      <c r="U1163" s="74">
        <v>53</v>
      </c>
      <c r="V1163" s="66">
        <v>530813</v>
      </c>
      <c r="W1163" s="63" t="str">
        <f>VLOOKUP(Tabla6[[#This Row],[ÍTEM PRESUPUESTARIO]],Tabla2[#All],2,0)</f>
        <v>REPUESTOS Y ACCESORIOS</v>
      </c>
      <c r="X1163" s="57">
        <v>900</v>
      </c>
      <c r="Y1163" s="57">
        <f>900-170.48-88.42</f>
        <v>641.1</v>
      </c>
      <c r="Z1163" s="58">
        <v>0</v>
      </c>
      <c r="AA1163" s="58">
        <v>0</v>
      </c>
      <c r="AB1163" s="58">
        <v>0</v>
      </c>
      <c r="AC1163" s="58">
        <v>0</v>
      </c>
      <c r="AD1163" s="58">
        <v>0</v>
      </c>
      <c r="AE1163" s="58">
        <v>0</v>
      </c>
      <c r="AF1163" s="58">
        <v>641.1</v>
      </c>
      <c r="AG1163" s="58">
        <v>0</v>
      </c>
      <c r="AH1163" s="58">
        <v>0</v>
      </c>
      <c r="AI1163" s="58">
        <v>0</v>
      </c>
      <c r="AJ1163" s="58">
        <v>0</v>
      </c>
      <c r="AK1163" s="58">
        <v>0</v>
      </c>
      <c r="AL1163" s="75">
        <f>+SUBTOTAL(9,Tabla6[[#This Row],[ENE]:[DIC]])</f>
        <v>641.1</v>
      </c>
      <c r="AM1163" s="76" t="str">
        <f t="shared" si="40"/>
        <v>OK</v>
      </c>
      <c r="AN1163" s="60">
        <v>641.1</v>
      </c>
      <c r="AO1163" s="61">
        <f>+Tabla6[[#This Row],[PRESUPUESTO VIGENTE]]-Tabla6[[#This Row],[CERTIFICACIÓN PAPP]]</f>
        <v>0</v>
      </c>
      <c r="AP1163" s="59" t="s">
        <v>87</v>
      </c>
    </row>
    <row r="1164" spans="1:42" ht="93" customHeight="1" x14ac:dyDescent="0.25">
      <c r="A1164" s="62" t="s">
        <v>78</v>
      </c>
      <c r="B1164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164" s="64" t="s">
        <v>79</v>
      </c>
      <c r="D1164" s="64" t="s">
        <v>80</v>
      </c>
      <c r="E1164" s="64" t="s">
        <v>81</v>
      </c>
      <c r="F1164" s="64" t="s">
        <v>112</v>
      </c>
      <c r="G1164" s="64" t="s">
        <v>92</v>
      </c>
      <c r="H1164" s="65" t="str">
        <f>VLOOKUP(Tabla6[[#This Row],[DIRECCIÓN]],DIRECCIÓN[#All],2,0)</f>
        <v>ADMINISTRACIÓN CENTRAL</v>
      </c>
      <c r="I1164" s="66" t="s">
        <v>708</v>
      </c>
      <c r="J1164" s="67">
        <v>1</v>
      </c>
      <c r="K1164" s="68" t="str">
        <f>VLOOKUP(Tabla6[[#This Row],[DIRECCIÓN GENERAL / COORDINACIÓN / SUBDIRECCIÓN]],Tabla37[[#All],[Columna1]:[EOD]],2,0)</f>
        <v>266_0007</v>
      </c>
      <c r="L1164" s="69">
        <f>VLOOKUP(Tabla6[[#This Row],[OBJETIVOS PND]],Listas!$A$1:$C$3,3,0)</f>
        <v>1</v>
      </c>
      <c r="M1164" s="70">
        <f>VLOOKUP(Tabla6[[#This Row],[PG]],Listas2!$G$14:$K$16,5,0)</f>
        <v>0</v>
      </c>
      <c r="N1164" s="71">
        <v>1</v>
      </c>
      <c r="O1164" s="72">
        <v>701</v>
      </c>
      <c r="P1164" s="73" t="str">
        <f>VLOOKUP(Tabla6[[#This Row],[GEO]],Listas!$A$48:$B$77,2,0)</f>
        <v>MACHALA</v>
      </c>
      <c r="Q1164" s="70">
        <f>VLOOKUP(Tabla6[[#This Row],[PG]],Listas2!$G$14:$K$16,3,0)</f>
        <v>1</v>
      </c>
      <c r="R1164" s="73">
        <f>VLOOKUP(Tabla6[[#This Row],[PG]],Listas2!H618:'Listas2'!$G$14:$K$16,4,0)</f>
        <v>0</v>
      </c>
      <c r="S1164" s="73">
        <f>VLOOKUP(Tabla6[[#This Row],[PG]],Listas2!$G$14:$K$16,2,0)</f>
        <v>0</v>
      </c>
      <c r="T1164" s="66" t="s">
        <v>84</v>
      </c>
      <c r="U1164" s="74">
        <v>53</v>
      </c>
      <c r="V1164" s="66">
        <v>530813</v>
      </c>
      <c r="W1164" s="63" t="str">
        <f>VLOOKUP(Tabla6[[#This Row],[ÍTEM PRESUPUESTARIO]],Tabla2[#All],2,0)</f>
        <v>REPUESTOS Y ACCESORIOS</v>
      </c>
      <c r="X1164" s="57">
        <v>0</v>
      </c>
      <c r="Y1164" s="57">
        <f>1500-791-60.04</f>
        <v>648.96</v>
      </c>
      <c r="Z1164" s="58">
        <v>0</v>
      </c>
      <c r="AA1164" s="58">
        <v>0</v>
      </c>
      <c r="AB1164" s="58">
        <v>0</v>
      </c>
      <c r="AC1164" s="58">
        <v>0</v>
      </c>
      <c r="AD1164" s="58">
        <v>0</v>
      </c>
      <c r="AE1164" s="58">
        <v>0</v>
      </c>
      <c r="AF1164" s="58">
        <v>0</v>
      </c>
      <c r="AG1164" s="58">
        <v>0</v>
      </c>
      <c r="AH1164" s="58">
        <v>0</v>
      </c>
      <c r="AI1164" s="58">
        <v>0</v>
      </c>
      <c r="AJ1164" s="58">
        <v>0</v>
      </c>
      <c r="AK1164" s="58">
        <v>648.96</v>
      </c>
      <c r="AL1164" s="75">
        <f>+SUBTOTAL(9,Tabla6[[#This Row],[ENE]:[DIC]])</f>
        <v>648.96</v>
      </c>
      <c r="AM1164" s="76" t="str">
        <f t="shared" si="40"/>
        <v>OK</v>
      </c>
      <c r="AN1164" s="60">
        <v>648.96</v>
      </c>
      <c r="AO1164" s="61">
        <f>+Tabla6[[#This Row],[PRESUPUESTO VIGENTE]]-Tabla6[[#This Row],[CERTIFICACIÓN PAPP]]</f>
        <v>0</v>
      </c>
      <c r="AP1164" s="59">
        <v>0</v>
      </c>
    </row>
    <row r="1165" spans="1:42" ht="93" customHeight="1" x14ac:dyDescent="0.25">
      <c r="A1165" s="62" t="s">
        <v>78</v>
      </c>
      <c r="B1165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165" s="64" t="s">
        <v>79</v>
      </c>
      <c r="D1165" s="64" t="s">
        <v>80</v>
      </c>
      <c r="E1165" s="64" t="s">
        <v>81</v>
      </c>
      <c r="F1165" s="64" t="s">
        <v>112</v>
      </c>
      <c r="G1165" s="64" t="s">
        <v>92</v>
      </c>
      <c r="H1165" s="65" t="str">
        <f>VLOOKUP(Tabla6[[#This Row],[DIRECCIÓN]],DIRECCIÓN[#All],2,0)</f>
        <v>ADMINISTRACIÓN CENTRAL</v>
      </c>
      <c r="I1165" s="66" t="s">
        <v>709</v>
      </c>
      <c r="J1165" s="67">
        <v>1</v>
      </c>
      <c r="K1165" s="68" t="str">
        <f>VLOOKUP(Tabla6[[#This Row],[DIRECCIÓN GENERAL / COORDINACIÓN / SUBDIRECCIÓN]],Tabla37[[#All],[Columna1]:[EOD]],2,0)</f>
        <v>266_0007</v>
      </c>
      <c r="L1165" s="69">
        <f>VLOOKUP(Tabla6[[#This Row],[OBJETIVOS PND]],Listas!$A$1:$C$3,3,0)</f>
        <v>1</v>
      </c>
      <c r="M1165" s="70">
        <f>VLOOKUP(Tabla6[[#This Row],[PG]],Listas2!$G$14:$K$16,5,0)</f>
        <v>0</v>
      </c>
      <c r="N1165" s="71">
        <v>1</v>
      </c>
      <c r="O1165" s="72">
        <v>701</v>
      </c>
      <c r="P1165" s="73" t="str">
        <f>VLOOKUP(Tabla6[[#This Row],[GEO]],Listas!$A$48:$B$77,2,0)</f>
        <v>MACHALA</v>
      </c>
      <c r="Q1165" s="70">
        <f>VLOOKUP(Tabla6[[#This Row],[PG]],Listas2!$G$14:$K$16,3,0)</f>
        <v>1</v>
      </c>
      <c r="R1165" s="73">
        <f>VLOOKUP(Tabla6[[#This Row],[PG]],Listas2!H619:'Listas2'!$G$14:$K$16,4,0)</f>
        <v>0</v>
      </c>
      <c r="S1165" s="73">
        <f>VLOOKUP(Tabla6[[#This Row],[PG]],Listas2!$G$14:$K$16,2,0)</f>
        <v>0</v>
      </c>
      <c r="T1165" s="66" t="s">
        <v>84</v>
      </c>
      <c r="U1165" s="74">
        <v>53</v>
      </c>
      <c r="V1165" s="66">
        <v>530813</v>
      </c>
      <c r="W1165" s="63" t="str">
        <f>VLOOKUP(Tabla6[[#This Row],[ÍTEM PRESUPUESTARIO]],Tabla2[#All],2,0)</f>
        <v>REPUESTOS Y ACCESORIOS</v>
      </c>
      <c r="X1165" s="57">
        <v>6000</v>
      </c>
      <c r="Y1165" s="57">
        <v>0</v>
      </c>
      <c r="Z1165" s="58">
        <v>0</v>
      </c>
      <c r="AA1165" s="58">
        <v>0</v>
      </c>
      <c r="AB1165" s="58">
        <v>0</v>
      </c>
      <c r="AC1165" s="58">
        <v>0</v>
      </c>
      <c r="AD1165" s="58">
        <v>0</v>
      </c>
      <c r="AE1165" s="58">
        <v>0</v>
      </c>
      <c r="AF1165" s="58">
        <v>0</v>
      </c>
      <c r="AG1165" s="58">
        <v>0</v>
      </c>
      <c r="AH1165" s="58">
        <v>0</v>
      </c>
      <c r="AI1165" s="58">
        <v>0</v>
      </c>
      <c r="AJ1165" s="58">
        <v>0</v>
      </c>
      <c r="AK1165" s="58">
        <v>0</v>
      </c>
      <c r="AL1165" s="75">
        <f>+SUBTOTAL(9,Tabla6[[#This Row],[ENE]:[DIC]])</f>
        <v>0</v>
      </c>
      <c r="AM1165" s="76" t="str">
        <f t="shared" si="40"/>
        <v>OK</v>
      </c>
      <c r="AN1165" s="60">
        <v>0</v>
      </c>
      <c r="AO1165" s="61">
        <f>+Tabla6[[#This Row],[PRESUPUESTO VIGENTE]]-Tabla6[[#This Row],[CERTIFICACIÓN PAPP]]</f>
        <v>0</v>
      </c>
      <c r="AP1165" s="59">
        <v>0</v>
      </c>
    </row>
    <row r="1166" spans="1:42" ht="93" customHeight="1" x14ac:dyDescent="0.25">
      <c r="A1166" s="62" t="s">
        <v>78</v>
      </c>
      <c r="B1166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166" s="64" t="s">
        <v>79</v>
      </c>
      <c r="D1166" s="64" t="s">
        <v>80</v>
      </c>
      <c r="E1166" s="64" t="s">
        <v>81</v>
      </c>
      <c r="F1166" s="64" t="s">
        <v>112</v>
      </c>
      <c r="G1166" s="64" t="s">
        <v>92</v>
      </c>
      <c r="H1166" s="65" t="str">
        <f>VLOOKUP(Tabla6[[#This Row],[DIRECCIÓN]],DIRECCIÓN[#All],2,0)</f>
        <v>ADMINISTRACIÓN CENTRAL</v>
      </c>
      <c r="I1166" s="66" t="s">
        <v>710</v>
      </c>
      <c r="J1166" s="67">
        <v>1</v>
      </c>
      <c r="K1166" s="68" t="str">
        <f>VLOOKUP(Tabla6[[#This Row],[DIRECCIÓN GENERAL / COORDINACIÓN / SUBDIRECCIÓN]],Tabla37[[#All],[Columna1]:[EOD]],2,0)</f>
        <v>266_0007</v>
      </c>
      <c r="L1166" s="69">
        <f>VLOOKUP(Tabla6[[#This Row],[OBJETIVOS PND]],Listas!$A$1:$C$3,3,0)</f>
        <v>1</v>
      </c>
      <c r="M1166" s="70">
        <f>VLOOKUP(Tabla6[[#This Row],[PG]],Listas2!$G$14:$K$16,5,0)</f>
        <v>0</v>
      </c>
      <c r="N1166" s="71">
        <v>1</v>
      </c>
      <c r="O1166" s="72">
        <v>701</v>
      </c>
      <c r="P1166" s="73" t="str">
        <f>VLOOKUP(Tabla6[[#This Row],[GEO]],Listas!$A$48:$B$77,2,0)</f>
        <v>MACHALA</v>
      </c>
      <c r="Q1166" s="70">
        <f>VLOOKUP(Tabla6[[#This Row],[PG]],Listas2!$G$14:$K$16,3,0)</f>
        <v>1</v>
      </c>
      <c r="R1166" s="73">
        <f>VLOOKUP(Tabla6[[#This Row],[PG]],Listas2!H620:'Listas2'!$G$14:$K$16,4,0)</f>
        <v>0</v>
      </c>
      <c r="S1166" s="73">
        <f>VLOOKUP(Tabla6[[#This Row],[PG]],Listas2!$G$14:$K$16,2,0)</f>
        <v>0</v>
      </c>
      <c r="T1166" s="66" t="s">
        <v>84</v>
      </c>
      <c r="U1166" s="74">
        <v>53</v>
      </c>
      <c r="V1166" s="66">
        <v>530826</v>
      </c>
      <c r="W1166" s="63" t="str">
        <f>VLOOKUP(Tabla6[[#This Row],[ÍTEM PRESUPUESTARIO]],Tabla2[#All],2,0)</f>
        <v>DISPOSITIVOS MÉDICOS DE USO GENERAL</v>
      </c>
      <c r="X1166" s="57">
        <v>4000</v>
      </c>
      <c r="Y1166" s="57">
        <f>4000-4000</f>
        <v>0</v>
      </c>
      <c r="Z1166" s="58">
        <v>0</v>
      </c>
      <c r="AA1166" s="58">
        <v>0</v>
      </c>
      <c r="AB1166" s="58">
        <v>0</v>
      </c>
      <c r="AC1166" s="58">
        <v>0</v>
      </c>
      <c r="AD1166" s="58">
        <v>0</v>
      </c>
      <c r="AE1166" s="58">
        <v>0</v>
      </c>
      <c r="AF1166" s="58">
        <v>0</v>
      </c>
      <c r="AG1166" s="58">
        <v>0</v>
      </c>
      <c r="AH1166" s="58">
        <v>0</v>
      </c>
      <c r="AI1166" s="58">
        <v>0</v>
      </c>
      <c r="AJ1166" s="58">
        <v>0</v>
      </c>
      <c r="AK1166" s="58">
        <v>0</v>
      </c>
      <c r="AL1166" s="75">
        <f>+SUBTOTAL(9,Tabla6[[#This Row],[ENE]:[DIC]])</f>
        <v>0</v>
      </c>
      <c r="AM1166" s="76" t="str">
        <f t="shared" si="40"/>
        <v>OK</v>
      </c>
      <c r="AN1166" s="60">
        <v>0</v>
      </c>
      <c r="AO1166" s="61">
        <f>+Tabla6[[#This Row],[PRESUPUESTO VIGENTE]]-Tabla6[[#This Row],[CERTIFICACIÓN PAPP]]</f>
        <v>0</v>
      </c>
      <c r="AP1166" s="59" t="s">
        <v>87</v>
      </c>
    </row>
    <row r="1167" spans="1:42" ht="93" customHeight="1" x14ac:dyDescent="0.25">
      <c r="A1167" s="62" t="s">
        <v>78</v>
      </c>
      <c r="B1167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167" s="64" t="s">
        <v>79</v>
      </c>
      <c r="D1167" s="64" t="s">
        <v>80</v>
      </c>
      <c r="E1167" s="64" t="s">
        <v>81</v>
      </c>
      <c r="F1167" s="64" t="s">
        <v>112</v>
      </c>
      <c r="G1167" s="64" t="s">
        <v>92</v>
      </c>
      <c r="H1167" s="65" t="str">
        <f>VLOOKUP(Tabla6[[#This Row],[DIRECCIÓN]],DIRECCIÓN[#All],2,0)</f>
        <v>ADMINISTRACIÓN CENTRAL</v>
      </c>
      <c r="I1167" s="66" t="s">
        <v>711</v>
      </c>
      <c r="J1167" s="67">
        <v>1</v>
      </c>
      <c r="K1167" s="68" t="str">
        <f>VLOOKUP(Tabla6[[#This Row],[DIRECCIÓN GENERAL / COORDINACIÓN / SUBDIRECCIÓN]],Tabla37[[#All],[Columna1]:[EOD]],2,0)</f>
        <v>266_0007</v>
      </c>
      <c r="L1167" s="69">
        <f>VLOOKUP(Tabla6[[#This Row],[OBJETIVOS PND]],Listas!$A$1:$C$3,3,0)</f>
        <v>1</v>
      </c>
      <c r="M1167" s="70">
        <f>VLOOKUP(Tabla6[[#This Row],[PG]],Listas2!$G$14:$K$16,5,0)</f>
        <v>0</v>
      </c>
      <c r="N1167" s="71">
        <v>1</v>
      </c>
      <c r="O1167" s="72">
        <v>701</v>
      </c>
      <c r="P1167" s="73" t="str">
        <f>VLOOKUP(Tabla6[[#This Row],[GEO]],Listas!$A$48:$B$77,2,0)</f>
        <v>MACHALA</v>
      </c>
      <c r="Q1167" s="70">
        <f>VLOOKUP(Tabla6[[#This Row],[PG]],Listas2!$G$14:$K$16,3,0)</f>
        <v>1</v>
      </c>
      <c r="R1167" s="73">
        <f>VLOOKUP(Tabla6[[#This Row],[PG]],Listas2!H621:'Listas2'!$G$14:$K$16,4,0)</f>
        <v>0</v>
      </c>
      <c r="S1167" s="73">
        <f>VLOOKUP(Tabla6[[#This Row],[PG]],Listas2!$G$14:$K$16,2,0)</f>
        <v>0</v>
      </c>
      <c r="T1167" s="66" t="s">
        <v>84</v>
      </c>
      <c r="U1167" s="74">
        <v>53</v>
      </c>
      <c r="V1167" s="66">
        <v>531403</v>
      </c>
      <c r="W1167" s="63" t="str">
        <f>VLOOKUP(Tabla6[[#This Row],[ÍTEM PRESUPUESTARIO]],Tabla2[#All],2,0)</f>
        <v xml:space="preserve">MOBILIARIO </v>
      </c>
      <c r="X1167" s="57">
        <v>0</v>
      </c>
      <c r="Y1167" s="57">
        <f>4500-919.32</f>
        <v>3580.68</v>
      </c>
      <c r="Z1167" s="58">
        <v>0</v>
      </c>
      <c r="AA1167" s="58">
        <v>0</v>
      </c>
      <c r="AB1167" s="58">
        <v>0</v>
      </c>
      <c r="AC1167" s="58">
        <v>0</v>
      </c>
      <c r="AD1167" s="58">
        <v>0</v>
      </c>
      <c r="AE1167" s="58">
        <v>0</v>
      </c>
      <c r="AF1167" s="58">
        <v>0</v>
      </c>
      <c r="AG1167" s="58">
        <v>0</v>
      </c>
      <c r="AH1167" s="58">
        <v>0</v>
      </c>
      <c r="AI1167" s="58">
        <v>0</v>
      </c>
      <c r="AJ1167" s="58">
        <v>0</v>
      </c>
      <c r="AK1167" s="58">
        <v>3580.68</v>
      </c>
      <c r="AL1167" s="75">
        <f>+SUBTOTAL(9,Tabla6[[#This Row],[ENE]:[DIC]])</f>
        <v>3580.68</v>
      </c>
      <c r="AM1167" s="76" t="str">
        <f t="shared" si="40"/>
        <v>OK</v>
      </c>
      <c r="AN1167" s="60">
        <v>3580.68</v>
      </c>
      <c r="AO1167" s="61">
        <f>+Tabla6[[#This Row],[PRESUPUESTO VIGENTE]]-Tabla6[[#This Row],[CERTIFICACIÓN PAPP]]</f>
        <v>0</v>
      </c>
      <c r="AP1167" s="59">
        <v>0</v>
      </c>
    </row>
    <row r="1168" spans="1:42" ht="93" customHeight="1" x14ac:dyDescent="0.25">
      <c r="A1168" s="62" t="s">
        <v>78</v>
      </c>
      <c r="B1168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168" s="64" t="s">
        <v>79</v>
      </c>
      <c r="D1168" s="64" t="s">
        <v>80</v>
      </c>
      <c r="E1168" s="64" t="s">
        <v>81</v>
      </c>
      <c r="F1168" s="64" t="s">
        <v>112</v>
      </c>
      <c r="G1168" s="64" t="s">
        <v>92</v>
      </c>
      <c r="H1168" s="65" t="str">
        <f>VLOOKUP(Tabla6[[#This Row],[DIRECCIÓN]],DIRECCIÓN[#All],2,0)</f>
        <v>ADMINISTRACIÓN CENTRAL</v>
      </c>
      <c r="I1168" s="66" t="s">
        <v>712</v>
      </c>
      <c r="J1168" s="67">
        <v>1</v>
      </c>
      <c r="K1168" s="68" t="str">
        <f>VLOOKUP(Tabla6[[#This Row],[DIRECCIÓN GENERAL / COORDINACIÓN / SUBDIRECCIÓN]],Tabla37[[#All],[Columna1]:[EOD]],2,0)</f>
        <v>266_0007</v>
      </c>
      <c r="L1168" s="69">
        <f>VLOOKUP(Tabla6[[#This Row],[OBJETIVOS PND]],Listas!$A$1:$C$3,3,0)</f>
        <v>1</v>
      </c>
      <c r="M1168" s="70">
        <f>VLOOKUP(Tabla6[[#This Row],[PG]],Listas2!$G$14:$K$16,5,0)</f>
        <v>0</v>
      </c>
      <c r="N1168" s="71">
        <v>1</v>
      </c>
      <c r="O1168" s="72">
        <v>701</v>
      </c>
      <c r="P1168" s="73" t="str">
        <f>VLOOKUP(Tabla6[[#This Row],[GEO]],Listas!$A$48:$B$77,2,0)</f>
        <v>MACHALA</v>
      </c>
      <c r="Q1168" s="70">
        <f>VLOOKUP(Tabla6[[#This Row],[PG]],Listas2!$G$14:$K$16,3,0)</f>
        <v>1</v>
      </c>
      <c r="R1168" s="73">
        <f>VLOOKUP(Tabla6[[#This Row],[PG]],Listas2!H622:'Listas2'!$G$14:$K$16,4,0)</f>
        <v>0</v>
      </c>
      <c r="S1168" s="73">
        <f>VLOOKUP(Tabla6[[#This Row],[PG]],Listas2!$G$14:$K$16,2,0)</f>
        <v>0</v>
      </c>
      <c r="T1168" s="66" t="s">
        <v>84</v>
      </c>
      <c r="U1168" s="74">
        <v>53</v>
      </c>
      <c r="V1168" s="66">
        <v>531406</v>
      </c>
      <c r="W1168" s="63" t="str">
        <f>VLOOKUP(Tabla6[[#This Row],[ÍTEM PRESUPUESTARIO]],Tabla2[#All],2,0)</f>
        <v>HERRAMIENTAS Y EQUIPOS MENORES</v>
      </c>
      <c r="X1168" s="57">
        <v>0</v>
      </c>
      <c r="Y1168" s="57">
        <f>800+60-0.18</f>
        <v>859.82</v>
      </c>
      <c r="Z1168" s="58">
        <v>0</v>
      </c>
      <c r="AA1168" s="58">
        <v>0</v>
      </c>
      <c r="AB1168" s="58">
        <v>0</v>
      </c>
      <c r="AC1168" s="58">
        <v>0</v>
      </c>
      <c r="AD1168" s="58">
        <v>0</v>
      </c>
      <c r="AE1168" s="58">
        <v>0</v>
      </c>
      <c r="AF1168" s="58">
        <v>0</v>
      </c>
      <c r="AG1168" s="58">
        <v>800</v>
      </c>
      <c r="AH1168" s="58">
        <v>59.82</v>
      </c>
      <c r="AI1168" s="58">
        <v>0</v>
      </c>
      <c r="AJ1168" s="58">
        <v>0</v>
      </c>
      <c r="AK1168" s="58">
        <v>0</v>
      </c>
      <c r="AL1168" s="75">
        <f>+SUBTOTAL(9,Tabla6[[#This Row],[ENE]:[DIC]])</f>
        <v>859.82</v>
      </c>
      <c r="AM1168" s="76" t="str">
        <f t="shared" si="40"/>
        <v>OK</v>
      </c>
      <c r="AN1168" s="60">
        <v>859.82</v>
      </c>
      <c r="AO1168" s="61">
        <f>+Tabla6[[#This Row],[PRESUPUESTO VIGENTE]]-Tabla6[[#This Row],[CERTIFICACIÓN PAPP]]</f>
        <v>0</v>
      </c>
      <c r="AP1168" s="59">
        <v>0</v>
      </c>
    </row>
    <row r="1169" spans="1:42" ht="93" customHeight="1" x14ac:dyDescent="0.25">
      <c r="A1169" s="62" t="s">
        <v>78</v>
      </c>
      <c r="B1169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169" s="64" t="s">
        <v>79</v>
      </c>
      <c r="D1169" s="64" t="s">
        <v>80</v>
      </c>
      <c r="E1169" s="64" t="s">
        <v>81</v>
      </c>
      <c r="F1169" s="64" t="s">
        <v>112</v>
      </c>
      <c r="G1169" s="64" t="s">
        <v>92</v>
      </c>
      <c r="H1169" s="65" t="str">
        <f>VLOOKUP(Tabla6[[#This Row],[DIRECCIÓN]],DIRECCIÓN[#All],2,0)</f>
        <v>ADMINISTRACIÓN CENTRAL</v>
      </c>
      <c r="I1169" s="66" t="s">
        <v>708</v>
      </c>
      <c r="J1169" s="67">
        <v>1</v>
      </c>
      <c r="K1169" s="68" t="str">
        <f>VLOOKUP(Tabla6[[#This Row],[DIRECCIÓN GENERAL / COORDINACIÓN / SUBDIRECCIÓN]],Tabla37[[#All],[Columna1]:[EOD]],2,0)</f>
        <v>266_0007</v>
      </c>
      <c r="L1169" s="69">
        <f>VLOOKUP(Tabla6[[#This Row],[OBJETIVOS PND]],Listas!$A$1:$C$3,3,0)</f>
        <v>1</v>
      </c>
      <c r="M1169" s="70">
        <f>VLOOKUP(Tabla6[[#This Row],[PG]],Listas2!$G$14:$K$16,5,0)</f>
        <v>0</v>
      </c>
      <c r="N1169" s="71">
        <v>1</v>
      </c>
      <c r="O1169" s="72">
        <v>701</v>
      </c>
      <c r="P1169" s="73" t="str">
        <f>VLOOKUP(Tabla6[[#This Row],[GEO]],Listas!$A$48:$B$77,2,0)</f>
        <v>MACHALA</v>
      </c>
      <c r="Q1169" s="70">
        <f>VLOOKUP(Tabla6[[#This Row],[PG]],Listas2!$G$14:$K$16,3,0)</f>
        <v>1</v>
      </c>
      <c r="R1169" s="73">
        <f>VLOOKUP(Tabla6[[#This Row],[PG]],Listas2!H623:'Listas2'!$G$14:$K$16,4,0)</f>
        <v>0</v>
      </c>
      <c r="S1169" s="73">
        <f>VLOOKUP(Tabla6[[#This Row],[PG]],Listas2!$G$14:$K$16,2,0)</f>
        <v>0</v>
      </c>
      <c r="T1169" s="66" t="s">
        <v>84</v>
      </c>
      <c r="U1169" s="74">
        <v>53</v>
      </c>
      <c r="V1169" s="66">
        <v>531407</v>
      </c>
      <c r="W1169" s="63" t="str">
        <f>VLOOKUP(Tabla6[[#This Row],[ÍTEM PRESUPUESTARIO]],Tabla2[#All],2,0)</f>
        <v>EQUIPOS, SISTEMAS Y PAQUETES INFORMÁTICOS</v>
      </c>
      <c r="X1169" s="57">
        <v>0</v>
      </c>
      <c r="Y1169" s="57">
        <f>4000-1360</f>
        <v>2640</v>
      </c>
      <c r="Z1169" s="58">
        <v>0</v>
      </c>
      <c r="AA1169" s="58">
        <v>0</v>
      </c>
      <c r="AB1169" s="58">
        <v>0</v>
      </c>
      <c r="AC1169" s="58">
        <v>0</v>
      </c>
      <c r="AD1169" s="58">
        <v>0</v>
      </c>
      <c r="AE1169" s="58">
        <v>0</v>
      </c>
      <c r="AF1169" s="58">
        <v>0</v>
      </c>
      <c r="AG1169" s="58">
        <v>0</v>
      </c>
      <c r="AH1169" s="58">
        <v>0</v>
      </c>
      <c r="AI1169" s="58">
        <v>0</v>
      </c>
      <c r="AJ1169" s="58">
        <v>0</v>
      </c>
      <c r="AK1169" s="58">
        <v>2640</v>
      </c>
      <c r="AL1169" s="75">
        <f>+SUBTOTAL(9,Tabla6[[#This Row],[ENE]:[DIC]])</f>
        <v>2640</v>
      </c>
      <c r="AM1169" s="76" t="str">
        <f t="shared" si="40"/>
        <v>OK</v>
      </c>
      <c r="AN1169" s="60">
        <v>2640</v>
      </c>
      <c r="AO1169" s="61">
        <f>+Tabla6[[#This Row],[PRESUPUESTO VIGENTE]]-Tabla6[[#This Row],[CERTIFICACIÓN PAPP]]</f>
        <v>0</v>
      </c>
      <c r="AP1169" s="59">
        <v>0</v>
      </c>
    </row>
    <row r="1170" spans="1:42" ht="93" customHeight="1" x14ac:dyDescent="0.25">
      <c r="A1170" s="62" t="s">
        <v>78</v>
      </c>
      <c r="B1170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170" s="64" t="s">
        <v>79</v>
      </c>
      <c r="D1170" s="64" t="s">
        <v>80</v>
      </c>
      <c r="E1170" s="64" t="s">
        <v>81</v>
      </c>
      <c r="F1170" s="64" t="s">
        <v>112</v>
      </c>
      <c r="G1170" s="64" t="s">
        <v>92</v>
      </c>
      <c r="H1170" s="65" t="str">
        <f>VLOOKUP(Tabla6[[#This Row],[DIRECCIÓN]],DIRECCIÓN[#All],2,0)</f>
        <v>ADMINISTRACIÓN CENTRAL</v>
      </c>
      <c r="I1170" s="66" t="s">
        <v>708</v>
      </c>
      <c r="J1170" s="67">
        <v>1</v>
      </c>
      <c r="K1170" s="68" t="str">
        <f>VLOOKUP(Tabla6[[#This Row],[DIRECCIÓN GENERAL / COORDINACIÓN / SUBDIRECCIÓN]],Tabla37[[#All],[Columna1]:[EOD]],2,0)</f>
        <v>266_0007</v>
      </c>
      <c r="L1170" s="69">
        <f>VLOOKUP(Tabla6[[#This Row],[OBJETIVOS PND]],Listas!$A$1:$C$3,3,0)</f>
        <v>1</v>
      </c>
      <c r="M1170" s="70">
        <f>VLOOKUP(Tabla6[[#This Row],[PG]],Listas2!$G$14:$K$16,5,0)</f>
        <v>0</v>
      </c>
      <c r="N1170" s="71">
        <v>1</v>
      </c>
      <c r="O1170" s="72">
        <v>701</v>
      </c>
      <c r="P1170" s="73" t="str">
        <f>VLOOKUP(Tabla6[[#This Row],[GEO]],Listas!$A$48:$B$77,2,0)</f>
        <v>MACHALA</v>
      </c>
      <c r="Q1170" s="70">
        <f>VLOOKUP(Tabla6[[#This Row],[PG]],Listas2!$G$14:$K$16,3,0)</f>
        <v>1</v>
      </c>
      <c r="R1170" s="73">
        <f>VLOOKUP(Tabla6[[#This Row],[PG]],Listas2!H624:'Listas2'!$G$14:$K$16,4,0)</f>
        <v>0</v>
      </c>
      <c r="S1170" s="73">
        <f>VLOOKUP(Tabla6[[#This Row],[PG]],Listas2!$G$14:$K$16,2,0)</f>
        <v>0</v>
      </c>
      <c r="T1170" s="66" t="s">
        <v>84</v>
      </c>
      <c r="U1170" s="74">
        <v>53</v>
      </c>
      <c r="V1170" s="66">
        <v>531411</v>
      </c>
      <c r="W1170" s="63" t="str">
        <f>VLOOKUP(Tabla6[[#This Row],[ÍTEM PRESUPUESTARIO]],Tabla2[#All],2,0)</f>
        <v>PARTES Y REPUESTOS</v>
      </c>
      <c r="X1170" s="57">
        <v>0</v>
      </c>
      <c r="Y1170" s="57">
        <f>500-314.68</f>
        <v>185.32</v>
      </c>
      <c r="Z1170" s="58">
        <v>0</v>
      </c>
      <c r="AA1170" s="58">
        <v>0</v>
      </c>
      <c r="AB1170" s="58">
        <v>0</v>
      </c>
      <c r="AC1170" s="58">
        <v>0</v>
      </c>
      <c r="AD1170" s="58">
        <v>0</v>
      </c>
      <c r="AE1170" s="58">
        <v>0</v>
      </c>
      <c r="AF1170" s="58">
        <v>0</v>
      </c>
      <c r="AG1170" s="58">
        <v>0</v>
      </c>
      <c r="AH1170" s="58">
        <v>0</v>
      </c>
      <c r="AI1170" s="58">
        <v>0</v>
      </c>
      <c r="AJ1170" s="58">
        <v>0</v>
      </c>
      <c r="AK1170" s="58">
        <v>185.32</v>
      </c>
      <c r="AL1170" s="75">
        <f>+SUBTOTAL(9,Tabla6[[#This Row],[ENE]:[DIC]])</f>
        <v>185.32</v>
      </c>
      <c r="AM1170" s="76" t="str">
        <f t="shared" si="40"/>
        <v>OK</v>
      </c>
      <c r="AN1170" s="60">
        <v>185.32</v>
      </c>
      <c r="AO1170" s="61">
        <f>+Tabla6[[#This Row],[PRESUPUESTO VIGENTE]]-Tabla6[[#This Row],[CERTIFICACIÓN PAPP]]</f>
        <v>0</v>
      </c>
      <c r="AP1170" s="59">
        <v>0</v>
      </c>
    </row>
    <row r="1171" spans="1:42" ht="93" customHeight="1" x14ac:dyDescent="0.25">
      <c r="A1171" s="62" t="s">
        <v>78</v>
      </c>
      <c r="B1171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171" s="64" t="s">
        <v>79</v>
      </c>
      <c r="D1171" s="64" t="s">
        <v>80</v>
      </c>
      <c r="E1171" s="64" t="s">
        <v>81</v>
      </c>
      <c r="F1171" s="64" t="s">
        <v>112</v>
      </c>
      <c r="G1171" s="64" t="s">
        <v>92</v>
      </c>
      <c r="H1171" s="65" t="str">
        <f>VLOOKUP(Tabla6[[#This Row],[DIRECCIÓN]],DIRECCIÓN[#All],2,0)</f>
        <v>ADMINISTRACIÓN CENTRAL</v>
      </c>
      <c r="I1171" s="66" t="s">
        <v>713</v>
      </c>
      <c r="J1171" s="67">
        <v>1</v>
      </c>
      <c r="K1171" s="68" t="str">
        <f>VLOOKUP(Tabla6[[#This Row],[DIRECCIÓN GENERAL / COORDINACIÓN / SUBDIRECCIÓN]],Tabla37[[#All],[Columna1]:[EOD]],2,0)</f>
        <v>266_0007</v>
      </c>
      <c r="L1171" s="69">
        <f>VLOOKUP(Tabla6[[#This Row],[OBJETIVOS PND]],Listas!$A$1:$C$3,3,0)</f>
        <v>1</v>
      </c>
      <c r="M1171" s="70">
        <f>VLOOKUP(Tabla6[[#This Row],[PG]],Listas2!$G$14:$K$16,5,0)</f>
        <v>0</v>
      </c>
      <c r="N1171" s="71">
        <v>1</v>
      </c>
      <c r="O1171" s="72">
        <v>701</v>
      </c>
      <c r="P1171" s="73" t="str">
        <f>VLOOKUP(Tabla6[[#This Row],[GEO]],Listas!$A$48:$B$77,2,0)</f>
        <v>MACHALA</v>
      </c>
      <c r="Q1171" s="70">
        <f>VLOOKUP(Tabla6[[#This Row],[PG]],Listas2!$G$14:$K$16,3,0)</f>
        <v>1</v>
      </c>
      <c r="R1171" s="73">
        <f>VLOOKUP(Tabla6[[#This Row],[PG]],Listas2!H625:'Listas2'!$G$14:$K$16,4,0)</f>
        <v>0</v>
      </c>
      <c r="S1171" s="73">
        <f>VLOOKUP(Tabla6[[#This Row],[PG]],Listas2!$G$14:$K$16,2,0)</f>
        <v>0</v>
      </c>
      <c r="T1171" s="66" t="s">
        <v>84</v>
      </c>
      <c r="U1171" s="74">
        <v>57</v>
      </c>
      <c r="V1171" s="66">
        <v>570102</v>
      </c>
      <c r="W1171" s="63" t="str">
        <f>VLOOKUP(Tabla6[[#This Row],[ÍTEM PRESUPUESTARIO]],Tabla2[#All],2,0)</f>
        <v>TASAS GENERALES, IMPUESTOS, CONTRIBUCIONES, PERMISOS, LICENCIAS Y PATENTES</v>
      </c>
      <c r="X1171" s="57">
        <v>120</v>
      </c>
      <c r="Y1171" s="57">
        <f>120-88</f>
        <v>32</v>
      </c>
      <c r="Z1171" s="58">
        <v>0</v>
      </c>
      <c r="AA1171" s="58">
        <v>0</v>
      </c>
      <c r="AB1171" s="58">
        <v>0</v>
      </c>
      <c r="AC1171" s="58">
        <v>0</v>
      </c>
      <c r="AD1171" s="58">
        <v>0</v>
      </c>
      <c r="AE1171" s="58">
        <v>0</v>
      </c>
      <c r="AF1171" s="58">
        <v>0</v>
      </c>
      <c r="AG1171" s="58">
        <v>0</v>
      </c>
      <c r="AH1171" s="58">
        <v>0</v>
      </c>
      <c r="AI1171" s="58">
        <v>0</v>
      </c>
      <c r="AJ1171" s="58">
        <v>0</v>
      </c>
      <c r="AK1171" s="58">
        <v>32</v>
      </c>
      <c r="AL1171" s="75">
        <f>+SUBTOTAL(9,Tabla6[[#This Row],[ENE]:[DIC]])</f>
        <v>32</v>
      </c>
      <c r="AM1171" s="76" t="str">
        <f t="shared" si="40"/>
        <v>OK</v>
      </c>
      <c r="AN1171" s="60">
        <f>120-88+88-88</f>
        <v>32</v>
      </c>
      <c r="AO1171" s="61">
        <f>+Tabla6[[#This Row],[PRESUPUESTO VIGENTE]]-Tabla6[[#This Row],[CERTIFICACIÓN PAPP]]</f>
        <v>0</v>
      </c>
      <c r="AP1171" s="59">
        <v>0</v>
      </c>
    </row>
    <row r="1172" spans="1:42" ht="93" customHeight="1" x14ac:dyDescent="0.25">
      <c r="A1172" s="62" t="s">
        <v>78</v>
      </c>
      <c r="B1172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172" s="64" t="s">
        <v>79</v>
      </c>
      <c r="D1172" s="64" t="s">
        <v>80</v>
      </c>
      <c r="E1172" s="64" t="s">
        <v>81</v>
      </c>
      <c r="F1172" s="64" t="s">
        <v>112</v>
      </c>
      <c r="G1172" s="64" t="s">
        <v>92</v>
      </c>
      <c r="H1172" s="65" t="str">
        <f>VLOOKUP(Tabla6[[#This Row],[DIRECCIÓN]],DIRECCIÓN[#All],2,0)</f>
        <v>ADMINISTRACIÓN CENTRAL</v>
      </c>
      <c r="I1172" s="66" t="s">
        <v>714</v>
      </c>
      <c r="J1172" s="67">
        <v>1</v>
      </c>
      <c r="K1172" s="68" t="str">
        <f>VLOOKUP(Tabla6[[#This Row],[DIRECCIÓN GENERAL / COORDINACIÓN / SUBDIRECCIÓN]],Tabla37[[#All],[Columna1]:[EOD]],2,0)</f>
        <v>266_0007</v>
      </c>
      <c r="L1172" s="69">
        <f>VLOOKUP(Tabla6[[#This Row],[OBJETIVOS PND]],Listas!$A$1:$C$3,3,0)</f>
        <v>1</v>
      </c>
      <c r="M1172" s="70">
        <f>VLOOKUP(Tabla6[[#This Row],[PG]],Listas2!$G$14:$K$16,5,0)</f>
        <v>0</v>
      </c>
      <c r="N1172" s="71">
        <v>1</v>
      </c>
      <c r="O1172" s="72">
        <v>701</v>
      </c>
      <c r="P1172" s="73" t="str">
        <f>VLOOKUP(Tabla6[[#This Row],[GEO]],Listas!$A$48:$B$77,2,0)</f>
        <v>MACHALA</v>
      </c>
      <c r="Q1172" s="70">
        <f>VLOOKUP(Tabla6[[#This Row],[PG]],Listas2!$G$14:$K$16,3,0)</f>
        <v>1</v>
      </c>
      <c r="R1172" s="73">
        <f>VLOOKUP(Tabla6[[#This Row],[PG]],Listas2!H626:'Listas2'!$G$14:$K$16,4,0)</f>
        <v>0</v>
      </c>
      <c r="S1172" s="73">
        <f>VLOOKUP(Tabla6[[#This Row],[PG]],Listas2!$G$14:$K$16,2,0)</f>
        <v>0</v>
      </c>
      <c r="T1172" s="66" t="s">
        <v>84</v>
      </c>
      <c r="U1172" s="74">
        <v>57</v>
      </c>
      <c r="V1172" s="66">
        <v>570102</v>
      </c>
      <c r="W1172" s="63" t="str">
        <f>VLOOKUP(Tabla6[[#This Row],[ÍTEM PRESUPUESTARIO]],Tabla2[#All],2,0)</f>
        <v>TASAS GENERALES, IMPUESTOS, CONTRIBUCIONES, PERMISOS, LICENCIAS Y PATENTES</v>
      </c>
      <c r="X1172" s="57">
        <v>450</v>
      </c>
      <c r="Y1172" s="57">
        <f>450-283.31</f>
        <v>166.69</v>
      </c>
      <c r="Z1172" s="58">
        <v>0</v>
      </c>
      <c r="AA1172" s="58">
        <v>0</v>
      </c>
      <c r="AB1172" s="58">
        <v>166.69</v>
      </c>
      <c r="AC1172" s="58">
        <v>0</v>
      </c>
      <c r="AD1172" s="58">
        <v>0</v>
      </c>
      <c r="AE1172" s="58">
        <v>0</v>
      </c>
      <c r="AF1172" s="58">
        <v>0</v>
      </c>
      <c r="AG1172" s="58">
        <v>0</v>
      </c>
      <c r="AH1172" s="58">
        <v>0</v>
      </c>
      <c r="AI1172" s="58">
        <v>0</v>
      </c>
      <c r="AJ1172" s="58">
        <v>0</v>
      </c>
      <c r="AK1172" s="58">
        <v>0</v>
      </c>
      <c r="AL1172" s="75">
        <f>+SUBTOTAL(9,Tabla6[[#This Row],[ENE]:[DIC]])</f>
        <v>166.69</v>
      </c>
      <c r="AM1172" s="76" t="str">
        <f t="shared" si="40"/>
        <v>OK</v>
      </c>
      <c r="AN1172" s="60">
        <v>166.69</v>
      </c>
      <c r="AO1172" s="61">
        <f>+Tabla6[[#This Row],[PRESUPUESTO VIGENTE]]-Tabla6[[#This Row],[CERTIFICACIÓN PAPP]]</f>
        <v>0</v>
      </c>
      <c r="AP1172" s="59">
        <v>0</v>
      </c>
    </row>
    <row r="1173" spans="1:42" ht="93" customHeight="1" x14ac:dyDescent="0.25">
      <c r="A1173" s="62" t="s">
        <v>78</v>
      </c>
      <c r="B1173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173" s="64" t="s">
        <v>79</v>
      </c>
      <c r="D1173" s="64" t="s">
        <v>80</v>
      </c>
      <c r="E1173" s="64" t="s">
        <v>81</v>
      </c>
      <c r="F1173" s="64" t="s">
        <v>112</v>
      </c>
      <c r="G1173" s="64" t="s">
        <v>92</v>
      </c>
      <c r="H1173" s="65" t="str">
        <f>VLOOKUP(Tabla6[[#This Row],[DIRECCIÓN]],DIRECCIÓN[#All],2,0)</f>
        <v>ADMINISTRACIÓN CENTRAL</v>
      </c>
      <c r="I1173" s="66" t="s">
        <v>715</v>
      </c>
      <c r="J1173" s="67">
        <v>1</v>
      </c>
      <c r="K1173" s="68" t="str">
        <f>VLOOKUP(Tabla6[[#This Row],[DIRECCIÓN GENERAL / COORDINACIÓN / SUBDIRECCIÓN]],Tabla37[[#All],[Columna1]:[EOD]],2,0)</f>
        <v>266_0007</v>
      </c>
      <c r="L1173" s="69">
        <f>VLOOKUP(Tabla6[[#This Row],[OBJETIVOS PND]],Listas!$A$1:$C$3,3,0)</f>
        <v>1</v>
      </c>
      <c r="M1173" s="70">
        <f>VLOOKUP(Tabla6[[#This Row],[PG]],Listas2!$G$14:$K$16,5,0)</f>
        <v>0</v>
      </c>
      <c r="N1173" s="71">
        <v>1</v>
      </c>
      <c r="O1173" s="72">
        <v>701</v>
      </c>
      <c r="P1173" s="73" t="str">
        <f>VLOOKUP(Tabla6[[#This Row],[GEO]],Listas!$A$48:$B$77,2,0)</f>
        <v>MACHALA</v>
      </c>
      <c r="Q1173" s="70">
        <f>VLOOKUP(Tabla6[[#This Row],[PG]],Listas2!$G$14:$K$16,3,0)</f>
        <v>1</v>
      </c>
      <c r="R1173" s="73">
        <f>VLOOKUP(Tabla6[[#This Row],[PG]],Listas2!H627:'Listas2'!$G$14:$K$16,4,0)</f>
        <v>0</v>
      </c>
      <c r="S1173" s="73">
        <f>VLOOKUP(Tabla6[[#This Row],[PG]],Listas2!$G$14:$K$16,2,0)</f>
        <v>0</v>
      </c>
      <c r="T1173" s="66" t="s">
        <v>84</v>
      </c>
      <c r="U1173" s="74">
        <v>57</v>
      </c>
      <c r="V1173" s="66">
        <v>570102</v>
      </c>
      <c r="W1173" s="63" t="str">
        <f>VLOOKUP(Tabla6[[#This Row],[ÍTEM PRESUPUESTARIO]],Tabla2[#All],2,0)</f>
        <v>TASAS GENERALES, IMPUESTOS, CONTRIBUCIONES, PERMISOS, LICENCIAS Y PATENTES</v>
      </c>
      <c r="X1173" s="57">
        <v>850</v>
      </c>
      <c r="Y1173" s="57">
        <f>850-62.5</f>
        <v>787.5</v>
      </c>
      <c r="Z1173" s="58">
        <v>0</v>
      </c>
      <c r="AA1173" s="58">
        <v>0</v>
      </c>
      <c r="AB1173" s="58">
        <v>787.5</v>
      </c>
      <c r="AC1173" s="58">
        <v>0</v>
      </c>
      <c r="AD1173" s="58">
        <v>0</v>
      </c>
      <c r="AE1173" s="58">
        <v>0</v>
      </c>
      <c r="AF1173" s="58">
        <v>0</v>
      </c>
      <c r="AG1173" s="58">
        <v>0</v>
      </c>
      <c r="AH1173" s="58">
        <v>0</v>
      </c>
      <c r="AI1173" s="58">
        <v>0</v>
      </c>
      <c r="AJ1173" s="58">
        <v>0</v>
      </c>
      <c r="AK1173" s="58">
        <v>0</v>
      </c>
      <c r="AL1173" s="75">
        <f>+SUBTOTAL(9,Tabla6[[#This Row],[ENE]:[DIC]])</f>
        <v>787.5</v>
      </c>
      <c r="AM1173" s="76" t="str">
        <f t="shared" si="40"/>
        <v>OK</v>
      </c>
      <c r="AN1173" s="60">
        <v>787.5</v>
      </c>
      <c r="AO1173" s="61">
        <f>+Tabla6[[#This Row],[PRESUPUESTO VIGENTE]]-Tabla6[[#This Row],[CERTIFICACIÓN PAPP]]</f>
        <v>0</v>
      </c>
      <c r="AP1173" s="59">
        <v>0</v>
      </c>
    </row>
    <row r="1174" spans="1:42" ht="93" customHeight="1" x14ac:dyDescent="0.25">
      <c r="A1174" s="62" t="s">
        <v>78</v>
      </c>
      <c r="B1174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174" s="64" t="s">
        <v>79</v>
      </c>
      <c r="D1174" s="64" t="s">
        <v>80</v>
      </c>
      <c r="E1174" s="64" t="s">
        <v>81</v>
      </c>
      <c r="F1174" s="64" t="s">
        <v>112</v>
      </c>
      <c r="G1174" s="64" t="s">
        <v>92</v>
      </c>
      <c r="H1174" s="65" t="str">
        <f>VLOOKUP(Tabla6[[#This Row],[DIRECCIÓN]],DIRECCIÓN[#All],2,0)</f>
        <v>ADMINISTRACIÓN CENTRAL</v>
      </c>
      <c r="I1174" s="66" t="s">
        <v>716</v>
      </c>
      <c r="J1174" s="67">
        <v>1</v>
      </c>
      <c r="K1174" s="68" t="str">
        <f>VLOOKUP(Tabla6[[#This Row],[DIRECCIÓN GENERAL / COORDINACIÓN / SUBDIRECCIÓN]],Tabla37[[#All],[Columna1]:[EOD]],2,0)</f>
        <v>266_0007</v>
      </c>
      <c r="L1174" s="69">
        <f>VLOOKUP(Tabla6[[#This Row],[OBJETIVOS PND]],Listas!$A$1:$C$3,3,0)</f>
        <v>1</v>
      </c>
      <c r="M1174" s="70">
        <f>VLOOKUP(Tabla6[[#This Row],[PG]],Listas2!$G$14:$K$16,5,0)</f>
        <v>0</v>
      </c>
      <c r="N1174" s="71">
        <v>1</v>
      </c>
      <c r="O1174" s="72">
        <v>701</v>
      </c>
      <c r="P1174" s="73" t="str">
        <f>VLOOKUP(Tabla6[[#This Row],[GEO]],Listas!$A$48:$B$77,2,0)</f>
        <v>MACHALA</v>
      </c>
      <c r="Q1174" s="70">
        <f>VLOOKUP(Tabla6[[#This Row],[PG]],Listas2!$G$14:$K$16,3,0)</f>
        <v>1</v>
      </c>
      <c r="R1174" s="73">
        <f>VLOOKUP(Tabla6[[#This Row],[PG]],Listas2!H628:'Listas2'!$G$14:$K$16,4,0)</f>
        <v>0</v>
      </c>
      <c r="S1174" s="73">
        <f>VLOOKUP(Tabla6[[#This Row],[PG]],Listas2!$G$14:$K$16,2,0)</f>
        <v>0</v>
      </c>
      <c r="T1174" s="66" t="s">
        <v>84</v>
      </c>
      <c r="U1174" s="74">
        <v>57</v>
      </c>
      <c r="V1174" s="66">
        <v>570102</v>
      </c>
      <c r="W1174" s="63" t="str">
        <f>VLOOKUP(Tabla6[[#This Row],[ÍTEM PRESUPUESTARIO]],Tabla2[#All],2,0)</f>
        <v>TASAS GENERALES, IMPUESTOS, CONTRIBUCIONES, PERMISOS, LICENCIAS Y PATENTES</v>
      </c>
      <c r="X1174" s="57">
        <v>9481</v>
      </c>
      <c r="Y1174" s="57">
        <f>9481+1200-40-212.6</f>
        <v>10428.4</v>
      </c>
      <c r="Z1174" s="58">
        <v>830</v>
      </c>
      <c r="AA1174" s="58">
        <v>830</v>
      </c>
      <c r="AB1174" s="58">
        <v>830</v>
      </c>
      <c r="AC1174" s="58">
        <v>830</v>
      </c>
      <c r="AD1174" s="58">
        <v>830</v>
      </c>
      <c r="AE1174" s="58">
        <v>830</v>
      </c>
      <c r="AF1174" s="58">
        <v>830</v>
      </c>
      <c r="AG1174" s="58">
        <v>830</v>
      </c>
      <c r="AH1174" s="58">
        <v>830</v>
      </c>
      <c r="AI1174" s="58">
        <v>830</v>
      </c>
      <c r="AJ1174" s="58">
        <v>830</v>
      </c>
      <c r="AK1174" s="58">
        <v>1298.4000000000001</v>
      </c>
      <c r="AL1174" s="75">
        <f>+SUBTOTAL(9,Tabla6[[#This Row],[ENE]:[DIC]])</f>
        <v>10428.4</v>
      </c>
      <c r="AM1174" s="76" t="str">
        <f t="shared" si="40"/>
        <v>OK</v>
      </c>
      <c r="AN1174" s="60">
        <f>748.94+8732.06-892.6+2092.6-40-212.6</f>
        <v>10428.4</v>
      </c>
      <c r="AO1174" s="61">
        <f>+Tabla6[[#This Row],[PRESUPUESTO VIGENTE]]-Tabla6[[#This Row],[CERTIFICACIÓN PAPP]]</f>
        <v>0</v>
      </c>
      <c r="AP1174" s="59">
        <v>0</v>
      </c>
    </row>
    <row r="1175" spans="1:42" ht="93" customHeight="1" x14ac:dyDescent="0.25">
      <c r="A1175" s="62" t="s">
        <v>88</v>
      </c>
      <c r="B1175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175" s="64" t="s">
        <v>89</v>
      </c>
      <c r="D1175" s="64" t="s">
        <v>80</v>
      </c>
      <c r="E1175" s="64" t="s">
        <v>81</v>
      </c>
      <c r="F1175" s="64" t="s">
        <v>112</v>
      </c>
      <c r="G1175" s="64" t="s">
        <v>9</v>
      </c>
      <c r="H1175" s="65" t="str">
        <f>VLOOKUP(Tabla6[[#This Row],[DIRECCIÓN]],DIRECCIÓN[#All],2,0)</f>
        <v>OPERACIONES</v>
      </c>
      <c r="I1175" s="66" t="s">
        <v>717</v>
      </c>
      <c r="J1175" s="67">
        <v>1</v>
      </c>
      <c r="K1175" s="68" t="str">
        <f>VLOOKUP(Tabla6[[#This Row],[DIRECCIÓN GENERAL / COORDINACIÓN / SUBDIRECCIÓN]],Tabla37[[#All],[Columna1]:[EOD]],2,0)</f>
        <v>266_0007</v>
      </c>
      <c r="L1175" s="69">
        <f>VLOOKUP(Tabla6[[#This Row],[OBJETIVOS PND]],Listas!$A$1:$C$3,3,0)</f>
        <v>55</v>
      </c>
      <c r="M1175" s="70">
        <f>VLOOKUP(Tabla6[[#This Row],[PG]],Listas2!$G$14:$K$16,5,0)</f>
        <v>0</v>
      </c>
      <c r="N1175" s="71">
        <v>2</v>
      </c>
      <c r="O1175" s="72">
        <v>701</v>
      </c>
      <c r="P1175" s="73" t="str">
        <f>VLOOKUP(Tabla6[[#This Row],[GEO]],Listas!$A$48:$B$77,2,0)</f>
        <v>MACHALA</v>
      </c>
      <c r="Q1175" s="70">
        <f>VLOOKUP(Tabla6[[#This Row],[PG]],Listas2!$G$14:$K$16,3,0)</f>
        <v>1</v>
      </c>
      <c r="R1175" s="73">
        <f>VLOOKUP(Tabla6[[#This Row],[PG]],Listas2!H629:'Listas2'!$G$14:$K$16,4,0)</f>
        <v>0</v>
      </c>
      <c r="S1175" s="73">
        <f>VLOOKUP(Tabla6[[#This Row],[PG]],Listas2!$G$14:$K$16,2,0)</f>
        <v>0</v>
      </c>
      <c r="T1175" s="66" t="s">
        <v>84</v>
      </c>
      <c r="U1175" s="74">
        <v>53</v>
      </c>
      <c r="V1175" s="66">
        <v>530204</v>
      </c>
      <c r="W1175" s="63" t="str">
        <f>VLOOKUP(Tabla6[[#This Row],[ÍTEM PRESUPUESTARIO]],Tabla2[#All],2,0)</f>
        <v>EDICIÓN, IMPRESIÓN, REPRODUCCIÓN, PUBLICACIONES, SUSCRIPCIONES, FOTOCOPIADO, TRADUCCIÓN, EMPASTADO, ENMARCACIÓN, SERIGRAFÍA, FOTOGRAFÍA, CARNETIZACIÓN, FILMACIÓN E IMÁGENES SATELITALES</v>
      </c>
      <c r="X1175" s="57">
        <v>0</v>
      </c>
      <c r="Y1175" s="57">
        <f>3027.22</f>
        <v>3027.22</v>
      </c>
      <c r="Z1175" s="58">
        <v>0</v>
      </c>
      <c r="AA1175" s="58">
        <v>0</v>
      </c>
      <c r="AB1175" s="58">
        <v>0</v>
      </c>
      <c r="AC1175" s="58">
        <v>0</v>
      </c>
      <c r="AD1175" s="58">
        <v>0</v>
      </c>
      <c r="AE1175" s="58">
        <v>0</v>
      </c>
      <c r="AF1175" s="58">
        <v>0</v>
      </c>
      <c r="AG1175" s="58">
        <v>0</v>
      </c>
      <c r="AH1175" s="58">
        <v>3027.22</v>
      </c>
      <c r="AI1175" s="58">
        <v>0</v>
      </c>
      <c r="AJ1175" s="58">
        <v>0</v>
      </c>
      <c r="AK1175" s="58">
        <v>0</v>
      </c>
      <c r="AL1175" s="75">
        <f>+SUBTOTAL(9,Tabla6[[#This Row],[ENE]:[DIC]])</f>
        <v>3027.22</v>
      </c>
      <c r="AM1175" s="76" t="str">
        <f t="shared" si="40"/>
        <v>OK</v>
      </c>
      <c r="AN1175" s="60">
        <v>3027.22</v>
      </c>
      <c r="AO1175" s="61">
        <f>+Tabla6[[#This Row],[PRESUPUESTO VIGENTE]]-Tabla6[[#This Row],[CERTIFICACIÓN PAPP]]</f>
        <v>0</v>
      </c>
      <c r="AP1175" s="59">
        <v>0</v>
      </c>
    </row>
    <row r="1176" spans="1:42" ht="93" customHeight="1" x14ac:dyDescent="0.25">
      <c r="A1176" s="62" t="s">
        <v>88</v>
      </c>
      <c r="B1176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176" s="64" t="s">
        <v>89</v>
      </c>
      <c r="D1176" s="64" t="s">
        <v>80</v>
      </c>
      <c r="E1176" s="64" t="s">
        <v>81</v>
      </c>
      <c r="F1176" s="64" t="s">
        <v>112</v>
      </c>
      <c r="G1176" s="64" t="s">
        <v>10</v>
      </c>
      <c r="H1176" s="65" t="str">
        <f>VLOOKUP(Tabla6[[#This Row],[DIRECCIÓN]],DIRECCIÓN[#All],2,0)</f>
        <v>TECNOLOGÍA</v>
      </c>
      <c r="I1176" s="66" t="s">
        <v>718</v>
      </c>
      <c r="J1176" s="67">
        <v>1</v>
      </c>
      <c r="K1176" s="68" t="str">
        <f>VLOOKUP(Tabla6[[#This Row],[DIRECCIÓN GENERAL / COORDINACIÓN / SUBDIRECCIÓN]],Tabla37[[#All],[Columna1]:[EOD]],2,0)</f>
        <v>266_0007</v>
      </c>
      <c r="L1176" s="69">
        <f>VLOOKUP(Tabla6[[#This Row],[OBJETIVOS PND]],Listas!$A$1:$C$3,3,0)</f>
        <v>55</v>
      </c>
      <c r="M1176" s="70">
        <f>VLOOKUP(Tabla6[[#This Row],[PG]],Listas2!$G$14:$K$16,5,0)</f>
        <v>0</v>
      </c>
      <c r="N1176" s="71">
        <v>3</v>
      </c>
      <c r="O1176" s="72">
        <v>701</v>
      </c>
      <c r="P1176" s="73" t="str">
        <f>VLOOKUP(Tabla6[[#This Row],[GEO]],Listas!$A$48:$B$77,2,0)</f>
        <v>MACHALA</v>
      </c>
      <c r="Q1176" s="70">
        <f>VLOOKUP(Tabla6[[#This Row],[PG]],Listas2!$G$14:$K$16,3,0)</f>
        <v>1</v>
      </c>
      <c r="R1176" s="73">
        <f>VLOOKUP(Tabla6[[#This Row],[PG]],Listas2!H630:'Listas2'!$G$14:$K$16,4,0)</f>
        <v>0</v>
      </c>
      <c r="S1176" s="73">
        <f>VLOOKUP(Tabla6[[#This Row],[PG]],Listas2!$G$14:$K$16,2,0)</f>
        <v>0</v>
      </c>
      <c r="T1176" s="66" t="s">
        <v>84</v>
      </c>
      <c r="U1176" s="74">
        <v>53</v>
      </c>
      <c r="V1176" s="66">
        <v>530105</v>
      </c>
      <c r="W1176" s="63" t="str">
        <f>VLOOKUP(Tabla6[[#This Row],[ÍTEM PRESUPUESTARIO]],Tabla2[#All],2,0)</f>
        <v>TELECOMUNICACIONES</v>
      </c>
      <c r="X1176" s="57">
        <v>5000</v>
      </c>
      <c r="Y1176" s="57">
        <v>0</v>
      </c>
      <c r="Z1176" s="58">
        <v>0</v>
      </c>
      <c r="AA1176" s="58">
        <v>0</v>
      </c>
      <c r="AB1176" s="58">
        <v>0</v>
      </c>
      <c r="AC1176" s="58">
        <v>0</v>
      </c>
      <c r="AD1176" s="58">
        <v>0</v>
      </c>
      <c r="AE1176" s="58">
        <v>0</v>
      </c>
      <c r="AF1176" s="58">
        <v>0</v>
      </c>
      <c r="AG1176" s="58">
        <v>0</v>
      </c>
      <c r="AH1176" s="58">
        <v>0</v>
      </c>
      <c r="AI1176" s="58">
        <v>0</v>
      </c>
      <c r="AJ1176" s="58">
        <v>0</v>
      </c>
      <c r="AK1176" s="58">
        <v>0</v>
      </c>
      <c r="AL1176" s="75">
        <f>+SUBTOTAL(9,Tabla6[[#This Row],[ENE]:[DIC]])</f>
        <v>0</v>
      </c>
      <c r="AM1176" s="76" t="str">
        <f t="shared" si="40"/>
        <v>OK</v>
      </c>
      <c r="AN1176" s="60">
        <v>0</v>
      </c>
      <c r="AO1176" s="61">
        <f>+Tabla6[[#This Row],[PRESUPUESTO VIGENTE]]-Tabla6[[#This Row],[CERTIFICACIÓN PAPP]]</f>
        <v>0</v>
      </c>
      <c r="AP1176" s="59">
        <v>0</v>
      </c>
    </row>
    <row r="1177" spans="1:42" ht="93" customHeight="1" x14ac:dyDescent="0.25">
      <c r="A1177" s="62" t="s">
        <v>88</v>
      </c>
      <c r="B1177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177" s="64" t="s">
        <v>89</v>
      </c>
      <c r="D1177" s="64" t="s">
        <v>80</v>
      </c>
      <c r="E1177" s="64" t="s">
        <v>81</v>
      </c>
      <c r="F1177" s="64" t="s">
        <v>112</v>
      </c>
      <c r="G1177" s="64" t="s">
        <v>10</v>
      </c>
      <c r="H1177" s="65" t="str">
        <f>VLOOKUP(Tabla6[[#This Row],[DIRECCIÓN]],DIRECCIÓN[#All],2,0)</f>
        <v>TECNOLOGÍA</v>
      </c>
      <c r="I1177" s="66" t="s">
        <v>719</v>
      </c>
      <c r="J1177" s="67">
        <v>1</v>
      </c>
      <c r="K1177" s="68" t="str">
        <f>VLOOKUP(Tabla6[[#This Row],[DIRECCIÓN GENERAL / COORDINACIÓN / SUBDIRECCIÓN]],Tabla37[[#All],[Columna1]:[EOD]],2,0)</f>
        <v>266_0007</v>
      </c>
      <c r="L1177" s="69">
        <f>VLOOKUP(Tabla6[[#This Row],[OBJETIVOS PND]],Listas!$A$1:$C$3,3,0)</f>
        <v>55</v>
      </c>
      <c r="M1177" s="70">
        <f>VLOOKUP(Tabla6[[#This Row],[PG]],Listas2!$G$14:$K$16,5,0)</f>
        <v>0</v>
      </c>
      <c r="N1177" s="71">
        <v>3</v>
      </c>
      <c r="O1177" s="72">
        <v>701</v>
      </c>
      <c r="P1177" s="73" t="str">
        <f>VLOOKUP(Tabla6[[#This Row],[GEO]],Listas!$A$48:$B$77,2,0)</f>
        <v>MACHALA</v>
      </c>
      <c r="Q1177" s="70">
        <f>VLOOKUP(Tabla6[[#This Row],[PG]],Listas2!$G$14:$K$16,3,0)</f>
        <v>1</v>
      </c>
      <c r="R1177" s="73">
        <f>VLOOKUP(Tabla6[[#This Row],[PG]],Listas2!H631:'Listas2'!$G$14:$K$16,4,0)</f>
        <v>0</v>
      </c>
      <c r="S1177" s="73">
        <f>VLOOKUP(Tabla6[[#This Row],[PG]],Listas2!$G$14:$K$16,2,0)</f>
        <v>0</v>
      </c>
      <c r="T1177" s="66" t="s">
        <v>84</v>
      </c>
      <c r="U1177" s="74">
        <v>53</v>
      </c>
      <c r="V1177" s="66">
        <v>530105</v>
      </c>
      <c r="W1177" s="63" t="str">
        <f>VLOOKUP(Tabla6[[#This Row],[ÍTEM PRESUPUESTARIO]],Tabla2[#All],2,0)</f>
        <v>TELECOMUNICACIONES</v>
      </c>
      <c r="X1177" s="57">
        <v>171988</v>
      </c>
      <c r="Y1177" s="57">
        <f>129981.99-6000-6484.18-19300-31605.27</f>
        <v>66592.539999999994</v>
      </c>
      <c r="Z1177" s="58">
        <v>0</v>
      </c>
      <c r="AA1177" s="58">
        <v>0</v>
      </c>
      <c r="AB1177" s="58">
        <v>6000</v>
      </c>
      <c r="AC1177" s="58">
        <v>6000</v>
      </c>
      <c r="AD1177" s="58">
        <v>6000</v>
      </c>
      <c r="AE1177" s="58">
        <v>6000</v>
      </c>
      <c r="AF1177" s="58">
        <v>6000</v>
      </c>
      <c r="AG1177" s="58">
        <v>6000</v>
      </c>
      <c r="AH1177" s="58">
        <v>6000</v>
      </c>
      <c r="AI1177" s="58">
        <v>6000</v>
      </c>
      <c r="AJ1177" s="58">
        <v>6000</v>
      </c>
      <c r="AK1177" s="58">
        <v>12592.54</v>
      </c>
      <c r="AL1177" s="75">
        <f>+SUBTOTAL(9,Tabla6[[#This Row],[ENE]:[DIC]])</f>
        <v>66592.540000000008</v>
      </c>
      <c r="AM1177" s="76" t="str">
        <f t="shared" si="40"/>
        <v>OK</v>
      </c>
      <c r="AN1177" s="60">
        <f>116680.13+13301.86-55000-8389.45</f>
        <v>66592.540000000008</v>
      </c>
      <c r="AO1177" s="61">
        <f>+Tabla6[[#This Row],[PRESUPUESTO VIGENTE]]-Tabla6[[#This Row],[CERTIFICACIÓN PAPP]]</f>
        <v>0</v>
      </c>
      <c r="AP1177" s="59" t="s">
        <v>87</v>
      </c>
    </row>
    <row r="1178" spans="1:42" ht="93" customHeight="1" x14ac:dyDescent="0.25">
      <c r="A1178" s="62" t="s">
        <v>88</v>
      </c>
      <c r="B1178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178" s="64" t="s">
        <v>89</v>
      </c>
      <c r="D1178" s="64" t="s">
        <v>80</v>
      </c>
      <c r="E1178" s="64" t="s">
        <v>81</v>
      </c>
      <c r="F1178" s="64" t="s">
        <v>112</v>
      </c>
      <c r="G1178" s="64" t="s">
        <v>10</v>
      </c>
      <c r="H1178" s="65" t="str">
        <f>VLOOKUP(Tabla6[[#This Row],[DIRECCIÓN]],DIRECCIÓN[#All],2,0)</f>
        <v>TECNOLOGÍA</v>
      </c>
      <c r="I1178" s="66" t="s">
        <v>720</v>
      </c>
      <c r="J1178" s="67">
        <v>1</v>
      </c>
      <c r="K1178" s="68" t="str">
        <f>VLOOKUP(Tabla6[[#This Row],[DIRECCIÓN GENERAL / COORDINACIÓN / SUBDIRECCIÓN]],Tabla37[[#All],[Columna1]:[EOD]],2,0)</f>
        <v>266_0007</v>
      </c>
      <c r="L1178" s="69">
        <f>VLOOKUP(Tabla6[[#This Row],[OBJETIVOS PND]],Listas!$A$1:$C$3,3,0)</f>
        <v>55</v>
      </c>
      <c r="M1178" s="70">
        <f>VLOOKUP(Tabla6[[#This Row],[PG]],Listas2!$G$14:$K$16,5,0)</f>
        <v>0</v>
      </c>
      <c r="N1178" s="71">
        <v>3</v>
      </c>
      <c r="O1178" s="72">
        <v>701</v>
      </c>
      <c r="P1178" s="73" t="str">
        <f>VLOOKUP(Tabla6[[#This Row],[GEO]],Listas!$A$48:$B$77,2,0)</f>
        <v>MACHALA</v>
      </c>
      <c r="Q1178" s="70">
        <f>VLOOKUP(Tabla6[[#This Row],[PG]],Listas2!$G$14:$K$16,3,0)</f>
        <v>1</v>
      </c>
      <c r="R1178" s="73">
        <f>VLOOKUP(Tabla6[[#This Row],[PG]],Listas2!H632:'Listas2'!$G$14:$K$16,4,0)</f>
        <v>0</v>
      </c>
      <c r="S1178" s="73">
        <f>VLOOKUP(Tabla6[[#This Row],[PG]],Listas2!$G$14:$K$16,2,0)</f>
        <v>0</v>
      </c>
      <c r="T1178" s="66" t="s">
        <v>84</v>
      </c>
      <c r="U1178" s="74">
        <v>53</v>
      </c>
      <c r="V1178" s="66">
        <v>530404</v>
      </c>
      <c r="W1178" s="63" t="str">
        <f>VLOOKUP(Tabla6[[#This Row],[ÍTEM PRESUPUESTARIO]],Tabla2[#All],2,0)</f>
        <v>MAQUINARIAS Y EQUIPOS (INSTALACIÓN, MANTENIMIENTO Y REPARACIÓN)</v>
      </c>
      <c r="X1178" s="57">
        <v>0</v>
      </c>
      <c r="Y1178" s="57">
        <v>5776.21</v>
      </c>
      <c r="Z1178" s="58">
        <v>0</v>
      </c>
      <c r="AA1178" s="58">
        <v>0</v>
      </c>
      <c r="AB1178" s="58">
        <v>0</v>
      </c>
      <c r="AC1178" s="58">
        <v>0</v>
      </c>
      <c r="AD1178" s="58">
        <v>0</v>
      </c>
      <c r="AE1178" s="58">
        <v>0</v>
      </c>
      <c r="AF1178" s="58">
        <v>0</v>
      </c>
      <c r="AG1178" s="58">
        <v>0</v>
      </c>
      <c r="AH1178" s="58">
        <v>0</v>
      </c>
      <c r="AI1178" s="58">
        <v>0</v>
      </c>
      <c r="AJ1178" s="58">
        <v>0</v>
      </c>
      <c r="AK1178" s="58">
        <v>5776.21</v>
      </c>
      <c r="AL1178" s="75">
        <f>+SUBTOTAL(9,Tabla6[[#This Row],[ENE]:[DIC]])</f>
        <v>5776.21</v>
      </c>
      <c r="AM1178" s="76" t="str">
        <f t="shared" si="40"/>
        <v>OK</v>
      </c>
      <c r="AN1178" s="60">
        <v>5776.21</v>
      </c>
      <c r="AO1178" s="61">
        <f>+Tabla6[[#This Row],[PRESUPUESTO VIGENTE]]-Tabla6[[#This Row],[CERTIFICACIÓN PAPP]]</f>
        <v>0</v>
      </c>
      <c r="AP1178" s="59">
        <v>0</v>
      </c>
    </row>
    <row r="1179" spans="1:42" ht="93" customHeight="1" x14ac:dyDescent="0.25">
      <c r="A1179" s="62" t="s">
        <v>88</v>
      </c>
      <c r="B1179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179" s="64" t="s">
        <v>89</v>
      </c>
      <c r="D1179" s="64" t="s">
        <v>80</v>
      </c>
      <c r="E1179" s="64" t="s">
        <v>81</v>
      </c>
      <c r="F1179" s="64" t="s">
        <v>112</v>
      </c>
      <c r="G1179" s="64" t="s">
        <v>10</v>
      </c>
      <c r="H1179" s="65" t="str">
        <f>VLOOKUP(Tabla6[[#This Row],[DIRECCIÓN]],DIRECCIÓN[#All],2,0)</f>
        <v>TECNOLOGÍA</v>
      </c>
      <c r="I1179" s="66" t="s">
        <v>721</v>
      </c>
      <c r="J1179" s="67">
        <v>1</v>
      </c>
      <c r="K1179" s="68" t="str">
        <f>VLOOKUP(Tabla6[[#This Row],[DIRECCIÓN GENERAL / COORDINACIÓN / SUBDIRECCIÓN]],Tabla37[[#All],[Columna1]:[EOD]],2,0)</f>
        <v>266_0007</v>
      </c>
      <c r="L1179" s="69">
        <f>VLOOKUP(Tabla6[[#This Row],[OBJETIVOS PND]],Listas!$A$1:$C$3,3,0)</f>
        <v>55</v>
      </c>
      <c r="M1179" s="70">
        <f>VLOOKUP(Tabla6[[#This Row],[PG]],Listas2!$G$14:$K$16,5,0)</f>
        <v>0</v>
      </c>
      <c r="N1179" s="71">
        <v>3</v>
      </c>
      <c r="O1179" s="72">
        <v>701</v>
      </c>
      <c r="P1179" s="73" t="str">
        <f>VLOOKUP(Tabla6[[#This Row],[GEO]],Listas!$A$48:$B$77,2,0)</f>
        <v>MACHALA</v>
      </c>
      <c r="Q1179" s="70">
        <f>VLOOKUP(Tabla6[[#This Row],[PG]],Listas2!$G$14:$K$16,3,0)</f>
        <v>1</v>
      </c>
      <c r="R1179" s="73">
        <f>VLOOKUP(Tabla6[[#This Row],[PG]],Listas2!H633:'Listas2'!$G$14:$K$16,4,0)</f>
        <v>0</v>
      </c>
      <c r="S1179" s="73">
        <f>VLOOKUP(Tabla6[[#This Row],[PG]],Listas2!$G$14:$K$16,2,0)</f>
        <v>0</v>
      </c>
      <c r="T1179" s="66" t="s">
        <v>84</v>
      </c>
      <c r="U1179" s="74">
        <v>53</v>
      </c>
      <c r="V1179" s="66">
        <v>530704</v>
      </c>
      <c r="W1179" s="63" t="str">
        <f>VLOOKUP(Tabla6[[#This Row],[ÍTEM PRESUPUESTARIO]],Tabla2[#All],2,0)</f>
        <v xml:space="preserve">MANTENIMIENTO Y REPARACIÓN DE EQUIPOS Y SISTEMAS INFORMÁTICOS </v>
      </c>
      <c r="X1179" s="57">
        <v>1500</v>
      </c>
      <c r="Y1179" s="57">
        <f>1500-150</f>
        <v>1350</v>
      </c>
      <c r="Z1179" s="58">
        <v>0</v>
      </c>
      <c r="AA1179" s="58">
        <v>0</v>
      </c>
      <c r="AB1179" s="58">
        <v>0</v>
      </c>
      <c r="AC1179" s="58">
        <v>0</v>
      </c>
      <c r="AD1179" s="58">
        <v>0</v>
      </c>
      <c r="AE1179" s="58">
        <v>0</v>
      </c>
      <c r="AF1179" s="58">
        <v>750</v>
      </c>
      <c r="AG1179" s="58">
        <v>0</v>
      </c>
      <c r="AH1179" s="58">
        <v>0</v>
      </c>
      <c r="AI1179" s="58">
        <v>0</v>
      </c>
      <c r="AJ1179" s="58">
        <v>0</v>
      </c>
      <c r="AK1179" s="58">
        <v>600</v>
      </c>
      <c r="AL1179" s="75">
        <f>+SUBTOTAL(9,Tabla6[[#This Row],[ENE]:[DIC]])</f>
        <v>1350</v>
      </c>
      <c r="AM1179" s="76" t="str">
        <f t="shared" si="40"/>
        <v>OK</v>
      </c>
      <c r="AN1179" s="60">
        <v>1350</v>
      </c>
      <c r="AO1179" s="61">
        <f>+Tabla6[[#This Row],[PRESUPUESTO VIGENTE]]-Tabla6[[#This Row],[CERTIFICACIÓN PAPP]]</f>
        <v>0</v>
      </c>
      <c r="AP1179" s="59">
        <v>0</v>
      </c>
    </row>
    <row r="1180" spans="1:42" ht="93" customHeight="1" x14ac:dyDescent="0.25">
      <c r="A1180" s="62" t="s">
        <v>88</v>
      </c>
      <c r="B1180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180" s="64" t="s">
        <v>89</v>
      </c>
      <c r="D1180" s="64" t="s">
        <v>80</v>
      </c>
      <c r="E1180" s="64" t="s">
        <v>81</v>
      </c>
      <c r="F1180" s="64" t="s">
        <v>112</v>
      </c>
      <c r="G1180" s="64" t="s">
        <v>10</v>
      </c>
      <c r="H1180" s="65" t="str">
        <f>VLOOKUP(Tabla6[[#This Row],[DIRECCIÓN]],DIRECCIÓN[#All],2,0)</f>
        <v>TECNOLOGÍA</v>
      </c>
      <c r="I1180" s="66" t="s">
        <v>720</v>
      </c>
      <c r="J1180" s="67">
        <v>1</v>
      </c>
      <c r="K1180" s="68" t="str">
        <f>VLOOKUP(Tabla6[[#This Row],[DIRECCIÓN GENERAL / COORDINACIÓN / SUBDIRECCIÓN]],Tabla37[[#All],[Columna1]:[EOD]],2,0)</f>
        <v>266_0007</v>
      </c>
      <c r="L1180" s="69">
        <f>VLOOKUP(Tabla6[[#This Row],[OBJETIVOS PND]],Listas!$A$1:$C$3,3,0)</f>
        <v>55</v>
      </c>
      <c r="M1180" s="70">
        <f>VLOOKUP(Tabla6[[#This Row],[PG]],Listas2!$G$14:$K$16,5,0)</f>
        <v>0</v>
      </c>
      <c r="N1180" s="71">
        <v>3</v>
      </c>
      <c r="O1180" s="72">
        <v>701</v>
      </c>
      <c r="P1180" s="73" t="str">
        <f>VLOOKUP(Tabla6[[#This Row],[GEO]],Listas!$A$48:$B$77,2,0)</f>
        <v>MACHALA</v>
      </c>
      <c r="Q1180" s="70">
        <f>VLOOKUP(Tabla6[[#This Row],[PG]],Listas2!$G$14:$K$16,3,0)</f>
        <v>1</v>
      </c>
      <c r="R1180" s="73">
        <f>VLOOKUP(Tabla6[[#This Row],[PG]],Listas2!H634:'Listas2'!$G$14:$K$16,4,0)</f>
        <v>0</v>
      </c>
      <c r="S1180" s="73">
        <f>VLOOKUP(Tabla6[[#This Row],[PG]],Listas2!$G$14:$K$16,2,0)</f>
        <v>0</v>
      </c>
      <c r="T1180" s="66" t="s">
        <v>84</v>
      </c>
      <c r="U1180" s="74">
        <v>53</v>
      </c>
      <c r="V1180" s="66">
        <v>530704</v>
      </c>
      <c r="W1180" s="63" t="str">
        <f>VLOOKUP(Tabla6[[#This Row],[ÍTEM PRESUPUESTARIO]],Tabla2[#All],2,0)</f>
        <v xml:space="preserve">MANTENIMIENTO Y REPARACIÓN DE EQUIPOS Y SISTEMAS INFORMÁTICOS </v>
      </c>
      <c r="X1180" s="57">
        <v>0</v>
      </c>
      <c r="Y1180" s="57">
        <f>7618.05-5776.21-733.37-583.36</f>
        <v>525.11000000000024</v>
      </c>
      <c r="Z1180" s="58">
        <v>0</v>
      </c>
      <c r="AA1180" s="58">
        <v>0</v>
      </c>
      <c r="AB1180" s="58">
        <v>0</v>
      </c>
      <c r="AC1180" s="58">
        <v>0</v>
      </c>
      <c r="AD1180" s="58">
        <v>0</v>
      </c>
      <c r="AE1180" s="58">
        <v>0</v>
      </c>
      <c r="AF1180" s="58">
        <v>0</v>
      </c>
      <c r="AG1180" s="58">
        <v>0</v>
      </c>
      <c r="AH1180" s="58">
        <v>0</v>
      </c>
      <c r="AI1180" s="58">
        <v>0</v>
      </c>
      <c r="AJ1180" s="58">
        <v>0</v>
      </c>
      <c r="AK1180" s="58">
        <v>525.11</v>
      </c>
      <c r="AL1180" s="75">
        <f>+SUBTOTAL(9,Tabla6[[#This Row],[ENE]:[DIC]])</f>
        <v>525.11</v>
      </c>
      <c r="AM1180" s="76" t="str">
        <f t="shared" si="40"/>
        <v>OK</v>
      </c>
      <c r="AN1180" s="60">
        <v>525.11</v>
      </c>
      <c r="AO1180" s="61">
        <f>+Tabla6[[#This Row],[PRESUPUESTO VIGENTE]]-Tabla6[[#This Row],[CERTIFICACIÓN PAPP]]</f>
        <v>0</v>
      </c>
      <c r="AP1180" s="59">
        <v>0</v>
      </c>
    </row>
    <row r="1181" spans="1:42" ht="93" customHeight="1" x14ac:dyDescent="0.25">
      <c r="A1181" s="62" t="s">
        <v>88</v>
      </c>
      <c r="B1181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181" s="64" t="s">
        <v>89</v>
      </c>
      <c r="D1181" s="64" t="s">
        <v>80</v>
      </c>
      <c r="E1181" s="64" t="s">
        <v>81</v>
      </c>
      <c r="F1181" s="64" t="s">
        <v>112</v>
      </c>
      <c r="G1181" s="64" t="s">
        <v>10</v>
      </c>
      <c r="H1181" s="65" t="str">
        <f>VLOOKUP(Tabla6[[#This Row],[DIRECCIÓN]],DIRECCIÓN[#All],2,0)</f>
        <v>TECNOLOGÍA</v>
      </c>
      <c r="I1181" s="66" t="s">
        <v>722</v>
      </c>
      <c r="J1181" s="67">
        <v>1</v>
      </c>
      <c r="K1181" s="68" t="str">
        <f>VLOOKUP(Tabla6[[#This Row],[DIRECCIÓN GENERAL / COORDINACIÓN / SUBDIRECCIÓN]],Tabla37[[#All],[Columna1]:[EOD]],2,0)</f>
        <v>266_0007</v>
      </c>
      <c r="L1181" s="69">
        <f>VLOOKUP(Tabla6[[#This Row],[OBJETIVOS PND]],Listas!$A$1:$C$3,3,0)</f>
        <v>55</v>
      </c>
      <c r="M1181" s="70">
        <f>VLOOKUP(Tabla6[[#This Row],[PG]],Listas2!$G$14:$K$16,5,0)</f>
        <v>0</v>
      </c>
      <c r="N1181" s="71">
        <v>3</v>
      </c>
      <c r="O1181" s="72">
        <v>701</v>
      </c>
      <c r="P1181" s="73" t="str">
        <f>VLOOKUP(Tabla6[[#This Row],[GEO]],Listas!$A$48:$B$77,2,0)</f>
        <v>MACHALA</v>
      </c>
      <c r="Q1181" s="70">
        <f>VLOOKUP(Tabla6[[#This Row],[PG]],Listas2!$G$14:$K$16,3,0)</f>
        <v>1</v>
      </c>
      <c r="R1181" s="73">
        <f>VLOOKUP(Tabla6[[#This Row],[PG]],Listas2!H635:'Listas2'!$G$14:$K$16,4,0)</f>
        <v>0</v>
      </c>
      <c r="S1181" s="73">
        <f>VLOOKUP(Tabla6[[#This Row],[PG]],Listas2!$G$14:$K$16,2,0)</f>
        <v>0</v>
      </c>
      <c r="T1181" s="66" t="s">
        <v>84</v>
      </c>
      <c r="U1181" s="74">
        <v>53</v>
      </c>
      <c r="V1181" s="66">
        <v>530704</v>
      </c>
      <c r="W1181" s="63" t="str">
        <f>VLOOKUP(Tabla6[[#This Row],[ÍTEM PRESUPUESTARIO]],Tabla2[#All],2,0)</f>
        <v xml:space="preserve">MANTENIMIENTO Y REPARACIÓN DE EQUIPOS Y SISTEMAS INFORMÁTICOS </v>
      </c>
      <c r="X1181" s="57">
        <v>85000</v>
      </c>
      <c r="Y1181" s="57">
        <f>138006.01-87269.26-7000-416.64-20.11</f>
        <v>43300.000000000015</v>
      </c>
      <c r="Z1181" s="58">
        <v>0</v>
      </c>
      <c r="AA1181" s="58">
        <v>0</v>
      </c>
      <c r="AB1181" s="58">
        <v>0</v>
      </c>
      <c r="AC1181" s="58">
        <v>15334</v>
      </c>
      <c r="AD1181" s="58">
        <v>15334</v>
      </c>
      <c r="AE1181" s="58">
        <v>2866.96</v>
      </c>
      <c r="AF1181" s="58">
        <v>1116.96</v>
      </c>
      <c r="AG1181" s="58">
        <v>1116.96</v>
      </c>
      <c r="AH1181" s="58">
        <v>1116.96</v>
      </c>
      <c r="AI1181" s="58">
        <v>1116.96</v>
      </c>
      <c r="AJ1181" s="58">
        <v>2866.96</v>
      </c>
      <c r="AK1181" s="58">
        <v>2430.2399999999998</v>
      </c>
      <c r="AL1181" s="75">
        <f>+SUBTOTAL(9,Tabla6[[#This Row],[ENE]:[DIC]])</f>
        <v>43299.999999999993</v>
      </c>
      <c r="AM1181" s="76" t="str">
        <f t="shared" si="40"/>
        <v>OK</v>
      </c>
      <c r="AN1181" s="60">
        <f>50736.74-7436.74</f>
        <v>43300</v>
      </c>
      <c r="AO1181" s="61">
        <f>+Tabla6[[#This Row],[PRESUPUESTO VIGENTE]]-Tabla6[[#This Row],[CERTIFICACIÓN PAPP]]</f>
        <v>0</v>
      </c>
      <c r="AP1181" s="59" t="s">
        <v>87</v>
      </c>
    </row>
    <row r="1182" spans="1:42" ht="93" customHeight="1" x14ac:dyDescent="0.25">
      <c r="A1182" s="62" t="s">
        <v>88</v>
      </c>
      <c r="B1182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182" s="64" t="s">
        <v>89</v>
      </c>
      <c r="D1182" s="64" t="s">
        <v>80</v>
      </c>
      <c r="E1182" s="64" t="s">
        <v>81</v>
      </c>
      <c r="F1182" s="64" t="s">
        <v>112</v>
      </c>
      <c r="G1182" s="64" t="s">
        <v>10</v>
      </c>
      <c r="H1182" s="65" t="str">
        <f>VLOOKUP(Tabla6[[#This Row],[DIRECCIÓN]],DIRECCIÓN[#All],2,0)</f>
        <v>TECNOLOGÍA</v>
      </c>
      <c r="I1182" s="66" t="s">
        <v>723</v>
      </c>
      <c r="J1182" s="67">
        <v>1</v>
      </c>
      <c r="K1182" s="68" t="str">
        <f>VLOOKUP(Tabla6[[#This Row],[DIRECCIÓN GENERAL / COORDINACIÓN / SUBDIRECCIÓN]],Tabla37[[#All],[Columna1]:[EOD]],2,0)</f>
        <v>266_0007</v>
      </c>
      <c r="L1182" s="69">
        <f>VLOOKUP(Tabla6[[#This Row],[OBJETIVOS PND]],Listas!$A$1:$C$3,3,0)</f>
        <v>55</v>
      </c>
      <c r="M1182" s="70">
        <f>VLOOKUP(Tabla6[[#This Row],[PG]],Listas2!$G$14:$K$16,5,0)</f>
        <v>0</v>
      </c>
      <c r="N1182" s="71">
        <v>3</v>
      </c>
      <c r="O1182" s="72">
        <v>701</v>
      </c>
      <c r="P1182" s="73" t="str">
        <f>VLOOKUP(Tabla6[[#This Row],[GEO]],Listas!$A$48:$B$77,2,0)</f>
        <v>MACHALA</v>
      </c>
      <c r="Q1182" s="70">
        <f>VLOOKUP(Tabla6[[#This Row],[PG]],Listas2!$G$14:$K$16,3,0)</f>
        <v>1</v>
      </c>
      <c r="R1182" s="73">
        <f>VLOOKUP(Tabla6[[#This Row],[PG]],Listas2!H636:'Listas2'!$G$14:$K$16,4,0)</f>
        <v>0</v>
      </c>
      <c r="S1182" s="73">
        <f>VLOOKUP(Tabla6[[#This Row],[PG]],Listas2!$G$14:$K$16,2,0)</f>
        <v>0</v>
      </c>
      <c r="T1182" s="66" t="s">
        <v>84</v>
      </c>
      <c r="U1182" s="74">
        <v>53</v>
      </c>
      <c r="V1182" s="66">
        <v>530811</v>
      </c>
      <c r="W1182" s="63" t="str">
        <f>VLOOKUP(Tabla6[[#This Row],[ÍTEM PRESUPUESTARIO]],Tabla2[#All],2,0)</f>
        <v>INSUMOS, MATERIALES Y SUMINISTROS PARA CONSTRUCCIÓN, ELECTRICIDAD, PLOMERÍA, CARPINTERÍA, SEÑALIZACIÓN VIAL, NAVEGACIÓN, CONTRA INCENDIOS Y PLACAS</v>
      </c>
      <c r="X1182" s="57">
        <v>3000</v>
      </c>
      <c r="Y1182" s="57">
        <f>2500-787.54-787.55</f>
        <v>924.91000000000008</v>
      </c>
      <c r="Z1182" s="58">
        <v>0</v>
      </c>
      <c r="AA1182" s="58">
        <v>0</v>
      </c>
      <c r="AB1182" s="58">
        <v>0</v>
      </c>
      <c r="AC1182" s="58">
        <v>0</v>
      </c>
      <c r="AD1182" s="58">
        <v>924.91</v>
      </c>
      <c r="AE1182" s="58">
        <v>0</v>
      </c>
      <c r="AF1182" s="58">
        <v>0</v>
      </c>
      <c r="AG1182" s="58">
        <v>0</v>
      </c>
      <c r="AH1182" s="58">
        <v>0</v>
      </c>
      <c r="AI1182" s="58">
        <v>0</v>
      </c>
      <c r="AJ1182" s="58">
        <v>0</v>
      </c>
      <c r="AK1182" s="58">
        <v>0</v>
      </c>
      <c r="AL1182" s="75">
        <f>+SUBTOTAL(9,Tabla6[[#This Row],[ENE]:[DIC]])</f>
        <v>924.91</v>
      </c>
      <c r="AM1182" s="76" t="str">
        <f t="shared" si="40"/>
        <v>OK</v>
      </c>
      <c r="AN1182" s="60">
        <v>924.91</v>
      </c>
      <c r="AO1182" s="61">
        <f>+Tabla6[[#This Row],[PRESUPUESTO VIGENTE]]-Tabla6[[#This Row],[CERTIFICACIÓN PAPP]]</f>
        <v>0</v>
      </c>
      <c r="AP1182" s="59">
        <v>0</v>
      </c>
    </row>
    <row r="1183" spans="1:42" ht="93" customHeight="1" x14ac:dyDescent="0.25">
      <c r="A1183" s="62" t="s">
        <v>88</v>
      </c>
      <c r="B1183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183" s="64" t="s">
        <v>89</v>
      </c>
      <c r="D1183" s="64" t="s">
        <v>80</v>
      </c>
      <c r="E1183" s="64" t="s">
        <v>81</v>
      </c>
      <c r="F1183" s="64" t="s">
        <v>112</v>
      </c>
      <c r="G1183" s="64" t="s">
        <v>10</v>
      </c>
      <c r="H1183" s="65" t="str">
        <f>VLOOKUP(Tabla6[[#This Row],[DIRECCIÓN]],DIRECCIÓN[#All],2,0)</f>
        <v>TECNOLOGÍA</v>
      </c>
      <c r="I1183" s="66" t="s">
        <v>724</v>
      </c>
      <c r="J1183" s="67">
        <v>1</v>
      </c>
      <c r="K1183" s="68" t="str">
        <f>VLOOKUP(Tabla6[[#This Row],[DIRECCIÓN GENERAL / COORDINACIÓN / SUBDIRECCIÓN]],Tabla37[[#All],[Columna1]:[EOD]],2,0)</f>
        <v>266_0007</v>
      </c>
      <c r="L1183" s="69">
        <f>VLOOKUP(Tabla6[[#This Row],[OBJETIVOS PND]],Listas!$A$1:$C$3,3,0)</f>
        <v>55</v>
      </c>
      <c r="M1183" s="70">
        <f>VLOOKUP(Tabla6[[#This Row],[PG]],Listas2!$G$14:$K$16,5,0)</f>
        <v>0</v>
      </c>
      <c r="N1183" s="71">
        <v>3</v>
      </c>
      <c r="O1183" s="72">
        <v>701</v>
      </c>
      <c r="P1183" s="73" t="str">
        <f>VLOOKUP(Tabla6[[#This Row],[GEO]],Listas!$A$48:$B$77,2,0)</f>
        <v>MACHALA</v>
      </c>
      <c r="Q1183" s="70">
        <f>VLOOKUP(Tabla6[[#This Row],[PG]],Listas2!$G$14:$K$16,3,0)</f>
        <v>1</v>
      </c>
      <c r="R1183" s="73">
        <f>VLOOKUP(Tabla6[[#This Row],[PG]],Listas2!H637:'Listas2'!$G$14:$K$16,4,0)</f>
        <v>0</v>
      </c>
      <c r="S1183" s="73">
        <f>VLOOKUP(Tabla6[[#This Row],[PG]],Listas2!$G$14:$K$16,2,0)</f>
        <v>0</v>
      </c>
      <c r="T1183" s="66" t="s">
        <v>84</v>
      </c>
      <c r="U1183" s="74">
        <v>53</v>
      </c>
      <c r="V1183" s="66">
        <v>530811</v>
      </c>
      <c r="W1183" s="63" t="str">
        <f>VLOOKUP(Tabla6[[#This Row],[ÍTEM PRESUPUESTARIO]],Tabla2[#All],2,0)</f>
        <v>INSUMOS, MATERIALES Y SUMINISTROS PARA CONSTRUCCIÓN, ELECTRICIDAD, PLOMERÍA, CARPINTERÍA, SEÑALIZACIÓN VIAL, NAVEGACIÓN, CONTRA INCENDIOS Y PLACAS</v>
      </c>
      <c r="X1183" s="57">
        <v>1500</v>
      </c>
      <c r="Y1183" s="57">
        <v>0</v>
      </c>
      <c r="Z1183" s="58">
        <v>0</v>
      </c>
      <c r="AA1183" s="58">
        <v>0</v>
      </c>
      <c r="AB1183" s="58">
        <v>0</v>
      </c>
      <c r="AC1183" s="58">
        <v>0</v>
      </c>
      <c r="AD1183" s="58">
        <v>0</v>
      </c>
      <c r="AE1183" s="58">
        <v>0</v>
      </c>
      <c r="AF1183" s="58">
        <v>0</v>
      </c>
      <c r="AG1183" s="58">
        <v>0</v>
      </c>
      <c r="AH1183" s="58">
        <v>0</v>
      </c>
      <c r="AI1183" s="58">
        <v>0</v>
      </c>
      <c r="AJ1183" s="58">
        <v>0</v>
      </c>
      <c r="AK1183" s="58">
        <v>0</v>
      </c>
      <c r="AL1183" s="75">
        <f>+SUBTOTAL(9,Tabla6[[#This Row],[ENE]:[DIC]])</f>
        <v>0</v>
      </c>
      <c r="AM1183" s="76" t="str">
        <f t="shared" si="40"/>
        <v>OK</v>
      </c>
      <c r="AN1183" s="60">
        <v>0</v>
      </c>
      <c r="AO1183" s="61">
        <f>+Tabla6[[#This Row],[PRESUPUESTO VIGENTE]]-Tabla6[[#This Row],[CERTIFICACIÓN PAPP]]</f>
        <v>0</v>
      </c>
      <c r="AP1183" s="59">
        <v>0</v>
      </c>
    </row>
    <row r="1184" spans="1:42" ht="93" customHeight="1" x14ac:dyDescent="0.25">
      <c r="A1184" s="62" t="s">
        <v>88</v>
      </c>
      <c r="B1184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184" s="64" t="s">
        <v>89</v>
      </c>
      <c r="D1184" s="64" t="s">
        <v>80</v>
      </c>
      <c r="E1184" s="64" t="s">
        <v>81</v>
      </c>
      <c r="F1184" s="64" t="s">
        <v>112</v>
      </c>
      <c r="G1184" s="64" t="s">
        <v>10</v>
      </c>
      <c r="H1184" s="65" t="str">
        <f>VLOOKUP(Tabla6[[#This Row],[DIRECCIÓN]],DIRECCIÓN[#All],2,0)</f>
        <v>TECNOLOGÍA</v>
      </c>
      <c r="I1184" s="66" t="s">
        <v>721</v>
      </c>
      <c r="J1184" s="67">
        <v>1</v>
      </c>
      <c r="K1184" s="68" t="str">
        <f>VLOOKUP(Tabla6[[#This Row],[DIRECCIÓN GENERAL / COORDINACIÓN / SUBDIRECCIÓN]],Tabla37[[#All],[Columna1]:[EOD]],2,0)</f>
        <v>266_0007</v>
      </c>
      <c r="L1184" s="69">
        <f>VLOOKUP(Tabla6[[#This Row],[OBJETIVOS PND]],Listas!$A$1:$C$3,3,0)</f>
        <v>55</v>
      </c>
      <c r="M1184" s="70">
        <f>VLOOKUP(Tabla6[[#This Row],[PG]],Listas2!$G$14:$K$16,5,0)</f>
        <v>0</v>
      </c>
      <c r="N1184" s="71">
        <v>3</v>
      </c>
      <c r="O1184" s="72">
        <v>701</v>
      </c>
      <c r="P1184" s="73" t="str">
        <f>VLOOKUP(Tabla6[[#This Row],[GEO]],Listas!$A$48:$B$77,2,0)</f>
        <v>MACHALA</v>
      </c>
      <c r="Q1184" s="70">
        <f>VLOOKUP(Tabla6[[#This Row],[PG]],Listas2!$G$14:$K$16,3,0)</f>
        <v>1</v>
      </c>
      <c r="R1184" s="73">
        <f>VLOOKUP(Tabla6[[#This Row],[PG]],Listas2!H638:'Listas2'!$G$14:$K$16,4,0)</f>
        <v>0</v>
      </c>
      <c r="S1184" s="73">
        <f>VLOOKUP(Tabla6[[#This Row],[PG]],Listas2!$G$14:$K$16,2,0)</f>
        <v>0</v>
      </c>
      <c r="T1184" s="66" t="s">
        <v>84</v>
      </c>
      <c r="U1184" s="74">
        <v>53</v>
      </c>
      <c r="V1184" s="66">
        <v>530813</v>
      </c>
      <c r="W1184" s="63" t="str">
        <f>VLOOKUP(Tabla6[[#This Row],[ÍTEM PRESUPUESTARIO]],Tabla2[#All],2,0)</f>
        <v>REPUESTOS Y ACCESORIOS</v>
      </c>
      <c r="X1184" s="57">
        <v>2000</v>
      </c>
      <c r="Y1184" s="57">
        <f>2000+1000-705.4</f>
        <v>2294.6</v>
      </c>
      <c r="Z1184" s="58">
        <v>0</v>
      </c>
      <c r="AA1184" s="58">
        <v>0</v>
      </c>
      <c r="AB1184" s="58">
        <v>0</v>
      </c>
      <c r="AC1184" s="58">
        <v>0</v>
      </c>
      <c r="AD1184" s="58">
        <v>0</v>
      </c>
      <c r="AE1184" s="58">
        <v>0</v>
      </c>
      <c r="AF1184" s="58">
        <v>2294.6</v>
      </c>
      <c r="AG1184" s="58">
        <v>0</v>
      </c>
      <c r="AH1184" s="58">
        <v>0</v>
      </c>
      <c r="AI1184" s="58">
        <v>0</v>
      </c>
      <c r="AJ1184" s="58">
        <v>0</v>
      </c>
      <c r="AK1184" s="58">
        <v>0</v>
      </c>
      <c r="AL1184" s="75">
        <f>+SUBTOTAL(9,Tabla6[[#This Row],[ENE]:[DIC]])</f>
        <v>2294.6</v>
      </c>
      <c r="AM1184" s="76" t="str">
        <f t="shared" si="40"/>
        <v>OK</v>
      </c>
      <c r="AN1184" s="60">
        <v>2294.6</v>
      </c>
      <c r="AO1184" s="61">
        <f>+Tabla6[[#This Row],[PRESUPUESTO VIGENTE]]-Tabla6[[#This Row],[CERTIFICACIÓN PAPP]]</f>
        <v>0</v>
      </c>
      <c r="AP1184" s="59">
        <v>0</v>
      </c>
    </row>
    <row r="1185" spans="1:42" ht="93" customHeight="1" x14ac:dyDescent="0.25">
      <c r="A1185" s="62" t="s">
        <v>88</v>
      </c>
      <c r="B1185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185" s="64" t="s">
        <v>89</v>
      </c>
      <c r="D1185" s="64" t="s">
        <v>80</v>
      </c>
      <c r="E1185" s="64" t="s">
        <v>81</v>
      </c>
      <c r="F1185" s="64" t="s">
        <v>112</v>
      </c>
      <c r="G1185" s="64" t="s">
        <v>10</v>
      </c>
      <c r="H1185" s="65" t="str">
        <f>VLOOKUP(Tabla6[[#This Row],[DIRECCIÓN]],DIRECCIÓN[#All],2,0)</f>
        <v>TECNOLOGÍA</v>
      </c>
      <c r="I1185" s="66" t="s">
        <v>723</v>
      </c>
      <c r="J1185" s="67">
        <v>1</v>
      </c>
      <c r="K1185" s="68" t="str">
        <f>VLOOKUP(Tabla6[[#This Row],[DIRECCIÓN GENERAL / COORDINACIÓN / SUBDIRECCIÓN]],Tabla37[[#All],[Columna1]:[EOD]],2,0)</f>
        <v>266_0007</v>
      </c>
      <c r="L1185" s="69">
        <f>VLOOKUP(Tabla6[[#This Row],[OBJETIVOS PND]],Listas!$A$1:$C$3,3,0)</f>
        <v>55</v>
      </c>
      <c r="M1185" s="70">
        <f>VLOOKUP(Tabla6[[#This Row],[PG]],Listas2!$G$14:$K$16,5,0)</f>
        <v>0</v>
      </c>
      <c r="N1185" s="71">
        <v>3</v>
      </c>
      <c r="O1185" s="72">
        <v>701</v>
      </c>
      <c r="P1185" s="73" t="str">
        <f>VLOOKUP(Tabla6[[#This Row],[GEO]],Listas!$A$48:$B$77,2,0)</f>
        <v>MACHALA</v>
      </c>
      <c r="Q1185" s="70">
        <f>VLOOKUP(Tabla6[[#This Row],[PG]],Listas2!$G$14:$K$16,3,0)</f>
        <v>1</v>
      </c>
      <c r="R1185" s="73">
        <f>VLOOKUP(Tabla6[[#This Row],[PG]],Listas2!H639:'Listas2'!$G$14:$K$16,4,0)</f>
        <v>0</v>
      </c>
      <c r="S1185" s="73">
        <f>VLOOKUP(Tabla6[[#This Row],[PG]],Listas2!$G$14:$K$16,2,0)</f>
        <v>0</v>
      </c>
      <c r="T1185" s="66" t="s">
        <v>84</v>
      </c>
      <c r="U1185" s="74">
        <v>53</v>
      </c>
      <c r="V1185" s="66">
        <v>530813</v>
      </c>
      <c r="W1185" s="63" t="str">
        <f>VLOOKUP(Tabla6[[#This Row],[ÍTEM PRESUPUESTARIO]],Tabla2[#All],2,0)</f>
        <v>REPUESTOS Y ACCESORIOS</v>
      </c>
      <c r="X1185" s="57">
        <v>4000</v>
      </c>
      <c r="Y1185" s="57">
        <v>0</v>
      </c>
      <c r="Z1185" s="58">
        <v>0</v>
      </c>
      <c r="AA1185" s="58">
        <v>0</v>
      </c>
      <c r="AB1185" s="58">
        <v>0</v>
      </c>
      <c r="AC1185" s="58">
        <v>0</v>
      </c>
      <c r="AD1185" s="58">
        <v>0</v>
      </c>
      <c r="AE1185" s="58">
        <v>0</v>
      </c>
      <c r="AF1185" s="58">
        <v>0</v>
      </c>
      <c r="AG1185" s="58">
        <v>0</v>
      </c>
      <c r="AH1185" s="58">
        <v>0</v>
      </c>
      <c r="AI1185" s="58">
        <v>0</v>
      </c>
      <c r="AJ1185" s="58">
        <v>0</v>
      </c>
      <c r="AK1185" s="58">
        <v>0</v>
      </c>
      <c r="AL1185" s="75">
        <f>+SUBTOTAL(9,Tabla6[[#This Row],[ENE]:[DIC]])</f>
        <v>0</v>
      </c>
      <c r="AM1185" s="76" t="str">
        <f t="shared" si="40"/>
        <v>OK</v>
      </c>
      <c r="AN1185" s="60">
        <v>0</v>
      </c>
      <c r="AO1185" s="61">
        <f>+Tabla6[[#This Row],[PRESUPUESTO VIGENTE]]-Tabla6[[#This Row],[CERTIFICACIÓN PAPP]]</f>
        <v>0</v>
      </c>
      <c r="AP1185" s="59">
        <v>0</v>
      </c>
    </row>
    <row r="1186" spans="1:42" ht="93" customHeight="1" x14ac:dyDescent="0.25">
      <c r="A1186" s="62" t="s">
        <v>88</v>
      </c>
      <c r="B1186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186" s="64" t="s">
        <v>89</v>
      </c>
      <c r="D1186" s="64" t="s">
        <v>80</v>
      </c>
      <c r="E1186" s="64" t="s">
        <v>81</v>
      </c>
      <c r="F1186" s="64" t="s">
        <v>112</v>
      </c>
      <c r="G1186" s="64" t="s">
        <v>10</v>
      </c>
      <c r="H1186" s="65" t="str">
        <f>VLOOKUP(Tabla6[[#This Row],[DIRECCIÓN]],DIRECCIÓN[#All],2,0)</f>
        <v>TECNOLOGÍA</v>
      </c>
      <c r="I1186" s="66" t="s">
        <v>725</v>
      </c>
      <c r="J1186" s="67">
        <v>1</v>
      </c>
      <c r="K1186" s="68" t="str">
        <f>VLOOKUP(Tabla6[[#This Row],[DIRECCIÓN GENERAL / COORDINACIÓN / SUBDIRECCIÓN]],Tabla37[[#All],[Columna1]:[EOD]],2,0)</f>
        <v>266_0007</v>
      </c>
      <c r="L1186" s="69">
        <f>VLOOKUP(Tabla6[[#This Row],[OBJETIVOS PND]],Listas!$A$1:$C$3,3,0)</f>
        <v>55</v>
      </c>
      <c r="M1186" s="70">
        <f>VLOOKUP(Tabla6[[#This Row],[PG]],Listas2!$G$14:$K$16,5,0)</f>
        <v>0</v>
      </c>
      <c r="N1186" s="71">
        <v>3</v>
      </c>
      <c r="O1186" s="72">
        <v>701</v>
      </c>
      <c r="P1186" s="73" t="str">
        <f>VLOOKUP(Tabla6[[#This Row],[GEO]],Listas!$A$48:$B$77,2,0)</f>
        <v>MACHALA</v>
      </c>
      <c r="Q1186" s="70">
        <f>VLOOKUP(Tabla6[[#This Row],[PG]],Listas2!$G$14:$K$16,3,0)</f>
        <v>1</v>
      </c>
      <c r="R1186" s="73">
        <f>VLOOKUP(Tabla6[[#This Row],[PG]],Listas2!H640:'Listas2'!$G$14:$K$16,4,0)</f>
        <v>0</v>
      </c>
      <c r="S1186" s="73">
        <f>VLOOKUP(Tabla6[[#This Row],[PG]],Listas2!$G$14:$K$16,2,0)</f>
        <v>0</v>
      </c>
      <c r="T1186" s="66" t="s">
        <v>84</v>
      </c>
      <c r="U1186" s="74">
        <v>53</v>
      </c>
      <c r="V1186" s="66">
        <v>530813</v>
      </c>
      <c r="W1186" s="63" t="str">
        <f>VLOOKUP(Tabla6[[#This Row],[ÍTEM PRESUPUESTARIO]],Tabla2[#All],2,0)</f>
        <v>REPUESTOS Y ACCESORIOS</v>
      </c>
      <c r="X1186" s="57">
        <v>4000</v>
      </c>
      <c r="Y1186" s="57">
        <v>0</v>
      </c>
      <c r="Z1186" s="58">
        <v>0</v>
      </c>
      <c r="AA1186" s="58">
        <v>0</v>
      </c>
      <c r="AB1186" s="58">
        <v>0</v>
      </c>
      <c r="AC1186" s="58">
        <v>0</v>
      </c>
      <c r="AD1186" s="58">
        <v>0</v>
      </c>
      <c r="AE1186" s="58">
        <v>0</v>
      </c>
      <c r="AF1186" s="58">
        <v>0</v>
      </c>
      <c r="AG1186" s="58">
        <v>0</v>
      </c>
      <c r="AH1186" s="58">
        <v>0</v>
      </c>
      <c r="AI1186" s="58">
        <v>0</v>
      </c>
      <c r="AJ1186" s="58">
        <v>0</v>
      </c>
      <c r="AK1186" s="58">
        <v>0</v>
      </c>
      <c r="AL1186" s="75">
        <f>+SUBTOTAL(9,Tabla6[[#This Row],[ENE]:[DIC]])</f>
        <v>0</v>
      </c>
      <c r="AM1186" s="76" t="str">
        <f t="shared" ref="AM1186:AM1217" si="41">IF(AL1186=Y1186,"OK",Y1186-AL1186)</f>
        <v>OK</v>
      </c>
      <c r="AN1186" s="60">
        <v>0</v>
      </c>
      <c r="AO1186" s="61">
        <f>+Tabla6[[#This Row],[PRESUPUESTO VIGENTE]]-Tabla6[[#This Row],[CERTIFICACIÓN PAPP]]</f>
        <v>0</v>
      </c>
      <c r="AP1186" s="59">
        <v>0</v>
      </c>
    </row>
    <row r="1187" spans="1:42" ht="93" customHeight="1" x14ac:dyDescent="0.25">
      <c r="A1187" s="62" t="s">
        <v>88</v>
      </c>
      <c r="B1187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187" s="64" t="s">
        <v>89</v>
      </c>
      <c r="D1187" s="64" t="s">
        <v>80</v>
      </c>
      <c r="E1187" s="64" t="s">
        <v>81</v>
      </c>
      <c r="F1187" s="64" t="s">
        <v>112</v>
      </c>
      <c r="G1187" s="64" t="s">
        <v>10</v>
      </c>
      <c r="H1187" s="65" t="str">
        <f>VLOOKUP(Tabla6[[#This Row],[DIRECCIÓN]],DIRECCIÓN[#All],2,0)</f>
        <v>TECNOLOGÍA</v>
      </c>
      <c r="I1187" s="66" t="s">
        <v>726</v>
      </c>
      <c r="J1187" s="67">
        <v>1</v>
      </c>
      <c r="K1187" s="68" t="str">
        <f>VLOOKUP(Tabla6[[#This Row],[DIRECCIÓN GENERAL / COORDINACIÓN / SUBDIRECCIÓN]],Tabla37[[#All],[Columna1]:[EOD]],2,0)</f>
        <v>266_0007</v>
      </c>
      <c r="L1187" s="69">
        <f>VLOOKUP(Tabla6[[#This Row],[OBJETIVOS PND]],Listas!$A$1:$C$3,3,0)</f>
        <v>55</v>
      </c>
      <c r="M1187" s="70">
        <f>VLOOKUP(Tabla6[[#This Row],[PG]],Listas2!$G$14:$K$16,5,0)</f>
        <v>0</v>
      </c>
      <c r="N1187" s="71">
        <v>3</v>
      </c>
      <c r="O1187" s="72">
        <v>701</v>
      </c>
      <c r="P1187" s="73" t="str">
        <f>VLOOKUP(Tabla6[[#This Row],[GEO]],Listas!$A$48:$B$77,2,0)</f>
        <v>MACHALA</v>
      </c>
      <c r="Q1187" s="70">
        <f>VLOOKUP(Tabla6[[#This Row],[PG]],Listas2!$G$14:$K$16,3,0)</f>
        <v>1</v>
      </c>
      <c r="R1187" s="73">
        <f>VLOOKUP(Tabla6[[#This Row],[PG]],Listas2!H641:'Listas2'!$G$14:$K$16,4,0)</f>
        <v>0</v>
      </c>
      <c r="S1187" s="73">
        <f>VLOOKUP(Tabla6[[#This Row],[PG]],Listas2!$G$14:$K$16,2,0)</f>
        <v>0</v>
      </c>
      <c r="T1187" s="66" t="s">
        <v>84</v>
      </c>
      <c r="U1187" s="74">
        <v>53</v>
      </c>
      <c r="V1187" s="66">
        <v>530813</v>
      </c>
      <c r="W1187" s="63" t="str">
        <f>VLOOKUP(Tabla6[[#This Row],[ÍTEM PRESUPUESTARIO]],Tabla2[#All],2,0)</f>
        <v>REPUESTOS Y ACCESORIOS</v>
      </c>
      <c r="X1187" s="57">
        <v>0</v>
      </c>
      <c r="Y1187" s="57">
        <f>601.39+4432.73-239.72</f>
        <v>4794.3999999999996</v>
      </c>
      <c r="Z1187" s="58">
        <v>0</v>
      </c>
      <c r="AA1187" s="58">
        <v>0</v>
      </c>
      <c r="AB1187" s="58">
        <v>0</v>
      </c>
      <c r="AC1187" s="58">
        <v>0</v>
      </c>
      <c r="AD1187" s="58">
        <v>0</v>
      </c>
      <c r="AE1187" s="58">
        <v>0</v>
      </c>
      <c r="AF1187" s="58">
        <v>0</v>
      </c>
      <c r="AG1187" s="58">
        <v>0</v>
      </c>
      <c r="AH1187" s="58">
        <v>0</v>
      </c>
      <c r="AI1187" s="58">
        <v>0</v>
      </c>
      <c r="AJ1187" s="58">
        <v>0</v>
      </c>
      <c r="AK1187" s="58">
        <v>4794.3999999999996</v>
      </c>
      <c r="AL1187" s="75">
        <f>+SUBTOTAL(9,Tabla6[[#This Row],[ENE]:[DIC]])</f>
        <v>4794.3999999999996</v>
      </c>
      <c r="AM1187" s="76" t="str">
        <f t="shared" si="41"/>
        <v>OK</v>
      </c>
      <c r="AN1187" s="60">
        <v>4794.3999999999996</v>
      </c>
      <c r="AO1187" s="61">
        <f>+Tabla6[[#This Row],[PRESUPUESTO VIGENTE]]-Tabla6[[#This Row],[CERTIFICACIÓN PAPP]]</f>
        <v>0</v>
      </c>
      <c r="AP1187" s="59">
        <v>0</v>
      </c>
    </row>
    <row r="1188" spans="1:42" ht="93" customHeight="1" x14ac:dyDescent="0.25">
      <c r="A1188" s="62" t="s">
        <v>88</v>
      </c>
      <c r="B1188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188" s="64" t="s">
        <v>89</v>
      </c>
      <c r="D1188" s="64" t="s">
        <v>80</v>
      </c>
      <c r="E1188" s="64" t="s">
        <v>81</v>
      </c>
      <c r="F1188" s="64" t="s">
        <v>112</v>
      </c>
      <c r="G1188" s="64" t="s">
        <v>10</v>
      </c>
      <c r="H1188" s="65" t="str">
        <f>VLOOKUP(Tabla6[[#This Row],[DIRECCIÓN]],DIRECCIÓN[#All],2,0)</f>
        <v>TECNOLOGÍA</v>
      </c>
      <c r="I1188" s="66" t="s">
        <v>727</v>
      </c>
      <c r="J1188" s="67">
        <v>1</v>
      </c>
      <c r="K1188" s="68" t="str">
        <f>VLOOKUP(Tabla6[[#This Row],[DIRECCIÓN GENERAL / COORDINACIÓN / SUBDIRECCIÓN]],Tabla37[[#All],[Columna1]:[EOD]],2,0)</f>
        <v>266_0007</v>
      </c>
      <c r="L1188" s="69">
        <f>VLOOKUP(Tabla6[[#This Row],[OBJETIVOS PND]],Listas!$A$1:$C$3,3,0)</f>
        <v>55</v>
      </c>
      <c r="M1188" s="70">
        <f>VLOOKUP(Tabla6[[#This Row],[PG]],Listas2!$G$14:$K$16,5,0)</f>
        <v>0</v>
      </c>
      <c r="N1188" s="71">
        <v>3</v>
      </c>
      <c r="O1188" s="72">
        <v>701</v>
      </c>
      <c r="P1188" s="73" t="str">
        <f>VLOOKUP(Tabla6[[#This Row],[GEO]],Listas!$A$48:$B$77,2,0)</f>
        <v>MACHALA</v>
      </c>
      <c r="Q1188" s="70">
        <f>VLOOKUP(Tabla6[[#This Row],[PG]],Listas2!$G$14:$K$16,3,0)</f>
        <v>1</v>
      </c>
      <c r="R1188" s="73">
        <f>VLOOKUP(Tabla6[[#This Row],[PG]],Listas2!H642:'Listas2'!$G$14:$K$16,4,0)</f>
        <v>0</v>
      </c>
      <c r="S1188" s="73">
        <f>VLOOKUP(Tabla6[[#This Row],[PG]],Listas2!$G$14:$K$16,2,0)</f>
        <v>0</v>
      </c>
      <c r="T1188" s="66" t="s">
        <v>84</v>
      </c>
      <c r="U1188" s="74">
        <v>53</v>
      </c>
      <c r="V1188" s="66">
        <v>531404</v>
      </c>
      <c r="W1188" s="63" t="str">
        <f>VLOOKUP(Tabla6[[#This Row],[ÍTEM PRESUPUESTARIO]],Tabla2[#All],2,0)</f>
        <v>MAQUINARIAS Y EQUIPOS</v>
      </c>
      <c r="X1188" s="57">
        <v>0</v>
      </c>
      <c r="Y1188" s="57">
        <f>500+791.15</f>
        <v>1291.1500000000001</v>
      </c>
      <c r="Z1188" s="58">
        <v>0</v>
      </c>
      <c r="AA1188" s="58">
        <v>0</v>
      </c>
      <c r="AB1188" s="58">
        <v>0</v>
      </c>
      <c r="AC1188" s="58">
        <v>0</v>
      </c>
      <c r="AD1188" s="58">
        <v>0</v>
      </c>
      <c r="AE1188" s="58">
        <v>0</v>
      </c>
      <c r="AF1188" s="58">
        <v>0</v>
      </c>
      <c r="AG1188" s="58">
        <v>0</v>
      </c>
      <c r="AH1188" s="58">
        <v>0</v>
      </c>
      <c r="AI1188" s="58">
        <v>0</v>
      </c>
      <c r="AJ1188" s="58">
        <v>1291.1500000000001</v>
      </c>
      <c r="AK1188" s="58">
        <v>0</v>
      </c>
      <c r="AL1188" s="75">
        <f>+SUBTOTAL(9,Tabla6[[#This Row],[ENE]:[DIC]])</f>
        <v>1291.1500000000001</v>
      </c>
      <c r="AM1188" s="76" t="str">
        <f t="shared" si="41"/>
        <v>OK</v>
      </c>
      <c r="AN1188" s="60">
        <v>1291.1500000000001</v>
      </c>
      <c r="AO1188" s="61">
        <f>+Tabla6[[#This Row],[PRESUPUESTO VIGENTE]]-Tabla6[[#This Row],[CERTIFICACIÓN PAPP]]</f>
        <v>0</v>
      </c>
      <c r="AP1188" s="59">
        <v>0</v>
      </c>
    </row>
    <row r="1189" spans="1:42" ht="93" customHeight="1" x14ac:dyDescent="0.25">
      <c r="A1189" s="62" t="s">
        <v>88</v>
      </c>
      <c r="B1189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189" s="64" t="s">
        <v>89</v>
      </c>
      <c r="D1189" s="64" t="s">
        <v>80</v>
      </c>
      <c r="E1189" s="64" t="s">
        <v>81</v>
      </c>
      <c r="F1189" s="64" t="s">
        <v>112</v>
      </c>
      <c r="G1189" s="64" t="s">
        <v>10</v>
      </c>
      <c r="H1189" s="65" t="str">
        <f>VLOOKUP(Tabla6[[#This Row],[DIRECCIÓN]],DIRECCIÓN[#All],2,0)</f>
        <v>TECNOLOGÍA</v>
      </c>
      <c r="I1189" s="66" t="s">
        <v>728</v>
      </c>
      <c r="J1189" s="67">
        <v>1</v>
      </c>
      <c r="K1189" s="68" t="str">
        <f>VLOOKUP(Tabla6[[#This Row],[DIRECCIÓN GENERAL / COORDINACIÓN / SUBDIRECCIÓN]],Tabla37[[#All],[Columna1]:[EOD]],2,0)</f>
        <v>266_0007</v>
      </c>
      <c r="L1189" s="69">
        <f>VLOOKUP(Tabla6[[#This Row],[OBJETIVOS PND]],Listas!$A$1:$C$3,3,0)</f>
        <v>55</v>
      </c>
      <c r="M1189" s="70">
        <f>VLOOKUP(Tabla6[[#This Row],[PG]],Listas2!$G$14:$K$16,5,0)</f>
        <v>0</v>
      </c>
      <c r="N1189" s="71">
        <v>3</v>
      </c>
      <c r="O1189" s="72">
        <v>701</v>
      </c>
      <c r="P1189" s="73" t="str">
        <f>VLOOKUP(Tabla6[[#This Row],[GEO]],Listas!$A$48:$B$77,2,0)</f>
        <v>MACHALA</v>
      </c>
      <c r="Q1189" s="70">
        <f>VLOOKUP(Tabla6[[#This Row],[PG]],Listas2!$G$14:$K$16,3,0)</f>
        <v>1</v>
      </c>
      <c r="R1189" s="73">
        <f>VLOOKUP(Tabla6[[#This Row],[PG]],Listas2!H643:'Listas2'!$G$14:$K$16,4,0)</f>
        <v>0</v>
      </c>
      <c r="S1189" s="73">
        <f>VLOOKUP(Tabla6[[#This Row],[PG]],Listas2!$G$14:$K$16,2,0)</f>
        <v>0</v>
      </c>
      <c r="T1189" s="66" t="s">
        <v>84</v>
      </c>
      <c r="U1189" s="74">
        <v>53</v>
      </c>
      <c r="V1189" s="66">
        <v>531406</v>
      </c>
      <c r="W1189" s="63" t="str">
        <f>VLOOKUP(Tabla6[[#This Row],[ÍTEM PRESUPUESTARIO]],Tabla2[#All],2,0)</f>
        <v>HERRAMIENTAS Y EQUIPOS MENORES</v>
      </c>
      <c r="X1189" s="57">
        <v>1500</v>
      </c>
      <c r="Y1189" s="57">
        <v>0</v>
      </c>
      <c r="Z1189" s="58">
        <v>0</v>
      </c>
      <c r="AA1189" s="58">
        <v>0</v>
      </c>
      <c r="AB1189" s="58">
        <v>0</v>
      </c>
      <c r="AC1189" s="58">
        <v>0</v>
      </c>
      <c r="AD1189" s="58">
        <v>0</v>
      </c>
      <c r="AE1189" s="58">
        <v>0</v>
      </c>
      <c r="AF1189" s="58">
        <v>0</v>
      </c>
      <c r="AG1189" s="58">
        <v>0</v>
      </c>
      <c r="AH1189" s="58">
        <v>0</v>
      </c>
      <c r="AI1189" s="58">
        <v>0</v>
      </c>
      <c r="AJ1189" s="58">
        <v>0</v>
      </c>
      <c r="AK1189" s="58">
        <v>0</v>
      </c>
      <c r="AL1189" s="75">
        <f>+SUBTOTAL(9,Tabla6[[#This Row],[ENE]:[DIC]])</f>
        <v>0</v>
      </c>
      <c r="AM1189" s="76" t="str">
        <f t="shared" si="41"/>
        <v>OK</v>
      </c>
      <c r="AN1189" s="60">
        <v>0</v>
      </c>
      <c r="AO1189" s="61">
        <f>+Tabla6[[#This Row],[PRESUPUESTO VIGENTE]]-Tabla6[[#This Row],[CERTIFICACIÓN PAPP]]</f>
        <v>0</v>
      </c>
      <c r="AP1189" s="59" t="s">
        <v>87</v>
      </c>
    </row>
    <row r="1190" spans="1:42" ht="93" customHeight="1" x14ac:dyDescent="0.25">
      <c r="A1190" s="62" t="s">
        <v>88</v>
      </c>
      <c r="B1190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190" s="64" t="s">
        <v>89</v>
      </c>
      <c r="D1190" s="64" t="s">
        <v>80</v>
      </c>
      <c r="E1190" s="64" t="s">
        <v>81</v>
      </c>
      <c r="F1190" s="64" t="s">
        <v>112</v>
      </c>
      <c r="G1190" s="64" t="s">
        <v>10</v>
      </c>
      <c r="H1190" s="65" t="str">
        <f>VLOOKUP(Tabla6[[#This Row],[DIRECCIÓN]],DIRECCIÓN[#All],2,0)</f>
        <v>TECNOLOGÍA</v>
      </c>
      <c r="I1190" s="66" t="s">
        <v>727</v>
      </c>
      <c r="J1190" s="67">
        <v>1</v>
      </c>
      <c r="K1190" s="68" t="str">
        <f>VLOOKUP(Tabla6[[#This Row],[DIRECCIÓN GENERAL / COORDINACIÓN / SUBDIRECCIÓN]],Tabla37[[#All],[Columna1]:[EOD]],2,0)</f>
        <v>266_0007</v>
      </c>
      <c r="L1190" s="69">
        <f>VLOOKUP(Tabla6[[#This Row],[OBJETIVOS PND]],Listas!$A$1:$C$3,3,0)</f>
        <v>55</v>
      </c>
      <c r="M1190" s="70">
        <f>VLOOKUP(Tabla6[[#This Row],[PG]],Listas2!$G$14:$K$16,5,0)</f>
        <v>0</v>
      </c>
      <c r="N1190" s="71">
        <v>3</v>
      </c>
      <c r="O1190" s="72">
        <v>701</v>
      </c>
      <c r="P1190" s="73" t="str">
        <f>VLOOKUP(Tabla6[[#This Row],[GEO]],Listas!$A$48:$B$77,2,0)</f>
        <v>MACHALA</v>
      </c>
      <c r="Q1190" s="70">
        <f>VLOOKUP(Tabla6[[#This Row],[PG]],Listas2!$G$14:$K$16,3,0)</f>
        <v>1</v>
      </c>
      <c r="R1190" s="73">
        <f>VLOOKUP(Tabla6[[#This Row],[PG]],Listas2!H644:'Listas2'!$G$14:$K$16,4,0)</f>
        <v>0</v>
      </c>
      <c r="S1190" s="73">
        <f>VLOOKUP(Tabla6[[#This Row],[PG]],Listas2!$G$14:$K$16,2,0)</f>
        <v>0</v>
      </c>
      <c r="T1190" s="66" t="s">
        <v>84</v>
      </c>
      <c r="U1190" s="74">
        <v>53</v>
      </c>
      <c r="V1190" s="66">
        <v>531407</v>
      </c>
      <c r="W1190" s="63" t="str">
        <f>VLOOKUP(Tabla6[[#This Row],[ÍTEM PRESUPUESTARIO]],Tabla2[#All],2,0)</f>
        <v>EQUIPOS, SISTEMAS Y PAQUETES INFORMÁTICOS</v>
      </c>
      <c r="X1190" s="57">
        <v>0</v>
      </c>
      <c r="Y1190" s="57">
        <f>5800-5000+2770.98</f>
        <v>3570.98</v>
      </c>
      <c r="Z1190" s="58">
        <v>0</v>
      </c>
      <c r="AA1190" s="58">
        <v>0</v>
      </c>
      <c r="AB1190" s="58">
        <v>0</v>
      </c>
      <c r="AC1190" s="58">
        <v>0</v>
      </c>
      <c r="AD1190" s="58">
        <v>0</v>
      </c>
      <c r="AE1190" s="58">
        <v>0</v>
      </c>
      <c r="AF1190" s="58">
        <v>0</v>
      </c>
      <c r="AG1190" s="58">
        <v>0</v>
      </c>
      <c r="AH1190" s="58">
        <v>0</v>
      </c>
      <c r="AI1190" s="58">
        <v>0</v>
      </c>
      <c r="AJ1190" s="58">
        <v>3570.98</v>
      </c>
      <c r="AK1190" s="58">
        <v>0</v>
      </c>
      <c r="AL1190" s="75">
        <f>+SUBTOTAL(9,Tabla6[[#This Row],[ENE]:[DIC]])</f>
        <v>3570.98</v>
      </c>
      <c r="AM1190" s="76" t="str">
        <f t="shared" si="41"/>
        <v>OK</v>
      </c>
      <c r="AN1190" s="60">
        <v>3570.98</v>
      </c>
      <c r="AO1190" s="61">
        <f>+Tabla6[[#This Row],[PRESUPUESTO VIGENTE]]-Tabla6[[#This Row],[CERTIFICACIÓN PAPP]]</f>
        <v>0</v>
      </c>
      <c r="AP1190" s="59">
        <v>0</v>
      </c>
    </row>
    <row r="1191" spans="1:42" ht="93" customHeight="1" x14ac:dyDescent="0.25">
      <c r="A1191" s="62" t="s">
        <v>88</v>
      </c>
      <c r="B1191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191" s="64" t="s">
        <v>89</v>
      </c>
      <c r="D1191" s="64" t="s">
        <v>80</v>
      </c>
      <c r="E1191" s="64" t="s">
        <v>81</v>
      </c>
      <c r="F1191" s="64" t="s">
        <v>112</v>
      </c>
      <c r="G1191" s="64" t="s">
        <v>10</v>
      </c>
      <c r="H1191" s="65" t="str">
        <f>VLOOKUP(Tabla6[[#This Row],[DIRECCIÓN]],DIRECCIÓN[#All],2,0)</f>
        <v>TECNOLOGÍA</v>
      </c>
      <c r="I1191" s="66" t="s">
        <v>729</v>
      </c>
      <c r="J1191" s="67">
        <v>1</v>
      </c>
      <c r="K1191" s="68" t="str">
        <f>VLOOKUP(Tabla6[[#This Row],[DIRECCIÓN GENERAL / COORDINACIÓN / SUBDIRECCIÓN]],Tabla37[[#All],[Columna1]:[EOD]],2,0)</f>
        <v>266_0007</v>
      </c>
      <c r="L1191" s="69">
        <f>VLOOKUP(Tabla6[[#This Row],[OBJETIVOS PND]],Listas!$A$1:$C$3,3,0)</f>
        <v>55</v>
      </c>
      <c r="M1191" s="70">
        <f>VLOOKUP(Tabla6[[#This Row],[PG]],Listas2!$G$14:$K$16,5,0)</f>
        <v>0</v>
      </c>
      <c r="N1191" s="71">
        <v>3</v>
      </c>
      <c r="O1191" s="72">
        <v>701</v>
      </c>
      <c r="P1191" s="73" t="str">
        <f>VLOOKUP(Tabla6[[#This Row],[GEO]],Listas!$A$48:$B$77,2,0)</f>
        <v>MACHALA</v>
      </c>
      <c r="Q1191" s="70">
        <f>VLOOKUP(Tabla6[[#This Row],[PG]],Listas2!$G$14:$K$16,3,0)</f>
        <v>1</v>
      </c>
      <c r="R1191" s="73">
        <f>VLOOKUP(Tabla6[[#This Row],[PG]],Listas2!H645:'Listas2'!$G$14:$K$16,4,0)</f>
        <v>0</v>
      </c>
      <c r="S1191" s="73">
        <f>VLOOKUP(Tabla6[[#This Row],[PG]],Listas2!$G$14:$K$16,2,0)</f>
        <v>0</v>
      </c>
      <c r="T1191" s="66" t="s">
        <v>95</v>
      </c>
      <c r="U1191" s="74">
        <v>84</v>
      </c>
      <c r="V1191" s="66">
        <v>840107</v>
      </c>
      <c r="W1191" s="63" t="str">
        <f>VLOOKUP(Tabla6[[#This Row],[ÍTEM PRESUPUESTARIO]],Tabla2[#All],2,0)</f>
        <v>EQUIPOS SISTEMAS Y PAQUETES INFORMÁTICOS</v>
      </c>
      <c r="X1191" s="57">
        <v>0</v>
      </c>
      <c r="Y1191" s="57">
        <v>0</v>
      </c>
      <c r="Z1191" s="58">
        <v>0</v>
      </c>
      <c r="AA1191" s="58">
        <v>0</v>
      </c>
      <c r="AB1191" s="58">
        <v>0</v>
      </c>
      <c r="AC1191" s="58">
        <v>0</v>
      </c>
      <c r="AD1191" s="58">
        <v>0</v>
      </c>
      <c r="AE1191" s="58">
        <v>0</v>
      </c>
      <c r="AF1191" s="58">
        <v>0</v>
      </c>
      <c r="AG1191" s="58">
        <v>0</v>
      </c>
      <c r="AH1191" s="58">
        <v>0</v>
      </c>
      <c r="AI1191" s="58">
        <v>0</v>
      </c>
      <c r="AJ1191" s="58">
        <v>0</v>
      </c>
      <c r="AK1191" s="58">
        <v>0</v>
      </c>
      <c r="AL1191" s="75">
        <f>+SUBTOTAL(9,Tabla6[[#This Row],[ENE]:[DIC]])</f>
        <v>0</v>
      </c>
      <c r="AM1191" s="76" t="str">
        <f t="shared" si="41"/>
        <v>OK</v>
      </c>
      <c r="AN1191" s="60">
        <v>0</v>
      </c>
      <c r="AO1191" s="61">
        <f>+Tabla6[[#This Row],[PRESUPUESTO VIGENTE]]-Tabla6[[#This Row],[CERTIFICACIÓN PAPP]]</f>
        <v>0</v>
      </c>
      <c r="AP1191" s="59">
        <v>0</v>
      </c>
    </row>
    <row r="1192" spans="1:42" ht="93" customHeight="1" x14ac:dyDescent="0.25">
      <c r="A1192" s="62" t="s">
        <v>88</v>
      </c>
      <c r="B1192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192" s="64" t="s">
        <v>89</v>
      </c>
      <c r="D1192" s="64" t="s">
        <v>80</v>
      </c>
      <c r="E1192" s="64" t="s">
        <v>81</v>
      </c>
      <c r="F1192" s="64" t="s">
        <v>112</v>
      </c>
      <c r="G1192" s="64" t="s">
        <v>10</v>
      </c>
      <c r="H1192" s="65" t="str">
        <f>VLOOKUP(Tabla6[[#This Row],[DIRECCIÓN]],DIRECCIÓN[#All],2,0)</f>
        <v>TECNOLOGÍA</v>
      </c>
      <c r="I1192" s="66" t="s">
        <v>730</v>
      </c>
      <c r="J1192" s="67">
        <v>1</v>
      </c>
      <c r="K1192" s="68" t="str">
        <f>VLOOKUP(Tabla6[[#This Row],[DIRECCIÓN GENERAL / COORDINACIÓN / SUBDIRECCIÓN]],Tabla37[[#All],[Columna1]:[EOD]],2,0)</f>
        <v>266_0007</v>
      </c>
      <c r="L1192" s="69">
        <f>VLOOKUP(Tabla6[[#This Row],[OBJETIVOS PND]],Listas!$A$1:$C$3,3,0)</f>
        <v>55</v>
      </c>
      <c r="M1192" s="70">
        <f>VLOOKUP(Tabla6[[#This Row],[PG]],Listas2!$G$14:$K$16,5,0)</f>
        <v>0</v>
      </c>
      <c r="N1192" s="71">
        <v>3</v>
      </c>
      <c r="O1192" s="72">
        <v>701</v>
      </c>
      <c r="P1192" s="73" t="str">
        <f>VLOOKUP(Tabla6[[#This Row],[GEO]],Listas!$A$48:$B$77,2,0)</f>
        <v>MACHALA</v>
      </c>
      <c r="Q1192" s="70">
        <f>VLOOKUP(Tabla6[[#This Row],[PG]],Listas2!$G$14:$K$16,3,0)</f>
        <v>1</v>
      </c>
      <c r="R1192" s="73">
        <f>VLOOKUP(Tabla6[[#This Row],[PG]],Listas2!H646:'Listas2'!$G$14:$K$16,4,0)</f>
        <v>0</v>
      </c>
      <c r="S1192" s="73">
        <f>VLOOKUP(Tabla6[[#This Row],[PG]],Listas2!$G$14:$K$16,2,0)</f>
        <v>0</v>
      </c>
      <c r="T1192" s="66" t="s">
        <v>95</v>
      </c>
      <c r="U1192" s="74">
        <v>84</v>
      </c>
      <c r="V1192" s="66">
        <v>840107</v>
      </c>
      <c r="W1192" s="63" t="str">
        <f>VLOOKUP(Tabla6[[#This Row],[ÍTEM PRESUPUESTARIO]],Tabla2[#All],2,0)</f>
        <v>EQUIPOS SISTEMAS Y PAQUETES INFORMÁTICOS</v>
      </c>
      <c r="X1192" s="57">
        <v>0</v>
      </c>
      <c r="Y1192" s="57">
        <v>6300</v>
      </c>
      <c r="Z1192" s="58">
        <v>0</v>
      </c>
      <c r="AA1192" s="58">
        <v>0</v>
      </c>
      <c r="AB1192" s="58">
        <v>0</v>
      </c>
      <c r="AC1192" s="58">
        <v>0</v>
      </c>
      <c r="AD1192" s="58">
        <v>0</v>
      </c>
      <c r="AE1192" s="58">
        <v>0</v>
      </c>
      <c r="AF1192" s="58">
        <v>0</v>
      </c>
      <c r="AG1192" s="58">
        <v>0</v>
      </c>
      <c r="AH1192" s="58">
        <v>0</v>
      </c>
      <c r="AI1192" s="58">
        <v>0</v>
      </c>
      <c r="AJ1192" s="58">
        <v>6300</v>
      </c>
      <c r="AK1192" s="58">
        <v>0</v>
      </c>
      <c r="AL1192" s="75">
        <f>+SUBTOTAL(9,Tabla6[[#This Row],[ENE]:[DIC]])</f>
        <v>6300</v>
      </c>
      <c r="AM1192" s="76" t="str">
        <f t="shared" si="41"/>
        <v>OK</v>
      </c>
      <c r="AN1192" s="60">
        <v>6300</v>
      </c>
      <c r="AO1192" s="61">
        <f>+Tabla6[[#This Row],[PRESUPUESTO VIGENTE]]-Tabla6[[#This Row],[CERTIFICACIÓN PAPP]]</f>
        <v>0</v>
      </c>
      <c r="AP1192" s="59">
        <v>0</v>
      </c>
    </row>
    <row r="1193" spans="1:42" ht="93" customHeight="1" x14ac:dyDescent="0.25">
      <c r="A1193" s="62" t="s">
        <v>88</v>
      </c>
      <c r="B1193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193" s="64" t="s">
        <v>89</v>
      </c>
      <c r="D1193" s="64" t="s">
        <v>80</v>
      </c>
      <c r="E1193" s="64" t="s">
        <v>81</v>
      </c>
      <c r="F1193" s="64" t="s">
        <v>112</v>
      </c>
      <c r="G1193" s="64" t="s">
        <v>10</v>
      </c>
      <c r="H1193" s="65" t="str">
        <f>VLOOKUP(Tabla6[[#This Row],[DIRECCIÓN]],DIRECCIÓN[#All],2,0)</f>
        <v>TECNOLOGÍA</v>
      </c>
      <c r="I1193" s="66" t="s">
        <v>731</v>
      </c>
      <c r="J1193" s="67">
        <v>1</v>
      </c>
      <c r="K1193" s="68" t="str">
        <f>VLOOKUP(Tabla6[[#This Row],[DIRECCIÓN GENERAL / COORDINACIÓN / SUBDIRECCIÓN]],Tabla37[[#All],[Columna1]:[EOD]],2,0)</f>
        <v>266_0007</v>
      </c>
      <c r="L1193" s="69">
        <f>VLOOKUP(Tabla6[[#This Row],[OBJETIVOS PND]],Listas!$A$1:$C$3,3,0)</f>
        <v>55</v>
      </c>
      <c r="M1193" s="70">
        <f>VLOOKUP(Tabla6[[#This Row],[PG]],Listas2!$G$14:$K$16,5,0)</f>
        <v>0</v>
      </c>
      <c r="N1193" s="71">
        <v>3</v>
      </c>
      <c r="O1193" s="72">
        <v>701</v>
      </c>
      <c r="P1193" s="73" t="str">
        <f>VLOOKUP(Tabla6[[#This Row],[GEO]],Listas!$A$48:$B$77,2,0)</f>
        <v>MACHALA</v>
      </c>
      <c r="Q1193" s="70">
        <f>VLOOKUP(Tabla6[[#This Row],[PG]],Listas2!$G$14:$K$16,3,0)</f>
        <v>1</v>
      </c>
      <c r="R1193" s="73">
        <f>VLOOKUP(Tabla6[[#This Row],[PG]],Listas2!H647:'Listas2'!$G$14:$K$16,4,0)</f>
        <v>0</v>
      </c>
      <c r="S1193" s="73">
        <f>VLOOKUP(Tabla6[[#This Row],[PG]],Listas2!$G$14:$K$16,2,0)</f>
        <v>0</v>
      </c>
      <c r="T1193" s="66" t="s">
        <v>95</v>
      </c>
      <c r="U1193" s="74">
        <v>84</v>
      </c>
      <c r="V1193" s="66">
        <v>840107</v>
      </c>
      <c r="W1193" s="63" t="str">
        <f>VLOOKUP(Tabla6[[#This Row],[ÍTEM PRESUPUESTARIO]],Tabla2[#All],2,0)</f>
        <v>EQUIPOS SISTEMAS Y PAQUETES INFORMÁTICOS</v>
      </c>
      <c r="X1193" s="57">
        <v>0</v>
      </c>
      <c r="Y1193" s="57">
        <f>2500-315.3+300</f>
        <v>2484.6999999999998</v>
      </c>
      <c r="Z1193" s="58">
        <v>0</v>
      </c>
      <c r="AA1193" s="58">
        <v>0</v>
      </c>
      <c r="AB1193" s="58">
        <v>0</v>
      </c>
      <c r="AC1193" s="58">
        <v>0</v>
      </c>
      <c r="AD1193" s="58">
        <v>0</v>
      </c>
      <c r="AE1193" s="58">
        <v>0</v>
      </c>
      <c r="AF1193" s="58">
        <v>0</v>
      </c>
      <c r="AG1193" s="58">
        <v>0</v>
      </c>
      <c r="AH1193" s="58">
        <v>0</v>
      </c>
      <c r="AI1193" s="58">
        <v>0</v>
      </c>
      <c r="AJ1193" s="58">
        <v>2484.6999999999998</v>
      </c>
      <c r="AK1193" s="58">
        <v>0</v>
      </c>
      <c r="AL1193" s="75">
        <f>+SUBTOTAL(9,Tabla6[[#This Row],[ENE]:[DIC]])</f>
        <v>2484.6999999999998</v>
      </c>
      <c r="AM1193" s="76" t="str">
        <f t="shared" si="41"/>
        <v>OK</v>
      </c>
      <c r="AN1193" s="60">
        <v>2484.6999999999998</v>
      </c>
      <c r="AO1193" s="61">
        <f>+Tabla6[[#This Row],[PRESUPUESTO VIGENTE]]-Tabla6[[#This Row],[CERTIFICACIÓN PAPP]]</f>
        <v>0</v>
      </c>
      <c r="AP1193" s="59">
        <v>0</v>
      </c>
    </row>
    <row r="1194" spans="1:42" ht="93" customHeight="1" x14ac:dyDescent="0.25">
      <c r="A1194" s="62" t="s">
        <v>88</v>
      </c>
      <c r="B1194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194" s="64" t="s">
        <v>89</v>
      </c>
      <c r="D1194" s="64" t="s">
        <v>80</v>
      </c>
      <c r="E1194" s="64" t="s">
        <v>81</v>
      </c>
      <c r="F1194" s="64" t="s">
        <v>112</v>
      </c>
      <c r="G1194" s="64" t="s">
        <v>10</v>
      </c>
      <c r="H1194" s="65" t="str">
        <f>VLOOKUP(Tabla6[[#This Row],[DIRECCIÓN]],DIRECCIÓN[#All],2,0)</f>
        <v>TECNOLOGÍA</v>
      </c>
      <c r="I1194" s="66" t="s">
        <v>732</v>
      </c>
      <c r="J1194" s="67">
        <v>1</v>
      </c>
      <c r="K1194" s="68" t="str">
        <f>VLOOKUP(Tabla6[[#This Row],[DIRECCIÓN GENERAL / COORDINACIÓN / SUBDIRECCIÓN]],Tabla37[[#All],[Columna1]:[EOD]],2,0)</f>
        <v>266_0007</v>
      </c>
      <c r="L1194" s="69">
        <f>VLOOKUP(Tabla6[[#This Row],[OBJETIVOS PND]],Listas!$A$1:$C$3,3,0)</f>
        <v>55</v>
      </c>
      <c r="M1194" s="70">
        <f>VLOOKUP(Tabla6[[#This Row],[PG]],Listas2!$G$14:$K$16,5,0)</f>
        <v>0</v>
      </c>
      <c r="N1194" s="71">
        <v>3</v>
      </c>
      <c r="O1194" s="72">
        <v>701</v>
      </c>
      <c r="P1194" s="73" t="str">
        <f>VLOOKUP(Tabla6[[#This Row],[GEO]],Listas!$A$48:$B$77,2,0)</f>
        <v>MACHALA</v>
      </c>
      <c r="Q1194" s="70">
        <f>VLOOKUP(Tabla6[[#This Row],[PG]],Listas2!$G$14:$K$16,3,0)</f>
        <v>1</v>
      </c>
      <c r="R1194" s="73">
        <f>VLOOKUP(Tabla6[[#This Row],[PG]],Listas2!H648:'Listas2'!$G$14:$K$16,4,0)</f>
        <v>0</v>
      </c>
      <c r="S1194" s="73">
        <f>VLOOKUP(Tabla6[[#This Row],[PG]],Listas2!$G$14:$K$16,2,0)</f>
        <v>0</v>
      </c>
      <c r="T1194" s="66" t="s">
        <v>95</v>
      </c>
      <c r="U1194" s="74">
        <v>84</v>
      </c>
      <c r="V1194" s="66">
        <v>840107</v>
      </c>
      <c r="W1194" s="63" t="str">
        <f>VLOOKUP(Tabla6[[#This Row],[ÍTEM PRESUPUESTARIO]],Tabla2[#All],2,0)</f>
        <v>EQUIPOS SISTEMAS Y PAQUETES INFORMÁTICOS</v>
      </c>
      <c r="X1194" s="57">
        <v>0</v>
      </c>
      <c r="Y1194" s="57">
        <f>50505-2500-6300-6300</f>
        <v>35405</v>
      </c>
      <c r="Z1194" s="58">
        <v>0</v>
      </c>
      <c r="AA1194" s="58">
        <v>0</v>
      </c>
      <c r="AB1194" s="58">
        <v>0</v>
      </c>
      <c r="AC1194" s="58">
        <v>0</v>
      </c>
      <c r="AD1194" s="58">
        <v>0</v>
      </c>
      <c r="AE1194" s="58">
        <v>0</v>
      </c>
      <c r="AF1194" s="58">
        <v>0</v>
      </c>
      <c r="AG1194" s="58">
        <v>0</v>
      </c>
      <c r="AH1194" s="58">
        <v>0</v>
      </c>
      <c r="AI1194" s="58">
        <v>0</v>
      </c>
      <c r="AJ1194" s="58">
        <v>35405</v>
      </c>
      <c r="AK1194" s="58">
        <v>0</v>
      </c>
      <c r="AL1194" s="75">
        <f>+SUBTOTAL(9,Tabla6[[#This Row],[ENE]:[DIC]])</f>
        <v>35405</v>
      </c>
      <c r="AM1194" s="76" t="str">
        <f t="shared" si="41"/>
        <v>OK</v>
      </c>
      <c r="AN1194" s="60">
        <f>29680+5725</f>
        <v>35405</v>
      </c>
      <c r="AO1194" s="61">
        <f>+Tabla6[[#This Row],[PRESUPUESTO VIGENTE]]-Tabla6[[#This Row],[CERTIFICACIÓN PAPP]]</f>
        <v>0</v>
      </c>
      <c r="AP1194" s="59">
        <v>0</v>
      </c>
    </row>
    <row r="1195" spans="1:42" ht="93" customHeight="1" x14ac:dyDescent="0.25">
      <c r="A1195" s="62" t="s">
        <v>78</v>
      </c>
      <c r="B1195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195" s="64" t="s">
        <v>79</v>
      </c>
      <c r="D1195" s="64" t="s">
        <v>80</v>
      </c>
      <c r="E1195" s="64" t="s">
        <v>81</v>
      </c>
      <c r="F1195" s="64" t="s">
        <v>112</v>
      </c>
      <c r="G1195" s="64" t="s">
        <v>83</v>
      </c>
      <c r="H1195" s="65" t="str">
        <f>VLOOKUP(Tabla6[[#This Row],[DIRECCIÓN]],DIRECCIÓN[#All],2,0)</f>
        <v>ADMINISTRACIÓN CENTRAL</v>
      </c>
      <c r="I1195" s="66" t="s">
        <v>93</v>
      </c>
      <c r="J1195" s="67">
        <v>1</v>
      </c>
      <c r="K1195" s="68" t="str">
        <f>VLOOKUP(Tabla6[[#This Row],[DIRECCIÓN GENERAL / COORDINACIÓN / SUBDIRECCIÓN]],Tabla37[[#All],[Columna1]:[EOD]],2,0)</f>
        <v>266_0007</v>
      </c>
      <c r="L1195" s="69">
        <f>VLOOKUP(Tabla6[[#This Row],[OBJETIVOS PND]],Listas!$A$1:$C$3,3,0)</f>
        <v>1</v>
      </c>
      <c r="M1195" s="70">
        <f>VLOOKUP(Tabla6[[#This Row],[PG]],Listas2!$G$14:$K$16,5,0)</f>
        <v>0</v>
      </c>
      <c r="N1195" s="71" t="s">
        <v>775</v>
      </c>
      <c r="O1195" s="72">
        <v>1100</v>
      </c>
      <c r="P1195" s="73" t="str">
        <f>VLOOKUP(Tabla6[[#This Row],[GEO]],Listas!$A$48:$B$77,2,0)</f>
        <v>LOJA</v>
      </c>
      <c r="Q1195" s="70">
        <f>VLOOKUP(Tabla6[[#This Row],[PG]],Listas2!$G$14:$K$16,3,0)</f>
        <v>1</v>
      </c>
      <c r="R1195" s="73">
        <f>VLOOKUP(Tabla6[[#This Row],[PG]],Listas2!H649:'Listas2'!$G$14:$K$16,4,0)</f>
        <v>0</v>
      </c>
      <c r="S1195" s="73">
        <f>VLOOKUP(Tabla6[[#This Row],[PG]],Listas2!$G$14:$K$16,2,0)</f>
        <v>0</v>
      </c>
      <c r="T1195" s="66" t="s">
        <v>84</v>
      </c>
      <c r="U1195" s="74">
        <v>51</v>
      </c>
      <c r="V1195" s="66">
        <v>510105</v>
      </c>
      <c r="W1195" s="63" t="str">
        <f>VLOOKUP(Tabla6[[#This Row],[ÍTEM PRESUPUESTARIO]],Tabla2[#All],2,0)</f>
        <v>REMUNERACIONES UNIFICADAS</v>
      </c>
      <c r="X1195" s="57">
        <v>129552</v>
      </c>
      <c r="Y1195" s="57">
        <v>129552</v>
      </c>
      <c r="Z1195" s="58">
        <v>10796</v>
      </c>
      <c r="AA1195" s="58">
        <v>10796</v>
      </c>
      <c r="AB1195" s="58">
        <v>10796</v>
      </c>
      <c r="AC1195" s="58">
        <v>10796</v>
      </c>
      <c r="AD1195" s="58">
        <v>10796</v>
      </c>
      <c r="AE1195" s="58">
        <v>10796</v>
      </c>
      <c r="AF1195" s="58">
        <v>10796</v>
      </c>
      <c r="AG1195" s="58">
        <v>10796</v>
      </c>
      <c r="AH1195" s="58">
        <v>10796</v>
      </c>
      <c r="AI1195" s="58">
        <v>10796</v>
      </c>
      <c r="AJ1195" s="58">
        <v>10796</v>
      </c>
      <c r="AK1195" s="58">
        <v>10796</v>
      </c>
      <c r="AL1195" s="75">
        <f>+SUBTOTAL(9,Tabla6[[#This Row],[ENE]:[DIC]])</f>
        <v>129552</v>
      </c>
      <c r="AM1195" s="76" t="str">
        <f t="shared" si="41"/>
        <v>OK</v>
      </c>
      <c r="AN1195" s="60">
        <v>0</v>
      </c>
      <c r="AO1195" s="61">
        <f>+Tabla6[[#This Row],[PRESUPUESTO VIGENTE]]-Tabla6[[#This Row],[CERTIFICACIÓN PAPP]]</f>
        <v>129552</v>
      </c>
      <c r="AP1195" s="59">
        <v>0</v>
      </c>
    </row>
    <row r="1196" spans="1:42" ht="93" customHeight="1" x14ac:dyDescent="0.25">
      <c r="A1196" s="62" t="s">
        <v>78</v>
      </c>
      <c r="B1196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196" s="64" t="s">
        <v>79</v>
      </c>
      <c r="D1196" s="64" t="s">
        <v>80</v>
      </c>
      <c r="E1196" s="64" t="s">
        <v>81</v>
      </c>
      <c r="F1196" s="64" t="s">
        <v>112</v>
      </c>
      <c r="G1196" s="64" t="s">
        <v>83</v>
      </c>
      <c r="H1196" s="65" t="str">
        <f>VLOOKUP(Tabla6[[#This Row],[DIRECCIÓN]],DIRECCIÓN[#All],2,0)</f>
        <v>ADMINISTRACIÓN CENTRAL</v>
      </c>
      <c r="I1196" s="66" t="s">
        <v>93</v>
      </c>
      <c r="J1196" s="67">
        <v>1</v>
      </c>
      <c r="K1196" s="68" t="str">
        <f>VLOOKUP(Tabla6[[#This Row],[DIRECCIÓN GENERAL / COORDINACIÓN / SUBDIRECCIÓN]],Tabla37[[#All],[Columna1]:[EOD]],2,0)</f>
        <v>266_0007</v>
      </c>
      <c r="L1196" s="69">
        <f>VLOOKUP(Tabla6[[#This Row],[OBJETIVOS PND]],Listas!$A$1:$C$3,3,0)</f>
        <v>1</v>
      </c>
      <c r="M1196" s="70">
        <f>VLOOKUP(Tabla6[[#This Row],[PG]],Listas2!$G$14:$K$16,5,0)</f>
        <v>0</v>
      </c>
      <c r="N1196" s="71" t="s">
        <v>775</v>
      </c>
      <c r="O1196" s="72">
        <v>1100</v>
      </c>
      <c r="P1196" s="73" t="str">
        <f>VLOOKUP(Tabla6[[#This Row],[GEO]],Listas!$A$48:$B$77,2,0)</f>
        <v>LOJA</v>
      </c>
      <c r="Q1196" s="70">
        <f>VLOOKUP(Tabla6[[#This Row],[PG]],Listas2!$G$14:$K$16,3,0)</f>
        <v>1</v>
      </c>
      <c r="R1196" s="73">
        <f>VLOOKUP(Tabla6[[#This Row],[PG]],Listas2!H650:'Listas2'!$G$14:$K$16,4,0)</f>
        <v>0</v>
      </c>
      <c r="S1196" s="73">
        <f>VLOOKUP(Tabla6[[#This Row],[PG]],Listas2!$G$14:$K$16,2,0)</f>
        <v>0</v>
      </c>
      <c r="T1196" s="66" t="s">
        <v>84</v>
      </c>
      <c r="U1196" s="74">
        <v>51</v>
      </c>
      <c r="V1196" s="66">
        <v>510106</v>
      </c>
      <c r="W1196" s="63" t="str">
        <f>VLOOKUP(Tabla6[[#This Row],[ÍTEM PRESUPUESTARIO]],Tabla2[#All],2,0)</f>
        <v>SALARIOS UNIFICADOS</v>
      </c>
      <c r="X1196" s="57">
        <v>35760</v>
      </c>
      <c r="Y1196" s="57">
        <v>35760</v>
      </c>
      <c r="Z1196" s="58">
        <v>2980</v>
      </c>
      <c r="AA1196" s="58">
        <v>2980</v>
      </c>
      <c r="AB1196" s="58">
        <v>2980</v>
      </c>
      <c r="AC1196" s="58">
        <v>2980</v>
      </c>
      <c r="AD1196" s="58">
        <v>2980</v>
      </c>
      <c r="AE1196" s="58">
        <v>2980</v>
      </c>
      <c r="AF1196" s="58">
        <v>2980</v>
      </c>
      <c r="AG1196" s="58">
        <v>2980</v>
      </c>
      <c r="AH1196" s="58">
        <v>2980</v>
      </c>
      <c r="AI1196" s="58">
        <v>2980</v>
      </c>
      <c r="AJ1196" s="58">
        <v>2980</v>
      </c>
      <c r="AK1196" s="58">
        <v>2980</v>
      </c>
      <c r="AL1196" s="75">
        <f>+SUBTOTAL(9,Tabla6[[#This Row],[ENE]:[DIC]])</f>
        <v>35760</v>
      </c>
      <c r="AM1196" s="76" t="str">
        <f t="shared" si="41"/>
        <v>OK</v>
      </c>
      <c r="AN1196" s="60">
        <v>0</v>
      </c>
      <c r="AO1196" s="61">
        <f>+Tabla6[[#This Row],[PRESUPUESTO VIGENTE]]-Tabla6[[#This Row],[CERTIFICACIÓN PAPP]]</f>
        <v>35760</v>
      </c>
      <c r="AP1196" s="59">
        <v>0</v>
      </c>
    </row>
    <row r="1197" spans="1:42" ht="93" customHeight="1" x14ac:dyDescent="0.25">
      <c r="A1197" s="62" t="s">
        <v>78</v>
      </c>
      <c r="B1197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197" s="64" t="s">
        <v>79</v>
      </c>
      <c r="D1197" s="64" t="s">
        <v>80</v>
      </c>
      <c r="E1197" s="64" t="s">
        <v>81</v>
      </c>
      <c r="F1197" s="64" t="s">
        <v>112</v>
      </c>
      <c r="G1197" s="64" t="s">
        <v>83</v>
      </c>
      <c r="H1197" s="65" t="str">
        <f>VLOOKUP(Tabla6[[#This Row],[DIRECCIÓN]],DIRECCIÓN[#All],2,0)</f>
        <v>ADMINISTRACIÓN CENTRAL</v>
      </c>
      <c r="I1197" s="66" t="s">
        <v>93</v>
      </c>
      <c r="J1197" s="67">
        <v>1</v>
      </c>
      <c r="K1197" s="68" t="str">
        <f>VLOOKUP(Tabla6[[#This Row],[DIRECCIÓN GENERAL / COORDINACIÓN / SUBDIRECCIÓN]],Tabla37[[#All],[Columna1]:[EOD]],2,0)</f>
        <v>266_0007</v>
      </c>
      <c r="L1197" s="69">
        <f>VLOOKUP(Tabla6[[#This Row],[OBJETIVOS PND]],Listas!$A$1:$C$3,3,0)</f>
        <v>1</v>
      </c>
      <c r="M1197" s="70">
        <f>VLOOKUP(Tabla6[[#This Row],[PG]],Listas2!$G$14:$K$16,5,0)</f>
        <v>0</v>
      </c>
      <c r="N1197" s="71" t="s">
        <v>775</v>
      </c>
      <c r="O1197" s="72">
        <v>1100</v>
      </c>
      <c r="P1197" s="73" t="str">
        <f>VLOOKUP(Tabla6[[#This Row],[GEO]],Listas!$A$48:$B$77,2,0)</f>
        <v>LOJA</v>
      </c>
      <c r="Q1197" s="70">
        <f>VLOOKUP(Tabla6[[#This Row],[PG]],Listas2!$G$14:$K$16,3,0)</f>
        <v>1</v>
      </c>
      <c r="R1197" s="73">
        <f>VLOOKUP(Tabla6[[#This Row],[PG]],Listas2!H651:'Listas2'!$G$14:$K$16,4,0)</f>
        <v>0</v>
      </c>
      <c r="S1197" s="73">
        <f>VLOOKUP(Tabla6[[#This Row],[PG]],Listas2!$G$14:$K$16,2,0)</f>
        <v>0</v>
      </c>
      <c r="T1197" s="66" t="s">
        <v>84</v>
      </c>
      <c r="U1197" s="74">
        <v>51</v>
      </c>
      <c r="V1197" s="66">
        <v>510203</v>
      </c>
      <c r="W1197" s="63" t="str">
        <f>VLOOKUP(Tabla6[[#This Row],[ÍTEM PRESUPUESTARIO]],Tabla2[#All],2,0)</f>
        <v>DÉCIMO TERCER SUELDO</v>
      </c>
      <c r="X1197" s="57">
        <v>13776</v>
      </c>
      <c r="Y1197" s="57">
        <f>13776+105.29-25.67</f>
        <v>13855.62</v>
      </c>
      <c r="Z1197" s="58">
        <v>0</v>
      </c>
      <c r="AA1197" s="58">
        <v>0</v>
      </c>
      <c r="AB1197" s="58">
        <v>0</v>
      </c>
      <c r="AC1197" s="58">
        <v>0</v>
      </c>
      <c r="AD1197" s="58">
        <v>0</v>
      </c>
      <c r="AE1197" s="58">
        <v>0</v>
      </c>
      <c r="AF1197" s="58">
        <v>0</v>
      </c>
      <c r="AG1197" s="58">
        <v>0</v>
      </c>
      <c r="AH1197" s="58">
        <v>0</v>
      </c>
      <c r="AI1197" s="58">
        <v>0</v>
      </c>
      <c r="AJ1197" s="58">
        <v>0</v>
      </c>
      <c r="AK1197" s="58">
        <v>13855.62</v>
      </c>
      <c r="AL1197" s="75">
        <f>+SUBTOTAL(9,Tabla6[[#This Row],[ENE]:[DIC]])</f>
        <v>13855.62</v>
      </c>
      <c r="AM1197" s="76" t="str">
        <f t="shared" si="41"/>
        <v>OK</v>
      </c>
      <c r="AN1197" s="60">
        <v>0</v>
      </c>
      <c r="AO1197" s="61">
        <f>+Tabla6[[#This Row],[PRESUPUESTO VIGENTE]]-Tabla6[[#This Row],[CERTIFICACIÓN PAPP]]</f>
        <v>13855.62</v>
      </c>
      <c r="AP1197" s="59">
        <v>0</v>
      </c>
    </row>
    <row r="1198" spans="1:42" ht="93" customHeight="1" x14ac:dyDescent="0.25">
      <c r="A1198" s="62" t="s">
        <v>78</v>
      </c>
      <c r="B1198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198" s="64" t="s">
        <v>79</v>
      </c>
      <c r="D1198" s="64" t="s">
        <v>80</v>
      </c>
      <c r="E1198" s="64" t="s">
        <v>81</v>
      </c>
      <c r="F1198" s="64" t="s">
        <v>112</v>
      </c>
      <c r="G1198" s="64" t="s">
        <v>83</v>
      </c>
      <c r="H1198" s="65" t="str">
        <f>VLOOKUP(Tabla6[[#This Row],[DIRECCIÓN]],DIRECCIÓN[#All],2,0)</f>
        <v>ADMINISTRACIÓN CENTRAL</v>
      </c>
      <c r="I1198" s="66" t="s">
        <v>93</v>
      </c>
      <c r="J1198" s="67">
        <v>1</v>
      </c>
      <c r="K1198" s="68" t="str">
        <f>VLOOKUP(Tabla6[[#This Row],[DIRECCIÓN GENERAL / COORDINACIÓN / SUBDIRECCIÓN]],Tabla37[[#All],[Columna1]:[EOD]],2,0)</f>
        <v>266_0007</v>
      </c>
      <c r="L1198" s="69">
        <f>VLOOKUP(Tabla6[[#This Row],[OBJETIVOS PND]],Listas!$A$1:$C$3,3,0)</f>
        <v>1</v>
      </c>
      <c r="M1198" s="70">
        <f>VLOOKUP(Tabla6[[#This Row],[PG]],Listas2!$G$14:$K$16,5,0)</f>
        <v>0</v>
      </c>
      <c r="N1198" s="71" t="s">
        <v>775</v>
      </c>
      <c r="O1198" s="72">
        <v>1100</v>
      </c>
      <c r="P1198" s="73" t="str">
        <f>VLOOKUP(Tabla6[[#This Row],[GEO]],Listas!$A$48:$B$77,2,0)</f>
        <v>LOJA</v>
      </c>
      <c r="Q1198" s="70">
        <f>VLOOKUP(Tabla6[[#This Row],[PG]],Listas2!$G$14:$K$16,3,0)</f>
        <v>1</v>
      </c>
      <c r="R1198" s="73">
        <f>VLOOKUP(Tabla6[[#This Row],[PG]],Listas2!H652:'Listas2'!$G$14:$K$16,4,0)</f>
        <v>0</v>
      </c>
      <c r="S1198" s="73">
        <f>VLOOKUP(Tabla6[[#This Row],[PG]],Listas2!$G$14:$K$16,2,0)</f>
        <v>0</v>
      </c>
      <c r="T1198" s="66" t="s">
        <v>84</v>
      </c>
      <c r="U1198" s="74">
        <v>51</v>
      </c>
      <c r="V1198" s="66">
        <v>510204</v>
      </c>
      <c r="W1198" s="63" t="str">
        <f>VLOOKUP(Tabla6[[#This Row],[ÍTEM PRESUPUESTARIO]],Tabla2[#All],2,0)</f>
        <v>DÉCIMO CUARTO SUELDO</v>
      </c>
      <c r="X1198" s="57">
        <v>5950</v>
      </c>
      <c r="Y1198" s="57">
        <f>6450-177.1</f>
        <v>6272.9</v>
      </c>
      <c r="Z1198" s="58">
        <v>0</v>
      </c>
      <c r="AA1198" s="58">
        <v>0</v>
      </c>
      <c r="AB1198" s="58">
        <v>0</v>
      </c>
      <c r="AC1198" s="58">
        <v>0</v>
      </c>
      <c r="AD1198" s="58">
        <v>0</v>
      </c>
      <c r="AE1198" s="58">
        <v>0</v>
      </c>
      <c r="AF1198" s="58">
        <v>0</v>
      </c>
      <c r="AG1198" s="58">
        <v>6272.9</v>
      </c>
      <c r="AH1198" s="58">
        <v>0</v>
      </c>
      <c r="AI1198" s="58">
        <v>0</v>
      </c>
      <c r="AJ1198" s="58">
        <v>0</v>
      </c>
      <c r="AK1198" s="58">
        <v>0</v>
      </c>
      <c r="AL1198" s="75">
        <f>+SUBTOTAL(9,Tabla6[[#This Row],[ENE]:[DIC]])</f>
        <v>6272.9</v>
      </c>
      <c r="AM1198" s="76" t="str">
        <f t="shared" si="41"/>
        <v>OK</v>
      </c>
      <c r="AN1198" s="60">
        <v>0</v>
      </c>
      <c r="AO1198" s="61">
        <f>+Tabla6[[#This Row],[PRESUPUESTO VIGENTE]]-Tabla6[[#This Row],[CERTIFICACIÓN PAPP]]</f>
        <v>6272.9</v>
      </c>
      <c r="AP1198" s="59">
        <v>0</v>
      </c>
    </row>
    <row r="1199" spans="1:42" ht="93" customHeight="1" x14ac:dyDescent="0.25">
      <c r="A1199" s="62" t="s">
        <v>78</v>
      </c>
      <c r="B1199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199" s="64" t="s">
        <v>79</v>
      </c>
      <c r="D1199" s="64" t="s">
        <v>80</v>
      </c>
      <c r="E1199" s="64" t="s">
        <v>81</v>
      </c>
      <c r="F1199" s="64" t="s">
        <v>112</v>
      </c>
      <c r="G1199" s="64" t="s">
        <v>83</v>
      </c>
      <c r="H1199" s="65" t="str">
        <f>VLOOKUP(Tabla6[[#This Row],[DIRECCIÓN]],DIRECCIÓN[#All],2,0)</f>
        <v>ADMINISTRACIÓN CENTRAL</v>
      </c>
      <c r="I1199" s="66" t="s">
        <v>93</v>
      </c>
      <c r="J1199" s="67">
        <v>1</v>
      </c>
      <c r="K1199" s="68" t="str">
        <f>VLOOKUP(Tabla6[[#This Row],[DIRECCIÓN GENERAL / COORDINACIÓN / SUBDIRECCIÓN]],Tabla37[[#All],[Columna1]:[EOD]],2,0)</f>
        <v>266_0007</v>
      </c>
      <c r="L1199" s="69">
        <f>VLOOKUP(Tabla6[[#This Row],[OBJETIVOS PND]],Listas!$A$1:$C$3,3,0)</f>
        <v>1</v>
      </c>
      <c r="M1199" s="70">
        <f>VLOOKUP(Tabla6[[#This Row],[PG]],Listas2!$G$14:$K$16,5,0)</f>
        <v>0</v>
      </c>
      <c r="N1199" s="71" t="s">
        <v>775</v>
      </c>
      <c r="O1199" s="72">
        <v>1100</v>
      </c>
      <c r="P1199" s="73" t="str">
        <f>VLOOKUP(Tabla6[[#This Row],[GEO]],Listas!$A$48:$B$77,2,0)</f>
        <v>LOJA</v>
      </c>
      <c r="Q1199" s="70">
        <f>VLOOKUP(Tabla6[[#This Row],[PG]],Listas2!$G$14:$K$16,3,0)</f>
        <v>1</v>
      </c>
      <c r="R1199" s="73">
        <f>VLOOKUP(Tabla6[[#This Row],[PG]],Listas2!H653:'Listas2'!$G$14:$K$16,4,0)</f>
        <v>0</v>
      </c>
      <c r="S1199" s="73">
        <f>VLOOKUP(Tabla6[[#This Row],[PG]],Listas2!$G$14:$K$16,2,0)</f>
        <v>0</v>
      </c>
      <c r="T1199" s="66" t="s">
        <v>84</v>
      </c>
      <c r="U1199" s="74">
        <v>51</v>
      </c>
      <c r="V1199" s="66">
        <v>510509</v>
      </c>
      <c r="W1199" s="63" t="str">
        <f>VLOOKUP(Tabla6[[#This Row],[ÍTEM PRESUPUESTARIO]],Tabla2[#All],2,0)</f>
        <v>HORAS EXTRAORDINARIAS Y SUPLEMENTARIAS</v>
      </c>
      <c r="X1199" s="57">
        <v>954</v>
      </c>
      <c r="Y1199" s="57">
        <f>954-149.22</f>
        <v>804.78</v>
      </c>
      <c r="Z1199" s="58">
        <v>0</v>
      </c>
      <c r="AA1199" s="58">
        <v>0</v>
      </c>
      <c r="AB1199" s="58">
        <v>90.78</v>
      </c>
      <c r="AC1199" s="58">
        <v>80</v>
      </c>
      <c r="AD1199" s="58">
        <v>80</v>
      </c>
      <c r="AE1199" s="58">
        <v>80</v>
      </c>
      <c r="AF1199" s="58">
        <v>80</v>
      </c>
      <c r="AG1199" s="58">
        <v>80</v>
      </c>
      <c r="AH1199" s="58">
        <v>80</v>
      </c>
      <c r="AI1199" s="58">
        <v>80</v>
      </c>
      <c r="AJ1199" s="58">
        <v>80</v>
      </c>
      <c r="AK1199" s="58">
        <v>74</v>
      </c>
      <c r="AL1199" s="75">
        <f>+SUBTOTAL(9,Tabla6[[#This Row],[ENE]:[DIC]])</f>
        <v>804.78</v>
      </c>
      <c r="AM1199" s="76" t="str">
        <f t="shared" si="41"/>
        <v>OK</v>
      </c>
      <c r="AN1199" s="60">
        <v>0</v>
      </c>
      <c r="AO1199" s="61">
        <f>+Tabla6[[#This Row],[PRESUPUESTO VIGENTE]]-Tabla6[[#This Row],[CERTIFICACIÓN PAPP]]</f>
        <v>804.78</v>
      </c>
      <c r="AP1199" s="59">
        <v>0</v>
      </c>
    </row>
    <row r="1200" spans="1:42" ht="93" customHeight="1" x14ac:dyDescent="0.25">
      <c r="A1200" s="62" t="s">
        <v>78</v>
      </c>
      <c r="B1200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200" s="64" t="s">
        <v>79</v>
      </c>
      <c r="D1200" s="64" t="s">
        <v>80</v>
      </c>
      <c r="E1200" s="64" t="s">
        <v>81</v>
      </c>
      <c r="F1200" s="64" t="s">
        <v>112</v>
      </c>
      <c r="G1200" s="64" t="s">
        <v>83</v>
      </c>
      <c r="H1200" s="65" t="str">
        <f>VLOOKUP(Tabla6[[#This Row],[DIRECCIÓN]],DIRECCIÓN[#All],2,0)</f>
        <v>ADMINISTRACIÓN CENTRAL</v>
      </c>
      <c r="I1200" s="66" t="s">
        <v>93</v>
      </c>
      <c r="J1200" s="67">
        <v>1</v>
      </c>
      <c r="K1200" s="68" t="str">
        <f>VLOOKUP(Tabla6[[#This Row],[DIRECCIÓN GENERAL / COORDINACIÓN / SUBDIRECCIÓN]],Tabla37[[#All],[Columna1]:[EOD]],2,0)</f>
        <v>266_0007</v>
      </c>
      <c r="L1200" s="69">
        <f>VLOOKUP(Tabla6[[#This Row],[OBJETIVOS PND]],Listas!$A$1:$C$3,3,0)</f>
        <v>1</v>
      </c>
      <c r="M1200" s="70">
        <f>VLOOKUP(Tabla6[[#This Row],[PG]],Listas2!$G$14:$K$16,5,0)</f>
        <v>0</v>
      </c>
      <c r="N1200" s="71" t="s">
        <v>775</v>
      </c>
      <c r="O1200" s="72">
        <v>1100</v>
      </c>
      <c r="P1200" s="73" t="str">
        <f>VLOOKUP(Tabla6[[#This Row],[GEO]],Listas!$A$48:$B$77,2,0)</f>
        <v>LOJA</v>
      </c>
      <c r="Q1200" s="70">
        <f>VLOOKUP(Tabla6[[#This Row],[PG]],Listas2!$G$14:$K$16,3,0)</f>
        <v>1</v>
      </c>
      <c r="R1200" s="73">
        <f>VLOOKUP(Tabla6[[#This Row],[PG]],Listas2!H654:'Listas2'!$G$14:$K$16,4,0)</f>
        <v>0</v>
      </c>
      <c r="S1200" s="73">
        <f>VLOOKUP(Tabla6[[#This Row],[PG]],Listas2!$G$14:$K$16,2,0)</f>
        <v>0</v>
      </c>
      <c r="T1200" s="66" t="s">
        <v>84</v>
      </c>
      <c r="U1200" s="74">
        <v>51</v>
      </c>
      <c r="V1200" s="66">
        <v>510601</v>
      </c>
      <c r="W1200" s="63" t="str">
        <f>VLOOKUP(Tabla6[[#This Row],[ÍTEM PRESUPUESTARIO]],Tabla2[#All],2,0)</f>
        <v>APORTE PATRONAL</v>
      </c>
      <c r="X1200" s="57">
        <v>16847</v>
      </c>
      <c r="Y1200" s="57">
        <f>16898.12+120.96-56.02</f>
        <v>16963.059999999998</v>
      </c>
      <c r="Z1200" s="58">
        <v>1403</v>
      </c>
      <c r="AA1200" s="58">
        <v>1347.98</v>
      </c>
      <c r="AB1200" s="58">
        <v>1404</v>
      </c>
      <c r="AC1200" s="58">
        <v>1404</v>
      </c>
      <c r="AD1200" s="58">
        <v>1404</v>
      </c>
      <c r="AE1200" s="58">
        <v>1404</v>
      </c>
      <c r="AF1200" s="58">
        <v>1404</v>
      </c>
      <c r="AG1200" s="58">
        <v>1404</v>
      </c>
      <c r="AH1200" s="58">
        <v>1404</v>
      </c>
      <c r="AI1200" s="58">
        <v>1404</v>
      </c>
      <c r="AJ1200" s="58">
        <v>1404</v>
      </c>
      <c r="AK1200" s="58">
        <v>1576.08</v>
      </c>
      <c r="AL1200" s="75">
        <f>+SUBTOTAL(9,Tabla6[[#This Row],[ENE]:[DIC]])</f>
        <v>16963.059999999998</v>
      </c>
      <c r="AM1200" s="76" t="str">
        <f t="shared" si="41"/>
        <v>OK</v>
      </c>
      <c r="AN1200" s="60">
        <v>0</v>
      </c>
      <c r="AO1200" s="61">
        <f>+Tabla6[[#This Row],[PRESUPUESTO VIGENTE]]-Tabla6[[#This Row],[CERTIFICACIÓN PAPP]]</f>
        <v>16963.059999999998</v>
      </c>
      <c r="AP1200" s="59">
        <v>0</v>
      </c>
    </row>
    <row r="1201" spans="1:42" ht="93" customHeight="1" x14ac:dyDescent="0.25">
      <c r="A1201" s="62" t="s">
        <v>78</v>
      </c>
      <c r="B1201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201" s="64" t="s">
        <v>79</v>
      </c>
      <c r="D1201" s="64" t="s">
        <v>80</v>
      </c>
      <c r="E1201" s="64" t="s">
        <v>81</v>
      </c>
      <c r="F1201" s="64" t="s">
        <v>112</v>
      </c>
      <c r="G1201" s="64" t="s">
        <v>83</v>
      </c>
      <c r="H1201" s="65" t="str">
        <f>VLOOKUP(Tabla6[[#This Row],[DIRECCIÓN]],DIRECCIÓN[#All],2,0)</f>
        <v>ADMINISTRACIÓN CENTRAL</v>
      </c>
      <c r="I1201" s="66" t="s">
        <v>93</v>
      </c>
      <c r="J1201" s="67">
        <v>1</v>
      </c>
      <c r="K1201" s="68" t="str">
        <f>VLOOKUP(Tabla6[[#This Row],[DIRECCIÓN GENERAL / COORDINACIÓN / SUBDIRECCIÓN]],Tabla37[[#All],[Columna1]:[EOD]],2,0)</f>
        <v>266_0007</v>
      </c>
      <c r="L1201" s="69">
        <f>VLOOKUP(Tabla6[[#This Row],[OBJETIVOS PND]],Listas!$A$1:$C$3,3,0)</f>
        <v>1</v>
      </c>
      <c r="M1201" s="70">
        <f>VLOOKUP(Tabla6[[#This Row],[PG]],Listas2!$G$14:$K$16,5,0)</f>
        <v>0</v>
      </c>
      <c r="N1201" s="71" t="s">
        <v>775</v>
      </c>
      <c r="O1201" s="72">
        <v>1100</v>
      </c>
      <c r="P1201" s="73" t="str">
        <f>VLOOKUP(Tabla6[[#This Row],[GEO]],Listas!$A$48:$B$77,2,0)</f>
        <v>LOJA</v>
      </c>
      <c r="Q1201" s="70">
        <f>VLOOKUP(Tabla6[[#This Row],[PG]],Listas2!$G$14:$K$16,3,0)</f>
        <v>1</v>
      </c>
      <c r="R1201" s="73">
        <f>VLOOKUP(Tabla6[[#This Row],[PG]],Listas2!H655:'Listas2'!$G$14:$K$16,4,0)</f>
        <v>0</v>
      </c>
      <c r="S1201" s="73">
        <f>VLOOKUP(Tabla6[[#This Row],[PG]],Listas2!$G$14:$K$16,2,0)</f>
        <v>0</v>
      </c>
      <c r="T1201" s="66" t="s">
        <v>84</v>
      </c>
      <c r="U1201" s="74">
        <v>51</v>
      </c>
      <c r="V1201" s="66">
        <v>510602</v>
      </c>
      <c r="W1201" s="63" t="str">
        <f>VLOOKUP(Tabla6[[#This Row],[ÍTEM PRESUPUESTARIO]],Tabla2[#All],2,0)</f>
        <v>FONDO DE RESERVA</v>
      </c>
      <c r="X1201" s="57">
        <v>13771</v>
      </c>
      <c r="Y1201" s="57">
        <f>13770.47+38.92+110.54-69.98</f>
        <v>13849.95</v>
      </c>
      <c r="Z1201" s="58">
        <v>1148.08</v>
      </c>
      <c r="AA1201" s="58">
        <v>1078.0999999999999</v>
      </c>
      <c r="AB1201" s="58">
        <v>1148.08</v>
      </c>
      <c r="AC1201" s="58">
        <v>1148.08</v>
      </c>
      <c r="AD1201" s="58">
        <v>1148.08</v>
      </c>
      <c r="AE1201" s="58">
        <v>1148.08</v>
      </c>
      <c r="AF1201" s="58">
        <v>1148.08</v>
      </c>
      <c r="AG1201" s="58">
        <v>1148.08</v>
      </c>
      <c r="AH1201" s="58">
        <v>1148.08</v>
      </c>
      <c r="AI1201" s="58">
        <v>1148.08</v>
      </c>
      <c r="AJ1201" s="58">
        <v>1148.08</v>
      </c>
      <c r="AK1201" s="58">
        <v>1291.05</v>
      </c>
      <c r="AL1201" s="75">
        <f>+SUBTOTAL(9,Tabla6[[#This Row],[ENE]:[DIC]])</f>
        <v>13849.949999999999</v>
      </c>
      <c r="AM1201" s="76" t="str">
        <f t="shared" si="41"/>
        <v>OK</v>
      </c>
      <c r="AN1201" s="60">
        <v>0</v>
      </c>
      <c r="AO1201" s="61">
        <f>+Tabla6[[#This Row],[PRESUPUESTO VIGENTE]]-Tabla6[[#This Row],[CERTIFICACIÓN PAPP]]</f>
        <v>13849.95</v>
      </c>
      <c r="AP1201" s="59">
        <v>0</v>
      </c>
    </row>
    <row r="1202" spans="1:42" ht="93" customHeight="1" x14ac:dyDescent="0.25">
      <c r="A1202" s="62" t="s">
        <v>88</v>
      </c>
      <c r="B1202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202" s="64" t="s">
        <v>89</v>
      </c>
      <c r="D1202" s="64" t="s">
        <v>80</v>
      </c>
      <c r="E1202" s="64" t="s">
        <v>81</v>
      </c>
      <c r="F1202" s="64" t="s">
        <v>112</v>
      </c>
      <c r="G1202" s="64" t="s">
        <v>98</v>
      </c>
      <c r="H1202" s="65" t="str">
        <f>VLOOKUP(Tabla6[[#This Row],[DIRECCIÓN]],DIRECCIÓN[#All],2,0)</f>
        <v>OPERACIONES</v>
      </c>
      <c r="I1202" s="66" t="s">
        <v>93</v>
      </c>
      <c r="J1202" s="67">
        <v>1</v>
      </c>
      <c r="K1202" s="68" t="str">
        <f>VLOOKUP(Tabla6[[#This Row],[DIRECCIÓN GENERAL / COORDINACIÓN / SUBDIRECCIÓN]],Tabla37[[#All],[Columna1]:[EOD]],2,0)</f>
        <v>266_0007</v>
      </c>
      <c r="L1202" s="69">
        <f>VLOOKUP(Tabla6[[#This Row],[OBJETIVOS PND]],Listas!$A$1:$C$3,3,0)</f>
        <v>55</v>
      </c>
      <c r="M1202" s="70">
        <f>VLOOKUP(Tabla6[[#This Row],[PG]],Listas2!$G$14:$K$16,5,0)</f>
        <v>0</v>
      </c>
      <c r="N1202" s="71" t="s">
        <v>776</v>
      </c>
      <c r="O1202" s="72">
        <v>1100</v>
      </c>
      <c r="P1202" s="73" t="str">
        <f>VLOOKUP(Tabla6[[#This Row],[GEO]],Listas!$A$48:$B$77,2,0)</f>
        <v>LOJA</v>
      </c>
      <c r="Q1202" s="70">
        <f>VLOOKUP(Tabla6[[#This Row],[PG]],Listas2!$G$14:$K$16,3,0)</f>
        <v>1</v>
      </c>
      <c r="R1202" s="73">
        <f>VLOOKUP(Tabla6[[#This Row],[PG]],Listas2!H656:'Listas2'!$G$14:$K$16,4,0)</f>
        <v>0</v>
      </c>
      <c r="S1202" s="73">
        <f>VLOOKUP(Tabla6[[#This Row],[PG]],Listas2!$G$14:$K$16,2,0)</f>
        <v>0</v>
      </c>
      <c r="T1202" s="66" t="s">
        <v>84</v>
      </c>
      <c r="U1202" s="74">
        <v>51</v>
      </c>
      <c r="V1202" s="66">
        <v>510105</v>
      </c>
      <c r="W1202" s="63" t="str">
        <f>VLOOKUP(Tabla6[[#This Row],[ÍTEM PRESUPUESTARIO]],Tabla2[#All],2,0)</f>
        <v>REMUNERACIONES UNIFICADAS</v>
      </c>
      <c r="X1202" s="57">
        <v>521748</v>
      </c>
      <c r="Y1202" s="57">
        <f>521739.69-444.2-361.18-2477.08</f>
        <v>518457.23</v>
      </c>
      <c r="Z1202" s="58">
        <v>43479</v>
      </c>
      <c r="AA1202" s="58">
        <v>41001.919999999998</v>
      </c>
      <c r="AB1202" s="58">
        <v>43479</v>
      </c>
      <c r="AC1202" s="58">
        <v>43479</v>
      </c>
      <c r="AD1202" s="58">
        <v>43479</v>
      </c>
      <c r="AE1202" s="58">
        <v>43479</v>
      </c>
      <c r="AF1202" s="58">
        <v>43479</v>
      </c>
      <c r="AG1202" s="58">
        <v>43479</v>
      </c>
      <c r="AH1202" s="58">
        <v>43479</v>
      </c>
      <c r="AI1202" s="58">
        <v>43479</v>
      </c>
      <c r="AJ1202" s="58">
        <v>43479</v>
      </c>
      <c r="AK1202" s="58">
        <v>42665.31</v>
      </c>
      <c r="AL1202" s="75">
        <f>+SUBTOTAL(9,Tabla6[[#This Row],[ENE]:[DIC]])</f>
        <v>518457.23</v>
      </c>
      <c r="AM1202" s="76" t="str">
        <f t="shared" si="41"/>
        <v>OK</v>
      </c>
      <c r="AN1202" s="60">
        <v>0</v>
      </c>
      <c r="AO1202" s="61">
        <f>+Tabla6[[#This Row],[PRESUPUESTO VIGENTE]]-Tabla6[[#This Row],[CERTIFICACIÓN PAPP]]</f>
        <v>518457.23</v>
      </c>
      <c r="AP1202" s="59">
        <v>0</v>
      </c>
    </row>
    <row r="1203" spans="1:42" ht="93" customHeight="1" x14ac:dyDescent="0.25">
      <c r="A1203" s="62" t="s">
        <v>88</v>
      </c>
      <c r="B1203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203" s="64" t="s">
        <v>89</v>
      </c>
      <c r="D1203" s="64" t="s">
        <v>80</v>
      </c>
      <c r="E1203" s="64" t="s">
        <v>81</v>
      </c>
      <c r="F1203" s="64" t="s">
        <v>112</v>
      </c>
      <c r="G1203" s="64" t="s">
        <v>98</v>
      </c>
      <c r="H1203" s="65" t="str">
        <f>VLOOKUP(Tabla6[[#This Row],[DIRECCIÓN]],DIRECCIÓN[#All],2,0)</f>
        <v>OPERACIONES</v>
      </c>
      <c r="I1203" s="66" t="s">
        <v>93</v>
      </c>
      <c r="J1203" s="67">
        <v>1</v>
      </c>
      <c r="K1203" s="68" t="str">
        <f>VLOOKUP(Tabla6[[#This Row],[DIRECCIÓN GENERAL / COORDINACIÓN / SUBDIRECCIÓN]],Tabla37[[#All],[Columna1]:[EOD]],2,0)</f>
        <v>266_0007</v>
      </c>
      <c r="L1203" s="69">
        <f>VLOOKUP(Tabla6[[#This Row],[OBJETIVOS PND]],Listas!$A$1:$C$3,3,0)</f>
        <v>55</v>
      </c>
      <c r="M1203" s="70">
        <f>VLOOKUP(Tabla6[[#This Row],[PG]],Listas2!$G$14:$K$16,5,0)</f>
        <v>0</v>
      </c>
      <c r="N1203" s="71" t="s">
        <v>776</v>
      </c>
      <c r="O1203" s="72">
        <v>1100</v>
      </c>
      <c r="P1203" s="73" t="str">
        <f>VLOOKUP(Tabla6[[#This Row],[GEO]],Listas!$A$48:$B$77,2,0)</f>
        <v>LOJA</v>
      </c>
      <c r="Q1203" s="70">
        <f>VLOOKUP(Tabla6[[#This Row],[PG]],Listas2!$G$14:$K$16,3,0)</f>
        <v>1</v>
      </c>
      <c r="R1203" s="73">
        <f>VLOOKUP(Tabla6[[#This Row],[PG]],Listas2!H657:'Listas2'!$G$14:$K$16,4,0)</f>
        <v>0</v>
      </c>
      <c r="S1203" s="73">
        <f>VLOOKUP(Tabla6[[#This Row],[PG]],Listas2!$G$14:$K$16,2,0)</f>
        <v>0</v>
      </c>
      <c r="T1203" s="66" t="s">
        <v>84</v>
      </c>
      <c r="U1203" s="74">
        <v>51</v>
      </c>
      <c r="V1203" s="66">
        <v>510203</v>
      </c>
      <c r="W1203" s="63" t="str">
        <f>VLOOKUP(Tabla6[[#This Row],[ÍTEM PRESUPUESTARIO]],Tabla2[#All],2,0)</f>
        <v>DÉCIMO TERCER SUELDO</v>
      </c>
      <c r="X1203" s="57">
        <v>47623</v>
      </c>
      <c r="Y1203" s="57">
        <f>46889.99-228.08</f>
        <v>46661.909999999996</v>
      </c>
      <c r="Z1203" s="58">
        <v>0</v>
      </c>
      <c r="AA1203" s="58">
        <v>0</v>
      </c>
      <c r="AB1203" s="58">
        <v>0</v>
      </c>
      <c r="AC1203" s="58">
        <v>0</v>
      </c>
      <c r="AD1203" s="58">
        <v>0</v>
      </c>
      <c r="AE1203" s="58">
        <v>0</v>
      </c>
      <c r="AF1203" s="58">
        <v>0</v>
      </c>
      <c r="AG1203" s="58">
        <v>0</v>
      </c>
      <c r="AH1203" s="58">
        <v>0</v>
      </c>
      <c r="AI1203" s="58">
        <v>0</v>
      </c>
      <c r="AJ1203" s="58">
        <v>0</v>
      </c>
      <c r="AK1203" s="58">
        <v>46661.91</v>
      </c>
      <c r="AL1203" s="75">
        <f>+SUBTOTAL(9,Tabla6[[#This Row],[ENE]:[DIC]])</f>
        <v>46661.91</v>
      </c>
      <c r="AM1203" s="76" t="str">
        <f t="shared" si="41"/>
        <v>OK</v>
      </c>
      <c r="AN1203" s="60">
        <v>0</v>
      </c>
      <c r="AO1203" s="61">
        <f>+Tabla6[[#This Row],[PRESUPUESTO VIGENTE]]-Tabla6[[#This Row],[CERTIFICACIÓN PAPP]]</f>
        <v>46661.909999999996</v>
      </c>
      <c r="AP1203" s="59">
        <v>0</v>
      </c>
    </row>
    <row r="1204" spans="1:42" ht="93" customHeight="1" x14ac:dyDescent="0.25">
      <c r="A1204" s="62" t="s">
        <v>88</v>
      </c>
      <c r="B1204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204" s="64" t="s">
        <v>89</v>
      </c>
      <c r="D1204" s="64" t="s">
        <v>80</v>
      </c>
      <c r="E1204" s="64" t="s">
        <v>81</v>
      </c>
      <c r="F1204" s="64" t="s">
        <v>112</v>
      </c>
      <c r="G1204" s="64" t="s">
        <v>98</v>
      </c>
      <c r="H1204" s="65" t="str">
        <f>VLOOKUP(Tabla6[[#This Row],[DIRECCIÓN]],DIRECCIÓN[#All],2,0)</f>
        <v>OPERACIONES</v>
      </c>
      <c r="I1204" s="66" t="s">
        <v>93</v>
      </c>
      <c r="J1204" s="67">
        <v>1</v>
      </c>
      <c r="K1204" s="68" t="str">
        <f>VLOOKUP(Tabla6[[#This Row],[DIRECCIÓN GENERAL / COORDINACIÓN / SUBDIRECCIÓN]],Tabla37[[#All],[Columna1]:[EOD]],2,0)</f>
        <v>266_0007</v>
      </c>
      <c r="L1204" s="69">
        <f>VLOOKUP(Tabla6[[#This Row],[OBJETIVOS PND]],Listas!$A$1:$C$3,3,0)</f>
        <v>55</v>
      </c>
      <c r="M1204" s="70">
        <f>VLOOKUP(Tabla6[[#This Row],[PG]],Listas2!$G$14:$K$16,5,0)</f>
        <v>0</v>
      </c>
      <c r="N1204" s="71" t="s">
        <v>776</v>
      </c>
      <c r="O1204" s="72">
        <v>1100</v>
      </c>
      <c r="P1204" s="73" t="str">
        <f>VLOOKUP(Tabla6[[#This Row],[GEO]],Listas!$A$48:$B$77,2,0)</f>
        <v>LOJA</v>
      </c>
      <c r="Q1204" s="70">
        <f>VLOOKUP(Tabla6[[#This Row],[PG]],Listas2!$G$14:$K$16,3,0)</f>
        <v>1</v>
      </c>
      <c r="R1204" s="73">
        <f>VLOOKUP(Tabla6[[#This Row],[PG]],Listas2!H658:'Listas2'!$G$14:$K$16,4,0)</f>
        <v>0</v>
      </c>
      <c r="S1204" s="73">
        <f>VLOOKUP(Tabla6[[#This Row],[PG]],Listas2!$G$14:$K$16,2,0)</f>
        <v>0</v>
      </c>
      <c r="T1204" s="66" t="s">
        <v>84</v>
      </c>
      <c r="U1204" s="74">
        <v>51</v>
      </c>
      <c r="V1204" s="66">
        <v>510204</v>
      </c>
      <c r="W1204" s="63" t="str">
        <f>VLOOKUP(Tabla6[[#This Row],[ÍTEM PRESUPUESTARIO]],Tabla2[#All],2,0)</f>
        <v>DÉCIMO CUARTO SUELDO</v>
      </c>
      <c r="X1204" s="57">
        <v>24650</v>
      </c>
      <c r="Y1204" s="57">
        <f>25537.5+286.25-628.8</f>
        <v>25194.95</v>
      </c>
      <c r="Z1204" s="58">
        <v>0</v>
      </c>
      <c r="AA1204" s="58">
        <v>0</v>
      </c>
      <c r="AB1204" s="58">
        <v>0</v>
      </c>
      <c r="AC1204" s="58">
        <v>0</v>
      </c>
      <c r="AD1204" s="58">
        <v>0</v>
      </c>
      <c r="AE1204" s="58">
        <v>0</v>
      </c>
      <c r="AF1204" s="58">
        <v>0</v>
      </c>
      <c r="AG1204" s="58">
        <v>25194.95</v>
      </c>
      <c r="AH1204" s="58">
        <v>0</v>
      </c>
      <c r="AI1204" s="58">
        <v>0</v>
      </c>
      <c r="AJ1204" s="58">
        <v>0</v>
      </c>
      <c r="AK1204" s="58">
        <v>0</v>
      </c>
      <c r="AL1204" s="75">
        <f>+SUBTOTAL(9,Tabla6[[#This Row],[ENE]:[DIC]])</f>
        <v>25194.95</v>
      </c>
      <c r="AM1204" s="76" t="str">
        <f t="shared" si="41"/>
        <v>OK</v>
      </c>
      <c r="AN1204" s="60">
        <v>0</v>
      </c>
      <c r="AO1204" s="61">
        <f>+Tabla6[[#This Row],[PRESUPUESTO VIGENTE]]-Tabla6[[#This Row],[CERTIFICACIÓN PAPP]]</f>
        <v>25194.95</v>
      </c>
      <c r="AP1204" s="59">
        <v>0</v>
      </c>
    </row>
    <row r="1205" spans="1:42" ht="93" customHeight="1" x14ac:dyDescent="0.25">
      <c r="A1205" s="62" t="s">
        <v>88</v>
      </c>
      <c r="B1205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205" s="64" t="s">
        <v>89</v>
      </c>
      <c r="D1205" s="64" t="s">
        <v>80</v>
      </c>
      <c r="E1205" s="64" t="s">
        <v>81</v>
      </c>
      <c r="F1205" s="64" t="s">
        <v>112</v>
      </c>
      <c r="G1205" s="64" t="s">
        <v>98</v>
      </c>
      <c r="H1205" s="65" t="str">
        <f>VLOOKUP(Tabla6[[#This Row],[DIRECCIÓN]],DIRECCIÓN[#All],2,0)</f>
        <v>OPERACIONES</v>
      </c>
      <c r="I1205" s="66" t="s">
        <v>93</v>
      </c>
      <c r="J1205" s="67">
        <v>1</v>
      </c>
      <c r="K1205" s="68" t="str">
        <f>VLOOKUP(Tabla6[[#This Row],[DIRECCIÓN GENERAL / COORDINACIÓN / SUBDIRECCIÓN]],Tabla37[[#All],[Columna1]:[EOD]],2,0)</f>
        <v>266_0007</v>
      </c>
      <c r="L1205" s="69">
        <f>VLOOKUP(Tabla6[[#This Row],[OBJETIVOS PND]],Listas!$A$1:$C$3,3,0)</f>
        <v>55</v>
      </c>
      <c r="M1205" s="70">
        <f>VLOOKUP(Tabla6[[#This Row],[PG]],Listas2!$G$14:$K$16,5,0)</f>
        <v>0</v>
      </c>
      <c r="N1205" s="71" t="s">
        <v>776</v>
      </c>
      <c r="O1205" s="72">
        <v>1100</v>
      </c>
      <c r="P1205" s="73" t="str">
        <f>VLOOKUP(Tabla6[[#This Row],[GEO]],Listas!$A$48:$B$77,2,0)</f>
        <v>LOJA</v>
      </c>
      <c r="Q1205" s="70">
        <f>VLOOKUP(Tabla6[[#This Row],[PG]],Listas2!$G$14:$K$16,3,0)</f>
        <v>1</v>
      </c>
      <c r="R1205" s="73">
        <f>VLOOKUP(Tabla6[[#This Row],[PG]],Listas2!H659:'Listas2'!$G$14:$K$16,4,0)</f>
        <v>0</v>
      </c>
      <c r="S1205" s="73">
        <f>VLOOKUP(Tabla6[[#This Row],[PG]],Listas2!$G$14:$K$16,2,0)</f>
        <v>0</v>
      </c>
      <c r="T1205" s="66" t="s">
        <v>84</v>
      </c>
      <c r="U1205" s="74">
        <v>51</v>
      </c>
      <c r="V1205" s="66">
        <v>510510</v>
      </c>
      <c r="W1205" s="63" t="str">
        <f>VLOOKUP(Tabla6[[#This Row],[ÍTEM PRESUPUESTARIO]],Tabla2[#All],2,0)</f>
        <v>SERVICIOS PERSONALES POR CONTRATO</v>
      </c>
      <c r="X1205" s="57">
        <v>49728</v>
      </c>
      <c r="Y1205" s="57">
        <v>40932</v>
      </c>
      <c r="Z1205" s="58">
        <v>4144</v>
      </c>
      <c r="AA1205" s="58">
        <v>3368.18</v>
      </c>
      <c r="AB1205" s="58">
        <v>3368.18</v>
      </c>
      <c r="AC1205" s="58">
        <v>3368.18</v>
      </c>
      <c r="AD1205" s="58">
        <v>3368.18</v>
      </c>
      <c r="AE1205" s="58">
        <v>3368.18</v>
      </c>
      <c r="AF1205" s="58">
        <v>3368.18</v>
      </c>
      <c r="AG1205" s="58">
        <v>3368.18</v>
      </c>
      <c r="AH1205" s="58">
        <v>3368.18</v>
      </c>
      <c r="AI1205" s="58">
        <v>3368.18</v>
      </c>
      <c r="AJ1205" s="58">
        <v>3368.18</v>
      </c>
      <c r="AK1205" s="58">
        <v>3106.2</v>
      </c>
      <c r="AL1205" s="75">
        <f>+SUBTOTAL(9,Tabla6[[#This Row],[ENE]:[DIC]])</f>
        <v>40932</v>
      </c>
      <c r="AM1205" s="76" t="str">
        <f t="shared" si="41"/>
        <v>OK</v>
      </c>
      <c r="AN1205" s="60">
        <v>0</v>
      </c>
      <c r="AO1205" s="61">
        <f>+Tabla6[[#This Row],[PRESUPUESTO VIGENTE]]-Tabla6[[#This Row],[CERTIFICACIÓN PAPP]]</f>
        <v>40932</v>
      </c>
      <c r="AP1205" s="59">
        <v>0</v>
      </c>
    </row>
    <row r="1206" spans="1:42" ht="93" customHeight="1" x14ac:dyDescent="0.25">
      <c r="A1206" s="62" t="s">
        <v>88</v>
      </c>
      <c r="B1206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206" s="64" t="s">
        <v>89</v>
      </c>
      <c r="D1206" s="64" t="s">
        <v>80</v>
      </c>
      <c r="E1206" s="64" t="s">
        <v>81</v>
      </c>
      <c r="F1206" s="64" t="s">
        <v>112</v>
      </c>
      <c r="G1206" s="64" t="s">
        <v>98</v>
      </c>
      <c r="H1206" s="65" t="str">
        <f>VLOOKUP(Tabla6[[#This Row],[DIRECCIÓN]],DIRECCIÓN[#All],2,0)</f>
        <v>OPERACIONES</v>
      </c>
      <c r="I1206" s="66" t="s">
        <v>93</v>
      </c>
      <c r="J1206" s="67">
        <v>1</v>
      </c>
      <c r="K1206" s="68" t="str">
        <f>VLOOKUP(Tabla6[[#This Row],[DIRECCIÓN GENERAL / COORDINACIÓN / SUBDIRECCIÓN]],Tabla37[[#All],[Columna1]:[EOD]],2,0)</f>
        <v>266_0007</v>
      </c>
      <c r="L1206" s="69">
        <f>VLOOKUP(Tabla6[[#This Row],[OBJETIVOS PND]],Listas!$A$1:$C$3,3,0)</f>
        <v>55</v>
      </c>
      <c r="M1206" s="70">
        <f>VLOOKUP(Tabla6[[#This Row],[PG]],Listas2!$G$14:$K$16,5,0)</f>
        <v>0</v>
      </c>
      <c r="N1206" s="71">
        <v>2</v>
      </c>
      <c r="O1206" s="72">
        <v>1100</v>
      </c>
      <c r="P1206" s="73" t="str">
        <f>VLOOKUP(Tabla6[[#This Row],[GEO]],Listas!$A$48:$B$77,2,0)</f>
        <v>LOJA</v>
      </c>
      <c r="Q1206" s="70">
        <f>VLOOKUP(Tabla6[[#This Row],[PG]],Listas2!$G$14:$K$16,3,0)</f>
        <v>1</v>
      </c>
      <c r="R1206" s="73">
        <f>VLOOKUP(Tabla6[[#This Row],[PG]],Listas2!H660:'Listas2'!$G$14:$K$16,4,0)</f>
        <v>0</v>
      </c>
      <c r="S1206" s="73">
        <f>VLOOKUP(Tabla6[[#This Row],[PG]],Listas2!$G$14:$K$16,2,0)</f>
        <v>0</v>
      </c>
      <c r="T1206" s="66" t="s">
        <v>84</v>
      </c>
      <c r="U1206" s="74">
        <v>51</v>
      </c>
      <c r="V1206" s="66">
        <v>510512</v>
      </c>
      <c r="W1206" s="63" t="str">
        <f>VLOOKUP(Tabla6[[#This Row],[ÍTEM PRESUPUESTARIO]],Tabla2[#All],2,0)</f>
        <v xml:space="preserve">SUBROGACIÓN </v>
      </c>
      <c r="X1206" s="57">
        <v>0</v>
      </c>
      <c r="Y1206" s="57">
        <f>553.6-346</f>
        <v>207.60000000000002</v>
      </c>
      <c r="Z1206" s="58">
        <v>0</v>
      </c>
      <c r="AA1206" s="58">
        <v>0</v>
      </c>
      <c r="AB1206" s="58">
        <v>0</v>
      </c>
      <c r="AC1206" s="58">
        <v>0</v>
      </c>
      <c r="AD1206" s="58">
        <v>0</v>
      </c>
      <c r="AE1206" s="58">
        <v>0</v>
      </c>
      <c r="AF1206" s="58">
        <v>0</v>
      </c>
      <c r="AG1206" s="58">
        <v>207.6</v>
      </c>
      <c r="AH1206" s="58">
        <v>0</v>
      </c>
      <c r="AI1206" s="58">
        <v>0</v>
      </c>
      <c r="AJ1206" s="58">
        <v>0</v>
      </c>
      <c r="AK1206" s="58">
        <v>0</v>
      </c>
      <c r="AL1206" s="75">
        <f>+SUBTOTAL(9,Tabla6[[#This Row],[ENE]:[DIC]])</f>
        <v>207.6</v>
      </c>
      <c r="AM1206" s="76" t="str">
        <f t="shared" si="41"/>
        <v>OK</v>
      </c>
      <c r="AN1206" s="60">
        <v>0</v>
      </c>
      <c r="AO1206" s="61">
        <f>+Tabla6[[#This Row],[PRESUPUESTO VIGENTE]]-Tabla6[[#This Row],[CERTIFICACIÓN PAPP]]</f>
        <v>207.60000000000002</v>
      </c>
      <c r="AP1206" s="59">
        <v>0</v>
      </c>
    </row>
    <row r="1207" spans="1:42" ht="93" customHeight="1" x14ac:dyDescent="0.25">
      <c r="A1207" s="62" t="s">
        <v>88</v>
      </c>
      <c r="B1207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207" s="64" t="s">
        <v>89</v>
      </c>
      <c r="D1207" s="64" t="s">
        <v>80</v>
      </c>
      <c r="E1207" s="64" t="s">
        <v>81</v>
      </c>
      <c r="F1207" s="64" t="s">
        <v>112</v>
      </c>
      <c r="G1207" s="64" t="s">
        <v>98</v>
      </c>
      <c r="H1207" s="65" t="str">
        <f>VLOOKUP(Tabla6[[#This Row],[DIRECCIÓN]],DIRECCIÓN[#All],2,0)</f>
        <v>OPERACIONES</v>
      </c>
      <c r="I1207" s="66" t="s">
        <v>93</v>
      </c>
      <c r="J1207" s="67">
        <v>1</v>
      </c>
      <c r="K1207" s="68" t="str">
        <f>VLOOKUP(Tabla6[[#This Row],[DIRECCIÓN GENERAL / COORDINACIÓN / SUBDIRECCIÓN]],Tabla37[[#All],[Columna1]:[EOD]],2,0)</f>
        <v>266_0007</v>
      </c>
      <c r="L1207" s="69">
        <f>VLOOKUP(Tabla6[[#This Row],[OBJETIVOS PND]],Listas!$A$1:$C$3,3,0)</f>
        <v>55</v>
      </c>
      <c r="M1207" s="70">
        <f>VLOOKUP(Tabla6[[#This Row],[PG]],Listas2!$G$14:$K$16,5,0)</f>
        <v>0</v>
      </c>
      <c r="N1207" s="71" t="s">
        <v>776</v>
      </c>
      <c r="O1207" s="72">
        <v>1100</v>
      </c>
      <c r="P1207" s="73" t="str">
        <f>VLOOKUP(Tabla6[[#This Row],[GEO]],Listas!$A$48:$B$77,2,0)</f>
        <v>LOJA</v>
      </c>
      <c r="Q1207" s="70">
        <f>VLOOKUP(Tabla6[[#This Row],[PG]],Listas2!$G$14:$K$16,3,0)</f>
        <v>1</v>
      </c>
      <c r="R1207" s="73">
        <f>VLOOKUP(Tabla6[[#This Row],[PG]],Listas2!H661:'Listas2'!$G$14:$K$16,4,0)</f>
        <v>0</v>
      </c>
      <c r="S1207" s="73">
        <f>VLOOKUP(Tabla6[[#This Row],[PG]],Listas2!$G$14:$K$16,2,0)</f>
        <v>0</v>
      </c>
      <c r="T1207" s="66" t="s">
        <v>84</v>
      </c>
      <c r="U1207" s="74">
        <v>51</v>
      </c>
      <c r="V1207" s="66">
        <v>510601</v>
      </c>
      <c r="W1207" s="63" t="str">
        <f>VLOOKUP(Tabla6[[#This Row],[ÍTEM PRESUPUESTARIO]],Tabla2[#All],2,0)</f>
        <v>APORTE PATRONAL</v>
      </c>
      <c r="X1207" s="57">
        <v>55148</v>
      </c>
      <c r="Y1207" s="57">
        <f>54310.26-272.75</f>
        <v>54037.51</v>
      </c>
      <c r="Z1207" s="58">
        <v>4596</v>
      </c>
      <c r="AA1207" s="58">
        <v>4596</v>
      </c>
      <c r="AB1207" s="58">
        <v>4596</v>
      </c>
      <c r="AC1207" s="58">
        <v>4596</v>
      </c>
      <c r="AD1207" s="58">
        <v>4596</v>
      </c>
      <c r="AE1207" s="58">
        <v>4596</v>
      </c>
      <c r="AF1207" s="58">
        <v>4596</v>
      </c>
      <c r="AG1207" s="58">
        <v>4323.25</v>
      </c>
      <c r="AH1207" s="58">
        <v>4596</v>
      </c>
      <c r="AI1207" s="58">
        <v>4596</v>
      </c>
      <c r="AJ1207" s="58">
        <v>4596</v>
      </c>
      <c r="AK1207" s="58">
        <v>3754.26</v>
      </c>
      <c r="AL1207" s="75">
        <f>+SUBTOTAL(9,Tabla6[[#This Row],[ENE]:[DIC]])</f>
        <v>54037.51</v>
      </c>
      <c r="AM1207" s="76" t="str">
        <f t="shared" si="41"/>
        <v>OK</v>
      </c>
      <c r="AN1207" s="60">
        <v>0</v>
      </c>
      <c r="AO1207" s="61">
        <f>+Tabla6[[#This Row],[PRESUPUESTO VIGENTE]]-Tabla6[[#This Row],[CERTIFICACIÓN PAPP]]</f>
        <v>54037.51</v>
      </c>
      <c r="AP1207" s="59">
        <v>0</v>
      </c>
    </row>
    <row r="1208" spans="1:42" ht="93" customHeight="1" x14ac:dyDescent="0.25">
      <c r="A1208" s="62" t="s">
        <v>88</v>
      </c>
      <c r="B1208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208" s="64" t="s">
        <v>89</v>
      </c>
      <c r="D1208" s="64" t="s">
        <v>80</v>
      </c>
      <c r="E1208" s="64" t="s">
        <v>81</v>
      </c>
      <c r="F1208" s="64" t="s">
        <v>112</v>
      </c>
      <c r="G1208" s="64" t="s">
        <v>98</v>
      </c>
      <c r="H1208" s="65" t="str">
        <f>VLOOKUP(Tabla6[[#This Row],[DIRECCIÓN]],DIRECCIÓN[#All],2,0)</f>
        <v>OPERACIONES</v>
      </c>
      <c r="I1208" s="66" t="s">
        <v>93</v>
      </c>
      <c r="J1208" s="67">
        <v>1</v>
      </c>
      <c r="K1208" s="68" t="str">
        <f>VLOOKUP(Tabla6[[#This Row],[DIRECCIÓN GENERAL / COORDINACIÓN / SUBDIRECCIÓN]],Tabla37[[#All],[Columna1]:[EOD]],2,0)</f>
        <v>266_0007</v>
      </c>
      <c r="L1208" s="69">
        <f>VLOOKUP(Tabla6[[#This Row],[OBJETIVOS PND]],Listas!$A$1:$C$3,3,0)</f>
        <v>55</v>
      </c>
      <c r="M1208" s="70">
        <f>VLOOKUP(Tabla6[[#This Row],[PG]],Listas2!$G$14:$K$16,5,0)</f>
        <v>0</v>
      </c>
      <c r="N1208" s="71" t="s">
        <v>776</v>
      </c>
      <c r="O1208" s="72">
        <v>1100</v>
      </c>
      <c r="P1208" s="73" t="str">
        <f>VLOOKUP(Tabla6[[#This Row],[GEO]],Listas!$A$48:$B$77,2,0)</f>
        <v>LOJA</v>
      </c>
      <c r="Q1208" s="70">
        <f>VLOOKUP(Tabla6[[#This Row],[PG]],Listas2!$G$14:$K$16,3,0)</f>
        <v>1</v>
      </c>
      <c r="R1208" s="73">
        <f>VLOOKUP(Tabla6[[#This Row],[PG]],Listas2!H662:'Listas2'!$G$14:$K$16,4,0)</f>
        <v>0</v>
      </c>
      <c r="S1208" s="73">
        <f>VLOOKUP(Tabla6[[#This Row],[PG]],Listas2!$G$14:$K$16,2,0)</f>
        <v>0</v>
      </c>
      <c r="T1208" s="66" t="s">
        <v>84</v>
      </c>
      <c r="U1208" s="74">
        <v>51</v>
      </c>
      <c r="V1208" s="66">
        <v>510602</v>
      </c>
      <c r="W1208" s="63" t="str">
        <f>VLOOKUP(Tabla6[[#This Row],[ÍTEM PRESUPUESTARIO]],Tabla2[#All],2,0)</f>
        <v>FONDO DE RESERVA</v>
      </c>
      <c r="X1208" s="57">
        <v>39322</v>
      </c>
      <c r="Y1208" s="57">
        <f>44181.41-1717.55</f>
        <v>42463.86</v>
      </c>
      <c r="Z1208" s="58">
        <v>3916.66</v>
      </c>
      <c r="AA1208" s="58">
        <v>3916.66</v>
      </c>
      <c r="AB1208" s="58">
        <v>3916.66</v>
      </c>
      <c r="AC1208" s="58">
        <v>3916.66</v>
      </c>
      <c r="AD1208" s="58">
        <v>3916.66</v>
      </c>
      <c r="AE1208" s="58">
        <v>3916.66</v>
      </c>
      <c r="AF1208" s="58">
        <v>3916.66</v>
      </c>
      <c r="AG1208" s="58">
        <v>2199.11</v>
      </c>
      <c r="AH1208" s="58">
        <v>3916.66</v>
      </c>
      <c r="AI1208" s="58">
        <v>3916.66</v>
      </c>
      <c r="AJ1208" s="58">
        <v>3916.66</v>
      </c>
      <c r="AK1208" s="58">
        <v>1098.1500000000001</v>
      </c>
      <c r="AL1208" s="75">
        <f>+SUBTOTAL(9,Tabla6[[#This Row],[ENE]:[DIC]])</f>
        <v>42463.860000000008</v>
      </c>
      <c r="AM1208" s="76" t="str">
        <f t="shared" si="41"/>
        <v>OK</v>
      </c>
      <c r="AN1208" s="60">
        <v>0</v>
      </c>
      <c r="AO1208" s="61">
        <f>+Tabla6[[#This Row],[PRESUPUESTO VIGENTE]]-Tabla6[[#This Row],[CERTIFICACIÓN PAPP]]</f>
        <v>42463.86</v>
      </c>
      <c r="AP1208" s="59">
        <v>0</v>
      </c>
    </row>
    <row r="1209" spans="1:42" ht="93" customHeight="1" x14ac:dyDescent="0.25">
      <c r="A1209" s="62" t="s">
        <v>88</v>
      </c>
      <c r="B1209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209" s="64" t="s">
        <v>89</v>
      </c>
      <c r="D1209" s="64" t="s">
        <v>80</v>
      </c>
      <c r="E1209" s="64" t="s">
        <v>81</v>
      </c>
      <c r="F1209" s="64" t="s">
        <v>112</v>
      </c>
      <c r="G1209" s="64" t="s">
        <v>98</v>
      </c>
      <c r="H1209" s="65" t="str">
        <f>VLOOKUP(Tabla6[[#This Row],[DIRECCIÓN]],DIRECCIÓN[#All],2,0)</f>
        <v>OPERACIONES</v>
      </c>
      <c r="I1209" s="66" t="s">
        <v>733</v>
      </c>
      <c r="J1209" s="67">
        <v>1</v>
      </c>
      <c r="K1209" s="68" t="str">
        <f>VLOOKUP(Tabla6[[#This Row],[DIRECCIÓN GENERAL / COORDINACIÓN / SUBDIRECCIÓN]],Tabla37[[#All],[Columna1]:[EOD]],2,0)</f>
        <v>266_0007</v>
      </c>
      <c r="L1209" s="69">
        <f>VLOOKUP(Tabla6[[#This Row],[OBJETIVOS PND]],Listas!$A$1:$C$3,3,0)</f>
        <v>55</v>
      </c>
      <c r="M1209" s="70">
        <f>VLOOKUP(Tabla6[[#This Row],[PG]],Listas2!$G$14:$K$16,5,0)</f>
        <v>0</v>
      </c>
      <c r="N1209" s="71" t="s">
        <v>776</v>
      </c>
      <c r="O1209" s="72">
        <v>1100</v>
      </c>
      <c r="P1209" s="73" t="str">
        <f>VLOOKUP(Tabla6[[#This Row],[GEO]],Listas!$A$48:$B$77,2,0)</f>
        <v>LOJA</v>
      </c>
      <c r="Q1209" s="70">
        <f>VLOOKUP(Tabla6[[#This Row],[PG]],Listas2!$G$14:$K$16,3,0)</f>
        <v>1</v>
      </c>
      <c r="R1209" s="73">
        <f>VLOOKUP(Tabla6[[#This Row],[PG]],Listas2!H663:'Listas2'!$G$14:$K$16,4,0)</f>
        <v>0</v>
      </c>
      <c r="S1209" s="73">
        <f>VLOOKUP(Tabla6[[#This Row],[PG]],Listas2!$G$14:$K$16,2,0)</f>
        <v>0</v>
      </c>
      <c r="T1209" s="66" t="s">
        <v>84</v>
      </c>
      <c r="U1209" s="74">
        <v>51</v>
      </c>
      <c r="V1209" s="66">
        <v>510707</v>
      </c>
      <c r="W1209" s="63" t="str">
        <f>VLOOKUP(Tabla6[[#This Row],[ÍTEM PRESUPUESTARIO]],Tabla2[#All],2,0)</f>
        <v>COMPENSACIÓN POR VACACIONES NO GOZADAS POR CESACIÓN DE FUNCIONES</v>
      </c>
      <c r="X1209" s="57">
        <v>0</v>
      </c>
      <c r="Y1209" s="57">
        <f>444.2+8.31+361.18</f>
        <v>813.69</v>
      </c>
      <c r="Z1209" s="58">
        <v>0</v>
      </c>
      <c r="AA1209" s="58">
        <v>0</v>
      </c>
      <c r="AB1209" s="58">
        <v>0</v>
      </c>
      <c r="AC1209" s="58">
        <v>0</v>
      </c>
      <c r="AD1209" s="58">
        <v>452.51</v>
      </c>
      <c r="AE1209" s="58">
        <v>0</v>
      </c>
      <c r="AF1209" s="58">
        <v>0</v>
      </c>
      <c r="AG1209" s="58">
        <v>361.18</v>
      </c>
      <c r="AH1209" s="58">
        <v>0</v>
      </c>
      <c r="AI1209" s="58">
        <v>0</v>
      </c>
      <c r="AJ1209" s="58">
        <v>0</v>
      </c>
      <c r="AK1209" s="58">
        <v>0</v>
      </c>
      <c r="AL1209" s="75">
        <f>+SUBTOTAL(9,Tabla6[[#This Row],[ENE]:[DIC]])</f>
        <v>813.69</v>
      </c>
      <c r="AM1209" s="76" t="str">
        <f t="shared" si="41"/>
        <v>OK</v>
      </c>
      <c r="AN1209" s="60">
        <v>0</v>
      </c>
      <c r="AO1209" s="61">
        <f>+Tabla6[[#This Row],[PRESUPUESTO VIGENTE]]-Tabla6[[#This Row],[CERTIFICACIÓN PAPP]]</f>
        <v>813.69</v>
      </c>
      <c r="AP1209" s="59">
        <v>0</v>
      </c>
    </row>
    <row r="1210" spans="1:42" ht="93" customHeight="1" x14ac:dyDescent="0.25">
      <c r="A1210" s="62" t="s">
        <v>88</v>
      </c>
      <c r="B1210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210" s="64" t="s">
        <v>89</v>
      </c>
      <c r="D1210" s="64" t="s">
        <v>80</v>
      </c>
      <c r="E1210" s="64" t="s">
        <v>81</v>
      </c>
      <c r="F1210" s="64" t="s">
        <v>112</v>
      </c>
      <c r="G1210" s="64" t="s">
        <v>90</v>
      </c>
      <c r="H1210" s="65" t="str">
        <f>VLOOKUP(Tabla6[[#This Row],[DIRECCIÓN]],DIRECCIÓN[#All],2,0)</f>
        <v>TECNOLOGÍA</v>
      </c>
      <c r="I1210" s="66" t="s">
        <v>93</v>
      </c>
      <c r="J1210" s="67">
        <v>1</v>
      </c>
      <c r="K1210" s="68" t="str">
        <f>VLOOKUP(Tabla6[[#This Row],[DIRECCIÓN GENERAL / COORDINACIÓN / SUBDIRECCIÓN]],Tabla37[[#All],[Columna1]:[EOD]],2,0)</f>
        <v>266_0007</v>
      </c>
      <c r="L1210" s="69">
        <f>VLOOKUP(Tabla6[[#This Row],[OBJETIVOS PND]],Listas!$A$1:$C$3,3,0)</f>
        <v>55</v>
      </c>
      <c r="M1210" s="70">
        <f>VLOOKUP(Tabla6[[#This Row],[PG]],Listas2!$G$14:$K$16,5,0)</f>
        <v>0</v>
      </c>
      <c r="N1210" s="71">
        <v>3</v>
      </c>
      <c r="O1210" s="72">
        <v>1100</v>
      </c>
      <c r="P1210" s="73" t="str">
        <f>VLOOKUP(Tabla6[[#This Row],[GEO]],Listas!$A$48:$B$77,2,0)</f>
        <v>LOJA</v>
      </c>
      <c r="Q1210" s="70">
        <f>VLOOKUP(Tabla6[[#This Row],[PG]],Listas2!$G$14:$K$16,3,0)</f>
        <v>1</v>
      </c>
      <c r="R1210" s="73">
        <f>VLOOKUP(Tabla6[[#This Row],[PG]],Listas2!H664:'Listas2'!$G$14:$K$16,4,0)</f>
        <v>0</v>
      </c>
      <c r="S1210" s="73">
        <f>VLOOKUP(Tabla6[[#This Row],[PG]],Listas2!$G$14:$K$16,2,0)</f>
        <v>0</v>
      </c>
      <c r="T1210" s="66" t="s">
        <v>84</v>
      </c>
      <c r="U1210" s="74">
        <v>51</v>
      </c>
      <c r="V1210" s="66">
        <v>510105</v>
      </c>
      <c r="W1210" s="63" t="str">
        <f>VLOOKUP(Tabla6[[#This Row],[ÍTEM PRESUPUESTARIO]],Tabla2[#All],2,0)</f>
        <v>REMUNERACIONES UNIFICADAS</v>
      </c>
      <c r="X1210" s="57">
        <v>63744</v>
      </c>
      <c r="Y1210" s="57">
        <v>63744</v>
      </c>
      <c r="Z1210" s="58">
        <v>5312</v>
      </c>
      <c r="AA1210" s="58">
        <v>5312</v>
      </c>
      <c r="AB1210" s="58">
        <v>5312</v>
      </c>
      <c r="AC1210" s="58">
        <v>5312</v>
      </c>
      <c r="AD1210" s="58">
        <v>5312</v>
      </c>
      <c r="AE1210" s="58">
        <v>5312</v>
      </c>
      <c r="AF1210" s="58">
        <v>5312</v>
      </c>
      <c r="AG1210" s="58">
        <v>5312</v>
      </c>
      <c r="AH1210" s="58">
        <v>5312</v>
      </c>
      <c r="AI1210" s="58">
        <v>5312</v>
      </c>
      <c r="AJ1210" s="58">
        <v>5312</v>
      </c>
      <c r="AK1210" s="58">
        <v>5312</v>
      </c>
      <c r="AL1210" s="75">
        <f>+SUBTOTAL(9,Tabla6[[#This Row],[ENE]:[DIC]])</f>
        <v>63744</v>
      </c>
      <c r="AM1210" s="76" t="str">
        <f t="shared" si="41"/>
        <v>OK</v>
      </c>
      <c r="AN1210" s="60">
        <v>0</v>
      </c>
      <c r="AO1210" s="61">
        <f>+Tabla6[[#This Row],[PRESUPUESTO VIGENTE]]-Tabla6[[#This Row],[CERTIFICACIÓN PAPP]]</f>
        <v>63744</v>
      </c>
      <c r="AP1210" s="59">
        <v>0</v>
      </c>
    </row>
    <row r="1211" spans="1:42" ht="93" customHeight="1" x14ac:dyDescent="0.25">
      <c r="A1211" s="62" t="s">
        <v>88</v>
      </c>
      <c r="B1211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211" s="64" t="s">
        <v>89</v>
      </c>
      <c r="D1211" s="64" t="s">
        <v>80</v>
      </c>
      <c r="E1211" s="64" t="s">
        <v>81</v>
      </c>
      <c r="F1211" s="64" t="s">
        <v>112</v>
      </c>
      <c r="G1211" s="64" t="s">
        <v>90</v>
      </c>
      <c r="H1211" s="65" t="str">
        <f>VLOOKUP(Tabla6[[#This Row],[DIRECCIÓN]],DIRECCIÓN[#All],2,0)</f>
        <v>TECNOLOGÍA</v>
      </c>
      <c r="I1211" s="66" t="s">
        <v>93</v>
      </c>
      <c r="J1211" s="67">
        <v>1</v>
      </c>
      <c r="K1211" s="68" t="str">
        <f>VLOOKUP(Tabla6[[#This Row],[DIRECCIÓN GENERAL / COORDINACIÓN / SUBDIRECCIÓN]],Tabla37[[#All],[Columna1]:[EOD]],2,0)</f>
        <v>266_0007</v>
      </c>
      <c r="L1211" s="69">
        <f>VLOOKUP(Tabla6[[#This Row],[OBJETIVOS PND]],Listas!$A$1:$C$3,3,0)</f>
        <v>55</v>
      </c>
      <c r="M1211" s="70">
        <f>VLOOKUP(Tabla6[[#This Row],[PG]],Listas2!$G$14:$K$16,5,0)</f>
        <v>0</v>
      </c>
      <c r="N1211" s="71">
        <v>3</v>
      </c>
      <c r="O1211" s="72">
        <v>1100</v>
      </c>
      <c r="P1211" s="73" t="str">
        <f>VLOOKUP(Tabla6[[#This Row],[GEO]],Listas!$A$48:$B$77,2,0)</f>
        <v>LOJA</v>
      </c>
      <c r="Q1211" s="70">
        <f>VLOOKUP(Tabla6[[#This Row],[PG]],Listas2!$G$14:$K$16,3,0)</f>
        <v>1</v>
      </c>
      <c r="R1211" s="73">
        <f>VLOOKUP(Tabla6[[#This Row],[PG]],Listas2!H665:'Listas2'!$G$14:$K$16,4,0)</f>
        <v>0</v>
      </c>
      <c r="S1211" s="73">
        <f>VLOOKUP(Tabla6[[#This Row],[PG]],Listas2!$G$14:$K$16,2,0)</f>
        <v>0</v>
      </c>
      <c r="T1211" s="66" t="s">
        <v>84</v>
      </c>
      <c r="U1211" s="74">
        <v>51</v>
      </c>
      <c r="V1211" s="66">
        <v>510203</v>
      </c>
      <c r="W1211" s="63" t="str">
        <f>VLOOKUP(Tabla6[[#This Row],[ÍTEM PRESUPUESTARIO]],Tabla2[#All],2,0)</f>
        <v>DÉCIMO TERCER SUELDO</v>
      </c>
      <c r="X1211" s="57">
        <v>5312</v>
      </c>
      <c r="Y1211" s="57">
        <v>5312</v>
      </c>
      <c r="Z1211" s="58">
        <v>0</v>
      </c>
      <c r="AA1211" s="58">
        <v>0</v>
      </c>
      <c r="AB1211" s="58">
        <v>0</v>
      </c>
      <c r="AC1211" s="58">
        <v>0</v>
      </c>
      <c r="AD1211" s="58">
        <v>0</v>
      </c>
      <c r="AE1211" s="58">
        <v>0</v>
      </c>
      <c r="AF1211" s="58">
        <v>0</v>
      </c>
      <c r="AG1211" s="58">
        <v>0</v>
      </c>
      <c r="AH1211" s="58">
        <v>0</v>
      </c>
      <c r="AI1211" s="58">
        <v>0</v>
      </c>
      <c r="AJ1211" s="58">
        <v>0</v>
      </c>
      <c r="AK1211" s="58">
        <v>5312</v>
      </c>
      <c r="AL1211" s="75">
        <f>+SUBTOTAL(9,Tabla6[[#This Row],[ENE]:[DIC]])</f>
        <v>5312</v>
      </c>
      <c r="AM1211" s="76" t="str">
        <f t="shared" si="41"/>
        <v>OK</v>
      </c>
      <c r="AN1211" s="60">
        <v>0</v>
      </c>
      <c r="AO1211" s="61">
        <f>+Tabla6[[#This Row],[PRESUPUESTO VIGENTE]]-Tabla6[[#This Row],[CERTIFICACIÓN PAPP]]</f>
        <v>5312</v>
      </c>
      <c r="AP1211" s="59">
        <v>0</v>
      </c>
    </row>
    <row r="1212" spans="1:42" ht="93" customHeight="1" x14ac:dyDescent="0.25">
      <c r="A1212" s="62" t="s">
        <v>88</v>
      </c>
      <c r="B1212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212" s="64" t="s">
        <v>89</v>
      </c>
      <c r="D1212" s="64" t="s">
        <v>80</v>
      </c>
      <c r="E1212" s="64" t="s">
        <v>81</v>
      </c>
      <c r="F1212" s="64" t="s">
        <v>112</v>
      </c>
      <c r="G1212" s="64" t="s">
        <v>90</v>
      </c>
      <c r="H1212" s="65" t="str">
        <f>VLOOKUP(Tabla6[[#This Row],[DIRECCIÓN]],DIRECCIÓN[#All],2,0)</f>
        <v>TECNOLOGÍA</v>
      </c>
      <c r="I1212" s="66" t="s">
        <v>93</v>
      </c>
      <c r="J1212" s="67">
        <v>1</v>
      </c>
      <c r="K1212" s="68" t="str">
        <f>VLOOKUP(Tabla6[[#This Row],[DIRECCIÓN GENERAL / COORDINACIÓN / SUBDIRECCIÓN]],Tabla37[[#All],[Columna1]:[EOD]],2,0)</f>
        <v>266_0007</v>
      </c>
      <c r="L1212" s="69">
        <f>VLOOKUP(Tabla6[[#This Row],[OBJETIVOS PND]],Listas!$A$1:$C$3,3,0)</f>
        <v>55</v>
      </c>
      <c r="M1212" s="70">
        <f>VLOOKUP(Tabla6[[#This Row],[PG]],Listas2!$G$14:$K$16,5,0)</f>
        <v>0</v>
      </c>
      <c r="N1212" s="71">
        <v>3</v>
      </c>
      <c r="O1212" s="72">
        <v>1100</v>
      </c>
      <c r="P1212" s="73" t="str">
        <f>VLOOKUP(Tabla6[[#This Row],[GEO]],Listas!$A$48:$B$77,2,0)</f>
        <v>LOJA</v>
      </c>
      <c r="Q1212" s="70">
        <f>VLOOKUP(Tabla6[[#This Row],[PG]],Listas2!$G$14:$K$16,3,0)</f>
        <v>1</v>
      </c>
      <c r="R1212" s="73">
        <f>VLOOKUP(Tabla6[[#This Row],[PG]],Listas2!H666:'Listas2'!$G$14:$K$16,4,0)</f>
        <v>0</v>
      </c>
      <c r="S1212" s="73">
        <f>VLOOKUP(Tabla6[[#This Row],[PG]],Listas2!$G$14:$K$16,2,0)</f>
        <v>0</v>
      </c>
      <c r="T1212" s="66" t="s">
        <v>84</v>
      </c>
      <c r="U1212" s="74">
        <v>51</v>
      </c>
      <c r="V1212" s="66">
        <v>510204</v>
      </c>
      <c r="W1212" s="63" t="str">
        <f>VLOOKUP(Tabla6[[#This Row],[ÍTEM PRESUPUESTARIO]],Tabla2[#All],2,0)</f>
        <v>DÉCIMO CUARTO SUELDO</v>
      </c>
      <c r="X1212" s="57">
        <v>1700</v>
      </c>
      <c r="Y1212" s="57">
        <f>1762.5+10.4</f>
        <v>1772.9</v>
      </c>
      <c r="Z1212" s="58">
        <v>0</v>
      </c>
      <c r="AA1212" s="58">
        <v>0</v>
      </c>
      <c r="AB1212" s="58">
        <v>0</v>
      </c>
      <c r="AC1212" s="58">
        <v>0</v>
      </c>
      <c r="AD1212" s="58">
        <v>0</v>
      </c>
      <c r="AE1212" s="58">
        <v>0</v>
      </c>
      <c r="AF1212" s="58">
        <v>0</v>
      </c>
      <c r="AG1212" s="58">
        <v>1772.9</v>
      </c>
      <c r="AH1212" s="58">
        <v>0</v>
      </c>
      <c r="AI1212" s="58">
        <v>0</v>
      </c>
      <c r="AJ1212" s="58">
        <v>0</v>
      </c>
      <c r="AK1212" s="58">
        <v>0</v>
      </c>
      <c r="AL1212" s="75">
        <f>+SUBTOTAL(9,Tabla6[[#This Row],[ENE]:[DIC]])</f>
        <v>1772.9</v>
      </c>
      <c r="AM1212" s="76" t="str">
        <f t="shared" si="41"/>
        <v>OK</v>
      </c>
      <c r="AN1212" s="60">
        <v>0</v>
      </c>
      <c r="AO1212" s="61">
        <f>+Tabla6[[#This Row],[PRESUPUESTO VIGENTE]]-Tabla6[[#This Row],[CERTIFICACIÓN PAPP]]</f>
        <v>1772.9</v>
      </c>
      <c r="AP1212" s="59">
        <v>0</v>
      </c>
    </row>
    <row r="1213" spans="1:42" ht="93" customHeight="1" x14ac:dyDescent="0.25">
      <c r="A1213" s="62" t="s">
        <v>88</v>
      </c>
      <c r="B1213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213" s="64" t="s">
        <v>89</v>
      </c>
      <c r="D1213" s="64" t="s">
        <v>80</v>
      </c>
      <c r="E1213" s="64" t="s">
        <v>81</v>
      </c>
      <c r="F1213" s="64" t="s">
        <v>112</v>
      </c>
      <c r="G1213" s="64" t="s">
        <v>90</v>
      </c>
      <c r="H1213" s="65" t="str">
        <f>VLOOKUP(Tabla6[[#This Row],[DIRECCIÓN]],DIRECCIÓN[#All],2,0)</f>
        <v>TECNOLOGÍA</v>
      </c>
      <c r="I1213" s="66" t="s">
        <v>93</v>
      </c>
      <c r="J1213" s="67">
        <v>1</v>
      </c>
      <c r="K1213" s="68" t="str">
        <f>VLOOKUP(Tabla6[[#This Row],[DIRECCIÓN GENERAL / COORDINACIÓN / SUBDIRECCIÓN]],Tabla37[[#All],[Columna1]:[EOD]],2,0)</f>
        <v>266_0007</v>
      </c>
      <c r="L1213" s="69">
        <f>VLOOKUP(Tabla6[[#This Row],[OBJETIVOS PND]],Listas!$A$1:$C$3,3,0)</f>
        <v>55</v>
      </c>
      <c r="M1213" s="70">
        <f>VLOOKUP(Tabla6[[#This Row],[PG]],Listas2!$G$14:$K$16,5,0)</f>
        <v>0</v>
      </c>
      <c r="N1213" s="71">
        <v>3</v>
      </c>
      <c r="O1213" s="72">
        <v>1100</v>
      </c>
      <c r="P1213" s="73" t="str">
        <f>VLOOKUP(Tabla6[[#This Row],[GEO]],Listas!$A$48:$B$77,2,0)</f>
        <v>LOJA</v>
      </c>
      <c r="Q1213" s="70">
        <f>VLOOKUP(Tabla6[[#This Row],[PG]],Listas2!$G$14:$K$16,3,0)</f>
        <v>1</v>
      </c>
      <c r="R1213" s="73">
        <f>VLOOKUP(Tabla6[[#This Row],[PG]],Listas2!H667:'Listas2'!$G$14:$K$16,4,0)</f>
        <v>0</v>
      </c>
      <c r="S1213" s="73">
        <f>VLOOKUP(Tabla6[[#This Row],[PG]],Listas2!$G$14:$K$16,2,0)</f>
        <v>0</v>
      </c>
      <c r="T1213" s="66" t="s">
        <v>84</v>
      </c>
      <c r="U1213" s="74">
        <v>51</v>
      </c>
      <c r="V1213" s="66">
        <v>510401</v>
      </c>
      <c r="W1213" s="63" t="str">
        <f>VLOOKUP(Tabla6[[#This Row],[ÍTEM PRESUPUESTARIO]],Tabla2[#All],2,0)</f>
        <v>POR CARGAS FAMILIARES</v>
      </c>
      <c r="X1213" s="57">
        <v>0</v>
      </c>
      <c r="Y1213" s="57">
        <v>0</v>
      </c>
      <c r="Z1213" s="58">
        <v>0</v>
      </c>
      <c r="AA1213" s="58">
        <v>0</v>
      </c>
      <c r="AB1213" s="58">
        <v>0</v>
      </c>
      <c r="AC1213" s="58">
        <v>0</v>
      </c>
      <c r="AD1213" s="58">
        <v>0</v>
      </c>
      <c r="AE1213" s="58">
        <v>0</v>
      </c>
      <c r="AF1213" s="58">
        <v>0</v>
      </c>
      <c r="AG1213" s="58">
        <v>0</v>
      </c>
      <c r="AH1213" s="58">
        <v>0</v>
      </c>
      <c r="AI1213" s="58">
        <v>0</v>
      </c>
      <c r="AJ1213" s="58">
        <v>0</v>
      </c>
      <c r="AK1213" s="58">
        <v>0</v>
      </c>
      <c r="AL1213" s="75">
        <f>+SUBTOTAL(9,Tabla6[[#This Row],[ENE]:[DIC]])</f>
        <v>0</v>
      </c>
      <c r="AM1213" s="76" t="str">
        <f t="shared" si="41"/>
        <v>OK</v>
      </c>
      <c r="AN1213" s="60">
        <v>0</v>
      </c>
      <c r="AO1213" s="61">
        <f>+Tabla6[[#This Row],[PRESUPUESTO VIGENTE]]-Tabla6[[#This Row],[CERTIFICACIÓN PAPP]]</f>
        <v>0</v>
      </c>
      <c r="AP1213" s="59">
        <v>0</v>
      </c>
    </row>
    <row r="1214" spans="1:42" ht="93" customHeight="1" x14ac:dyDescent="0.25">
      <c r="A1214" s="62" t="s">
        <v>88</v>
      </c>
      <c r="B1214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214" s="64" t="s">
        <v>89</v>
      </c>
      <c r="D1214" s="64" t="s">
        <v>80</v>
      </c>
      <c r="E1214" s="64" t="s">
        <v>81</v>
      </c>
      <c r="F1214" s="64" t="s">
        <v>112</v>
      </c>
      <c r="G1214" s="64" t="s">
        <v>90</v>
      </c>
      <c r="H1214" s="65" t="str">
        <f>VLOOKUP(Tabla6[[#This Row],[DIRECCIÓN]],DIRECCIÓN[#All],2,0)</f>
        <v>TECNOLOGÍA</v>
      </c>
      <c r="I1214" s="66" t="s">
        <v>93</v>
      </c>
      <c r="J1214" s="67">
        <v>1</v>
      </c>
      <c r="K1214" s="68" t="str">
        <f>VLOOKUP(Tabla6[[#This Row],[DIRECCIÓN GENERAL / COORDINACIÓN / SUBDIRECCIÓN]],Tabla37[[#All],[Columna1]:[EOD]],2,0)</f>
        <v>266_0007</v>
      </c>
      <c r="L1214" s="69">
        <f>VLOOKUP(Tabla6[[#This Row],[OBJETIVOS PND]],Listas!$A$1:$C$3,3,0)</f>
        <v>55</v>
      </c>
      <c r="M1214" s="70">
        <f>VLOOKUP(Tabla6[[#This Row],[PG]],Listas2!$G$14:$K$16,5,0)</f>
        <v>0</v>
      </c>
      <c r="N1214" s="71">
        <v>3</v>
      </c>
      <c r="O1214" s="72">
        <v>1100</v>
      </c>
      <c r="P1214" s="73" t="str">
        <f>VLOOKUP(Tabla6[[#This Row],[GEO]],Listas!$A$48:$B$77,2,0)</f>
        <v>LOJA</v>
      </c>
      <c r="Q1214" s="70">
        <f>VLOOKUP(Tabla6[[#This Row],[PG]],Listas2!$G$14:$K$16,3,0)</f>
        <v>1</v>
      </c>
      <c r="R1214" s="73">
        <f>VLOOKUP(Tabla6[[#This Row],[PG]],Listas2!H668:'Listas2'!$G$14:$K$16,4,0)</f>
        <v>0</v>
      </c>
      <c r="S1214" s="73">
        <f>VLOOKUP(Tabla6[[#This Row],[PG]],Listas2!$G$14:$K$16,2,0)</f>
        <v>0</v>
      </c>
      <c r="T1214" s="66" t="s">
        <v>84</v>
      </c>
      <c r="U1214" s="74">
        <v>51</v>
      </c>
      <c r="V1214" s="66">
        <v>510408</v>
      </c>
      <c r="W1214" s="63" t="str">
        <f>VLOOKUP(Tabla6[[#This Row],[ÍTEM PRESUPUESTARIO]],Tabla2[#All],2,0)</f>
        <v>SUBSIDIO DE ANTIGUEDAD</v>
      </c>
      <c r="X1214" s="57">
        <v>0</v>
      </c>
      <c r="Y1214" s="57">
        <v>0</v>
      </c>
      <c r="Z1214" s="58">
        <v>0</v>
      </c>
      <c r="AA1214" s="58">
        <v>0</v>
      </c>
      <c r="AB1214" s="58">
        <v>0</v>
      </c>
      <c r="AC1214" s="58">
        <v>0</v>
      </c>
      <c r="AD1214" s="58">
        <v>0</v>
      </c>
      <c r="AE1214" s="58">
        <v>0</v>
      </c>
      <c r="AF1214" s="58">
        <v>0</v>
      </c>
      <c r="AG1214" s="58">
        <v>0</v>
      </c>
      <c r="AH1214" s="58">
        <v>0</v>
      </c>
      <c r="AI1214" s="58">
        <v>0</v>
      </c>
      <c r="AJ1214" s="58">
        <v>0</v>
      </c>
      <c r="AK1214" s="58">
        <v>0</v>
      </c>
      <c r="AL1214" s="75">
        <f>+SUBTOTAL(9,Tabla6[[#This Row],[ENE]:[DIC]])</f>
        <v>0</v>
      </c>
      <c r="AM1214" s="76" t="str">
        <f t="shared" si="41"/>
        <v>OK</v>
      </c>
      <c r="AN1214" s="60">
        <v>0</v>
      </c>
      <c r="AO1214" s="61">
        <f>+Tabla6[[#This Row],[PRESUPUESTO VIGENTE]]-Tabla6[[#This Row],[CERTIFICACIÓN PAPP]]</f>
        <v>0</v>
      </c>
      <c r="AP1214" s="59">
        <v>0</v>
      </c>
    </row>
    <row r="1215" spans="1:42" ht="93" customHeight="1" x14ac:dyDescent="0.25">
      <c r="A1215" s="62" t="s">
        <v>88</v>
      </c>
      <c r="B1215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215" s="64" t="s">
        <v>89</v>
      </c>
      <c r="D1215" s="64" t="s">
        <v>80</v>
      </c>
      <c r="E1215" s="64" t="s">
        <v>81</v>
      </c>
      <c r="F1215" s="64" t="s">
        <v>112</v>
      </c>
      <c r="G1215" s="64" t="s">
        <v>90</v>
      </c>
      <c r="H1215" s="65" t="str">
        <f>VLOOKUP(Tabla6[[#This Row],[DIRECCIÓN]],DIRECCIÓN[#All],2,0)</f>
        <v>TECNOLOGÍA</v>
      </c>
      <c r="I1215" s="66" t="s">
        <v>93</v>
      </c>
      <c r="J1215" s="67">
        <v>1</v>
      </c>
      <c r="K1215" s="68" t="str">
        <f>VLOOKUP(Tabla6[[#This Row],[DIRECCIÓN GENERAL / COORDINACIÓN / SUBDIRECCIÓN]],Tabla37[[#All],[Columna1]:[EOD]],2,0)</f>
        <v>266_0007</v>
      </c>
      <c r="L1215" s="69">
        <f>VLOOKUP(Tabla6[[#This Row],[OBJETIVOS PND]],Listas!$A$1:$C$3,3,0)</f>
        <v>55</v>
      </c>
      <c r="M1215" s="70">
        <f>VLOOKUP(Tabla6[[#This Row],[PG]],Listas2!$G$14:$K$16,5,0)</f>
        <v>0</v>
      </c>
      <c r="N1215" s="71">
        <v>3</v>
      </c>
      <c r="O1215" s="72">
        <v>1100</v>
      </c>
      <c r="P1215" s="73" t="str">
        <f>VLOOKUP(Tabla6[[#This Row],[GEO]],Listas!$A$48:$B$77,2,0)</f>
        <v>LOJA</v>
      </c>
      <c r="Q1215" s="70">
        <f>VLOOKUP(Tabla6[[#This Row],[PG]],Listas2!$G$14:$K$16,3,0)</f>
        <v>1</v>
      </c>
      <c r="R1215" s="73">
        <f>VLOOKUP(Tabla6[[#This Row],[PG]],Listas2!H669:'Listas2'!$G$14:$K$16,4,0)</f>
        <v>0</v>
      </c>
      <c r="S1215" s="73">
        <f>VLOOKUP(Tabla6[[#This Row],[PG]],Listas2!$G$14:$K$16,2,0)</f>
        <v>0</v>
      </c>
      <c r="T1215" s="66" t="s">
        <v>84</v>
      </c>
      <c r="U1215" s="74">
        <v>51</v>
      </c>
      <c r="V1215" s="66">
        <v>510512</v>
      </c>
      <c r="W1215" s="63" t="str">
        <f>VLOOKUP(Tabla6[[#This Row],[ÍTEM PRESUPUESTARIO]],Tabla2[#All],2,0)</f>
        <v xml:space="preserve">SUBROGACIÓN </v>
      </c>
      <c r="X1215" s="57">
        <v>692</v>
      </c>
      <c r="Y1215" s="57">
        <f>729-498.33</f>
        <v>230.67000000000002</v>
      </c>
      <c r="Z1215" s="58">
        <v>12.21</v>
      </c>
      <c r="AA1215" s="58">
        <v>12.21</v>
      </c>
      <c r="AB1215" s="58">
        <v>12.21</v>
      </c>
      <c r="AC1215" s="58">
        <v>12.21</v>
      </c>
      <c r="AD1215" s="58">
        <v>12.21</v>
      </c>
      <c r="AE1215" s="58">
        <v>12.21</v>
      </c>
      <c r="AF1215" s="58">
        <v>61.09</v>
      </c>
      <c r="AG1215" s="58">
        <v>61.09</v>
      </c>
      <c r="AH1215" s="58">
        <v>12.21</v>
      </c>
      <c r="AI1215" s="58">
        <v>12.21</v>
      </c>
      <c r="AJ1215" s="58">
        <v>5.4</v>
      </c>
      <c r="AK1215" s="58">
        <v>5.41</v>
      </c>
      <c r="AL1215" s="75">
        <f>+SUBTOTAL(9,Tabla6[[#This Row],[ENE]:[DIC]])</f>
        <v>230.67000000000004</v>
      </c>
      <c r="AM1215" s="76" t="str">
        <f t="shared" si="41"/>
        <v>OK</v>
      </c>
      <c r="AN1215" s="60">
        <v>0</v>
      </c>
      <c r="AO1215" s="61">
        <f>+Tabla6[[#This Row],[PRESUPUESTO VIGENTE]]-Tabla6[[#This Row],[CERTIFICACIÓN PAPP]]</f>
        <v>230.67000000000002</v>
      </c>
      <c r="AP1215" s="59">
        <v>0</v>
      </c>
    </row>
    <row r="1216" spans="1:42" ht="93" customHeight="1" x14ac:dyDescent="0.25">
      <c r="A1216" s="62" t="s">
        <v>88</v>
      </c>
      <c r="B1216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216" s="64" t="s">
        <v>89</v>
      </c>
      <c r="D1216" s="64" t="s">
        <v>80</v>
      </c>
      <c r="E1216" s="64" t="s">
        <v>81</v>
      </c>
      <c r="F1216" s="64" t="s">
        <v>112</v>
      </c>
      <c r="G1216" s="64" t="s">
        <v>90</v>
      </c>
      <c r="H1216" s="65" t="str">
        <f>VLOOKUP(Tabla6[[#This Row],[DIRECCIÓN]],DIRECCIÓN[#All],2,0)</f>
        <v>TECNOLOGÍA</v>
      </c>
      <c r="I1216" s="66" t="s">
        <v>93</v>
      </c>
      <c r="J1216" s="67">
        <v>1</v>
      </c>
      <c r="K1216" s="68" t="str">
        <f>VLOOKUP(Tabla6[[#This Row],[DIRECCIÓN GENERAL / COORDINACIÓN / SUBDIRECCIÓN]],Tabla37[[#All],[Columna1]:[EOD]],2,0)</f>
        <v>266_0007</v>
      </c>
      <c r="L1216" s="69">
        <f>VLOOKUP(Tabla6[[#This Row],[OBJETIVOS PND]],Listas!$A$1:$C$3,3,0)</f>
        <v>55</v>
      </c>
      <c r="M1216" s="70">
        <f>VLOOKUP(Tabla6[[#This Row],[PG]],Listas2!$G$14:$K$16,5,0)</f>
        <v>0</v>
      </c>
      <c r="N1216" s="71">
        <v>3</v>
      </c>
      <c r="O1216" s="72">
        <v>1100</v>
      </c>
      <c r="P1216" s="73" t="str">
        <f>VLOOKUP(Tabla6[[#This Row],[GEO]],Listas!$A$48:$B$77,2,0)</f>
        <v>LOJA</v>
      </c>
      <c r="Q1216" s="70">
        <f>VLOOKUP(Tabla6[[#This Row],[PG]],Listas2!$G$14:$K$16,3,0)</f>
        <v>1</v>
      </c>
      <c r="R1216" s="73">
        <f>VLOOKUP(Tabla6[[#This Row],[PG]],Listas2!H670:'Listas2'!$G$14:$K$16,4,0)</f>
        <v>0</v>
      </c>
      <c r="S1216" s="73">
        <f>VLOOKUP(Tabla6[[#This Row],[PG]],Listas2!$G$14:$K$16,2,0)</f>
        <v>0</v>
      </c>
      <c r="T1216" s="66" t="s">
        <v>84</v>
      </c>
      <c r="U1216" s="74">
        <v>51</v>
      </c>
      <c r="V1216" s="66">
        <v>510601</v>
      </c>
      <c r="W1216" s="63" t="str">
        <f>VLOOKUP(Tabla6[[#This Row],[ÍTEM PRESUPUESTARIO]],Tabla2[#All],2,0)</f>
        <v>APORTE PATRONAL</v>
      </c>
      <c r="X1216" s="57">
        <v>6152</v>
      </c>
      <c r="Y1216" s="57">
        <f>6161.3-9.98</f>
        <v>6151.3200000000006</v>
      </c>
      <c r="Z1216" s="58">
        <v>512</v>
      </c>
      <c r="AA1216" s="58">
        <v>512</v>
      </c>
      <c r="AB1216" s="58">
        <v>512</v>
      </c>
      <c r="AC1216" s="58">
        <v>512</v>
      </c>
      <c r="AD1216" s="58">
        <v>513</v>
      </c>
      <c r="AE1216" s="58">
        <v>513</v>
      </c>
      <c r="AF1216" s="58">
        <v>513</v>
      </c>
      <c r="AG1216" s="58">
        <v>503.02</v>
      </c>
      <c r="AH1216" s="58">
        <v>513</v>
      </c>
      <c r="AI1216" s="58">
        <v>513</v>
      </c>
      <c r="AJ1216" s="58">
        <v>513</v>
      </c>
      <c r="AK1216" s="58">
        <v>522.29999999999995</v>
      </c>
      <c r="AL1216" s="75">
        <f>+SUBTOTAL(9,Tabla6[[#This Row],[ENE]:[DIC]])</f>
        <v>6151.3200000000006</v>
      </c>
      <c r="AM1216" s="76" t="str">
        <f t="shared" si="41"/>
        <v>OK</v>
      </c>
      <c r="AN1216" s="60">
        <v>0</v>
      </c>
      <c r="AO1216" s="61">
        <f>+Tabla6[[#This Row],[PRESUPUESTO VIGENTE]]-Tabla6[[#This Row],[CERTIFICACIÓN PAPP]]</f>
        <v>6151.3200000000006</v>
      </c>
      <c r="AP1216" s="59">
        <v>0</v>
      </c>
    </row>
    <row r="1217" spans="1:42" ht="93" customHeight="1" x14ac:dyDescent="0.25">
      <c r="A1217" s="62" t="s">
        <v>88</v>
      </c>
      <c r="B1217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217" s="64" t="s">
        <v>89</v>
      </c>
      <c r="D1217" s="64" t="s">
        <v>80</v>
      </c>
      <c r="E1217" s="64" t="s">
        <v>81</v>
      </c>
      <c r="F1217" s="64" t="s">
        <v>112</v>
      </c>
      <c r="G1217" s="64" t="s">
        <v>90</v>
      </c>
      <c r="H1217" s="65" t="str">
        <f>VLOOKUP(Tabla6[[#This Row],[DIRECCIÓN]],DIRECCIÓN[#All],2,0)</f>
        <v>TECNOLOGÍA</v>
      </c>
      <c r="I1217" s="66" t="s">
        <v>93</v>
      </c>
      <c r="J1217" s="67">
        <v>1</v>
      </c>
      <c r="K1217" s="68" t="str">
        <f>VLOOKUP(Tabla6[[#This Row],[DIRECCIÓN GENERAL / COORDINACIÓN / SUBDIRECCIÓN]],Tabla37[[#All],[Columna1]:[EOD]],2,0)</f>
        <v>266_0007</v>
      </c>
      <c r="L1217" s="69">
        <f>VLOOKUP(Tabla6[[#This Row],[OBJETIVOS PND]],Listas!$A$1:$C$3,3,0)</f>
        <v>55</v>
      </c>
      <c r="M1217" s="70">
        <f>VLOOKUP(Tabla6[[#This Row],[PG]],Listas2!$G$14:$K$16,5,0)</f>
        <v>0</v>
      </c>
      <c r="N1217" s="71">
        <v>3</v>
      </c>
      <c r="O1217" s="72">
        <v>1100</v>
      </c>
      <c r="P1217" s="73" t="str">
        <f>VLOOKUP(Tabla6[[#This Row],[GEO]],Listas!$A$48:$B$77,2,0)</f>
        <v>LOJA</v>
      </c>
      <c r="Q1217" s="70">
        <f>VLOOKUP(Tabla6[[#This Row],[PG]],Listas2!$G$14:$K$16,3,0)</f>
        <v>1</v>
      </c>
      <c r="R1217" s="73">
        <f>VLOOKUP(Tabla6[[#This Row],[PG]],Listas2!H671:'Listas2'!$G$14:$K$16,4,0)</f>
        <v>0</v>
      </c>
      <c r="S1217" s="73">
        <f>VLOOKUP(Tabla6[[#This Row],[PG]],Listas2!$G$14:$K$16,2,0)</f>
        <v>0</v>
      </c>
      <c r="T1217" s="66" t="s">
        <v>84</v>
      </c>
      <c r="U1217" s="74">
        <v>51</v>
      </c>
      <c r="V1217" s="66">
        <v>510602</v>
      </c>
      <c r="W1217" s="63" t="str">
        <f>VLOOKUP(Tabla6[[#This Row],[ÍTEM PRESUPUESTARIO]],Tabla2[#All],2,0)</f>
        <v>FONDO DE RESERVA</v>
      </c>
      <c r="X1217" s="57">
        <v>5316</v>
      </c>
      <c r="Y1217" s="57">
        <v>5309.88</v>
      </c>
      <c r="Z1217" s="58">
        <v>448.5</v>
      </c>
      <c r="AA1217" s="58">
        <v>448.5</v>
      </c>
      <c r="AB1217" s="58">
        <v>448.5</v>
      </c>
      <c r="AC1217" s="58">
        <v>448.5</v>
      </c>
      <c r="AD1217" s="58">
        <v>448.5</v>
      </c>
      <c r="AE1217" s="58">
        <v>448.5</v>
      </c>
      <c r="AF1217" s="58">
        <v>448.5</v>
      </c>
      <c r="AG1217" s="58">
        <v>448.5</v>
      </c>
      <c r="AH1217" s="58">
        <v>448.5</v>
      </c>
      <c r="AI1217" s="58">
        <v>448.5</v>
      </c>
      <c r="AJ1217" s="58">
        <v>448.5</v>
      </c>
      <c r="AK1217" s="58">
        <v>376.38</v>
      </c>
      <c r="AL1217" s="75">
        <f>+SUBTOTAL(9,Tabla6[[#This Row],[ENE]:[DIC]])</f>
        <v>5309.88</v>
      </c>
      <c r="AM1217" s="76" t="str">
        <f t="shared" si="41"/>
        <v>OK</v>
      </c>
      <c r="AN1217" s="60">
        <v>0</v>
      </c>
      <c r="AO1217" s="61">
        <f>+Tabla6[[#This Row],[PRESUPUESTO VIGENTE]]-Tabla6[[#This Row],[CERTIFICACIÓN PAPP]]</f>
        <v>5309.88</v>
      </c>
      <c r="AP1217" s="59">
        <v>0</v>
      </c>
    </row>
    <row r="1218" spans="1:42" ht="93" customHeight="1" x14ac:dyDescent="0.25">
      <c r="A1218" s="62" t="s">
        <v>78</v>
      </c>
      <c r="B1218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218" s="64" t="s">
        <v>79</v>
      </c>
      <c r="D1218" s="64" t="s">
        <v>80</v>
      </c>
      <c r="E1218" s="64" t="s">
        <v>81</v>
      </c>
      <c r="F1218" s="64" t="s">
        <v>112</v>
      </c>
      <c r="G1218" s="64" t="s">
        <v>83</v>
      </c>
      <c r="H1218" s="65" t="str">
        <f>VLOOKUP(Tabla6[[#This Row],[DIRECCIÓN]],DIRECCIÓN[#All],2,0)</f>
        <v>ADMINISTRACIÓN CENTRAL</v>
      </c>
      <c r="I1218" s="66" t="s">
        <v>734</v>
      </c>
      <c r="J1218" s="67">
        <v>1</v>
      </c>
      <c r="K1218" s="68" t="str">
        <f>VLOOKUP(Tabla6[[#This Row],[DIRECCIÓN GENERAL / COORDINACIÓN / SUBDIRECCIÓN]],Tabla37[[#All],[Columna1]:[EOD]],2,0)</f>
        <v>266_0007</v>
      </c>
      <c r="L1218" s="69">
        <f>VLOOKUP(Tabla6[[#This Row],[OBJETIVOS PND]],Listas!$A$1:$C$3,3,0)</f>
        <v>1</v>
      </c>
      <c r="M1218" s="70">
        <f>VLOOKUP(Tabla6[[#This Row],[PG]],Listas2!$G$14:$K$16,5,0)</f>
        <v>0</v>
      </c>
      <c r="N1218" s="71">
        <v>1</v>
      </c>
      <c r="O1218" s="72">
        <v>1101</v>
      </c>
      <c r="P1218" s="73" t="str">
        <f>VLOOKUP(Tabla6[[#This Row],[GEO]],Listas!$A$48:$B$77,2,0)</f>
        <v>LOJA</v>
      </c>
      <c r="Q1218" s="70">
        <f>VLOOKUP(Tabla6[[#This Row],[PG]],Listas2!$G$14:$K$16,3,0)</f>
        <v>1</v>
      </c>
      <c r="R1218" s="73">
        <f>VLOOKUP(Tabla6[[#This Row],[PG]],Listas2!H672:'Listas2'!$G$14:$K$16,4,0)</f>
        <v>0</v>
      </c>
      <c r="S1218" s="73">
        <f>VLOOKUP(Tabla6[[#This Row],[PG]],Listas2!$G$14:$K$16,2,0)</f>
        <v>0</v>
      </c>
      <c r="T1218" s="66" t="s">
        <v>84</v>
      </c>
      <c r="U1218" s="74">
        <v>53</v>
      </c>
      <c r="V1218" s="66">
        <v>530101</v>
      </c>
      <c r="W1218" s="63" t="str">
        <f>VLOOKUP(Tabla6[[#This Row],[ÍTEM PRESUPUESTARIO]],Tabla2[#All],2,0)</f>
        <v>AGUA POTABLE</v>
      </c>
      <c r="X1218" s="57">
        <v>0</v>
      </c>
      <c r="Y1218" s="57">
        <v>153.11000000000001</v>
      </c>
      <c r="Z1218" s="58">
        <v>0</v>
      </c>
      <c r="AA1218" s="58">
        <v>0</v>
      </c>
      <c r="AB1218" s="58">
        <v>0</v>
      </c>
      <c r="AC1218" s="58">
        <v>0</v>
      </c>
      <c r="AD1218" s="58">
        <v>0</v>
      </c>
      <c r="AE1218" s="58">
        <v>0</v>
      </c>
      <c r="AF1218" s="58">
        <v>0</v>
      </c>
      <c r="AG1218" s="58">
        <v>153.11000000000001</v>
      </c>
      <c r="AH1218" s="58">
        <v>0</v>
      </c>
      <c r="AI1218" s="58">
        <v>0</v>
      </c>
      <c r="AJ1218" s="58">
        <v>0</v>
      </c>
      <c r="AK1218" s="58">
        <v>0</v>
      </c>
      <c r="AL1218" s="75">
        <f>+SUBTOTAL(9,Tabla6[[#This Row],[ENE]:[DIC]])</f>
        <v>153.11000000000001</v>
      </c>
      <c r="AM1218" s="76" t="str">
        <f t="shared" ref="AM1218:AM1249" si="42">IF(AL1218=Y1218,"OK",Y1218-AL1218)</f>
        <v>OK</v>
      </c>
      <c r="AN1218" s="60">
        <v>153.11000000000001</v>
      </c>
      <c r="AO1218" s="61">
        <f>+Tabla6[[#This Row],[PRESUPUESTO VIGENTE]]-Tabla6[[#This Row],[CERTIFICACIÓN PAPP]]</f>
        <v>0</v>
      </c>
      <c r="AP1218" s="59">
        <v>0</v>
      </c>
    </row>
    <row r="1219" spans="1:42" ht="93" customHeight="1" x14ac:dyDescent="0.25">
      <c r="A1219" s="62" t="s">
        <v>78</v>
      </c>
      <c r="B1219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219" s="64" t="s">
        <v>79</v>
      </c>
      <c r="D1219" s="64" t="s">
        <v>80</v>
      </c>
      <c r="E1219" s="64" t="s">
        <v>81</v>
      </c>
      <c r="F1219" s="64" t="s">
        <v>112</v>
      </c>
      <c r="G1219" s="64" t="s">
        <v>83</v>
      </c>
      <c r="H1219" s="65" t="str">
        <f>VLOOKUP(Tabla6[[#This Row],[DIRECCIÓN]],DIRECCIÓN[#All],2,0)</f>
        <v>ADMINISTRACIÓN CENTRAL</v>
      </c>
      <c r="I1219" s="66" t="s">
        <v>735</v>
      </c>
      <c r="J1219" s="67">
        <v>1</v>
      </c>
      <c r="K1219" s="68" t="str">
        <f>VLOOKUP(Tabla6[[#This Row],[DIRECCIÓN GENERAL / COORDINACIÓN / SUBDIRECCIÓN]],Tabla37[[#All],[Columna1]:[EOD]],2,0)</f>
        <v>266_0007</v>
      </c>
      <c r="L1219" s="69">
        <f>VLOOKUP(Tabla6[[#This Row],[OBJETIVOS PND]],Listas!$A$1:$C$3,3,0)</f>
        <v>1</v>
      </c>
      <c r="M1219" s="70">
        <f>VLOOKUP(Tabla6[[#This Row],[PG]],Listas2!$G$14:$K$16,5,0)</f>
        <v>0</v>
      </c>
      <c r="N1219" s="71">
        <v>1</v>
      </c>
      <c r="O1219" s="72">
        <v>1101</v>
      </c>
      <c r="P1219" s="73" t="str">
        <f>VLOOKUP(Tabla6[[#This Row],[GEO]],Listas!$A$48:$B$77,2,0)</f>
        <v>LOJA</v>
      </c>
      <c r="Q1219" s="70">
        <f>VLOOKUP(Tabla6[[#This Row],[PG]],Listas2!$G$14:$K$16,3,0)</f>
        <v>1</v>
      </c>
      <c r="R1219" s="73">
        <f>VLOOKUP(Tabla6[[#This Row],[PG]],Listas2!H673:'Listas2'!$G$14:$K$16,4,0)</f>
        <v>0</v>
      </c>
      <c r="S1219" s="73">
        <f>VLOOKUP(Tabla6[[#This Row],[PG]],Listas2!$G$14:$K$16,2,0)</f>
        <v>0</v>
      </c>
      <c r="T1219" s="66" t="s">
        <v>84</v>
      </c>
      <c r="U1219" s="74">
        <v>53</v>
      </c>
      <c r="V1219" s="66">
        <v>530101</v>
      </c>
      <c r="W1219" s="63" t="str">
        <f>VLOOKUP(Tabla6[[#This Row],[ÍTEM PRESUPUESTARIO]],Tabla2[#All],2,0)</f>
        <v>AGUA POTABLE</v>
      </c>
      <c r="X1219" s="57">
        <v>1440</v>
      </c>
      <c r="Y1219" s="57">
        <f>1440-153.11+300-98.78</f>
        <v>1488.11</v>
      </c>
      <c r="Z1219" s="58">
        <v>120</v>
      </c>
      <c r="AA1219" s="58">
        <v>120</v>
      </c>
      <c r="AB1219" s="58">
        <v>120</v>
      </c>
      <c r="AC1219" s="58">
        <v>120</v>
      </c>
      <c r="AD1219" s="58">
        <v>120</v>
      </c>
      <c r="AE1219" s="58">
        <v>120</v>
      </c>
      <c r="AF1219" s="58">
        <v>120</v>
      </c>
      <c r="AG1219" s="58">
        <v>120</v>
      </c>
      <c r="AH1219" s="58">
        <v>81.72</v>
      </c>
      <c r="AI1219" s="58">
        <v>81.72</v>
      </c>
      <c r="AJ1219" s="58">
        <v>231.72</v>
      </c>
      <c r="AK1219" s="58">
        <v>132.94999999999999</v>
      </c>
      <c r="AL1219" s="75">
        <f>+SUBTOTAL(9,Tabla6[[#This Row],[ENE]:[DIC]])</f>
        <v>1488.1100000000001</v>
      </c>
      <c r="AM1219" s="76" t="str">
        <f t="shared" si="42"/>
        <v>OK</v>
      </c>
      <c r="AN1219" s="60">
        <f>165.31+1274.69-153.11-42.51+342.51-98.78</f>
        <v>1488.11</v>
      </c>
      <c r="AO1219" s="61">
        <f>+Tabla6[[#This Row],[PRESUPUESTO VIGENTE]]-Tabla6[[#This Row],[CERTIFICACIÓN PAPP]]</f>
        <v>0</v>
      </c>
      <c r="AP1219" s="59">
        <v>0</v>
      </c>
    </row>
    <row r="1220" spans="1:42" ht="93" customHeight="1" x14ac:dyDescent="0.25">
      <c r="A1220" s="62" t="s">
        <v>78</v>
      </c>
      <c r="B1220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220" s="64" t="s">
        <v>79</v>
      </c>
      <c r="D1220" s="64" t="s">
        <v>80</v>
      </c>
      <c r="E1220" s="64" t="s">
        <v>81</v>
      </c>
      <c r="F1220" s="64" t="s">
        <v>112</v>
      </c>
      <c r="G1220" s="64" t="s">
        <v>83</v>
      </c>
      <c r="H1220" s="65" t="str">
        <f>VLOOKUP(Tabla6[[#This Row],[DIRECCIÓN]],DIRECCIÓN[#All],2,0)</f>
        <v>ADMINISTRACIÓN CENTRAL</v>
      </c>
      <c r="I1220" s="66" t="s">
        <v>736</v>
      </c>
      <c r="J1220" s="67">
        <v>1</v>
      </c>
      <c r="K1220" s="68" t="str">
        <f>VLOOKUP(Tabla6[[#This Row],[DIRECCIÓN GENERAL / COORDINACIÓN / SUBDIRECCIÓN]],Tabla37[[#All],[Columna1]:[EOD]],2,0)</f>
        <v>266_0007</v>
      </c>
      <c r="L1220" s="69">
        <f>VLOOKUP(Tabla6[[#This Row],[OBJETIVOS PND]],Listas!$A$1:$C$3,3,0)</f>
        <v>1</v>
      </c>
      <c r="M1220" s="70">
        <f>VLOOKUP(Tabla6[[#This Row],[PG]],Listas2!$G$14:$K$16,5,0)</f>
        <v>0</v>
      </c>
      <c r="N1220" s="71">
        <v>1</v>
      </c>
      <c r="O1220" s="72">
        <v>1101</v>
      </c>
      <c r="P1220" s="73" t="str">
        <f>VLOOKUP(Tabla6[[#This Row],[GEO]],Listas!$A$48:$B$77,2,0)</f>
        <v>LOJA</v>
      </c>
      <c r="Q1220" s="70">
        <f>VLOOKUP(Tabla6[[#This Row],[PG]],Listas2!$G$14:$K$16,3,0)</f>
        <v>1</v>
      </c>
      <c r="R1220" s="73">
        <f>VLOOKUP(Tabla6[[#This Row],[PG]],Listas2!H674:'Listas2'!$G$14:$K$16,4,0)</f>
        <v>0</v>
      </c>
      <c r="S1220" s="73">
        <f>VLOOKUP(Tabla6[[#This Row],[PG]],Listas2!$G$14:$K$16,2,0)</f>
        <v>0</v>
      </c>
      <c r="T1220" s="66" t="s">
        <v>84</v>
      </c>
      <c r="U1220" s="74">
        <v>53</v>
      </c>
      <c r="V1220" s="66">
        <v>530104</v>
      </c>
      <c r="W1220" s="63" t="str">
        <f>VLOOKUP(Tabla6[[#This Row],[ÍTEM PRESUPUESTARIO]],Tabla2[#All],2,0)</f>
        <v>ENERGÍA ELÉCTRICA</v>
      </c>
      <c r="X1220" s="57">
        <v>6000</v>
      </c>
      <c r="Y1220" s="57">
        <f>6000+3000-1656.22</f>
        <v>7343.78</v>
      </c>
      <c r="Z1220" s="58">
        <v>0</v>
      </c>
      <c r="AA1220" s="58">
        <v>0</v>
      </c>
      <c r="AB1220" s="58">
        <v>0</v>
      </c>
      <c r="AC1220" s="58">
        <v>343.78</v>
      </c>
      <c r="AD1220" s="58">
        <v>500</v>
      </c>
      <c r="AE1220" s="58">
        <v>500</v>
      </c>
      <c r="AF1220" s="58">
        <v>500</v>
      </c>
      <c r="AG1220" s="58">
        <v>500</v>
      </c>
      <c r="AH1220" s="58">
        <v>500</v>
      </c>
      <c r="AI1220" s="58">
        <v>500</v>
      </c>
      <c r="AJ1220" s="58">
        <v>2000</v>
      </c>
      <c r="AK1220" s="58">
        <v>2000</v>
      </c>
      <c r="AL1220" s="75">
        <f>+SUBTOTAL(9,Tabla6[[#This Row],[ENE]:[DIC]])</f>
        <v>7343.78</v>
      </c>
      <c r="AM1220" s="76" t="str">
        <f t="shared" si="42"/>
        <v>OK</v>
      </c>
      <c r="AN1220" s="60">
        <f>399.1+5600.9-1552.74+4552.74-1656.22</f>
        <v>7343.78</v>
      </c>
      <c r="AO1220" s="61">
        <f>+Tabla6[[#This Row],[PRESUPUESTO VIGENTE]]-Tabla6[[#This Row],[CERTIFICACIÓN PAPP]]</f>
        <v>0</v>
      </c>
      <c r="AP1220" s="59">
        <v>0</v>
      </c>
    </row>
    <row r="1221" spans="1:42" ht="93" customHeight="1" x14ac:dyDescent="0.25">
      <c r="A1221" s="62" t="s">
        <v>78</v>
      </c>
      <c r="B1221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221" s="64" t="s">
        <v>79</v>
      </c>
      <c r="D1221" s="64" t="s">
        <v>80</v>
      </c>
      <c r="E1221" s="64" t="s">
        <v>81</v>
      </c>
      <c r="F1221" s="64" t="s">
        <v>112</v>
      </c>
      <c r="G1221" s="64" t="s">
        <v>83</v>
      </c>
      <c r="H1221" s="65" t="str">
        <f>VLOOKUP(Tabla6[[#This Row],[DIRECCIÓN]],DIRECCIÓN[#All],2,0)</f>
        <v>ADMINISTRACIÓN CENTRAL</v>
      </c>
      <c r="I1221" s="66" t="s">
        <v>737</v>
      </c>
      <c r="J1221" s="67">
        <v>1</v>
      </c>
      <c r="K1221" s="68" t="str">
        <f>VLOOKUP(Tabla6[[#This Row],[DIRECCIÓN GENERAL / COORDINACIÓN / SUBDIRECCIÓN]],Tabla37[[#All],[Columna1]:[EOD]],2,0)</f>
        <v>266_0007</v>
      </c>
      <c r="L1221" s="69">
        <f>VLOOKUP(Tabla6[[#This Row],[OBJETIVOS PND]],Listas!$A$1:$C$3,3,0)</f>
        <v>1</v>
      </c>
      <c r="M1221" s="70">
        <f>VLOOKUP(Tabla6[[#This Row],[PG]],Listas2!$G$14:$K$16,5,0)</f>
        <v>0</v>
      </c>
      <c r="N1221" s="71">
        <v>1</v>
      </c>
      <c r="O1221" s="72">
        <v>1101</v>
      </c>
      <c r="P1221" s="73" t="str">
        <f>VLOOKUP(Tabla6[[#This Row],[GEO]],Listas!$A$48:$B$77,2,0)</f>
        <v>LOJA</v>
      </c>
      <c r="Q1221" s="70">
        <f>VLOOKUP(Tabla6[[#This Row],[PG]],Listas2!$G$14:$K$16,3,0)</f>
        <v>1</v>
      </c>
      <c r="R1221" s="73">
        <f>VLOOKUP(Tabla6[[#This Row],[PG]],Listas2!H675:'Listas2'!$G$14:$K$16,4,0)</f>
        <v>0</v>
      </c>
      <c r="S1221" s="73">
        <f>VLOOKUP(Tabla6[[#This Row],[PG]],Listas2!$G$14:$K$16,2,0)</f>
        <v>0</v>
      </c>
      <c r="T1221" s="66" t="s">
        <v>84</v>
      </c>
      <c r="U1221" s="74">
        <v>53</v>
      </c>
      <c r="V1221" s="66">
        <v>530201</v>
      </c>
      <c r="W1221" s="63" t="str">
        <f>VLOOKUP(Tabla6[[#This Row],[ÍTEM PRESUPUESTARIO]],Tabla2[#All],2,0)</f>
        <v>TRANSPORTE DE PERSONAL</v>
      </c>
      <c r="X1221" s="57">
        <v>37200</v>
      </c>
      <c r="Y1221" s="57">
        <f>37200+533.7-2263.51+1-1.5</f>
        <v>35469.689999999995</v>
      </c>
      <c r="Z1221" s="58">
        <v>3100</v>
      </c>
      <c r="AA1221" s="58">
        <v>3148.51</v>
      </c>
      <c r="AB1221" s="58">
        <v>3148.51</v>
      </c>
      <c r="AC1221" s="58">
        <v>3148.51</v>
      </c>
      <c r="AD1221" s="58">
        <v>3148.51</v>
      </c>
      <c r="AE1221" s="58">
        <v>3148.51</v>
      </c>
      <c r="AF1221" s="58">
        <v>3148.51</v>
      </c>
      <c r="AG1221" s="58">
        <v>3148.51</v>
      </c>
      <c r="AH1221" s="58">
        <v>3148.51</v>
      </c>
      <c r="AI1221" s="58">
        <v>3148.51</v>
      </c>
      <c r="AJ1221" s="58">
        <f>3148.51+1</f>
        <v>3149.51</v>
      </c>
      <c r="AK1221" s="58">
        <v>883.59</v>
      </c>
      <c r="AL1221" s="75">
        <f>+SUBTOTAL(9,Tabla6[[#This Row],[ENE]:[DIC]])</f>
        <v>35469.69000000001</v>
      </c>
      <c r="AM1221" s="76" t="str">
        <f t="shared" si="42"/>
        <v>OK</v>
      </c>
      <c r="AN1221" s="60">
        <f>37733.7-2264.02+0.01</f>
        <v>35469.69</v>
      </c>
      <c r="AO1221" s="61">
        <f>+Tabla6[[#This Row],[PRESUPUESTO VIGENTE]]-Tabla6[[#This Row],[CERTIFICACIÓN PAPP]]</f>
        <v>0</v>
      </c>
      <c r="AP1221" s="59" t="s">
        <v>87</v>
      </c>
    </row>
    <row r="1222" spans="1:42" ht="93" customHeight="1" x14ac:dyDescent="0.25">
      <c r="A1222" s="62" t="s">
        <v>78</v>
      </c>
      <c r="B1222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222" s="64" t="s">
        <v>79</v>
      </c>
      <c r="D1222" s="64" t="s">
        <v>80</v>
      </c>
      <c r="E1222" s="64" t="s">
        <v>81</v>
      </c>
      <c r="F1222" s="64" t="s">
        <v>112</v>
      </c>
      <c r="G1222" s="64" t="s">
        <v>83</v>
      </c>
      <c r="H1222" s="65" t="str">
        <f>VLOOKUP(Tabla6[[#This Row],[DIRECCIÓN]],DIRECCIÓN[#All],2,0)</f>
        <v>ADMINISTRACIÓN CENTRAL</v>
      </c>
      <c r="I1222" s="66" t="s">
        <v>738</v>
      </c>
      <c r="J1222" s="67">
        <v>1</v>
      </c>
      <c r="K1222" s="68" t="str">
        <f>VLOOKUP(Tabla6[[#This Row],[DIRECCIÓN GENERAL / COORDINACIÓN / SUBDIRECCIÓN]],Tabla37[[#All],[Columna1]:[EOD]],2,0)</f>
        <v>266_0007</v>
      </c>
      <c r="L1222" s="69">
        <f>VLOOKUP(Tabla6[[#This Row],[OBJETIVOS PND]],Listas!$A$1:$C$3,3,0)</f>
        <v>1</v>
      </c>
      <c r="M1222" s="70">
        <f>VLOOKUP(Tabla6[[#This Row],[PG]],Listas2!$G$14:$K$16,5,0)</f>
        <v>0</v>
      </c>
      <c r="N1222" s="71">
        <v>1</v>
      </c>
      <c r="O1222" s="72">
        <v>1101</v>
      </c>
      <c r="P1222" s="73" t="str">
        <f>VLOOKUP(Tabla6[[#This Row],[GEO]],Listas!$A$48:$B$77,2,0)</f>
        <v>LOJA</v>
      </c>
      <c r="Q1222" s="70">
        <f>VLOOKUP(Tabla6[[#This Row],[PG]],Listas2!$G$14:$K$16,3,0)</f>
        <v>1</v>
      </c>
      <c r="R1222" s="73">
        <f>VLOOKUP(Tabla6[[#This Row],[PG]],Listas2!H676:'Listas2'!$G$14:$K$16,4,0)</f>
        <v>0</v>
      </c>
      <c r="S1222" s="73">
        <f>VLOOKUP(Tabla6[[#This Row],[PG]],Listas2!$G$14:$K$16,2,0)</f>
        <v>0</v>
      </c>
      <c r="T1222" s="66" t="s">
        <v>84</v>
      </c>
      <c r="U1222" s="74">
        <v>53</v>
      </c>
      <c r="V1222" s="66">
        <v>530203</v>
      </c>
      <c r="W1222" s="63" t="str">
        <f>VLOOKUP(Tabla6[[#This Row],[ÍTEM PRESUPUESTARIO]],Tabla2[#All],2,0)</f>
        <v>ALMACENAMIENTO, EMBALAJE, DESEMBALAJE, ENVASE, DESENVASE Y RECARGA DE EXTINTORES</v>
      </c>
      <c r="X1222" s="57">
        <v>500</v>
      </c>
      <c r="Y1222" s="57">
        <f>500-250+250-196.24</f>
        <v>303.76</v>
      </c>
      <c r="Z1222" s="58">
        <v>0</v>
      </c>
      <c r="AA1222" s="58">
        <v>0</v>
      </c>
      <c r="AB1222" s="58">
        <v>0</v>
      </c>
      <c r="AC1222" s="58">
        <v>0</v>
      </c>
      <c r="AD1222" s="58">
        <v>0</v>
      </c>
      <c r="AE1222" s="58">
        <v>0</v>
      </c>
      <c r="AF1222" s="58">
        <v>0</v>
      </c>
      <c r="AG1222" s="58">
        <v>0</v>
      </c>
      <c r="AH1222" s="58">
        <v>0</v>
      </c>
      <c r="AI1222" s="58">
        <v>0</v>
      </c>
      <c r="AJ1222" s="58">
        <v>303.76</v>
      </c>
      <c r="AK1222" s="58">
        <v>0</v>
      </c>
      <c r="AL1222" s="75">
        <f>+SUBTOTAL(9,Tabla6[[#This Row],[ENE]:[DIC]])</f>
        <v>303.76</v>
      </c>
      <c r="AM1222" s="76" t="str">
        <f t="shared" si="42"/>
        <v>OK</v>
      </c>
      <c r="AN1222" s="60">
        <v>303.76</v>
      </c>
      <c r="AO1222" s="61">
        <f>+Tabla6[[#This Row],[PRESUPUESTO VIGENTE]]-Tabla6[[#This Row],[CERTIFICACIÓN PAPP]]</f>
        <v>0</v>
      </c>
      <c r="AP1222" s="59">
        <v>0</v>
      </c>
    </row>
    <row r="1223" spans="1:42" ht="93" customHeight="1" x14ac:dyDescent="0.25">
      <c r="A1223" s="62" t="s">
        <v>78</v>
      </c>
      <c r="B1223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223" s="64" t="s">
        <v>79</v>
      </c>
      <c r="D1223" s="64" t="s">
        <v>80</v>
      </c>
      <c r="E1223" s="64" t="s">
        <v>81</v>
      </c>
      <c r="F1223" s="64" t="s">
        <v>112</v>
      </c>
      <c r="G1223" s="64" t="s">
        <v>83</v>
      </c>
      <c r="H1223" s="65" t="str">
        <f>VLOOKUP(Tabla6[[#This Row],[DIRECCIÓN]],DIRECCIÓN[#All],2,0)</f>
        <v>ADMINISTRACIÓN CENTRAL</v>
      </c>
      <c r="I1223" s="66" t="s">
        <v>739</v>
      </c>
      <c r="J1223" s="67">
        <v>1</v>
      </c>
      <c r="K1223" s="68" t="str">
        <f>VLOOKUP(Tabla6[[#This Row],[DIRECCIÓN GENERAL / COORDINACIÓN / SUBDIRECCIÓN]],Tabla37[[#All],[Columna1]:[EOD]],2,0)</f>
        <v>266_0007</v>
      </c>
      <c r="L1223" s="69">
        <f>VLOOKUP(Tabla6[[#This Row],[OBJETIVOS PND]],Listas!$A$1:$C$3,3,0)</f>
        <v>1</v>
      </c>
      <c r="M1223" s="70">
        <f>VLOOKUP(Tabla6[[#This Row],[PG]],Listas2!$G$14:$K$16,5,0)</f>
        <v>0</v>
      </c>
      <c r="N1223" s="71">
        <v>1</v>
      </c>
      <c r="O1223" s="72">
        <v>1101</v>
      </c>
      <c r="P1223" s="73" t="str">
        <f>VLOOKUP(Tabla6[[#This Row],[GEO]],Listas!$A$48:$B$77,2,0)</f>
        <v>LOJA</v>
      </c>
      <c r="Q1223" s="70">
        <f>VLOOKUP(Tabla6[[#This Row],[PG]],Listas2!$G$14:$K$16,3,0)</f>
        <v>1</v>
      </c>
      <c r="R1223" s="73">
        <f>VLOOKUP(Tabla6[[#This Row],[PG]],Listas2!H677:'Listas2'!$G$14:$K$16,4,0)</f>
        <v>0</v>
      </c>
      <c r="S1223" s="73">
        <f>VLOOKUP(Tabla6[[#This Row],[PG]],Listas2!$G$14:$K$16,2,0)</f>
        <v>0</v>
      </c>
      <c r="T1223" s="66" t="s">
        <v>84</v>
      </c>
      <c r="U1223" s="74">
        <v>53</v>
      </c>
      <c r="V1223" s="66">
        <v>530209</v>
      </c>
      <c r="W1223" s="63" t="str">
        <f>VLOOKUP(Tabla6[[#This Row],[ÍTEM PRESUPUESTARIO]],Tabla2[#All],2,0)</f>
        <v>SERVICIOS DE ASEO, LAVADO DE VESTIMENTA DE TRABAJO, FUMIGACIÓN, DESINFECCIÓN, LIMPIEZA DE INSTALACIONES, MANEJO DE DESECHOS CONTAMINADOS, RECUPERACIÓN Y CLASIFICACIÓN DE MATERIALES RECICLABLES</v>
      </c>
      <c r="X1223" s="57">
        <v>36976</v>
      </c>
      <c r="Y1223" s="57">
        <f>36976-2932-2280-2365-1.24-1.23</f>
        <v>29396.53</v>
      </c>
      <c r="Z1223" s="58">
        <v>3082</v>
      </c>
      <c r="AA1223" s="58">
        <v>3082</v>
      </c>
      <c r="AB1223" s="58">
        <v>3082</v>
      </c>
      <c r="AC1223" s="58">
        <v>3082</v>
      </c>
      <c r="AD1223" s="58">
        <v>3082</v>
      </c>
      <c r="AE1223" s="58">
        <v>3082</v>
      </c>
      <c r="AF1223" s="58">
        <v>2212</v>
      </c>
      <c r="AG1223" s="58">
        <v>2212</v>
      </c>
      <c r="AH1223" s="58">
        <v>2212</v>
      </c>
      <c r="AI1223" s="58">
        <v>2212</v>
      </c>
      <c r="AJ1223" s="58">
        <v>1498.77</v>
      </c>
      <c r="AK1223" s="58">
        <v>557.76</v>
      </c>
      <c r="AL1223" s="75">
        <f>+SUBTOTAL(9,Tabla6[[#This Row],[ENE]:[DIC]])</f>
        <v>29396.53</v>
      </c>
      <c r="AM1223" s="76" t="str">
        <f t="shared" si="42"/>
        <v>OK</v>
      </c>
      <c r="AN1223" s="60">
        <f>14698.26+14698.26+0.01</f>
        <v>29396.53</v>
      </c>
      <c r="AO1223" s="61">
        <f>+Tabla6[[#This Row],[PRESUPUESTO VIGENTE]]-Tabla6[[#This Row],[CERTIFICACIÓN PAPP]]</f>
        <v>0</v>
      </c>
      <c r="AP1223" s="59">
        <v>0</v>
      </c>
    </row>
    <row r="1224" spans="1:42" ht="93" customHeight="1" x14ac:dyDescent="0.25">
      <c r="A1224" s="62" t="s">
        <v>78</v>
      </c>
      <c r="B1224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224" s="64" t="s">
        <v>79</v>
      </c>
      <c r="D1224" s="64" t="s">
        <v>80</v>
      </c>
      <c r="E1224" s="64" t="s">
        <v>81</v>
      </c>
      <c r="F1224" s="64" t="s">
        <v>112</v>
      </c>
      <c r="G1224" s="64" t="s">
        <v>83</v>
      </c>
      <c r="H1224" s="65" t="str">
        <f>VLOOKUP(Tabla6[[#This Row],[DIRECCIÓN]],DIRECCIÓN[#All],2,0)</f>
        <v>ADMINISTRACIÓN CENTRAL</v>
      </c>
      <c r="I1224" s="66" t="s">
        <v>740</v>
      </c>
      <c r="J1224" s="67">
        <v>1</v>
      </c>
      <c r="K1224" s="68" t="str">
        <f>VLOOKUP(Tabla6[[#This Row],[DIRECCIÓN GENERAL / COORDINACIÓN / SUBDIRECCIÓN]],Tabla37[[#All],[Columna1]:[EOD]],2,0)</f>
        <v>266_0007</v>
      </c>
      <c r="L1224" s="69">
        <f>VLOOKUP(Tabla6[[#This Row],[OBJETIVOS PND]],Listas!$A$1:$C$3,3,0)</f>
        <v>1</v>
      </c>
      <c r="M1224" s="70">
        <f>VLOOKUP(Tabla6[[#This Row],[PG]],Listas2!$G$14:$K$16,5,0)</f>
        <v>0</v>
      </c>
      <c r="N1224" s="71">
        <v>1</v>
      </c>
      <c r="O1224" s="72">
        <v>1101</v>
      </c>
      <c r="P1224" s="73" t="str">
        <f>VLOOKUP(Tabla6[[#This Row],[GEO]],Listas!$A$48:$B$77,2,0)</f>
        <v>LOJA</v>
      </c>
      <c r="Q1224" s="70">
        <f>VLOOKUP(Tabla6[[#This Row],[PG]],Listas2!$G$14:$K$16,3,0)</f>
        <v>1</v>
      </c>
      <c r="R1224" s="73">
        <f>VLOOKUP(Tabla6[[#This Row],[PG]],Listas2!H678:'Listas2'!$G$14:$K$16,4,0)</f>
        <v>0</v>
      </c>
      <c r="S1224" s="73">
        <f>VLOOKUP(Tabla6[[#This Row],[PG]],Listas2!$G$14:$K$16,2,0)</f>
        <v>0</v>
      </c>
      <c r="T1224" s="66" t="s">
        <v>84</v>
      </c>
      <c r="U1224" s="74">
        <v>53</v>
      </c>
      <c r="V1224" s="66">
        <v>530210</v>
      </c>
      <c r="W1224" s="63" t="str">
        <f>VLOOKUP(Tabla6[[#This Row],[ÍTEM PRESUPUESTARIO]],Tabla2[#All],2,0)</f>
        <v>SERVICIO DE GUARDERÍA</v>
      </c>
      <c r="X1224" s="57">
        <v>0</v>
      </c>
      <c r="Y1224" s="57">
        <f>4100-3170</f>
        <v>930</v>
      </c>
      <c r="Z1224" s="58">
        <v>0</v>
      </c>
      <c r="AA1224" s="58">
        <v>0</v>
      </c>
      <c r="AB1224" s="58">
        <v>0</v>
      </c>
      <c r="AC1224" s="58">
        <v>0</v>
      </c>
      <c r="AD1224" s="58">
        <v>0</v>
      </c>
      <c r="AE1224" s="58">
        <v>0</v>
      </c>
      <c r="AF1224" s="58">
        <v>0</v>
      </c>
      <c r="AG1224" s="58">
        <v>0</v>
      </c>
      <c r="AH1224" s="58">
        <v>0</v>
      </c>
      <c r="AI1224" s="58">
        <v>0</v>
      </c>
      <c r="AJ1224" s="58">
        <v>0</v>
      </c>
      <c r="AK1224" s="58">
        <v>930</v>
      </c>
      <c r="AL1224" s="75">
        <f>+SUBTOTAL(9,Tabla6[[#This Row],[ENE]:[DIC]])</f>
        <v>930</v>
      </c>
      <c r="AM1224" s="76" t="str">
        <f t="shared" si="42"/>
        <v>OK</v>
      </c>
      <c r="AN1224" s="60">
        <f>4100-3170</f>
        <v>930</v>
      </c>
      <c r="AO1224" s="61">
        <f>+Tabla6[[#This Row],[PRESUPUESTO VIGENTE]]-Tabla6[[#This Row],[CERTIFICACIÓN PAPP]]</f>
        <v>0</v>
      </c>
      <c r="AP1224" s="59">
        <v>0</v>
      </c>
    </row>
    <row r="1225" spans="1:42" ht="93" customHeight="1" x14ac:dyDescent="0.25">
      <c r="A1225" s="62" t="s">
        <v>78</v>
      </c>
      <c r="B1225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225" s="64" t="s">
        <v>79</v>
      </c>
      <c r="D1225" s="64" t="s">
        <v>80</v>
      </c>
      <c r="E1225" s="64" t="s">
        <v>81</v>
      </c>
      <c r="F1225" s="64" t="s">
        <v>112</v>
      </c>
      <c r="G1225" s="64" t="s">
        <v>83</v>
      </c>
      <c r="H1225" s="65" t="str">
        <f>VLOOKUP(Tabla6[[#This Row],[DIRECCIÓN]],DIRECCIÓN[#All],2,0)</f>
        <v>ADMINISTRACIÓN CENTRAL</v>
      </c>
      <c r="I1225" s="66" t="s">
        <v>683</v>
      </c>
      <c r="J1225" s="67">
        <v>1</v>
      </c>
      <c r="K1225" s="68" t="str">
        <f>VLOOKUP(Tabla6[[#This Row],[DIRECCIÓN GENERAL / COORDINACIÓN / SUBDIRECCIÓN]],Tabla37[[#All],[Columna1]:[EOD]],2,0)</f>
        <v>266_0007</v>
      </c>
      <c r="L1225" s="69">
        <f>VLOOKUP(Tabla6[[#This Row],[OBJETIVOS PND]],Listas!$A$1:$C$3,3,0)</f>
        <v>1</v>
      </c>
      <c r="M1225" s="70">
        <f>VLOOKUP(Tabla6[[#This Row],[PG]],Listas2!$G$14:$K$16,5,0)</f>
        <v>0</v>
      </c>
      <c r="N1225" s="71">
        <v>1</v>
      </c>
      <c r="O1225" s="72">
        <v>1101</v>
      </c>
      <c r="P1225" s="73" t="str">
        <f>VLOOKUP(Tabla6[[#This Row],[GEO]],Listas!$A$48:$B$77,2,0)</f>
        <v>LOJA</v>
      </c>
      <c r="Q1225" s="70">
        <f>VLOOKUP(Tabla6[[#This Row],[PG]],Listas2!$G$14:$K$16,3,0)</f>
        <v>1</v>
      </c>
      <c r="R1225" s="73">
        <f>VLOOKUP(Tabla6[[#This Row],[PG]],Listas2!H679:'Listas2'!$G$14:$K$16,4,0)</f>
        <v>0</v>
      </c>
      <c r="S1225" s="73">
        <f>VLOOKUP(Tabla6[[#This Row],[PG]],Listas2!$G$14:$K$16,2,0)</f>
        <v>0</v>
      </c>
      <c r="T1225" s="66" t="s">
        <v>84</v>
      </c>
      <c r="U1225" s="74">
        <v>53</v>
      </c>
      <c r="V1225" s="66">
        <v>530246</v>
      </c>
      <c r="W1225" s="63" t="str">
        <f>VLOOKUP(Tabla6[[#This Row],[ÍTEM PRESUPUESTARIO]],Tabla2[#All],2,0)</f>
        <v>SERVICIOS DE IDENTIFICACIÓN, MARCACIÓN, AUTENTIFICACIÓN, RASTREO, MONITOREO, SEGUIMIENTO Y/O TRAZABILIDAD</v>
      </c>
      <c r="X1225" s="57">
        <v>0</v>
      </c>
      <c r="Y1225" s="57">
        <f>900-600</f>
        <v>300</v>
      </c>
      <c r="Z1225" s="58">
        <v>0</v>
      </c>
      <c r="AA1225" s="58">
        <v>0</v>
      </c>
      <c r="AB1225" s="58">
        <v>0</v>
      </c>
      <c r="AC1225" s="58">
        <v>0</v>
      </c>
      <c r="AD1225" s="58">
        <v>0</v>
      </c>
      <c r="AE1225" s="58">
        <v>0</v>
      </c>
      <c r="AF1225" s="58">
        <v>60</v>
      </c>
      <c r="AG1225" s="58">
        <v>100</v>
      </c>
      <c r="AH1225" s="58">
        <v>35</v>
      </c>
      <c r="AI1225" s="58">
        <v>35</v>
      </c>
      <c r="AJ1225" s="58">
        <v>35</v>
      </c>
      <c r="AK1225" s="58">
        <v>35</v>
      </c>
      <c r="AL1225" s="75">
        <f>+SUBTOTAL(9,Tabla6[[#This Row],[ENE]:[DIC]])</f>
        <v>300</v>
      </c>
      <c r="AM1225" s="76" t="str">
        <f t="shared" si="42"/>
        <v>OK</v>
      </c>
      <c r="AN1225" s="60">
        <v>300</v>
      </c>
      <c r="AO1225" s="61">
        <f>+Tabla6[[#This Row],[PRESUPUESTO VIGENTE]]-Tabla6[[#This Row],[CERTIFICACIÓN PAPP]]</f>
        <v>0</v>
      </c>
      <c r="AP1225" s="59">
        <v>0</v>
      </c>
    </row>
    <row r="1226" spans="1:42" ht="93" customHeight="1" x14ac:dyDescent="0.25">
      <c r="A1226" s="62" t="s">
        <v>78</v>
      </c>
      <c r="B1226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226" s="64" t="s">
        <v>79</v>
      </c>
      <c r="D1226" s="64" t="s">
        <v>80</v>
      </c>
      <c r="E1226" s="64" t="s">
        <v>81</v>
      </c>
      <c r="F1226" s="64" t="s">
        <v>112</v>
      </c>
      <c r="G1226" s="64" t="s">
        <v>83</v>
      </c>
      <c r="H1226" s="65" t="str">
        <f>VLOOKUP(Tabla6[[#This Row],[DIRECCIÓN]],DIRECCIÓN[#All],2,0)</f>
        <v>ADMINISTRACIÓN CENTRAL</v>
      </c>
      <c r="I1226" s="66" t="s">
        <v>741</v>
      </c>
      <c r="J1226" s="67">
        <v>1</v>
      </c>
      <c r="K1226" s="68" t="str">
        <f>VLOOKUP(Tabla6[[#This Row],[DIRECCIÓN GENERAL / COORDINACIÓN / SUBDIRECCIÓN]],Tabla37[[#All],[Columna1]:[EOD]],2,0)</f>
        <v>266_0007</v>
      </c>
      <c r="L1226" s="69">
        <f>VLOOKUP(Tabla6[[#This Row],[OBJETIVOS PND]],Listas!$A$1:$C$3,3,0)</f>
        <v>1</v>
      </c>
      <c r="M1226" s="70">
        <f>VLOOKUP(Tabla6[[#This Row],[PG]],Listas2!$G$14:$K$16,5,0)</f>
        <v>0</v>
      </c>
      <c r="N1226" s="71">
        <v>1</v>
      </c>
      <c r="O1226" s="72">
        <v>1101</v>
      </c>
      <c r="P1226" s="73" t="str">
        <f>VLOOKUP(Tabla6[[#This Row],[GEO]],Listas!$A$48:$B$77,2,0)</f>
        <v>LOJA</v>
      </c>
      <c r="Q1226" s="70">
        <f>VLOOKUP(Tabla6[[#This Row],[PG]],Listas2!$G$14:$K$16,3,0)</f>
        <v>1</v>
      </c>
      <c r="R1226" s="73">
        <f>VLOOKUP(Tabla6[[#This Row],[PG]],Listas2!H680:'Listas2'!$G$14:$K$16,4,0)</f>
        <v>0</v>
      </c>
      <c r="S1226" s="73">
        <f>VLOOKUP(Tabla6[[#This Row],[PG]],Listas2!$G$14:$K$16,2,0)</f>
        <v>0</v>
      </c>
      <c r="T1226" s="66" t="s">
        <v>84</v>
      </c>
      <c r="U1226" s="74">
        <v>53</v>
      </c>
      <c r="V1226" s="66">
        <v>530255</v>
      </c>
      <c r="W1226" s="63" t="str">
        <f>VLOOKUP(Tabla6[[#This Row],[ÍTEM PRESUPUESTARIO]],Tabla2[#All],2,0)</f>
        <v>COMBUSTIBLES</v>
      </c>
      <c r="X1226" s="57">
        <v>0</v>
      </c>
      <c r="Y1226" s="57">
        <f>4175-125.33-1791.25-179.29</f>
        <v>2079.13</v>
      </c>
      <c r="Z1226" s="58">
        <v>0</v>
      </c>
      <c r="AA1226" s="58">
        <v>162.46</v>
      </c>
      <c r="AB1226" s="58">
        <v>162.46</v>
      </c>
      <c r="AC1226" s="58">
        <v>162.46</v>
      </c>
      <c r="AD1226" s="58">
        <v>162.46</v>
      </c>
      <c r="AE1226" s="58">
        <v>162.46</v>
      </c>
      <c r="AF1226" s="58">
        <v>162.46</v>
      </c>
      <c r="AG1226" s="58">
        <v>162.46</v>
      </c>
      <c r="AH1226" s="58">
        <v>162.46</v>
      </c>
      <c r="AI1226" s="58">
        <v>162.46</v>
      </c>
      <c r="AJ1226" s="58">
        <v>542.01</v>
      </c>
      <c r="AK1226" s="58">
        <v>74.98</v>
      </c>
      <c r="AL1226" s="75">
        <f>+SUBTOTAL(9,Tabla6[[#This Row],[ENE]:[DIC]])</f>
        <v>2079.13</v>
      </c>
      <c r="AM1226" s="76" t="str">
        <f t="shared" si="42"/>
        <v>OK</v>
      </c>
      <c r="AN1226" s="60">
        <f>3925-1791.25+124.67-179.29</f>
        <v>2079.13</v>
      </c>
      <c r="AO1226" s="61">
        <f>+Tabla6[[#This Row],[PRESUPUESTO VIGENTE]]-Tabla6[[#This Row],[CERTIFICACIÓN PAPP]]</f>
        <v>0</v>
      </c>
      <c r="AP1226" s="59">
        <v>0</v>
      </c>
    </row>
    <row r="1227" spans="1:42" ht="93" customHeight="1" x14ac:dyDescent="0.25">
      <c r="A1227" s="62" t="s">
        <v>78</v>
      </c>
      <c r="B1227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227" s="64" t="s">
        <v>79</v>
      </c>
      <c r="D1227" s="64" t="s">
        <v>80</v>
      </c>
      <c r="E1227" s="64" t="s">
        <v>81</v>
      </c>
      <c r="F1227" s="64" t="s">
        <v>112</v>
      </c>
      <c r="G1227" s="64" t="s">
        <v>83</v>
      </c>
      <c r="H1227" s="65" t="str">
        <f>VLOOKUP(Tabla6[[#This Row],[DIRECCIÓN]],DIRECCIÓN[#All],2,0)</f>
        <v>ADMINISTRACIÓN CENTRAL</v>
      </c>
      <c r="I1227" s="66" t="s">
        <v>742</v>
      </c>
      <c r="J1227" s="67">
        <v>1</v>
      </c>
      <c r="K1227" s="68" t="str">
        <f>VLOOKUP(Tabla6[[#This Row],[DIRECCIÓN GENERAL / COORDINACIÓN / SUBDIRECCIÓN]],Tabla37[[#All],[Columna1]:[EOD]],2,0)</f>
        <v>266_0007</v>
      </c>
      <c r="L1227" s="69">
        <f>VLOOKUP(Tabla6[[#This Row],[OBJETIVOS PND]],Listas!$A$1:$C$3,3,0)</f>
        <v>1</v>
      </c>
      <c r="M1227" s="70">
        <f>VLOOKUP(Tabla6[[#This Row],[PG]],Listas2!$G$14:$K$16,5,0)</f>
        <v>0</v>
      </c>
      <c r="N1227" s="71">
        <v>1</v>
      </c>
      <c r="O1227" s="72">
        <v>1101</v>
      </c>
      <c r="P1227" s="73" t="str">
        <f>VLOOKUP(Tabla6[[#This Row],[GEO]],Listas!$A$48:$B$77,2,0)</f>
        <v>LOJA</v>
      </c>
      <c r="Q1227" s="70">
        <f>VLOOKUP(Tabla6[[#This Row],[PG]],Listas2!$G$14:$K$16,3,0)</f>
        <v>1</v>
      </c>
      <c r="R1227" s="73">
        <f>VLOOKUP(Tabla6[[#This Row],[PG]],Listas2!H681:'Listas2'!$G$14:$K$16,4,0)</f>
        <v>0</v>
      </c>
      <c r="S1227" s="73">
        <f>VLOOKUP(Tabla6[[#This Row],[PG]],Listas2!$G$14:$K$16,2,0)</f>
        <v>0</v>
      </c>
      <c r="T1227" s="66" t="s">
        <v>84</v>
      </c>
      <c r="U1227" s="74">
        <v>53</v>
      </c>
      <c r="V1227" s="66">
        <v>530255</v>
      </c>
      <c r="W1227" s="63" t="str">
        <f>VLOOKUP(Tabla6[[#This Row],[ÍTEM PRESUPUESTARIO]],Tabla2[#All],2,0)</f>
        <v>COMBUSTIBLES</v>
      </c>
      <c r="X1227" s="57">
        <v>0</v>
      </c>
      <c r="Y1227" s="57">
        <f>890-108.75</f>
        <v>781.25</v>
      </c>
      <c r="Z1227" s="58">
        <v>0</v>
      </c>
      <c r="AA1227" s="58">
        <v>0</v>
      </c>
      <c r="AB1227" s="58">
        <v>0</v>
      </c>
      <c r="AC1227" s="58">
        <v>0</v>
      </c>
      <c r="AD1227" s="58">
        <v>0</v>
      </c>
      <c r="AE1227" s="58">
        <v>0</v>
      </c>
      <c r="AF1227" s="58">
        <v>0</v>
      </c>
      <c r="AG1227" s="58">
        <v>0</v>
      </c>
      <c r="AH1227" s="58">
        <v>0</v>
      </c>
      <c r="AI1227" s="58">
        <v>0</v>
      </c>
      <c r="AJ1227" s="58">
        <v>781.25</v>
      </c>
      <c r="AK1227" s="58">
        <v>0</v>
      </c>
      <c r="AL1227" s="75">
        <f>+SUBTOTAL(9,Tabla6[[#This Row],[ENE]:[DIC]])</f>
        <v>781.25</v>
      </c>
      <c r="AM1227" s="76" t="str">
        <f t="shared" si="42"/>
        <v>OK</v>
      </c>
      <c r="AN1227" s="60">
        <v>781.25</v>
      </c>
      <c r="AO1227" s="61">
        <f>+Tabla6[[#This Row],[PRESUPUESTO VIGENTE]]-Tabla6[[#This Row],[CERTIFICACIÓN PAPP]]</f>
        <v>0</v>
      </c>
      <c r="AP1227" s="59">
        <v>0</v>
      </c>
    </row>
    <row r="1228" spans="1:42" ht="93" customHeight="1" x14ac:dyDescent="0.25">
      <c r="A1228" s="62" t="s">
        <v>78</v>
      </c>
      <c r="B1228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228" s="64" t="s">
        <v>79</v>
      </c>
      <c r="D1228" s="64" t="s">
        <v>80</v>
      </c>
      <c r="E1228" s="64" t="s">
        <v>81</v>
      </c>
      <c r="F1228" s="64" t="s">
        <v>112</v>
      </c>
      <c r="G1228" s="64" t="s">
        <v>83</v>
      </c>
      <c r="H1228" s="65" t="str">
        <f>VLOOKUP(Tabla6[[#This Row],[DIRECCIÓN]],DIRECCIÓN[#All],2,0)</f>
        <v>ADMINISTRACIÓN CENTRAL</v>
      </c>
      <c r="I1228" s="66" t="s">
        <v>743</v>
      </c>
      <c r="J1228" s="67">
        <v>1</v>
      </c>
      <c r="K1228" s="68" t="str">
        <f>VLOOKUP(Tabla6[[#This Row],[DIRECCIÓN GENERAL / COORDINACIÓN / SUBDIRECCIÓN]],Tabla37[[#All],[Columna1]:[EOD]],2,0)</f>
        <v>266_0007</v>
      </c>
      <c r="L1228" s="69">
        <f>VLOOKUP(Tabla6[[#This Row],[OBJETIVOS PND]],Listas!$A$1:$C$3,3,0)</f>
        <v>1</v>
      </c>
      <c r="M1228" s="70">
        <f>VLOOKUP(Tabla6[[#This Row],[PG]],Listas2!$G$14:$K$16,5,0)</f>
        <v>0</v>
      </c>
      <c r="N1228" s="71">
        <v>1</v>
      </c>
      <c r="O1228" s="72">
        <v>1101</v>
      </c>
      <c r="P1228" s="73" t="str">
        <f>VLOOKUP(Tabla6[[#This Row],[GEO]],Listas!$A$48:$B$77,2,0)</f>
        <v>LOJA</v>
      </c>
      <c r="Q1228" s="70">
        <f>VLOOKUP(Tabla6[[#This Row],[PG]],Listas2!$G$14:$K$16,3,0)</f>
        <v>1</v>
      </c>
      <c r="R1228" s="73">
        <f>VLOOKUP(Tabla6[[#This Row],[PG]],Listas2!H682:'Listas2'!$G$14:$K$16,4,0)</f>
        <v>0</v>
      </c>
      <c r="S1228" s="73">
        <f>VLOOKUP(Tabla6[[#This Row],[PG]],Listas2!$G$14:$K$16,2,0)</f>
        <v>0</v>
      </c>
      <c r="T1228" s="66" t="s">
        <v>84</v>
      </c>
      <c r="U1228" s="74">
        <v>53</v>
      </c>
      <c r="V1228" s="66">
        <v>530255</v>
      </c>
      <c r="W1228" s="63" t="str">
        <f>VLOOKUP(Tabla6[[#This Row],[ÍTEM PRESUPUESTARIO]],Tabla2[#All],2,0)</f>
        <v>COMBUSTIBLES</v>
      </c>
      <c r="X1228" s="57">
        <v>0</v>
      </c>
      <c r="Y1228" s="57">
        <f>250-203.66</f>
        <v>46.34</v>
      </c>
      <c r="Z1228" s="58">
        <v>0</v>
      </c>
      <c r="AA1228" s="58">
        <v>0</v>
      </c>
      <c r="AB1228" s="58">
        <v>25</v>
      </c>
      <c r="AC1228" s="58">
        <v>21.34</v>
      </c>
      <c r="AD1228" s="58">
        <v>0</v>
      </c>
      <c r="AE1228" s="58">
        <v>0</v>
      </c>
      <c r="AF1228" s="58">
        <v>0</v>
      </c>
      <c r="AG1228" s="58">
        <v>0</v>
      </c>
      <c r="AH1228" s="58">
        <v>0</v>
      </c>
      <c r="AI1228" s="58">
        <v>0</v>
      </c>
      <c r="AJ1228" s="58">
        <v>0</v>
      </c>
      <c r="AK1228" s="58">
        <v>0</v>
      </c>
      <c r="AL1228" s="75">
        <f>+SUBTOTAL(9,Tabla6[[#This Row],[ENE]:[DIC]])</f>
        <v>46.34</v>
      </c>
      <c r="AM1228" s="76" t="str">
        <f t="shared" si="42"/>
        <v>OK</v>
      </c>
      <c r="AN1228" s="60">
        <f>26.34+170-150</f>
        <v>46.34</v>
      </c>
      <c r="AO1228" s="61">
        <f>+Tabla6[[#This Row],[PRESUPUESTO VIGENTE]]-Tabla6[[#This Row],[CERTIFICACIÓN PAPP]]</f>
        <v>0</v>
      </c>
      <c r="AP1228" s="59" t="s">
        <v>87</v>
      </c>
    </row>
    <row r="1229" spans="1:42" ht="93" customHeight="1" x14ac:dyDescent="0.25">
      <c r="A1229" s="62" t="s">
        <v>78</v>
      </c>
      <c r="B1229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229" s="64" t="s">
        <v>79</v>
      </c>
      <c r="D1229" s="64" t="s">
        <v>80</v>
      </c>
      <c r="E1229" s="64" t="s">
        <v>81</v>
      </c>
      <c r="F1229" s="64" t="s">
        <v>112</v>
      </c>
      <c r="G1229" s="64" t="s">
        <v>83</v>
      </c>
      <c r="H1229" s="65" t="str">
        <f>VLOOKUP(Tabla6[[#This Row],[DIRECCIÓN]],DIRECCIÓN[#All],2,0)</f>
        <v>ADMINISTRACIÓN CENTRAL</v>
      </c>
      <c r="I1229" s="66" t="s">
        <v>744</v>
      </c>
      <c r="J1229" s="67">
        <v>1</v>
      </c>
      <c r="K1229" s="68" t="str">
        <f>VLOOKUP(Tabla6[[#This Row],[DIRECCIÓN GENERAL / COORDINACIÓN / SUBDIRECCIÓN]],Tabla37[[#All],[Columna1]:[EOD]],2,0)</f>
        <v>266_0007</v>
      </c>
      <c r="L1229" s="69">
        <f>VLOOKUP(Tabla6[[#This Row],[OBJETIVOS PND]],Listas!$A$1:$C$3,3,0)</f>
        <v>1</v>
      </c>
      <c r="M1229" s="70">
        <f>VLOOKUP(Tabla6[[#This Row],[PG]],Listas2!$G$14:$K$16,5,0)</f>
        <v>0</v>
      </c>
      <c r="N1229" s="71">
        <v>1</v>
      </c>
      <c r="O1229" s="72">
        <v>1101</v>
      </c>
      <c r="P1229" s="73" t="str">
        <f>VLOOKUP(Tabla6[[#This Row],[GEO]],Listas!$A$48:$B$77,2,0)</f>
        <v>LOJA</v>
      </c>
      <c r="Q1229" s="70">
        <f>VLOOKUP(Tabla6[[#This Row],[PG]],Listas2!$G$14:$K$16,3,0)</f>
        <v>1</v>
      </c>
      <c r="R1229" s="73">
        <f>VLOOKUP(Tabla6[[#This Row],[PG]],Listas2!H683:'Listas2'!$G$14:$K$16,4,0)</f>
        <v>0</v>
      </c>
      <c r="S1229" s="73">
        <f>VLOOKUP(Tabla6[[#This Row],[PG]],Listas2!$G$14:$K$16,2,0)</f>
        <v>0</v>
      </c>
      <c r="T1229" s="66" t="s">
        <v>84</v>
      </c>
      <c r="U1229" s="74">
        <v>53</v>
      </c>
      <c r="V1229" s="66">
        <v>530301</v>
      </c>
      <c r="W1229" s="63" t="str">
        <f>VLOOKUP(Tabla6[[#This Row],[ÍTEM PRESUPUESTARIO]],Tabla2[#All],2,0)</f>
        <v>PASAJES AL INTERIOR</v>
      </c>
      <c r="X1229" s="57">
        <v>500</v>
      </c>
      <c r="Y1229" s="57">
        <f>900+832-890</f>
        <v>842</v>
      </c>
      <c r="Z1229" s="58">
        <v>0</v>
      </c>
      <c r="AA1229" s="58">
        <v>0</v>
      </c>
      <c r="AB1229" s="58">
        <v>0</v>
      </c>
      <c r="AC1229" s="58">
        <v>0</v>
      </c>
      <c r="AD1229" s="58">
        <v>400</v>
      </c>
      <c r="AE1229" s="58">
        <v>0</v>
      </c>
      <c r="AF1229" s="58">
        <v>0</v>
      </c>
      <c r="AG1229" s="58">
        <v>0</v>
      </c>
      <c r="AH1229" s="58">
        <v>0</v>
      </c>
      <c r="AI1229" s="58">
        <v>442</v>
      </c>
      <c r="AJ1229" s="58">
        <v>0</v>
      </c>
      <c r="AK1229" s="58">
        <v>0</v>
      </c>
      <c r="AL1229" s="75">
        <f>+SUBTOTAL(9,Tabla6[[#This Row],[ENE]:[DIC]])</f>
        <v>842</v>
      </c>
      <c r="AM1229" s="76" t="str">
        <f t="shared" si="42"/>
        <v>OK</v>
      </c>
      <c r="AN1229" s="60">
        <f>244.02+10+587.98</f>
        <v>842</v>
      </c>
      <c r="AO1229" s="61">
        <f>+Tabla6[[#This Row],[PRESUPUESTO VIGENTE]]-Tabla6[[#This Row],[CERTIFICACIÓN PAPP]]</f>
        <v>0</v>
      </c>
      <c r="AP1229" s="59">
        <v>0</v>
      </c>
    </row>
    <row r="1230" spans="1:42" ht="93" customHeight="1" x14ac:dyDescent="0.25">
      <c r="A1230" s="62" t="s">
        <v>78</v>
      </c>
      <c r="B1230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230" s="64" t="s">
        <v>79</v>
      </c>
      <c r="D1230" s="64" t="s">
        <v>80</v>
      </c>
      <c r="E1230" s="64" t="s">
        <v>81</v>
      </c>
      <c r="F1230" s="64" t="s">
        <v>112</v>
      </c>
      <c r="G1230" s="64" t="s">
        <v>83</v>
      </c>
      <c r="H1230" s="65" t="str">
        <f>VLOOKUP(Tabla6[[#This Row],[DIRECCIÓN]],DIRECCIÓN[#All],2,0)</f>
        <v>ADMINISTRACIÓN CENTRAL</v>
      </c>
      <c r="I1230" s="66" t="s">
        <v>745</v>
      </c>
      <c r="J1230" s="67">
        <v>1</v>
      </c>
      <c r="K1230" s="68" t="str">
        <f>VLOOKUP(Tabla6[[#This Row],[DIRECCIÓN GENERAL / COORDINACIÓN / SUBDIRECCIÓN]],Tabla37[[#All],[Columna1]:[EOD]],2,0)</f>
        <v>266_0007</v>
      </c>
      <c r="L1230" s="69">
        <f>VLOOKUP(Tabla6[[#This Row],[OBJETIVOS PND]],Listas!$A$1:$C$3,3,0)</f>
        <v>1</v>
      </c>
      <c r="M1230" s="70">
        <f>VLOOKUP(Tabla6[[#This Row],[PG]],Listas2!$G$14:$K$16,5,0)</f>
        <v>0</v>
      </c>
      <c r="N1230" s="71">
        <v>1</v>
      </c>
      <c r="O1230" s="72">
        <v>1101</v>
      </c>
      <c r="P1230" s="73" t="str">
        <f>VLOOKUP(Tabla6[[#This Row],[GEO]],Listas!$A$48:$B$77,2,0)</f>
        <v>LOJA</v>
      </c>
      <c r="Q1230" s="70">
        <f>VLOOKUP(Tabla6[[#This Row],[PG]],Listas2!$G$14:$K$16,3,0)</f>
        <v>1</v>
      </c>
      <c r="R1230" s="73">
        <f>VLOOKUP(Tabla6[[#This Row],[PG]],Listas2!H684:'Listas2'!$G$14:$K$16,4,0)</f>
        <v>0</v>
      </c>
      <c r="S1230" s="73">
        <f>VLOOKUP(Tabla6[[#This Row],[PG]],Listas2!$G$14:$K$16,2,0)</f>
        <v>0</v>
      </c>
      <c r="T1230" s="66" t="s">
        <v>84</v>
      </c>
      <c r="U1230" s="74">
        <v>53</v>
      </c>
      <c r="V1230" s="66">
        <v>530301</v>
      </c>
      <c r="W1230" s="63" t="str">
        <f>VLOOKUP(Tabla6[[#This Row],[ÍTEM PRESUPUESTARIO]],Tabla2[#All],2,0)</f>
        <v>PASAJES AL INTERIOR</v>
      </c>
      <c r="X1230" s="57">
        <v>0</v>
      </c>
      <c r="Y1230" s="57">
        <f>1000-16.25-16.25-414.98</f>
        <v>552.52</v>
      </c>
      <c r="Z1230" s="58">
        <v>0</v>
      </c>
      <c r="AA1230" s="58">
        <v>0</v>
      </c>
      <c r="AB1230" s="58">
        <v>0</v>
      </c>
      <c r="AC1230" s="58">
        <v>0</v>
      </c>
      <c r="AD1230" s="58">
        <v>0</v>
      </c>
      <c r="AE1230" s="58">
        <v>0</v>
      </c>
      <c r="AF1230" s="58">
        <v>0</v>
      </c>
      <c r="AG1230" s="58">
        <v>0</v>
      </c>
      <c r="AH1230" s="58">
        <v>0</v>
      </c>
      <c r="AI1230" s="58">
        <v>552.52</v>
      </c>
      <c r="AJ1230" s="58">
        <v>0</v>
      </c>
      <c r="AK1230" s="58">
        <v>0</v>
      </c>
      <c r="AL1230" s="75">
        <f>+SUBTOTAL(9,Tabla6[[#This Row],[ENE]:[DIC]])</f>
        <v>552.52</v>
      </c>
      <c r="AM1230" s="76" t="str">
        <f t="shared" si="42"/>
        <v>OK</v>
      </c>
      <c r="AN1230" s="60">
        <f>500+467.5-414.98</f>
        <v>552.52</v>
      </c>
      <c r="AO1230" s="61">
        <f>+Tabla6[[#This Row],[PRESUPUESTO VIGENTE]]-Tabla6[[#This Row],[CERTIFICACIÓN PAPP]]</f>
        <v>0</v>
      </c>
      <c r="AP1230" s="59">
        <v>0</v>
      </c>
    </row>
    <row r="1231" spans="1:42" ht="93" customHeight="1" x14ac:dyDescent="0.25">
      <c r="A1231" s="62" t="s">
        <v>78</v>
      </c>
      <c r="B1231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231" s="64" t="s">
        <v>79</v>
      </c>
      <c r="D1231" s="64" t="s">
        <v>80</v>
      </c>
      <c r="E1231" s="64" t="s">
        <v>81</v>
      </c>
      <c r="F1231" s="64" t="s">
        <v>112</v>
      </c>
      <c r="G1231" s="64" t="s">
        <v>83</v>
      </c>
      <c r="H1231" s="65" t="str">
        <f>VLOOKUP(Tabla6[[#This Row],[DIRECCIÓN]],DIRECCIÓN[#All],2,0)</f>
        <v>ADMINISTRACIÓN CENTRAL</v>
      </c>
      <c r="I1231" s="66" t="s">
        <v>744</v>
      </c>
      <c r="J1231" s="67">
        <v>1</v>
      </c>
      <c r="K1231" s="68" t="str">
        <f>VLOOKUP(Tabla6[[#This Row],[DIRECCIÓN GENERAL / COORDINACIÓN / SUBDIRECCIÓN]],Tabla37[[#All],[Columna1]:[EOD]],2,0)</f>
        <v>266_0007</v>
      </c>
      <c r="L1231" s="69">
        <f>VLOOKUP(Tabla6[[#This Row],[OBJETIVOS PND]],Listas!$A$1:$C$3,3,0)</f>
        <v>1</v>
      </c>
      <c r="M1231" s="70">
        <f>VLOOKUP(Tabla6[[#This Row],[PG]],Listas2!$G$14:$K$16,5,0)</f>
        <v>0</v>
      </c>
      <c r="N1231" s="71">
        <v>1</v>
      </c>
      <c r="O1231" s="72">
        <v>1101</v>
      </c>
      <c r="P1231" s="73" t="str">
        <f>VLOOKUP(Tabla6[[#This Row],[GEO]],Listas!$A$48:$B$77,2,0)</f>
        <v>LOJA</v>
      </c>
      <c r="Q1231" s="70">
        <f>VLOOKUP(Tabla6[[#This Row],[PG]],Listas2!$G$14:$K$16,3,0)</f>
        <v>1</v>
      </c>
      <c r="R1231" s="73">
        <f>VLOOKUP(Tabla6[[#This Row],[PG]],Listas2!H685:'Listas2'!$G$14:$K$16,4,0)</f>
        <v>0</v>
      </c>
      <c r="S1231" s="73">
        <f>VLOOKUP(Tabla6[[#This Row],[PG]],Listas2!$G$14:$K$16,2,0)</f>
        <v>0</v>
      </c>
      <c r="T1231" s="66" t="s">
        <v>84</v>
      </c>
      <c r="U1231" s="74">
        <v>53</v>
      </c>
      <c r="V1231" s="66">
        <v>530303</v>
      </c>
      <c r="W1231" s="63" t="str">
        <f>VLOOKUP(Tabla6[[#This Row],[ÍTEM PRESUPUESTARIO]],Tabla2[#All],2,0)</f>
        <v>VIÁTICOS Y SUBSISTENCIAS EN EL INTERIOR</v>
      </c>
      <c r="X1231" s="57">
        <v>700</v>
      </c>
      <c r="Y1231" s="57">
        <f>1700+2000+2280+528+720+820-662.94</f>
        <v>7385.0599999999995</v>
      </c>
      <c r="Z1231" s="58">
        <v>0</v>
      </c>
      <c r="AA1231" s="58">
        <v>0</v>
      </c>
      <c r="AB1231" s="58">
        <v>0</v>
      </c>
      <c r="AC1231" s="58">
        <v>0</v>
      </c>
      <c r="AD1231" s="58">
        <v>0</v>
      </c>
      <c r="AE1231" s="58">
        <v>0</v>
      </c>
      <c r="AF1231" s="58">
        <v>0</v>
      </c>
      <c r="AG1231" s="58">
        <v>0</v>
      </c>
      <c r="AH1231" s="58">
        <v>0</v>
      </c>
      <c r="AI1231" s="58">
        <v>5845.06</v>
      </c>
      <c r="AJ1231" s="58">
        <v>720</v>
      </c>
      <c r="AK1231" s="58">
        <v>820</v>
      </c>
      <c r="AL1231" s="75">
        <f>+SUBTOTAL(9,Tabla6[[#This Row],[ENE]:[DIC]])</f>
        <v>7385.06</v>
      </c>
      <c r="AM1231" s="76" t="str">
        <f t="shared" si="42"/>
        <v>OK</v>
      </c>
      <c r="AN1231" s="60">
        <f>700+832.39+1053.35+3007.61+581.83+1872.82-662.94</f>
        <v>7385.0599999999995</v>
      </c>
      <c r="AO1231" s="61">
        <f>+Tabla6[[#This Row],[PRESUPUESTO VIGENTE]]-Tabla6[[#This Row],[CERTIFICACIÓN PAPP]]</f>
        <v>0</v>
      </c>
      <c r="AP1231" s="59">
        <v>0</v>
      </c>
    </row>
    <row r="1232" spans="1:42" ht="93" customHeight="1" x14ac:dyDescent="0.25">
      <c r="A1232" s="62" t="s">
        <v>78</v>
      </c>
      <c r="B1232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232" s="64" t="s">
        <v>79</v>
      </c>
      <c r="D1232" s="64" t="s">
        <v>80</v>
      </c>
      <c r="E1232" s="64" t="s">
        <v>81</v>
      </c>
      <c r="F1232" s="64" t="s">
        <v>112</v>
      </c>
      <c r="G1232" s="64" t="s">
        <v>83</v>
      </c>
      <c r="H1232" s="65" t="str">
        <f>VLOOKUP(Tabla6[[#This Row],[DIRECCIÓN]],DIRECCIÓN[#All],2,0)</f>
        <v>ADMINISTRACIÓN CENTRAL</v>
      </c>
      <c r="I1232" s="66" t="s">
        <v>746</v>
      </c>
      <c r="J1232" s="67">
        <v>1</v>
      </c>
      <c r="K1232" s="68" t="str">
        <f>VLOOKUP(Tabla6[[#This Row],[DIRECCIÓN GENERAL / COORDINACIÓN / SUBDIRECCIÓN]],Tabla37[[#All],[Columna1]:[EOD]],2,0)</f>
        <v>266_0007</v>
      </c>
      <c r="L1232" s="69">
        <f>VLOOKUP(Tabla6[[#This Row],[OBJETIVOS PND]],Listas!$A$1:$C$3,3,0)</f>
        <v>1</v>
      </c>
      <c r="M1232" s="70">
        <f>VLOOKUP(Tabla6[[#This Row],[PG]],Listas2!$G$14:$K$16,5,0)</f>
        <v>0</v>
      </c>
      <c r="N1232" s="71">
        <v>1</v>
      </c>
      <c r="O1232" s="72">
        <v>1101</v>
      </c>
      <c r="P1232" s="73" t="str">
        <f>VLOOKUP(Tabla6[[#This Row],[GEO]],Listas!$A$48:$B$77,2,0)</f>
        <v>LOJA</v>
      </c>
      <c r="Q1232" s="70">
        <f>VLOOKUP(Tabla6[[#This Row],[PG]],Listas2!$G$14:$K$16,3,0)</f>
        <v>1</v>
      </c>
      <c r="R1232" s="73">
        <f>VLOOKUP(Tabla6[[#This Row],[PG]],Listas2!H686:'Listas2'!$G$14:$K$16,4,0)</f>
        <v>0</v>
      </c>
      <c r="S1232" s="73">
        <f>VLOOKUP(Tabla6[[#This Row],[PG]],Listas2!$G$14:$K$16,2,0)</f>
        <v>0</v>
      </c>
      <c r="T1232" s="66" t="s">
        <v>84</v>
      </c>
      <c r="U1232" s="74">
        <v>53</v>
      </c>
      <c r="V1232" s="66">
        <v>530402</v>
      </c>
      <c r="W1232" s="63" t="str">
        <f>VLOOKUP(Tabla6[[#This Row],[ÍTEM PRESUPUESTARIO]],Tabla2[#All],2,0)</f>
        <v>EDIFICIOS, LOCALES, RESIDENCIAS Y CABLEADO ESTRUCTURADO (INSTALACIÓN, MANTENIMIENTO Y REPARACIÓN)</v>
      </c>
      <c r="X1232" s="57">
        <v>0</v>
      </c>
      <c r="Y1232" s="57">
        <f>5100-2500-292.82</f>
        <v>2307.1799999999998</v>
      </c>
      <c r="Z1232" s="58">
        <v>0</v>
      </c>
      <c r="AA1232" s="58">
        <v>0</v>
      </c>
      <c r="AB1232" s="58">
        <v>0</v>
      </c>
      <c r="AC1232" s="58">
        <v>0</v>
      </c>
      <c r="AD1232" s="58">
        <v>0</v>
      </c>
      <c r="AE1232" s="58">
        <v>0</v>
      </c>
      <c r="AF1232" s="58">
        <v>0</v>
      </c>
      <c r="AG1232" s="58">
        <v>0</v>
      </c>
      <c r="AH1232" s="58">
        <v>0</v>
      </c>
      <c r="AI1232" s="58">
        <v>0</v>
      </c>
      <c r="AJ1232" s="58">
        <v>2307.1799999999998</v>
      </c>
      <c r="AK1232" s="58">
        <v>0</v>
      </c>
      <c r="AL1232" s="75">
        <f>+SUBTOTAL(9,Tabla6[[#This Row],[ENE]:[DIC]])</f>
        <v>2307.1799999999998</v>
      </c>
      <c r="AM1232" s="76" t="str">
        <f t="shared" si="42"/>
        <v>OK</v>
      </c>
      <c r="AN1232" s="60">
        <v>2307.1799999999998</v>
      </c>
      <c r="AO1232" s="61">
        <f>+Tabla6[[#This Row],[PRESUPUESTO VIGENTE]]-Tabla6[[#This Row],[CERTIFICACIÓN PAPP]]</f>
        <v>0</v>
      </c>
      <c r="AP1232" s="59">
        <v>0</v>
      </c>
    </row>
    <row r="1233" spans="1:42" ht="93" customHeight="1" x14ac:dyDescent="0.25">
      <c r="A1233" s="62" t="s">
        <v>78</v>
      </c>
      <c r="B1233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233" s="64" t="s">
        <v>79</v>
      </c>
      <c r="D1233" s="64" t="s">
        <v>80</v>
      </c>
      <c r="E1233" s="64" t="s">
        <v>81</v>
      </c>
      <c r="F1233" s="64" t="s">
        <v>112</v>
      </c>
      <c r="G1233" s="64" t="s">
        <v>83</v>
      </c>
      <c r="H1233" s="65" t="str">
        <f>VLOOKUP(Tabla6[[#This Row],[DIRECCIÓN]],DIRECCIÓN[#All],2,0)</f>
        <v>ADMINISTRACIÓN CENTRAL</v>
      </c>
      <c r="I1233" s="66" t="s">
        <v>747</v>
      </c>
      <c r="J1233" s="67">
        <v>1</v>
      </c>
      <c r="K1233" s="68" t="str">
        <f>VLOOKUP(Tabla6[[#This Row],[DIRECCIÓN GENERAL / COORDINACIÓN / SUBDIRECCIÓN]],Tabla37[[#All],[Columna1]:[EOD]],2,0)</f>
        <v>266_0007</v>
      </c>
      <c r="L1233" s="69">
        <f>VLOOKUP(Tabla6[[#This Row],[OBJETIVOS PND]],Listas!$A$1:$C$3,3,0)</f>
        <v>1</v>
      </c>
      <c r="M1233" s="70">
        <f>VLOOKUP(Tabla6[[#This Row],[PG]],Listas2!$G$14:$K$16,5,0)</f>
        <v>0</v>
      </c>
      <c r="N1233" s="71">
        <v>1</v>
      </c>
      <c r="O1233" s="72">
        <v>1101</v>
      </c>
      <c r="P1233" s="73" t="str">
        <f>VLOOKUP(Tabla6[[#This Row],[GEO]],Listas!$A$48:$B$77,2,0)</f>
        <v>LOJA</v>
      </c>
      <c r="Q1233" s="70">
        <f>VLOOKUP(Tabla6[[#This Row],[PG]],Listas2!$G$14:$K$16,3,0)</f>
        <v>1</v>
      </c>
      <c r="R1233" s="73">
        <f>VLOOKUP(Tabla6[[#This Row],[PG]],Listas2!H687:'Listas2'!$G$14:$K$16,4,0)</f>
        <v>0</v>
      </c>
      <c r="S1233" s="73">
        <f>VLOOKUP(Tabla6[[#This Row],[PG]],Listas2!$G$14:$K$16,2,0)</f>
        <v>0</v>
      </c>
      <c r="T1233" s="66" t="s">
        <v>84</v>
      </c>
      <c r="U1233" s="74">
        <v>53</v>
      </c>
      <c r="V1233" s="66">
        <v>530402</v>
      </c>
      <c r="W1233" s="63" t="str">
        <f>VLOOKUP(Tabla6[[#This Row],[ÍTEM PRESUPUESTARIO]],Tabla2[#All],2,0)</f>
        <v>EDIFICIOS, LOCALES, RESIDENCIAS Y CABLEADO ESTRUCTURADO (INSTALACIÓN, MANTENIMIENTO Y REPARACIÓN)</v>
      </c>
      <c r="X1233" s="57">
        <v>0</v>
      </c>
      <c r="Y1233" s="57">
        <f>1000-360</f>
        <v>640</v>
      </c>
      <c r="Z1233" s="58">
        <v>0</v>
      </c>
      <c r="AA1233" s="58">
        <v>0</v>
      </c>
      <c r="AB1233" s="58">
        <v>0</v>
      </c>
      <c r="AC1233" s="58">
        <v>0</v>
      </c>
      <c r="AD1233" s="58">
        <v>0</v>
      </c>
      <c r="AE1233" s="58">
        <v>0</v>
      </c>
      <c r="AF1233" s="58">
        <v>0</v>
      </c>
      <c r="AG1233" s="58">
        <v>0</v>
      </c>
      <c r="AH1233" s="58">
        <v>0</v>
      </c>
      <c r="AI1233" s="58">
        <v>0</v>
      </c>
      <c r="AJ1233" s="58">
        <v>640</v>
      </c>
      <c r="AK1233" s="58">
        <v>0</v>
      </c>
      <c r="AL1233" s="75">
        <f>+SUBTOTAL(9,Tabla6[[#This Row],[ENE]:[DIC]])</f>
        <v>640</v>
      </c>
      <c r="AM1233" s="76" t="str">
        <f t="shared" si="42"/>
        <v>OK</v>
      </c>
      <c r="AN1233" s="60">
        <v>640</v>
      </c>
      <c r="AO1233" s="61">
        <f>+Tabla6[[#This Row],[PRESUPUESTO VIGENTE]]-Tabla6[[#This Row],[CERTIFICACIÓN PAPP]]</f>
        <v>0</v>
      </c>
      <c r="AP1233" s="59">
        <v>0</v>
      </c>
    </row>
    <row r="1234" spans="1:42" ht="93" customHeight="1" x14ac:dyDescent="0.25">
      <c r="A1234" s="62" t="s">
        <v>78</v>
      </c>
      <c r="B1234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234" s="64" t="s">
        <v>79</v>
      </c>
      <c r="D1234" s="64" t="s">
        <v>80</v>
      </c>
      <c r="E1234" s="64" t="s">
        <v>81</v>
      </c>
      <c r="F1234" s="64" t="s">
        <v>112</v>
      </c>
      <c r="G1234" s="64" t="s">
        <v>83</v>
      </c>
      <c r="H1234" s="65" t="str">
        <f>VLOOKUP(Tabla6[[#This Row],[DIRECCIÓN]],DIRECCIÓN[#All],2,0)</f>
        <v>ADMINISTRACIÓN CENTRAL</v>
      </c>
      <c r="I1234" s="66" t="s">
        <v>748</v>
      </c>
      <c r="J1234" s="67">
        <v>1</v>
      </c>
      <c r="K1234" s="68" t="str">
        <f>VLOOKUP(Tabla6[[#This Row],[DIRECCIÓN GENERAL / COORDINACIÓN / SUBDIRECCIÓN]],Tabla37[[#All],[Columna1]:[EOD]],2,0)</f>
        <v>266_0007</v>
      </c>
      <c r="L1234" s="69">
        <f>VLOOKUP(Tabla6[[#This Row],[OBJETIVOS PND]],Listas!$A$1:$C$3,3,0)</f>
        <v>1</v>
      </c>
      <c r="M1234" s="70">
        <f>VLOOKUP(Tabla6[[#This Row],[PG]],Listas2!$G$14:$K$16,5,0)</f>
        <v>0</v>
      </c>
      <c r="N1234" s="71">
        <v>1</v>
      </c>
      <c r="O1234" s="72">
        <v>1101</v>
      </c>
      <c r="P1234" s="73" t="str">
        <f>VLOOKUP(Tabla6[[#This Row],[GEO]],Listas!$A$48:$B$77,2,0)</f>
        <v>LOJA</v>
      </c>
      <c r="Q1234" s="70">
        <f>VLOOKUP(Tabla6[[#This Row],[PG]],Listas2!$G$14:$K$16,3,0)</f>
        <v>1</v>
      </c>
      <c r="R1234" s="73">
        <f>VLOOKUP(Tabla6[[#This Row],[PG]],Listas2!H688:'Listas2'!$G$14:$K$16,4,0)</f>
        <v>0</v>
      </c>
      <c r="S1234" s="73">
        <f>VLOOKUP(Tabla6[[#This Row],[PG]],Listas2!$G$14:$K$16,2,0)</f>
        <v>0</v>
      </c>
      <c r="T1234" s="66" t="s">
        <v>84</v>
      </c>
      <c r="U1234" s="74">
        <v>53</v>
      </c>
      <c r="V1234" s="66">
        <v>530402</v>
      </c>
      <c r="W1234" s="63" t="str">
        <f>VLOOKUP(Tabla6[[#This Row],[ÍTEM PRESUPUESTARIO]],Tabla2[#All],2,0)</f>
        <v>EDIFICIOS, LOCALES, RESIDENCIAS Y CABLEADO ESTRUCTURADO (INSTALACIÓN, MANTENIMIENTO Y REPARACIÓN)</v>
      </c>
      <c r="X1234" s="57">
        <v>22000</v>
      </c>
      <c r="Y1234" s="57">
        <f>22000-400-4000-2.31-1234.11</f>
        <v>16363.579999999998</v>
      </c>
      <c r="Z1234" s="58">
        <v>0</v>
      </c>
      <c r="AA1234" s="58">
        <v>0</v>
      </c>
      <c r="AB1234" s="58">
        <v>0</v>
      </c>
      <c r="AC1234" s="58">
        <v>0</v>
      </c>
      <c r="AD1234" s="58">
        <v>0</v>
      </c>
      <c r="AE1234" s="58">
        <v>0</v>
      </c>
      <c r="AF1234" s="58">
        <v>0</v>
      </c>
      <c r="AG1234" s="58">
        <v>16363.58</v>
      </c>
      <c r="AH1234" s="58">
        <v>0</v>
      </c>
      <c r="AI1234" s="58">
        <v>0</v>
      </c>
      <c r="AJ1234" s="58">
        <v>0</v>
      </c>
      <c r="AK1234" s="58">
        <v>0</v>
      </c>
      <c r="AL1234" s="75">
        <f>+SUBTOTAL(9,Tabla6[[#This Row],[ENE]:[DIC]])</f>
        <v>16363.58</v>
      </c>
      <c r="AM1234" s="76" t="str">
        <f t="shared" si="42"/>
        <v>OK</v>
      </c>
      <c r="AN1234" s="60">
        <f>17563.62-1200.04</f>
        <v>16363.579999999998</v>
      </c>
      <c r="AO1234" s="61">
        <f>+Tabla6[[#This Row],[PRESUPUESTO VIGENTE]]-Tabla6[[#This Row],[CERTIFICACIÓN PAPP]]</f>
        <v>0</v>
      </c>
      <c r="AP1234" s="59" t="s">
        <v>87</v>
      </c>
    </row>
    <row r="1235" spans="1:42" ht="93" customHeight="1" x14ac:dyDescent="0.25">
      <c r="A1235" s="62" t="s">
        <v>78</v>
      </c>
      <c r="B1235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235" s="64" t="s">
        <v>79</v>
      </c>
      <c r="D1235" s="64" t="s">
        <v>80</v>
      </c>
      <c r="E1235" s="64" t="s">
        <v>81</v>
      </c>
      <c r="F1235" s="64" t="s">
        <v>112</v>
      </c>
      <c r="G1235" s="64" t="s">
        <v>83</v>
      </c>
      <c r="H1235" s="65" t="str">
        <f>VLOOKUP(Tabla6[[#This Row],[DIRECCIÓN]],DIRECCIÓN[#All],2,0)</f>
        <v>ADMINISTRACIÓN CENTRAL</v>
      </c>
      <c r="I1235" s="66" t="s">
        <v>749</v>
      </c>
      <c r="J1235" s="67">
        <v>1</v>
      </c>
      <c r="K1235" s="68" t="str">
        <f>VLOOKUP(Tabla6[[#This Row],[DIRECCIÓN GENERAL / COORDINACIÓN / SUBDIRECCIÓN]],Tabla37[[#All],[Columna1]:[EOD]],2,0)</f>
        <v>266_0007</v>
      </c>
      <c r="L1235" s="69">
        <f>VLOOKUP(Tabla6[[#This Row],[OBJETIVOS PND]],Listas!$A$1:$C$3,3,0)</f>
        <v>1</v>
      </c>
      <c r="M1235" s="70">
        <f>VLOOKUP(Tabla6[[#This Row],[PG]],Listas2!$G$14:$K$16,5,0)</f>
        <v>0</v>
      </c>
      <c r="N1235" s="71">
        <v>1</v>
      </c>
      <c r="O1235" s="72">
        <v>1101</v>
      </c>
      <c r="P1235" s="73" t="str">
        <f>VLOOKUP(Tabla6[[#This Row],[GEO]],Listas!$A$48:$B$77,2,0)</f>
        <v>LOJA</v>
      </c>
      <c r="Q1235" s="70">
        <f>VLOOKUP(Tabla6[[#This Row],[PG]],Listas2!$G$14:$K$16,3,0)</f>
        <v>1</v>
      </c>
      <c r="R1235" s="73">
        <f>VLOOKUP(Tabla6[[#This Row],[PG]],Listas2!H689:'Listas2'!$G$14:$K$16,4,0)</f>
        <v>0</v>
      </c>
      <c r="S1235" s="73">
        <f>VLOOKUP(Tabla6[[#This Row],[PG]],Listas2!$G$14:$K$16,2,0)</f>
        <v>0</v>
      </c>
      <c r="T1235" s="66" t="s">
        <v>84</v>
      </c>
      <c r="U1235" s="74">
        <v>53</v>
      </c>
      <c r="V1235" s="66">
        <v>530405</v>
      </c>
      <c r="W1235" s="63" t="str">
        <f>VLOOKUP(Tabla6[[#This Row],[ÍTEM PRESUPUESTARIO]],Tabla2[#All],2,0)</f>
        <v>VEHÍCULOS (SERVICIO PARA MANTENIMIENTO Y REPARACIÓN)</v>
      </c>
      <c r="X1235" s="57">
        <v>100</v>
      </c>
      <c r="Y1235" s="57">
        <v>109</v>
      </c>
      <c r="Z1235" s="58">
        <v>0</v>
      </c>
      <c r="AA1235" s="58">
        <v>0</v>
      </c>
      <c r="AB1235" s="58">
        <v>0</v>
      </c>
      <c r="AC1235" s="58">
        <v>0</v>
      </c>
      <c r="AD1235" s="58">
        <v>0</v>
      </c>
      <c r="AE1235" s="58">
        <v>0</v>
      </c>
      <c r="AF1235" s="58">
        <v>0</v>
      </c>
      <c r="AG1235" s="58">
        <v>0</v>
      </c>
      <c r="AH1235" s="58">
        <v>0</v>
      </c>
      <c r="AI1235" s="58">
        <v>0</v>
      </c>
      <c r="AJ1235" s="58">
        <v>109</v>
      </c>
      <c r="AK1235" s="58">
        <v>0</v>
      </c>
      <c r="AL1235" s="75">
        <f>+SUBTOTAL(9,Tabla6[[#This Row],[ENE]:[DIC]])</f>
        <v>109</v>
      </c>
      <c r="AM1235" s="76" t="str">
        <f t="shared" si="42"/>
        <v>OK</v>
      </c>
      <c r="AN1235" s="60">
        <f>58.36+50.64</f>
        <v>109</v>
      </c>
      <c r="AO1235" s="61">
        <f>+Tabla6[[#This Row],[PRESUPUESTO VIGENTE]]-Tabla6[[#This Row],[CERTIFICACIÓN PAPP]]</f>
        <v>0</v>
      </c>
      <c r="AP1235" s="59">
        <v>0</v>
      </c>
    </row>
    <row r="1236" spans="1:42" ht="93" customHeight="1" x14ac:dyDescent="0.25">
      <c r="A1236" s="62" t="s">
        <v>78</v>
      </c>
      <c r="B1236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236" s="64" t="s">
        <v>79</v>
      </c>
      <c r="D1236" s="64" t="s">
        <v>80</v>
      </c>
      <c r="E1236" s="64" t="s">
        <v>81</v>
      </c>
      <c r="F1236" s="64" t="s">
        <v>112</v>
      </c>
      <c r="G1236" s="64" t="s">
        <v>83</v>
      </c>
      <c r="H1236" s="65" t="str">
        <f>VLOOKUP(Tabla6[[#This Row],[DIRECCIÓN]],DIRECCIÓN[#All],2,0)</f>
        <v>ADMINISTRACIÓN CENTRAL</v>
      </c>
      <c r="I1236" s="66" t="s">
        <v>750</v>
      </c>
      <c r="J1236" s="67">
        <v>1</v>
      </c>
      <c r="K1236" s="68" t="str">
        <f>VLOOKUP(Tabla6[[#This Row],[DIRECCIÓN GENERAL / COORDINACIÓN / SUBDIRECCIÓN]],Tabla37[[#All],[Columna1]:[EOD]],2,0)</f>
        <v>266_0007</v>
      </c>
      <c r="L1236" s="69">
        <f>VLOOKUP(Tabla6[[#This Row],[OBJETIVOS PND]],Listas!$A$1:$C$3,3,0)</f>
        <v>1</v>
      </c>
      <c r="M1236" s="70">
        <f>VLOOKUP(Tabla6[[#This Row],[PG]],Listas2!$G$14:$K$16,5,0)</f>
        <v>0</v>
      </c>
      <c r="N1236" s="71">
        <v>1</v>
      </c>
      <c r="O1236" s="72">
        <v>1101</v>
      </c>
      <c r="P1236" s="73" t="str">
        <f>VLOOKUP(Tabla6[[#This Row],[GEO]],Listas!$A$48:$B$77,2,0)</f>
        <v>LOJA</v>
      </c>
      <c r="Q1236" s="70">
        <f>VLOOKUP(Tabla6[[#This Row],[PG]],Listas2!$G$14:$K$16,3,0)</f>
        <v>1</v>
      </c>
      <c r="R1236" s="73">
        <f>VLOOKUP(Tabla6[[#This Row],[PG]],Listas2!H690:'Listas2'!$G$14:$K$16,4,0)</f>
        <v>0</v>
      </c>
      <c r="S1236" s="73">
        <f>VLOOKUP(Tabla6[[#This Row],[PG]],Listas2!$G$14:$K$16,2,0)</f>
        <v>0</v>
      </c>
      <c r="T1236" s="66" t="s">
        <v>84</v>
      </c>
      <c r="U1236" s="74">
        <v>53</v>
      </c>
      <c r="V1236" s="66">
        <v>530405</v>
      </c>
      <c r="W1236" s="63" t="str">
        <f>VLOOKUP(Tabla6[[#This Row],[ÍTEM PRESUPUESTARIO]],Tabla2[#All],2,0)</f>
        <v>VEHÍCULOS (SERVICIO PARA MANTENIMIENTO Y REPARACIÓN)</v>
      </c>
      <c r="X1236" s="57">
        <v>600</v>
      </c>
      <c r="Y1236" s="57">
        <v>0</v>
      </c>
      <c r="Z1236" s="58">
        <v>0</v>
      </c>
      <c r="AA1236" s="58">
        <v>0</v>
      </c>
      <c r="AB1236" s="58">
        <v>0</v>
      </c>
      <c r="AC1236" s="58">
        <v>0</v>
      </c>
      <c r="AD1236" s="58">
        <v>0</v>
      </c>
      <c r="AE1236" s="58">
        <v>0</v>
      </c>
      <c r="AF1236" s="58">
        <v>0</v>
      </c>
      <c r="AG1236" s="58">
        <v>0</v>
      </c>
      <c r="AH1236" s="58">
        <v>0</v>
      </c>
      <c r="AI1236" s="58">
        <v>0</v>
      </c>
      <c r="AJ1236" s="58">
        <v>0</v>
      </c>
      <c r="AK1236" s="58">
        <v>0</v>
      </c>
      <c r="AL1236" s="75">
        <f>+SUBTOTAL(9,Tabla6[[#This Row],[ENE]:[DIC]])</f>
        <v>0</v>
      </c>
      <c r="AM1236" s="76" t="str">
        <f t="shared" si="42"/>
        <v>OK</v>
      </c>
      <c r="AN1236" s="60">
        <v>0</v>
      </c>
      <c r="AO1236" s="61">
        <f>+Tabla6[[#This Row],[PRESUPUESTO VIGENTE]]-Tabla6[[#This Row],[CERTIFICACIÓN PAPP]]</f>
        <v>0</v>
      </c>
      <c r="AP1236" s="59">
        <v>0</v>
      </c>
    </row>
    <row r="1237" spans="1:42" ht="93" customHeight="1" x14ac:dyDescent="0.25">
      <c r="A1237" s="62" t="s">
        <v>78</v>
      </c>
      <c r="B1237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237" s="64" t="s">
        <v>79</v>
      </c>
      <c r="D1237" s="64" t="s">
        <v>80</v>
      </c>
      <c r="E1237" s="64" t="s">
        <v>81</v>
      </c>
      <c r="F1237" s="64" t="s">
        <v>112</v>
      </c>
      <c r="G1237" s="64" t="s">
        <v>83</v>
      </c>
      <c r="H1237" s="65" t="str">
        <f>VLOOKUP(Tabla6[[#This Row],[DIRECCIÓN]],DIRECCIÓN[#All],2,0)</f>
        <v>ADMINISTRACIÓN CENTRAL</v>
      </c>
      <c r="I1237" s="66" t="s">
        <v>751</v>
      </c>
      <c r="J1237" s="67">
        <v>1</v>
      </c>
      <c r="K1237" s="68" t="str">
        <f>VLOOKUP(Tabla6[[#This Row],[DIRECCIÓN GENERAL / COORDINACIÓN / SUBDIRECCIÓN]],Tabla37[[#All],[Columna1]:[EOD]],2,0)</f>
        <v>266_0007</v>
      </c>
      <c r="L1237" s="69">
        <f>VLOOKUP(Tabla6[[#This Row],[OBJETIVOS PND]],Listas!$A$1:$C$3,3,0)</f>
        <v>1</v>
      </c>
      <c r="M1237" s="70">
        <f>VLOOKUP(Tabla6[[#This Row],[PG]],Listas2!$G$14:$K$16,5,0)</f>
        <v>0</v>
      </c>
      <c r="N1237" s="71">
        <v>1</v>
      </c>
      <c r="O1237" s="72">
        <v>1101</v>
      </c>
      <c r="P1237" s="73" t="str">
        <f>VLOOKUP(Tabla6[[#This Row],[GEO]],Listas!$A$48:$B$77,2,0)</f>
        <v>LOJA</v>
      </c>
      <c r="Q1237" s="70">
        <f>VLOOKUP(Tabla6[[#This Row],[PG]],Listas2!$G$14:$K$16,3,0)</f>
        <v>1</v>
      </c>
      <c r="R1237" s="73">
        <f>VLOOKUP(Tabla6[[#This Row],[PG]],Listas2!H691:'Listas2'!$G$14:$K$16,4,0)</f>
        <v>0</v>
      </c>
      <c r="S1237" s="73">
        <f>VLOOKUP(Tabla6[[#This Row],[PG]],Listas2!$G$14:$K$16,2,0)</f>
        <v>0</v>
      </c>
      <c r="T1237" s="66" t="s">
        <v>84</v>
      </c>
      <c r="U1237" s="74">
        <v>53</v>
      </c>
      <c r="V1237" s="66">
        <v>530405</v>
      </c>
      <c r="W1237" s="63" t="str">
        <f>VLOOKUP(Tabla6[[#This Row],[ÍTEM PRESUPUESTARIO]],Tabla2[#All],2,0)</f>
        <v>VEHÍCULOS (SERVICIO PARA MANTENIMIENTO Y REPARACIÓN)</v>
      </c>
      <c r="X1237" s="57">
        <v>0</v>
      </c>
      <c r="Y1237" s="57">
        <f>1000-201</f>
        <v>799</v>
      </c>
      <c r="Z1237" s="58">
        <v>0</v>
      </c>
      <c r="AA1237" s="58">
        <v>0</v>
      </c>
      <c r="AB1237" s="58">
        <v>0</v>
      </c>
      <c r="AC1237" s="58">
        <v>0</v>
      </c>
      <c r="AD1237" s="58">
        <v>0</v>
      </c>
      <c r="AE1237" s="58">
        <v>0</v>
      </c>
      <c r="AF1237" s="58">
        <v>0</v>
      </c>
      <c r="AG1237" s="58">
        <v>0</v>
      </c>
      <c r="AH1237" s="58">
        <v>799</v>
      </c>
      <c r="AI1237" s="58">
        <v>0</v>
      </c>
      <c r="AJ1237" s="58">
        <v>0</v>
      </c>
      <c r="AK1237" s="58">
        <v>0</v>
      </c>
      <c r="AL1237" s="75">
        <f>+SUBTOTAL(9,Tabla6[[#This Row],[ENE]:[DIC]])</f>
        <v>799</v>
      </c>
      <c r="AM1237" s="76" t="str">
        <f t="shared" si="42"/>
        <v>OK</v>
      </c>
      <c r="AN1237" s="60">
        <v>799</v>
      </c>
      <c r="AO1237" s="61">
        <f>+Tabla6[[#This Row],[PRESUPUESTO VIGENTE]]-Tabla6[[#This Row],[CERTIFICACIÓN PAPP]]</f>
        <v>0</v>
      </c>
      <c r="AP1237" s="59">
        <v>0</v>
      </c>
    </row>
    <row r="1238" spans="1:42" ht="93" customHeight="1" x14ac:dyDescent="0.25">
      <c r="A1238" s="62" t="s">
        <v>78</v>
      </c>
      <c r="B1238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238" s="64" t="s">
        <v>79</v>
      </c>
      <c r="D1238" s="64" t="s">
        <v>80</v>
      </c>
      <c r="E1238" s="64" t="s">
        <v>81</v>
      </c>
      <c r="F1238" s="64" t="s">
        <v>112</v>
      </c>
      <c r="G1238" s="64" t="s">
        <v>83</v>
      </c>
      <c r="H1238" s="65" t="str">
        <f>VLOOKUP(Tabla6[[#This Row],[DIRECCIÓN]],DIRECCIÓN[#All],2,0)</f>
        <v>ADMINISTRACIÓN CENTRAL</v>
      </c>
      <c r="I1238" s="66" t="s">
        <v>752</v>
      </c>
      <c r="J1238" s="67">
        <v>1</v>
      </c>
      <c r="K1238" s="68" t="str">
        <f>VLOOKUP(Tabla6[[#This Row],[DIRECCIÓN GENERAL / COORDINACIÓN / SUBDIRECCIÓN]],Tabla37[[#All],[Columna1]:[EOD]],2,0)</f>
        <v>266_0007</v>
      </c>
      <c r="L1238" s="69">
        <f>VLOOKUP(Tabla6[[#This Row],[OBJETIVOS PND]],Listas!$A$1:$C$3,3,0)</f>
        <v>1</v>
      </c>
      <c r="M1238" s="70">
        <f>VLOOKUP(Tabla6[[#This Row],[PG]],Listas2!$G$14:$K$16,5,0)</f>
        <v>0</v>
      </c>
      <c r="N1238" s="71">
        <v>1</v>
      </c>
      <c r="O1238" s="72">
        <v>1101</v>
      </c>
      <c r="P1238" s="73" t="str">
        <f>VLOOKUP(Tabla6[[#This Row],[GEO]],Listas!$A$48:$B$77,2,0)</f>
        <v>LOJA</v>
      </c>
      <c r="Q1238" s="70">
        <f>VLOOKUP(Tabla6[[#This Row],[PG]],Listas2!$G$14:$K$16,3,0)</f>
        <v>1</v>
      </c>
      <c r="R1238" s="73">
        <f>VLOOKUP(Tabla6[[#This Row],[PG]],Listas2!H692:'Listas2'!$G$14:$K$16,4,0)</f>
        <v>0</v>
      </c>
      <c r="S1238" s="73">
        <f>VLOOKUP(Tabla6[[#This Row],[PG]],Listas2!$G$14:$K$16,2,0)</f>
        <v>0</v>
      </c>
      <c r="T1238" s="66" t="s">
        <v>84</v>
      </c>
      <c r="U1238" s="74">
        <v>53</v>
      </c>
      <c r="V1238" s="66">
        <v>530405</v>
      </c>
      <c r="W1238" s="63" t="str">
        <f>VLOOKUP(Tabla6[[#This Row],[ÍTEM PRESUPUESTARIO]],Tabla2[#All],2,0)</f>
        <v>VEHÍCULOS (SERVICIO PARA MANTENIMIENTO Y REPARACIÓN)</v>
      </c>
      <c r="X1238" s="57">
        <v>1680</v>
      </c>
      <c r="Y1238" s="57">
        <f>3080-1496.5-442.4</f>
        <v>1141.0999999999999</v>
      </c>
      <c r="Z1238" s="58">
        <v>0</v>
      </c>
      <c r="AA1238" s="58">
        <v>0</v>
      </c>
      <c r="AB1238" s="58">
        <v>0</v>
      </c>
      <c r="AC1238" s="58">
        <v>670</v>
      </c>
      <c r="AD1238" s="58">
        <v>0</v>
      </c>
      <c r="AE1238" s="58">
        <v>0</v>
      </c>
      <c r="AF1238" s="58">
        <v>227.6</v>
      </c>
      <c r="AG1238" s="58">
        <v>0</v>
      </c>
      <c r="AH1238" s="58">
        <v>243.5</v>
      </c>
      <c r="AI1238" s="58">
        <v>0</v>
      </c>
      <c r="AJ1238" s="58">
        <v>0</v>
      </c>
      <c r="AK1238" s="58">
        <v>0</v>
      </c>
      <c r="AL1238" s="75">
        <f>+SUBTOTAL(9,Tabla6[[#This Row],[ENE]:[DIC]])</f>
        <v>1141.0999999999999</v>
      </c>
      <c r="AM1238" s="76" t="str">
        <f t="shared" si="42"/>
        <v>OK</v>
      </c>
      <c r="AN1238" s="60">
        <f>1583.5-442.4</f>
        <v>1141.0999999999999</v>
      </c>
      <c r="AO1238" s="61">
        <f>+Tabla6[[#This Row],[PRESUPUESTO VIGENTE]]-Tabla6[[#This Row],[CERTIFICACIÓN PAPP]]</f>
        <v>0</v>
      </c>
      <c r="AP1238" s="59">
        <v>0</v>
      </c>
    </row>
    <row r="1239" spans="1:42" ht="93" customHeight="1" x14ac:dyDescent="0.25">
      <c r="A1239" s="62" t="s">
        <v>78</v>
      </c>
      <c r="B1239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239" s="64" t="s">
        <v>79</v>
      </c>
      <c r="D1239" s="64" t="s">
        <v>80</v>
      </c>
      <c r="E1239" s="64" t="s">
        <v>81</v>
      </c>
      <c r="F1239" s="64" t="s">
        <v>112</v>
      </c>
      <c r="G1239" s="64" t="s">
        <v>83</v>
      </c>
      <c r="H1239" s="65" t="str">
        <f>VLOOKUP(Tabla6[[#This Row],[DIRECCIÓN]],DIRECCIÓN[#All],2,0)</f>
        <v>ADMINISTRACIÓN CENTRAL</v>
      </c>
      <c r="I1239" s="66" t="s">
        <v>753</v>
      </c>
      <c r="J1239" s="67">
        <v>1</v>
      </c>
      <c r="K1239" s="68" t="str">
        <f>VLOOKUP(Tabla6[[#This Row],[DIRECCIÓN GENERAL / COORDINACIÓN / SUBDIRECCIÓN]],Tabla37[[#All],[Columna1]:[EOD]],2,0)</f>
        <v>266_0007</v>
      </c>
      <c r="L1239" s="69">
        <f>VLOOKUP(Tabla6[[#This Row],[OBJETIVOS PND]],Listas!$A$1:$C$3,3,0)</f>
        <v>1</v>
      </c>
      <c r="M1239" s="70">
        <f>VLOOKUP(Tabla6[[#This Row],[PG]],Listas2!$G$14:$K$16,5,0)</f>
        <v>0</v>
      </c>
      <c r="N1239" s="71">
        <v>1</v>
      </c>
      <c r="O1239" s="72">
        <v>1101</v>
      </c>
      <c r="P1239" s="73" t="str">
        <f>VLOOKUP(Tabla6[[#This Row],[GEO]],Listas!$A$48:$B$77,2,0)</f>
        <v>LOJA</v>
      </c>
      <c r="Q1239" s="70">
        <f>VLOOKUP(Tabla6[[#This Row],[PG]],Listas2!$G$14:$K$16,3,0)</f>
        <v>1</v>
      </c>
      <c r="R1239" s="73">
        <f>VLOOKUP(Tabla6[[#This Row],[PG]],Listas2!H693:'Listas2'!$G$14:$K$16,4,0)</f>
        <v>0</v>
      </c>
      <c r="S1239" s="73">
        <f>VLOOKUP(Tabla6[[#This Row],[PG]],Listas2!$G$14:$K$16,2,0)</f>
        <v>0</v>
      </c>
      <c r="T1239" s="66" t="s">
        <v>84</v>
      </c>
      <c r="U1239" s="74">
        <v>53</v>
      </c>
      <c r="V1239" s="66">
        <v>530418</v>
      </c>
      <c r="W1239" s="63" t="str">
        <f>VLOOKUP(Tabla6[[#This Row],[ÍTEM PRESUPUESTARIO]],Tabla2[#All],2,0)</f>
        <v>MANTENIMIENTO DE ÁREAS VERDES Y ARREGLO DE VÍAS INTERNAS</v>
      </c>
      <c r="X1239" s="57">
        <v>1200</v>
      </c>
      <c r="Y1239" s="57">
        <v>0</v>
      </c>
      <c r="Z1239" s="58">
        <v>0</v>
      </c>
      <c r="AA1239" s="58">
        <v>0</v>
      </c>
      <c r="AB1239" s="58">
        <v>0</v>
      </c>
      <c r="AC1239" s="58">
        <v>0</v>
      </c>
      <c r="AD1239" s="58">
        <v>0</v>
      </c>
      <c r="AE1239" s="58">
        <v>0</v>
      </c>
      <c r="AF1239" s="58">
        <v>0</v>
      </c>
      <c r="AG1239" s="58">
        <v>0</v>
      </c>
      <c r="AH1239" s="58">
        <v>0</v>
      </c>
      <c r="AI1239" s="58">
        <v>0</v>
      </c>
      <c r="AJ1239" s="58">
        <v>0</v>
      </c>
      <c r="AK1239" s="58">
        <v>0</v>
      </c>
      <c r="AL1239" s="75">
        <f>+SUBTOTAL(9,Tabla6[[#This Row],[ENE]:[DIC]])</f>
        <v>0</v>
      </c>
      <c r="AM1239" s="76" t="str">
        <f t="shared" si="42"/>
        <v>OK</v>
      </c>
      <c r="AN1239" s="60">
        <v>0</v>
      </c>
      <c r="AO1239" s="61">
        <f>+Tabla6[[#This Row],[PRESUPUESTO VIGENTE]]-Tabla6[[#This Row],[CERTIFICACIÓN PAPP]]</f>
        <v>0</v>
      </c>
      <c r="AP1239" s="59">
        <v>0</v>
      </c>
    </row>
    <row r="1240" spans="1:42" ht="93" customHeight="1" x14ac:dyDescent="0.25">
      <c r="A1240" s="62" t="s">
        <v>78</v>
      </c>
      <c r="B1240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240" s="64" t="s">
        <v>79</v>
      </c>
      <c r="D1240" s="64" t="s">
        <v>80</v>
      </c>
      <c r="E1240" s="64" t="s">
        <v>81</v>
      </c>
      <c r="F1240" s="64" t="s">
        <v>112</v>
      </c>
      <c r="G1240" s="64" t="s">
        <v>83</v>
      </c>
      <c r="H1240" s="65" t="str">
        <f>VLOOKUP(Tabla6[[#This Row],[DIRECCIÓN]],DIRECCIÓN[#All],2,0)</f>
        <v>ADMINISTRACIÓN CENTRAL</v>
      </c>
      <c r="I1240" s="66" t="s">
        <v>754</v>
      </c>
      <c r="J1240" s="67">
        <v>1</v>
      </c>
      <c r="K1240" s="68" t="str">
        <f>VLOOKUP(Tabla6[[#This Row],[DIRECCIÓN GENERAL / COORDINACIÓN / SUBDIRECCIÓN]],Tabla37[[#All],[Columna1]:[EOD]],2,0)</f>
        <v>266_0007</v>
      </c>
      <c r="L1240" s="69">
        <f>VLOOKUP(Tabla6[[#This Row],[OBJETIVOS PND]],Listas!$A$1:$C$3,3,0)</f>
        <v>1</v>
      </c>
      <c r="M1240" s="70">
        <f>VLOOKUP(Tabla6[[#This Row],[PG]],Listas2!$G$14:$K$16,5,0)</f>
        <v>0</v>
      </c>
      <c r="N1240" s="71">
        <v>1</v>
      </c>
      <c r="O1240" s="72">
        <v>1101</v>
      </c>
      <c r="P1240" s="73" t="str">
        <f>VLOOKUP(Tabla6[[#This Row],[GEO]],Listas!$A$48:$B$77,2,0)</f>
        <v>LOJA</v>
      </c>
      <c r="Q1240" s="70">
        <f>VLOOKUP(Tabla6[[#This Row],[PG]],Listas2!$G$14:$K$16,3,0)</f>
        <v>1</v>
      </c>
      <c r="R1240" s="73">
        <f>VLOOKUP(Tabla6[[#This Row],[PG]],Listas2!H694:'Listas2'!$G$14:$K$16,4,0)</f>
        <v>0</v>
      </c>
      <c r="S1240" s="73">
        <f>VLOOKUP(Tabla6[[#This Row],[PG]],Listas2!$G$14:$K$16,2,0)</f>
        <v>0</v>
      </c>
      <c r="T1240" s="66" t="s">
        <v>84</v>
      </c>
      <c r="U1240" s="74">
        <v>53</v>
      </c>
      <c r="V1240" s="66">
        <v>530802</v>
      </c>
      <c r="W1240" s="63" t="str">
        <f>VLOOKUP(Tabla6[[#This Row],[ÍTEM PRESUPUESTARIO]],Tabla2[#All],2,0)</f>
        <v>VESTUARIO, LENCERÍA, PRENDAS DE PROTECCIÓN Y ACCESORIOS PARA UNIFORMES DEL PERSONAL DE PROTECCIÓN, VIGILANCIA Y SEGURIDAD</v>
      </c>
      <c r="X1240" s="57">
        <v>0</v>
      </c>
      <c r="Y1240" s="57">
        <v>0</v>
      </c>
      <c r="Z1240" s="58">
        <v>0</v>
      </c>
      <c r="AA1240" s="58">
        <v>0</v>
      </c>
      <c r="AB1240" s="58">
        <v>0</v>
      </c>
      <c r="AC1240" s="58">
        <v>0</v>
      </c>
      <c r="AD1240" s="58">
        <v>0</v>
      </c>
      <c r="AE1240" s="58">
        <v>0</v>
      </c>
      <c r="AF1240" s="58">
        <v>0</v>
      </c>
      <c r="AG1240" s="58">
        <v>0</v>
      </c>
      <c r="AH1240" s="58">
        <v>0</v>
      </c>
      <c r="AI1240" s="58">
        <v>0</v>
      </c>
      <c r="AJ1240" s="58">
        <v>0</v>
      </c>
      <c r="AK1240" s="58">
        <v>0</v>
      </c>
      <c r="AL1240" s="75">
        <f>+SUBTOTAL(9,Tabla6[[#This Row],[ENE]:[DIC]])</f>
        <v>0</v>
      </c>
      <c r="AM1240" s="76" t="str">
        <f t="shared" si="42"/>
        <v>OK</v>
      </c>
      <c r="AN1240" s="60">
        <v>0</v>
      </c>
      <c r="AO1240" s="61">
        <f>+Tabla6[[#This Row],[PRESUPUESTO VIGENTE]]-Tabla6[[#This Row],[CERTIFICACIÓN PAPP]]</f>
        <v>0</v>
      </c>
      <c r="AP1240" s="59">
        <v>0</v>
      </c>
    </row>
    <row r="1241" spans="1:42" ht="93" customHeight="1" x14ac:dyDescent="0.25">
      <c r="A1241" s="62" t="s">
        <v>78</v>
      </c>
      <c r="B1241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241" s="64" t="s">
        <v>79</v>
      </c>
      <c r="D1241" s="64" t="s">
        <v>80</v>
      </c>
      <c r="E1241" s="64" t="s">
        <v>81</v>
      </c>
      <c r="F1241" s="64" t="s">
        <v>112</v>
      </c>
      <c r="G1241" s="64" t="s">
        <v>83</v>
      </c>
      <c r="H1241" s="65" t="str">
        <f>VLOOKUP(Tabla6[[#This Row],[DIRECCIÓN]],DIRECCIÓN[#All],2,0)</f>
        <v>ADMINISTRACIÓN CENTRAL</v>
      </c>
      <c r="I1241" s="66" t="s">
        <v>755</v>
      </c>
      <c r="J1241" s="67">
        <v>1</v>
      </c>
      <c r="K1241" s="68" t="str">
        <f>VLOOKUP(Tabla6[[#This Row],[DIRECCIÓN GENERAL / COORDINACIÓN / SUBDIRECCIÓN]],Tabla37[[#All],[Columna1]:[EOD]],2,0)</f>
        <v>266_0007</v>
      </c>
      <c r="L1241" s="69">
        <f>VLOOKUP(Tabla6[[#This Row],[OBJETIVOS PND]],Listas!$A$1:$C$3,3,0)</f>
        <v>1</v>
      </c>
      <c r="M1241" s="70">
        <f>VLOOKUP(Tabla6[[#This Row],[PG]],Listas2!$G$14:$K$16,5,0)</f>
        <v>0</v>
      </c>
      <c r="N1241" s="71">
        <v>1</v>
      </c>
      <c r="O1241" s="72">
        <v>1101</v>
      </c>
      <c r="P1241" s="73" t="str">
        <f>VLOOKUP(Tabla6[[#This Row],[GEO]],Listas!$A$48:$B$77,2,0)</f>
        <v>LOJA</v>
      </c>
      <c r="Q1241" s="70">
        <f>VLOOKUP(Tabla6[[#This Row],[PG]],Listas2!$G$14:$K$16,3,0)</f>
        <v>1</v>
      </c>
      <c r="R1241" s="73">
        <f>VLOOKUP(Tabla6[[#This Row],[PG]],Listas2!H695:'Listas2'!$G$14:$K$16,4,0)</f>
        <v>0</v>
      </c>
      <c r="S1241" s="73">
        <f>VLOOKUP(Tabla6[[#This Row],[PG]],Listas2!$G$14:$K$16,2,0)</f>
        <v>0</v>
      </c>
      <c r="T1241" s="66" t="s">
        <v>84</v>
      </c>
      <c r="U1241" s="74">
        <v>53</v>
      </c>
      <c r="V1241" s="66">
        <v>530803</v>
      </c>
      <c r="W1241" s="63" t="str">
        <f>VLOOKUP(Tabla6[[#This Row],[ÍTEM PRESUPUESTARIO]],Tabla2[#All],2,0)</f>
        <v>LUBRICANTES</v>
      </c>
      <c r="X1241" s="57">
        <v>0</v>
      </c>
      <c r="Y1241" s="57">
        <v>0</v>
      </c>
      <c r="Z1241" s="58">
        <v>0</v>
      </c>
      <c r="AA1241" s="58">
        <v>0</v>
      </c>
      <c r="AB1241" s="58">
        <v>0</v>
      </c>
      <c r="AC1241" s="58">
        <v>0</v>
      </c>
      <c r="AD1241" s="58">
        <v>0</v>
      </c>
      <c r="AE1241" s="58">
        <v>0</v>
      </c>
      <c r="AF1241" s="58">
        <v>0</v>
      </c>
      <c r="AG1241" s="58">
        <v>0</v>
      </c>
      <c r="AH1241" s="58">
        <v>0</v>
      </c>
      <c r="AI1241" s="58">
        <v>0</v>
      </c>
      <c r="AJ1241" s="58">
        <v>0</v>
      </c>
      <c r="AK1241" s="58">
        <v>0</v>
      </c>
      <c r="AL1241" s="75">
        <f>+SUBTOTAL(9,Tabla6[[#This Row],[ENE]:[DIC]])</f>
        <v>0</v>
      </c>
      <c r="AM1241" s="76" t="str">
        <f t="shared" si="42"/>
        <v>OK</v>
      </c>
      <c r="AN1241" s="60">
        <v>0</v>
      </c>
      <c r="AO1241" s="61">
        <f>+Tabla6[[#This Row],[PRESUPUESTO VIGENTE]]-Tabla6[[#This Row],[CERTIFICACIÓN PAPP]]</f>
        <v>0</v>
      </c>
      <c r="AP1241" s="59">
        <v>0</v>
      </c>
    </row>
    <row r="1242" spans="1:42" ht="93" customHeight="1" x14ac:dyDescent="0.25">
      <c r="A1242" s="62" t="s">
        <v>78</v>
      </c>
      <c r="B1242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242" s="64" t="s">
        <v>79</v>
      </c>
      <c r="D1242" s="64" t="s">
        <v>80</v>
      </c>
      <c r="E1242" s="64" t="s">
        <v>81</v>
      </c>
      <c r="F1242" s="64" t="s">
        <v>112</v>
      </c>
      <c r="G1242" s="64" t="s">
        <v>83</v>
      </c>
      <c r="H1242" s="65" t="str">
        <f>VLOOKUP(Tabla6[[#This Row],[DIRECCIÓN]],DIRECCIÓN[#All],2,0)</f>
        <v>ADMINISTRACIÓN CENTRAL</v>
      </c>
      <c r="I1242" s="66" t="s">
        <v>756</v>
      </c>
      <c r="J1242" s="67">
        <v>1</v>
      </c>
      <c r="K1242" s="68" t="str">
        <f>VLOOKUP(Tabla6[[#This Row],[DIRECCIÓN GENERAL / COORDINACIÓN / SUBDIRECCIÓN]],Tabla37[[#All],[Columna1]:[EOD]],2,0)</f>
        <v>266_0007</v>
      </c>
      <c r="L1242" s="69">
        <f>VLOOKUP(Tabla6[[#This Row],[OBJETIVOS PND]],Listas!$A$1:$C$3,3,0)</f>
        <v>1</v>
      </c>
      <c r="M1242" s="70">
        <f>VLOOKUP(Tabla6[[#This Row],[PG]],Listas2!$G$14:$K$16,5,0)</f>
        <v>0</v>
      </c>
      <c r="N1242" s="71">
        <v>1</v>
      </c>
      <c r="O1242" s="72">
        <v>1101</v>
      </c>
      <c r="P1242" s="73" t="str">
        <f>VLOOKUP(Tabla6[[#This Row],[GEO]],Listas!$A$48:$B$77,2,0)</f>
        <v>LOJA</v>
      </c>
      <c r="Q1242" s="70">
        <f>VLOOKUP(Tabla6[[#This Row],[PG]],Listas2!$G$14:$K$16,3,0)</f>
        <v>1</v>
      </c>
      <c r="R1242" s="73">
        <f>VLOOKUP(Tabla6[[#This Row],[PG]],Listas2!H696:'Listas2'!$G$14:$K$16,4,0)</f>
        <v>0</v>
      </c>
      <c r="S1242" s="73">
        <f>VLOOKUP(Tabla6[[#This Row],[PG]],Listas2!$G$14:$K$16,2,0)</f>
        <v>0</v>
      </c>
      <c r="T1242" s="66" t="s">
        <v>84</v>
      </c>
      <c r="U1242" s="74">
        <v>53</v>
      </c>
      <c r="V1242" s="66">
        <v>530803</v>
      </c>
      <c r="W1242" s="63" t="str">
        <f>VLOOKUP(Tabla6[[#This Row],[ÍTEM PRESUPUESTARIO]],Tabla2[#All],2,0)</f>
        <v>LUBRICANTES</v>
      </c>
      <c r="X1242" s="57">
        <v>0</v>
      </c>
      <c r="Y1242" s="57">
        <v>0</v>
      </c>
      <c r="Z1242" s="58">
        <v>0</v>
      </c>
      <c r="AA1242" s="58">
        <v>0</v>
      </c>
      <c r="AB1242" s="58">
        <v>0</v>
      </c>
      <c r="AC1242" s="58">
        <v>0</v>
      </c>
      <c r="AD1242" s="58">
        <v>0</v>
      </c>
      <c r="AE1242" s="58">
        <v>0</v>
      </c>
      <c r="AF1242" s="58">
        <v>0</v>
      </c>
      <c r="AG1242" s="58">
        <v>0</v>
      </c>
      <c r="AH1242" s="58">
        <v>0</v>
      </c>
      <c r="AI1242" s="58">
        <v>0</v>
      </c>
      <c r="AJ1242" s="58">
        <v>0</v>
      </c>
      <c r="AK1242" s="58">
        <v>0</v>
      </c>
      <c r="AL1242" s="75">
        <f>+SUBTOTAL(9,Tabla6[[#This Row],[ENE]:[DIC]])</f>
        <v>0</v>
      </c>
      <c r="AM1242" s="76" t="str">
        <f t="shared" si="42"/>
        <v>OK</v>
      </c>
      <c r="AN1242" s="60">
        <v>0</v>
      </c>
      <c r="AO1242" s="61">
        <f>+Tabla6[[#This Row],[PRESUPUESTO VIGENTE]]-Tabla6[[#This Row],[CERTIFICACIÓN PAPP]]</f>
        <v>0</v>
      </c>
      <c r="AP1242" s="59">
        <v>0</v>
      </c>
    </row>
    <row r="1243" spans="1:42" ht="93" customHeight="1" x14ac:dyDescent="0.25">
      <c r="A1243" s="62" t="s">
        <v>78</v>
      </c>
      <c r="B1243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243" s="64" t="s">
        <v>79</v>
      </c>
      <c r="D1243" s="64" t="s">
        <v>80</v>
      </c>
      <c r="E1243" s="64" t="s">
        <v>81</v>
      </c>
      <c r="F1243" s="64" t="s">
        <v>112</v>
      </c>
      <c r="G1243" s="64" t="s">
        <v>83</v>
      </c>
      <c r="H1243" s="65" t="str">
        <f>VLOOKUP(Tabla6[[#This Row],[DIRECCIÓN]],DIRECCIÓN[#All],2,0)</f>
        <v>ADMINISTRACIÓN CENTRAL</v>
      </c>
      <c r="I1243" s="66" t="s">
        <v>752</v>
      </c>
      <c r="J1243" s="67">
        <v>1</v>
      </c>
      <c r="K1243" s="68" t="str">
        <f>VLOOKUP(Tabla6[[#This Row],[DIRECCIÓN GENERAL / COORDINACIÓN / SUBDIRECCIÓN]],Tabla37[[#All],[Columna1]:[EOD]],2,0)</f>
        <v>266_0007</v>
      </c>
      <c r="L1243" s="69">
        <f>VLOOKUP(Tabla6[[#This Row],[OBJETIVOS PND]],Listas!$A$1:$C$3,3,0)</f>
        <v>1</v>
      </c>
      <c r="M1243" s="70">
        <f>VLOOKUP(Tabla6[[#This Row],[PG]],Listas2!$G$14:$K$16,5,0)</f>
        <v>0</v>
      </c>
      <c r="N1243" s="71">
        <v>1</v>
      </c>
      <c r="O1243" s="72">
        <v>1101</v>
      </c>
      <c r="P1243" s="73" t="str">
        <f>VLOOKUP(Tabla6[[#This Row],[GEO]],Listas!$A$48:$B$77,2,0)</f>
        <v>LOJA</v>
      </c>
      <c r="Q1243" s="70">
        <f>VLOOKUP(Tabla6[[#This Row],[PG]],Listas2!$G$14:$K$16,3,0)</f>
        <v>1</v>
      </c>
      <c r="R1243" s="73">
        <f>VLOOKUP(Tabla6[[#This Row],[PG]],Listas2!H697:'Listas2'!$G$14:$K$16,4,0)</f>
        <v>0</v>
      </c>
      <c r="S1243" s="73">
        <f>VLOOKUP(Tabla6[[#This Row],[PG]],Listas2!$G$14:$K$16,2,0)</f>
        <v>0</v>
      </c>
      <c r="T1243" s="66" t="s">
        <v>84</v>
      </c>
      <c r="U1243" s="74">
        <v>53</v>
      </c>
      <c r="V1243" s="66">
        <v>530803</v>
      </c>
      <c r="W1243" s="63" t="str">
        <f>VLOOKUP(Tabla6[[#This Row],[ÍTEM PRESUPUESTARIO]],Tabla2[#All],2,0)</f>
        <v>LUBRICANTES</v>
      </c>
      <c r="X1243" s="57">
        <v>4400</v>
      </c>
      <c r="Y1243" s="57">
        <f>1178-126.5-299.5</f>
        <v>752</v>
      </c>
      <c r="Z1243" s="58">
        <v>0</v>
      </c>
      <c r="AA1243" s="58">
        <v>0</v>
      </c>
      <c r="AB1243" s="58">
        <v>80</v>
      </c>
      <c r="AC1243" s="58">
        <v>122</v>
      </c>
      <c r="AD1243" s="58">
        <v>0</v>
      </c>
      <c r="AE1243" s="58">
        <v>0</v>
      </c>
      <c r="AF1243" s="58">
        <v>350</v>
      </c>
      <c r="AG1243" s="58">
        <v>0</v>
      </c>
      <c r="AH1243" s="58">
        <v>50.5</v>
      </c>
      <c r="AI1243" s="58">
        <v>0</v>
      </c>
      <c r="AJ1243" s="58">
        <v>149.5</v>
      </c>
      <c r="AK1243" s="58">
        <v>0</v>
      </c>
      <c r="AL1243" s="75">
        <f>+SUBTOTAL(9,Tabla6[[#This Row],[ENE]:[DIC]])</f>
        <v>752</v>
      </c>
      <c r="AM1243" s="76" t="str">
        <f t="shared" si="42"/>
        <v>OK</v>
      </c>
      <c r="AN1243" s="60">
        <f>1051.5-299.5</f>
        <v>752</v>
      </c>
      <c r="AO1243" s="61">
        <f>+Tabla6[[#This Row],[PRESUPUESTO VIGENTE]]-Tabla6[[#This Row],[CERTIFICACIÓN PAPP]]</f>
        <v>0</v>
      </c>
      <c r="AP1243" s="59">
        <v>0</v>
      </c>
    </row>
    <row r="1244" spans="1:42" ht="93" customHeight="1" x14ac:dyDescent="0.25">
      <c r="A1244" s="62" t="s">
        <v>78</v>
      </c>
      <c r="B1244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244" s="64" t="s">
        <v>79</v>
      </c>
      <c r="D1244" s="64" t="s">
        <v>80</v>
      </c>
      <c r="E1244" s="64" t="s">
        <v>81</v>
      </c>
      <c r="F1244" s="64" t="s">
        <v>112</v>
      </c>
      <c r="G1244" s="64" t="s">
        <v>83</v>
      </c>
      <c r="H1244" s="65" t="str">
        <f>VLOOKUP(Tabla6[[#This Row],[DIRECCIÓN]],DIRECCIÓN[#All],2,0)</f>
        <v>ADMINISTRACIÓN CENTRAL</v>
      </c>
      <c r="I1244" s="66" t="s">
        <v>757</v>
      </c>
      <c r="J1244" s="67">
        <v>1</v>
      </c>
      <c r="K1244" s="68" t="str">
        <f>VLOOKUP(Tabla6[[#This Row],[DIRECCIÓN GENERAL / COORDINACIÓN / SUBDIRECCIÓN]],Tabla37[[#All],[Columna1]:[EOD]],2,0)</f>
        <v>266_0007</v>
      </c>
      <c r="L1244" s="69">
        <f>VLOOKUP(Tabla6[[#This Row],[OBJETIVOS PND]],Listas!$A$1:$C$3,3,0)</f>
        <v>1</v>
      </c>
      <c r="M1244" s="70">
        <f>VLOOKUP(Tabla6[[#This Row],[PG]],Listas2!$G$14:$K$16,5,0)</f>
        <v>0</v>
      </c>
      <c r="N1244" s="71">
        <v>1</v>
      </c>
      <c r="O1244" s="72">
        <v>1101</v>
      </c>
      <c r="P1244" s="73" t="str">
        <f>VLOOKUP(Tabla6[[#This Row],[GEO]],Listas!$A$48:$B$77,2,0)</f>
        <v>LOJA</v>
      </c>
      <c r="Q1244" s="70">
        <f>VLOOKUP(Tabla6[[#This Row],[PG]],Listas2!$G$14:$K$16,3,0)</f>
        <v>1</v>
      </c>
      <c r="R1244" s="73">
        <f>VLOOKUP(Tabla6[[#This Row],[PG]],Listas2!H698:'Listas2'!$G$14:$K$16,4,0)</f>
        <v>0</v>
      </c>
      <c r="S1244" s="73">
        <f>VLOOKUP(Tabla6[[#This Row],[PG]],Listas2!$G$14:$K$16,2,0)</f>
        <v>0</v>
      </c>
      <c r="T1244" s="66" t="s">
        <v>84</v>
      </c>
      <c r="U1244" s="74">
        <v>53</v>
      </c>
      <c r="V1244" s="66">
        <v>530804</v>
      </c>
      <c r="W1244" s="63" t="str">
        <f>VLOOKUP(Tabla6[[#This Row],[ÍTEM PRESUPUESTARIO]],Tabla2[#All],2,0)</f>
        <v>MATERIALES DE OFICINA</v>
      </c>
      <c r="X1244" s="57">
        <v>500</v>
      </c>
      <c r="Y1244" s="57">
        <f>500+400-145.95-146.76</f>
        <v>607.29</v>
      </c>
      <c r="Z1244" s="58">
        <v>0</v>
      </c>
      <c r="AA1244" s="58">
        <v>0</v>
      </c>
      <c r="AB1244" s="58">
        <v>0</v>
      </c>
      <c r="AC1244" s="58">
        <v>0</v>
      </c>
      <c r="AD1244" s="58">
        <v>0</v>
      </c>
      <c r="AE1244" s="58">
        <v>353.04</v>
      </c>
      <c r="AF1244" s="58">
        <v>0</v>
      </c>
      <c r="AG1244" s="58">
        <v>254.25</v>
      </c>
      <c r="AH1244" s="58">
        <v>0</v>
      </c>
      <c r="AI1244" s="58">
        <v>0</v>
      </c>
      <c r="AJ1244" s="58">
        <v>0</v>
      </c>
      <c r="AK1244" s="58">
        <v>0</v>
      </c>
      <c r="AL1244" s="75">
        <f>+SUBTOTAL(9,Tabla6[[#This Row],[ENE]:[DIC]])</f>
        <v>607.29</v>
      </c>
      <c r="AM1244" s="76" t="str">
        <f t="shared" si="42"/>
        <v>OK</v>
      </c>
      <c r="AN1244" s="60">
        <f>235.25-88.56+225.4+235+0.2</f>
        <v>607.29000000000008</v>
      </c>
      <c r="AO1244" s="61">
        <f>+Tabla6[[#This Row],[PRESUPUESTO VIGENTE]]-Tabla6[[#This Row],[CERTIFICACIÓN PAPP]]</f>
        <v>0</v>
      </c>
      <c r="AP1244" s="59">
        <v>0</v>
      </c>
    </row>
    <row r="1245" spans="1:42" ht="93" customHeight="1" x14ac:dyDescent="0.25">
      <c r="A1245" s="62" t="s">
        <v>78</v>
      </c>
      <c r="B1245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245" s="64" t="s">
        <v>79</v>
      </c>
      <c r="D1245" s="64" t="s">
        <v>80</v>
      </c>
      <c r="E1245" s="64" t="s">
        <v>81</v>
      </c>
      <c r="F1245" s="64" t="s">
        <v>112</v>
      </c>
      <c r="G1245" s="64" t="s">
        <v>83</v>
      </c>
      <c r="H1245" s="65" t="str">
        <f>VLOOKUP(Tabla6[[#This Row],[DIRECCIÓN]],DIRECCIÓN[#All],2,0)</f>
        <v>ADMINISTRACIÓN CENTRAL</v>
      </c>
      <c r="I1245" s="66" t="s">
        <v>758</v>
      </c>
      <c r="J1245" s="67">
        <v>1</v>
      </c>
      <c r="K1245" s="68" t="str">
        <f>VLOOKUP(Tabla6[[#This Row],[DIRECCIÓN GENERAL / COORDINACIÓN / SUBDIRECCIÓN]],Tabla37[[#All],[Columna1]:[EOD]],2,0)</f>
        <v>266_0007</v>
      </c>
      <c r="L1245" s="69">
        <f>VLOOKUP(Tabla6[[#This Row],[OBJETIVOS PND]],Listas!$A$1:$C$3,3,0)</f>
        <v>1</v>
      </c>
      <c r="M1245" s="70">
        <f>VLOOKUP(Tabla6[[#This Row],[PG]],Listas2!$G$14:$K$16,5,0)</f>
        <v>0</v>
      </c>
      <c r="N1245" s="71">
        <v>1</v>
      </c>
      <c r="O1245" s="72">
        <v>1101</v>
      </c>
      <c r="P1245" s="73" t="str">
        <f>VLOOKUP(Tabla6[[#This Row],[GEO]],Listas!$A$48:$B$77,2,0)</f>
        <v>LOJA</v>
      </c>
      <c r="Q1245" s="70">
        <f>VLOOKUP(Tabla6[[#This Row],[PG]],Listas2!$G$14:$K$16,3,0)</f>
        <v>1</v>
      </c>
      <c r="R1245" s="73">
        <f>VLOOKUP(Tabla6[[#This Row],[PG]],Listas2!H699:'Listas2'!$G$14:$K$16,4,0)</f>
        <v>0</v>
      </c>
      <c r="S1245" s="73">
        <f>VLOOKUP(Tabla6[[#This Row],[PG]],Listas2!$G$14:$K$16,2,0)</f>
        <v>0</v>
      </c>
      <c r="T1245" s="66" t="s">
        <v>84</v>
      </c>
      <c r="U1245" s="74">
        <v>53</v>
      </c>
      <c r="V1245" s="66">
        <v>530805</v>
      </c>
      <c r="W1245" s="63" t="str">
        <f>VLOOKUP(Tabla6[[#This Row],[ÍTEM PRESUPUESTARIO]],Tabla2[#All],2,0)</f>
        <v>MATERIALES DE ASEO</v>
      </c>
      <c r="X1245" s="57">
        <v>5300</v>
      </c>
      <c r="Y1245" s="57">
        <f>3756-2500-517.35-34.07-483.28</f>
        <v>221.29999999999995</v>
      </c>
      <c r="Z1245" s="58">
        <v>0</v>
      </c>
      <c r="AA1245" s="58">
        <v>0</v>
      </c>
      <c r="AB1245" s="58">
        <v>0</v>
      </c>
      <c r="AC1245" s="58">
        <v>221.3</v>
      </c>
      <c r="AD1245" s="58">
        <v>0</v>
      </c>
      <c r="AE1245" s="58">
        <v>0</v>
      </c>
      <c r="AF1245" s="58">
        <v>0</v>
      </c>
      <c r="AG1245" s="58">
        <v>0</v>
      </c>
      <c r="AH1245" s="58">
        <v>0</v>
      </c>
      <c r="AI1245" s="58">
        <v>0</v>
      </c>
      <c r="AJ1245" s="58">
        <v>0</v>
      </c>
      <c r="AK1245" s="58">
        <v>0</v>
      </c>
      <c r="AL1245" s="75">
        <f>+SUBTOTAL(9,Tabla6[[#This Row],[ENE]:[DIC]])</f>
        <v>221.3</v>
      </c>
      <c r="AM1245" s="76" t="str">
        <f t="shared" si="42"/>
        <v>OK</v>
      </c>
      <c r="AN1245" s="60">
        <f>221.3+424.36-424.36</f>
        <v>221.30000000000007</v>
      </c>
      <c r="AO1245" s="61">
        <f>+Tabla6[[#This Row],[PRESUPUESTO VIGENTE]]-Tabla6[[#This Row],[CERTIFICACIÓN PAPP]]</f>
        <v>0</v>
      </c>
      <c r="AP1245" s="59" t="s">
        <v>87</v>
      </c>
    </row>
    <row r="1246" spans="1:42" ht="93" customHeight="1" x14ac:dyDescent="0.25">
      <c r="A1246" s="62" t="s">
        <v>78</v>
      </c>
      <c r="B1246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246" s="64" t="s">
        <v>79</v>
      </c>
      <c r="D1246" s="64" t="s">
        <v>80</v>
      </c>
      <c r="E1246" s="64" t="s">
        <v>81</v>
      </c>
      <c r="F1246" s="64" t="s">
        <v>112</v>
      </c>
      <c r="G1246" s="64" t="s">
        <v>83</v>
      </c>
      <c r="H1246" s="65" t="str">
        <f>VLOOKUP(Tabla6[[#This Row],[DIRECCIÓN]],DIRECCIÓN[#All],2,0)</f>
        <v>ADMINISTRACIÓN CENTRAL</v>
      </c>
      <c r="I1246" s="66" t="s">
        <v>755</v>
      </c>
      <c r="J1246" s="67">
        <v>1</v>
      </c>
      <c r="K1246" s="68" t="str">
        <f>VLOOKUP(Tabla6[[#This Row],[DIRECCIÓN GENERAL / COORDINACIÓN / SUBDIRECCIÓN]],Tabla37[[#All],[Columna1]:[EOD]],2,0)</f>
        <v>266_0007</v>
      </c>
      <c r="L1246" s="69">
        <f>VLOOKUP(Tabla6[[#This Row],[OBJETIVOS PND]],Listas!$A$1:$C$3,3,0)</f>
        <v>1</v>
      </c>
      <c r="M1246" s="70">
        <f>VLOOKUP(Tabla6[[#This Row],[PG]],Listas2!$G$14:$K$16,5,0)</f>
        <v>0</v>
      </c>
      <c r="N1246" s="71">
        <v>1</v>
      </c>
      <c r="O1246" s="72">
        <v>1101</v>
      </c>
      <c r="P1246" s="73" t="str">
        <f>VLOOKUP(Tabla6[[#This Row],[GEO]],Listas!$A$48:$B$77,2,0)</f>
        <v>LOJA</v>
      </c>
      <c r="Q1246" s="70">
        <f>VLOOKUP(Tabla6[[#This Row],[PG]],Listas2!$G$14:$K$16,3,0)</f>
        <v>1</v>
      </c>
      <c r="R1246" s="73">
        <f>VLOOKUP(Tabla6[[#This Row],[PG]],Listas2!H700:'Listas2'!$G$14:$K$16,4,0)</f>
        <v>0</v>
      </c>
      <c r="S1246" s="73">
        <f>VLOOKUP(Tabla6[[#This Row],[PG]],Listas2!$G$14:$K$16,2,0)</f>
        <v>0</v>
      </c>
      <c r="T1246" s="66" t="s">
        <v>84</v>
      </c>
      <c r="U1246" s="74">
        <v>53</v>
      </c>
      <c r="V1246" s="66">
        <v>530811</v>
      </c>
      <c r="W1246" s="63" t="str">
        <f>VLOOKUP(Tabla6[[#This Row],[ÍTEM PRESUPUESTARIO]],Tabla2[#All],2,0)</f>
        <v>INSUMOS, MATERIALES Y SUMINISTROS PARA CONSTRUCCIÓN, ELECTRICIDAD, PLOMERÍA, CARPINTERÍA, SEÑALIZACIÓN VIAL, NAVEGACIÓN, CONTRA INCENDIOS Y PLACAS</v>
      </c>
      <c r="X1246" s="57">
        <v>0</v>
      </c>
      <c r="Y1246" s="57">
        <f>1600-1500-60.07</f>
        <v>39.93</v>
      </c>
      <c r="Z1246" s="58">
        <v>0</v>
      </c>
      <c r="AA1246" s="58">
        <v>0</v>
      </c>
      <c r="AB1246" s="58">
        <v>0</v>
      </c>
      <c r="AC1246" s="58">
        <v>0</v>
      </c>
      <c r="AD1246" s="58">
        <v>0</v>
      </c>
      <c r="AE1246" s="58">
        <v>0</v>
      </c>
      <c r="AF1246" s="58">
        <v>0</v>
      </c>
      <c r="AG1246" s="58">
        <v>0</v>
      </c>
      <c r="AH1246" s="58">
        <v>0</v>
      </c>
      <c r="AI1246" s="58">
        <v>0</v>
      </c>
      <c r="AJ1246" s="58">
        <v>39.93</v>
      </c>
      <c r="AK1246" s="58">
        <v>0</v>
      </c>
      <c r="AL1246" s="75">
        <f>+SUBTOTAL(9,Tabla6[[#This Row],[ENE]:[DIC]])</f>
        <v>39.93</v>
      </c>
      <c r="AM1246" s="76" t="str">
        <f t="shared" si="42"/>
        <v>OK</v>
      </c>
      <c r="AN1246" s="60">
        <v>39.93</v>
      </c>
      <c r="AO1246" s="61">
        <f>+Tabla6[[#This Row],[PRESUPUESTO VIGENTE]]-Tabla6[[#This Row],[CERTIFICACIÓN PAPP]]</f>
        <v>0</v>
      </c>
      <c r="AP1246" s="59">
        <v>0</v>
      </c>
    </row>
    <row r="1247" spans="1:42" ht="93" customHeight="1" x14ac:dyDescent="0.25">
      <c r="A1247" s="62" t="s">
        <v>78</v>
      </c>
      <c r="B1247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247" s="64" t="s">
        <v>79</v>
      </c>
      <c r="D1247" s="64" t="s">
        <v>80</v>
      </c>
      <c r="E1247" s="64" t="s">
        <v>81</v>
      </c>
      <c r="F1247" s="64" t="s">
        <v>112</v>
      </c>
      <c r="G1247" s="64" t="s">
        <v>83</v>
      </c>
      <c r="H1247" s="65" t="str">
        <f>VLOOKUP(Tabla6[[#This Row],[DIRECCIÓN]],DIRECCIÓN[#All],2,0)</f>
        <v>ADMINISTRACIÓN CENTRAL</v>
      </c>
      <c r="I1247" s="66" t="s">
        <v>756</v>
      </c>
      <c r="J1247" s="67">
        <v>1</v>
      </c>
      <c r="K1247" s="68" t="str">
        <f>VLOOKUP(Tabla6[[#This Row],[DIRECCIÓN GENERAL / COORDINACIÓN / SUBDIRECCIÓN]],Tabla37[[#All],[Columna1]:[EOD]],2,0)</f>
        <v>266_0007</v>
      </c>
      <c r="L1247" s="69">
        <f>VLOOKUP(Tabla6[[#This Row],[OBJETIVOS PND]],Listas!$A$1:$C$3,3,0)</f>
        <v>1</v>
      </c>
      <c r="M1247" s="70">
        <f>VLOOKUP(Tabla6[[#This Row],[PG]],Listas2!$G$14:$K$16,5,0)</f>
        <v>0</v>
      </c>
      <c r="N1247" s="71">
        <v>1</v>
      </c>
      <c r="O1247" s="72">
        <v>1101</v>
      </c>
      <c r="P1247" s="73" t="str">
        <f>VLOOKUP(Tabla6[[#This Row],[GEO]],Listas!$A$48:$B$77,2,0)</f>
        <v>LOJA</v>
      </c>
      <c r="Q1247" s="70">
        <f>VLOOKUP(Tabla6[[#This Row],[PG]],Listas2!$G$14:$K$16,3,0)</f>
        <v>1</v>
      </c>
      <c r="R1247" s="73">
        <f>VLOOKUP(Tabla6[[#This Row],[PG]],Listas2!H701:'Listas2'!$G$14:$K$16,4,0)</f>
        <v>0</v>
      </c>
      <c r="S1247" s="73">
        <f>VLOOKUP(Tabla6[[#This Row],[PG]],Listas2!$G$14:$K$16,2,0)</f>
        <v>0</v>
      </c>
      <c r="T1247" s="66" t="s">
        <v>84</v>
      </c>
      <c r="U1247" s="74">
        <v>53</v>
      </c>
      <c r="V1247" s="66">
        <v>530811</v>
      </c>
      <c r="W1247" s="63" t="str">
        <f>VLOOKUP(Tabla6[[#This Row],[ÍTEM PRESUPUESTARIO]],Tabla2[#All],2,0)</f>
        <v>INSUMOS, MATERIALES Y SUMINISTROS PARA CONSTRUCCIÓN, ELECTRICIDAD, PLOMERÍA, CARPINTERÍA, SEÑALIZACIÓN VIAL, NAVEGACIÓN, CONTRA INCENDIOS Y PLACAS</v>
      </c>
      <c r="X1247" s="57">
        <v>0</v>
      </c>
      <c r="Y1247" s="57">
        <f>2500-1500-1000</f>
        <v>0</v>
      </c>
      <c r="Z1247" s="58">
        <v>0</v>
      </c>
      <c r="AA1247" s="58">
        <v>0</v>
      </c>
      <c r="AB1247" s="58">
        <v>0</v>
      </c>
      <c r="AC1247" s="58">
        <v>0</v>
      </c>
      <c r="AD1247" s="58">
        <v>0</v>
      </c>
      <c r="AE1247" s="58">
        <v>0</v>
      </c>
      <c r="AF1247" s="58">
        <v>0</v>
      </c>
      <c r="AG1247" s="58">
        <v>0</v>
      </c>
      <c r="AH1247" s="58">
        <v>0</v>
      </c>
      <c r="AI1247" s="58">
        <v>0</v>
      </c>
      <c r="AJ1247" s="58">
        <v>0</v>
      </c>
      <c r="AK1247" s="58">
        <v>0</v>
      </c>
      <c r="AL1247" s="75">
        <f>+SUBTOTAL(9,Tabla6[[#This Row],[ENE]:[DIC]])</f>
        <v>0</v>
      </c>
      <c r="AM1247" s="76" t="str">
        <f t="shared" si="42"/>
        <v>OK</v>
      </c>
      <c r="AN1247" s="60">
        <v>0</v>
      </c>
      <c r="AO1247" s="61">
        <f>+Tabla6[[#This Row],[PRESUPUESTO VIGENTE]]-Tabla6[[#This Row],[CERTIFICACIÓN PAPP]]</f>
        <v>0</v>
      </c>
      <c r="AP1247" s="59">
        <v>0</v>
      </c>
    </row>
    <row r="1248" spans="1:42" ht="93" customHeight="1" x14ac:dyDescent="0.25">
      <c r="A1248" s="62" t="s">
        <v>78</v>
      </c>
      <c r="B1248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248" s="64" t="s">
        <v>79</v>
      </c>
      <c r="D1248" s="64" t="s">
        <v>80</v>
      </c>
      <c r="E1248" s="64" t="s">
        <v>81</v>
      </c>
      <c r="F1248" s="64" t="s">
        <v>112</v>
      </c>
      <c r="G1248" s="64" t="s">
        <v>83</v>
      </c>
      <c r="H1248" s="65" t="str">
        <f>VLOOKUP(Tabla6[[#This Row],[DIRECCIÓN]],DIRECCIÓN[#All],2,0)</f>
        <v>ADMINISTRACIÓN CENTRAL</v>
      </c>
      <c r="I1248" s="66" t="s">
        <v>749</v>
      </c>
      <c r="J1248" s="67">
        <v>1</v>
      </c>
      <c r="K1248" s="68" t="str">
        <f>VLOOKUP(Tabla6[[#This Row],[DIRECCIÓN GENERAL / COORDINACIÓN / SUBDIRECCIÓN]],Tabla37[[#All],[Columna1]:[EOD]],2,0)</f>
        <v>266_0007</v>
      </c>
      <c r="L1248" s="69">
        <f>VLOOKUP(Tabla6[[#This Row],[OBJETIVOS PND]],Listas!$A$1:$C$3,3,0)</f>
        <v>1</v>
      </c>
      <c r="M1248" s="70">
        <f>VLOOKUP(Tabla6[[#This Row],[PG]],Listas2!$G$14:$K$16,5,0)</f>
        <v>0</v>
      </c>
      <c r="N1248" s="71">
        <v>1</v>
      </c>
      <c r="O1248" s="72">
        <v>1101</v>
      </c>
      <c r="P1248" s="73" t="str">
        <f>VLOOKUP(Tabla6[[#This Row],[GEO]],Listas!$A$48:$B$77,2,0)</f>
        <v>LOJA</v>
      </c>
      <c r="Q1248" s="70">
        <f>VLOOKUP(Tabla6[[#This Row],[PG]],Listas2!$G$14:$K$16,3,0)</f>
        <v>1</v>
      </c>
      <c r="R1248" s="73">
        <f>VLOOKUP(Tabla6[[#This Row],[PG]],Listas2!H702:'Listas2'!$G$14:$K$16,4,0)</f>
        <v>0</v>
      </c>
      <c r="S1248" s="73">
        <f>VLOOKUP(Tabla6[[#This Row],[PG]],Listas2!$G$14:$K$16,2,0)</f>
        <v>0</v>
      </c>
      <c r="T1248" s="66" t="s">
        <v>84</v>
      </c>
      <c r="U1248" s="74">
        <v>53</v>
      </c>
      <c r="V1248" s="66">
        <v>530811</v>
      </c>
      <c r="W1248" s="63" t="str">
        <f>VLOOKUP(Tabla6[[#This Row],[ÍTEM PRESUPUESTARIO]],Tabla2[#All],2,0)</f>
        <v>INSUMOS, MATERIALES Y SUMINISTROS PARA CONSTRUCCIÓN, ELECTRICIDAD, PLOMERÍA, CARPINTERÍA, SEÑALIZACIÓN VIAL, NAVEGACIÓN, CONTRA INCENDIOS Y PLACAS</v>
      </c>
      <c r="X1248" s="57">
        <v>100</v>
      </c>
      <c r="Y1248" s="57">
        <f>128+100+50-75.23-121.35</f>
        <v>81.419999999999987</v>
      </c>
      <c r="Z1248" s="58">
        <v>0</v>
      </c>
      <c r="AA1248" s="58">
        <v>0</v>
      </c>
      <c r="AB1248" s="58">
        <v>0</v>
      </c>
      <c r="AC1248" s="58">
        <v>0</v>
      </c>
      <c r="AD1248" s="58">
        <v>0</v>
      </c>
      <c r="AE1248" s="58">
        <v>0</v>
      </c>
      <c r="AF1248" s="58">
        <v>0</v>
      </c>
      <c r="AG1248" s="58">
        <v>0</v>
      </c>
      <c r="AH1248" s="58">
        <v>0</v>
      </c>
      <c r="AI1248" s="58">
        <v>0</v>
      </c>
      <c r="AJ1248" s="58">
        <v>81.42</v>
      </c>
      <c r="AK1248" s="58">
        <v>0</v>
      </c>
      <c r="AL1248" s="75">
        <f>+SUBTOTAL(9,Tabla6[[#This Row],[ENE]:[DIC]])</f>
        <v>81.42</v>
      </c>
      <c r="AM1248" s="76" t="str">
        <f t="shared" si="42"/>
        <v>OK</v>
      </c>
      <c r="AN1248" s="60">
        <f>77.54-50+100-6.19-39.93</f>
        <v>81.420000000000016</v>
      </c>
      <c r="AO1248" s="61">
        <f>+Tabla6[[#This Row],[PRESUPUESTO VIGENTE]]-Tabla6[[#This Row],[CERTIFICACIÓN PAPP]]</f>
        <v>0</v>
      </c>
      <c r="AP1248" s="59">
        <v>0</v>
      </c>
    </row>
    <row r="1249" spans="1:42" ht="93" customHeight="1" x14ac:dyDescent="0.25">
      <c r="A1249" s="62" t="s">
        <v>78</v>
      </c>
      <c r="B1249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249" s="64" t="s">
        <v>79</v>
      </c>
      <c r="D1249" s="64" t="s">
        <v>80</v>
      </c>
      <c r="E1249" s="64" t="s">
        <v>81</v>
      </c>
      <c r="F1249" s="64" t="s">
        <v>112</v>
      </c>
      <c r="G1249" s="64" t="s">
        <v>83</v>
      </c>
      <c r="H1249" s="65" t="str">
        <f>VLOOKUP(Tabla6[[#This Row],[DIRECCIÓN]],DIRECCIÓN[#All],2,0)</f>
        <v>ADMINISTRACIÓN CENTRAL</v>
      </c>
      <c r="I1249" s="66" t="s">
        <v>759</v>
      </c>
      <c r="J1249" s="67">
        <v>1</v>
      </c>
      <c r="K1249" s="68" t="str">
        <f>VLOOKUP(Tabla6[[#This Row],[DIRECCIÓN GENERAL / COORDINACIÓN / SUBDIRECCIÓN]],Tabla37[[#All],[Columna1]:[EOD]],2,0)</f>
        <v>266_0007</v>
      </c>
      <c r="L1249" s="69">
        <f>VLOOKUP(Tabla6[[#This Row],[OBJETIVOS PND]],Listas!$A$1:$C$3,3,0)</f>
        <v>1</v>
      </c>
      <c r="M1249" s="70">
        <f>VLOOKUP(Tabla6[[#This Row],[PG]],Listas2!$G$14:$K$16,5,0)</f>
        <v>0</v>
      </c>
      <c r="N1249" s="71">
        <v>1</v>
      </c>
      <c r="O1249" s="72">
        <v>1101</v>
      </c>
      <c r="P1249" s="73" t="str">
        <f>VLOOKUP(Tabla6[[#This Row],[GEO]],Listas!$A$48:$B$77,2,0)</f>
        <v>LOJA</v>
      </c>
      <c r="Q1249" s="70">
        <f>VLOOKUP(Tabla6[[#This Row],[PG]],Listas2!$G$14:$K$16,3,0)</f>
        <v>1</v>
      </c>
      <c r="R1249" s="73">
        <f>VLOOKUP(Tabla6[[#This Row],[PG]],Listas2!H703:'Listas2'!$G$14:$K$16,4,0)</f>
        <v>0</v>
      </c>
      <c r="S1249" s="73">
        <f>VLOOKUP(Tabla6[[#This Row],[PG]],Listas2!$G$14:$K$16,2,0)</f>
        <v>0</v>
      </c>
      <c r="T1249" s="66" t="s">
        <v>84</v>
      </c>
      <c r="U1249" s="74">
        <v>53</v>
      </c>
      <c r="V1249" s="66">
        <v>530813</v>
      </c>
      <c r="W1249" s="63" t="str">
        <f>VLOOKUP(Tabla6[[#This Row],[ÍTEM PRESUPUESTARIO]],Tabla2[#All],2,0)</f>
        <v>REPUESTOS Y ACCESORIOS</v>
      </c>
      <c r="X1249" s="57">
        <v>0</v>
      </c>
      <c r="Y1249" s="57">
        <v>0</v>
      </c>
      <c r="Z1249" s="58">
        <v>0</v>
      </c>
      <c r="AA1249" s="58">
        <v>0</v>
      </c>
      <c r="AB1249" s="58">
        <v>0</v>
      </c>
      <c r="AC1249" s="58">
        <v>0</v>
      </c>
      <c r="AD1249" s="58">
        <v>0</v>
      </c>
      <c r="AE1249" s="58">
        <v>0</v>
      </c>
      <c r="AF1249" s="58">
        <v>0</v>
      </c>
      <c r="AG1249" s="58">
        <v>0</v>
      </c>
      <c r="AH1249" s="58">
        <v>0</v>
      </c>
      <c r="AI1249" s="58">
        <v>0</v>
      </c>
      <c r="AJ1249" s="58">
        <v>0</v>
      </c>
      <c r="AK1249" s="58">
        <v>0</v>
      </c>
      <c r="AL1249" s="75">
        <f>+SUBTOTAL(9,Tabla6[[#This Row],[ENE]:[DIC]])</f>
        <v>0</v>
      </c>
      <c r="AM1249" s="76" t="str">
        <f t="shared" si="42"/>
        <v>OK</v>
      </c>
      <c r="AN1249" s="60">
        <v>0</v>
      </c>
      <c r="AO1249" s="61">
        <f>+Tabla6[[#This Row],[PRESUPUESTO VIGENTE]]-Tabla6[[#This Row],[CERTIFICACIÓN PAPP]]</f>
        <v>0</v>
      </c>
      <c r="AP1249" s="59">
        <v>0</v>
      </c>
    </row>
    <row r="1250" spans="1:42" ht="93" customHeight="1" x14ac:dyDescent="0.25">
      <c r="A1250" s="62" t="s">
        <v>78</v>
      </c>
      <c r="B1250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250" s="64" t="s">
        <v>79</v>
      </c>
      <c r="D1250" s="64" t="s">
        <v>80</v>
      </c>
      <c r="E1250" s="64" t="s">
        <v>81</v>
      </c>
      <c r="F1250" s="64" t="s">
        <v>112</v>
      </c>
      <c r="G1250" s="64" t="s">
        <v>83</v>
      </c>
      <c r="H1250" s="65" t="str">
        <f>VLOOKUP(Tabla6[[#This Row],[DIRECCIÓN]],DIRECCIÓN[#All],2,0)</f>
        <v>ADMINISTRACIÓN CENTRAL</v>
      </c>
      <c r="I1250" s="66" t="s">
        <v>749</v>
      </c>
      <c r="J1250" s="67">
        <v>1</v>
      </c>
      <c r="K1250" s="68" t="str">
        <f>VLOOKUP(Tabla6[[#This Row],[DIRECCIÓN GENERAL / COORDINACIÓN / SUBDIRECCIÓN]],Tabla37[[#All],[Columna1]:[EOD]],2,0)</f>
        <v>266_0007</v>
      </c>
      <c r="L1250" s="69">
        <f>VLOOKUP(Tabla6[[#This Row],[OBJETIVOS PND]],Listas!$A$1:$C$3,3,0)</f>
        <v>1</v>
      </c>
      <c r="M1250" s="70">
        <f>VLOOKUP(Tabla6[[#This Row],[PG]],Listas2!$G$14:$K$16,5,0)</f>
        <v>0</v>
      </c>
      <c r="N1250" s="71">
        <v>1</v>
      </c>
      <c r="O1250" s="72">
        <v>1101</v>
      </c>
      <c r="P1250" s="73" t="str">
        <f>VLOOKUP(Tabla6[[#This Row],[GEO]],Listas!$A$48:$B$77,2,0)</f>
        <v>LOJA</v>
      </c>
      <c r="Q1250" s="70">
        <f>VLOOKUP(Tabla6[[#This Row],[PG]],Listas2!$G$14:$K$16,3,0)</f>
        <v>1</v>
      </c>
      <c r="R1250" s="73">
        <f>VLOOKUP(Tabla6[[#This Row],[PG]],Listas2!H704:'Listas2'!$G$14:$K$16,4,0)</f>
        <v>0</v>
      </c>
      <c r="S1250" s="73">
        <f>VLOOKUP(Tabla6[[#This Row],[PG]],Listas2!$G$14:$K$16,2,0)</f>
        <v>0</v>
      </c>
      <c r="T1250" s="66" t="s">
        <v>84</v>
      </c>
      <c r="U1250" s="74">
        <v>53</v>
      </c>
      <c r="V1250" s="66">
        <v>530813</v>
      </c>
      <c r="W1250" s="63" t="str">
        <f>VLOOKUP(Tabla6[[#This Row],[ÍTEM PRESUPUESTARIO]],Tabla2[#All],2,0)</f>
        <v>REPUESTOS Y ACCESORIOS</v>
      </c>
      <c r="X1250" s="57">
        <v>100</v>
      </c>
      <c r="Y1250" s="57">
        <f>156-25-38.56-81.44</f>
        <v>11</v>
      </c>
      <c r="Z1250" s="58">
        <v>0</v>
      </c>
      <c r="AA1250" s="58">
        <v>0</v>
      </c>
      <c r="AB1250" s="58">
        <v>0</v>
      </c>
      <c r="AC1250" s="58">
        <v>0</v>
      </c>
      <c r="AD1250" s="58">
        <v>0</v>
      </c>
      <c r="AE1250" s="58">
        <v>0</v>
      </c>
      <c r="AF1250" s="58">
        <v>0</v>
      </c>
      <c r="AG1250" s="58">
        <v>0</v>
      </c>
      <c r="AH1250" s="58">
        <v>0</v>
      </c>
      <c r="AI1250" s="58">
        <v>0</v>
      </c>
      <c r="AJ1250" s="58">
        <v>11</v>
      </c>
      <c r="AK1250" s="58">
        <v>0</v>
      </c>
      <c r="AL1250" s="75">
        <f>+SUBTOTAL(9,Tabla6[[#This Row],[ENE]:[DIC]])</f>
        <v>11</v>
      </c>
      <c r="AM1250" s="76" t="str">
        <f t="shared" ref="AM1250:AM1270" si="43">IF(AL1250=Y1250,"OK",Y1250-AL1250)</f>
        <v>OK</v>
      </c>
      <c r="AN1250" s="60">
        <v>11</v>
      </c>
      <c r="AO1250" s="61">
        <f>+Tabla6[[#This Row],[PRESUPUESTO VIGENTE]]-Tabla6[[#This Row],[CERTIFICACIÓN PAPP]]</f>
        <v>0</v>
      </c>
      <c r="AP1250" s="59">
        <v>0</v>
      </c>
    </row>
    <row r="1251" spans="1:42" ht="93" customHeight="1" x14ac:dyDescent="0.25">
      <c r="A1251" s="62" t="s">
        <v>78</v>
      </c>
      <c r="B1251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251" s="64" t="s">
        <v>79</v>
      </c>
      <c r="D1251" s="64" t="s">
        <v>80</v>
      </c>
      <c r="E1251" s="64" t="s">
        <v>81</v>
      </c>
      <c r="F1251" s="64" t="s">
        <v>112</v>
      </c>
      <c r="G1251" s="64" t="s">
        <v>83</v>
      </c>
      <c r="H1251" s="65" t="str">
        <f>VLOOKUP(Tabla6[[#This Row],[DIRECCIÓN]],DIRECCIÓN[#All],2,0)</f>
        <v>ADMINISTRACIÓN CENTRAL</v>
      </c>
      <c r="I1251" s="66" t="s">
        <v>760</v>
      </c>
      <c r="J1251" s="67">
        <v>1</v>
      </c>
      <c r="K1251" s="68" t="str">
        <f>VLOOKUP(Tabla6[[#This Row],[DIRECCIÓN GENERAL / COORDINACIÓN / SUBDIRECCIÓN]],Tabla37[[#All],[Columna1]:[EOD]],2,0)</f>
        <v>266_0007</v>
      </c>
      <c r="L1251" s="69">
        <f>VLOOKUP(Tabla6[[#This Row],[OBJETIVOS PND]],Listas!$A$1:$C$3,3,0)</f>
        <v>1</v>
      </c>
      <c r="M1251" s="70">
        <f>VLOOKUP(Tabla6[[#This Row],[PG]],Listas2!$G$14:$K$16,5,0)</f>
        <v>0</v>
      </c>
      <c r="N1251" s="71">
        <v>1</v>
      </c>
      <c r="O1251" s="72">
        <v>1101</v>
      </c>
      <c r="P1251" s="73" t="str">
        <f>VLOOKUP(Tabla6[[#This Row],[GEO]],Listas!$A$48:$B$77,2,0)</f>
        <v>LOJA</v>
      </c>
      <c r="Q1251" s="70">
        <f>VLOOKUP(Tabla6[[#This Row],[PG]],Listas2!$G$14:$K$16,3,0)</f>
        <v>1</v>
      </c>
      <c r="R1251" s="73">
        <f>VLOOKUP(Tabla6[[#This Row],[PG]],Listas2!H705:'Listas2'!$G$14:$K$16,4,0)</f>
        <v>0</v>
      </c>
      <c r="S1251" s="73">
        <f>VLOOKUP(Tabla6[[#This Row],[PG]],Listas2!$G$14:$K$16,2,0)</f>
        <v>0</v>
      </c>
      <c r="T1251" s="66" t="s">
        <v>84</v>
      </c>
      <c r="U1251" s="74">
        <v>53</v>
      </c>
      <c r="V1251" s="66">
        <v>530813</v>
      </c>
      <c r="W1251" s="63" t="str">
        <f>VLOOKUP(Tabla6[[#This Row],[ÍTEM PRESUPUESTARIO]],Tabla2[#All],2,0)</f>
        <v>REPUESTOS Y ACCESORIOS</v>
      </c>
      <c r="X1251" s="57">
        <v>750</v>
      </c>
      <c r="Y1251" s="57">
        <f>750-311.44</f>
        <v>438.56</v>
      </c>
      <c r="Z1251" s="58">
        <v>0</v>
      </c>
      <c r="AA1251" s="58">
        <v>0</v>
      </c>
      <c r="AB1251" s="58">
        <v>0</v>
      </c>
      <c r="AC1251" s="58">
        <v>0</v>
      </c>
      <c r="AD1251" s="58">
        <v>0</v>
      </c>
      <c r="AE1251" s="58">
        <v>438.56</v>
      </c>
      <c r="AF1251" s="58">
        <v>0</v>
      </c>
      <c r="AG1251" s="58">
        <v>0</v>
      </c>
      <c r="AH1251" s="58">
        <v>0</v>
      </c>
      <c r="AI1251" s="58">
        <v>0</v>
      </c>
      <c r="AJ1251" s="58">
        <v>0</v>
      </c>
      <c r="AK1251" s="58">
        <v>0</v>
      </c>
      <c r="AL1251" s="75">
        <f>+SUBTOTAL(9,Tabla6[[#This Row],[ENE]:[DIC]])</f>
        <v>438.56</v>
      </c>
      <c r="AM1251" s="76" t="str">
        <f t="shared" si="43"/>
        <v>OK</v>
      </c>
      <c r="AN1251" s="60">
        <f>313.56+125</f>
        <v>438.56</v>
      </c>
      <c r="AO1251" s="61">
        <f>+Tabla6[[#This Row],[PRESUPUESTO VIGENTE]]-Tabla6[[#This Row],[CERTIFICACIÓN PAPP]]</f>
        <v>0</v>
      </c>
      <c r="AP1251" s="59">
        <v>0</v>
      </c>
    </row>
    <row r="1252" spans="1:42" ht="93" customHeight="1" x14ac:dyDescent="0.25">
      <c r="A1252" s="62" t="s">
        <v>78</v>
      </c>
      <c r="B1252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252" s="64" t="s">
        <v>79</v>
      </c>
      <c r="D1252" s="64" t="s">
        <v>80</v>
      </c>
      <c r="E1252" s="64" t="s">
        <v>81</v>
      </c>
      <c r="F1252" s="64" t="s">
        <v>112</v>
      </c>
      <c r="G1252" s="64" t="s">
        <v>83</v>
      </c>
      <c r="H1252" s="65" t="str">
        <f>VLOOKUP(Tabla6[[#This Row],[DIRECCIÓN]],DIRECCIÓN[#All],2,0)</f>
        <v>ADMINISTRACIÓN CENTRAL</v>
      </c>
      <c r="I1252" s="66" t="s">
        <v>761</v>
      </c>
      <c r="J1252" s="67">
        <v>3</v>
      </c>
      <c r="K1252" s="68" t="str">
        <f>VLOOKUP(Tabla6[[#This Row],[DIRECCIÓN GENERAL / COORDINACIÓN / SUBDIRECCIÓN]],Tabla37[[#All],[Columna1]:[EOD]],2,0)</f>
        <v>266_0007</v>
      </c>
      <c r="L1252" s="69">
        <f>VLOOKUP(Tabla6[[#This Row],[OBJETIVOS PND]],Listas!$A$1:$C$3,3,0)</f>
        <v>1</v>
      </c>
      <c r="M1252" s="70">
        <f>VLOOKUP(Tabla6[[#This Row],[PG]],Listas2!$G$14:$K$16,5,0)</f>
        <v>0</v>
      </c>
      <c r="N1252" s="71">
        <v>1</v>
      </c>
      <c r="O1252" s="72">
        <v>1101</v>
      </c>
      <c r="P1252" s="73" t="str">
        <f>VLOOKUP(Tabla6[[#This Row],[GEO]],Listas!$A$48:$B$77,2,0)</f>
        <v>LOJA</v>
      </c>
      <c r="Q1252" s="70">
        <f>VLOOKUP(Tabla6[[#This Row],[PG]],Listas2!$G$14:$K$16,3,0)</f>
        <v>1</v>
      </c>
      <c r="R1252" s="73">
        <f>VLOOKUP(Tabla6[[#This Row],[PG]],Listas2!H706:'Listas2'!$G$14:$K$16,4,0)</f>
        <v>0</v>
      </c>
      <c r="S1252" s="73">
        <f>VLOOKUP(Tabla6[[#This Row],[PG]],Listas2!$G$14:$K$16,2,0)</f>
        <v>0</v>
      </c>
      <c r="T1252" s="66" t="s">
        <v>84</v>
      </c>
      <c r="U1252" s="74">
        <v>53</v>
      </c>
      <c r="V1252" s="66">
        <v>530813</v>
      </c>
      <c r="W1252" s="63" t="str">
        <f>VLOOKUP(Tabla6[[#This Row],[ÍTEM PRESUPUESTARIO]],Tabla2[#All],2,0)</f>
        <v>REPUESTOS Y ACCESORIOS</v>
      </c>
      <c r="X1252" s="57">
        <v>375</v>
      </c>
      <c r="Y1252" s="57">
        <v>0</v>
      </c>
      <c r="Z1252" s="58">
        <v>0</v>
      </c>
      <c r="AA1252" s="58">
        <v>0</v>
      </c>
      <c r="AB1252" s="58">
        <v>0</v>
      </c>
      <c r="AC1252" s="58">
        <v>0</v>
      </c>
      <c r="AD1252" s="58">
        <v>0</v>
      </c>
      <c r="AE1252" s="58">
        <v>0</v>
      </c>
      <c r="AF1252" s="58">
        <v>0</v>
      </c>
      <c r="AG1252" s="58">
        <v>0</v>
      </c>
      <c r="AH1252" s="58">
        <v>0</v>
      </c>
      <c r="AI1252" s="58">
        <v>0</v>
      </c>
      <c r="AJ1252" s="58">
        <v>0</v>
      </c>
      <c r="AK1252" s="58">
        <v>0</v>
      </c>
      <c r="AL1252" s="75">
        <f>+SUBTOTAL(9,Tabla6[[#This Row],[ENE]:[DIC]])</f>
        <v>0</v>
      </c>
      <c r="AM1252" s="76" t="str">
        <f t="shared" si="43"/>
        <v>OK</v>
      </c>
      <c r="AN1252" s="60">
        <v>0</v>
      </c>
      <c r="AO1252" s="61">
        <f>+Tabla6[[#This Row],[PRESUPUESTO VIGENTE]]-Tabla6[[#This Row],[CERTIFICACIÓN PAPP]]</f>
        <v>0</v>
      </c>
      <c r="AP1252" s="59">
        <v>0</v>
      </c>
    </row>
    <row r="1253" spans="1:42" ht="93" customHeight="1" x14ac:dyDescent="0.25">
      <c r="A1253" s="62" t="s">
        <v>78</v>
      </c>
      <c r="B1253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253" s="64" t="s">
        <v>79</v>
      </c>
      <c r="D1253" s="64" t="s">
        <v>80</v>
      </c>
      <c r="E1253" s="64" t="s">
        <v>81</v>
      </c>
      <c r="F1253" s="64" t="s">
        <v>112</v>
      </c>
      <c r="G1253" s="64" t="s">
        <v>83</v>
      </c>
      <c r="H1253" s="65" t="str">
        <f>VLOOKUP(Tabla6[[#This Row],[DIRECCIÓN]],DIRECCIÓN[#All],2,0)</f>
        <v>ADMINISTRACIÓN CENTRAL</v>
      </c>
      <c r="I1253" s="66" t="s">
        <v>752</v>
      </c>
      <c r="J1253" s="67">
        <v>1</v>
      </c>
      <c r="K1253" s="68" t="str">
        <f>VLOOKUP(Tabla6[[#This Row],[DIRECCIÓN GENERAL / COORDINACIÓN / SUBDIRECCIÓN]],Tabla37[[#All],[Columna1]:[EOD]],2,0)</f>
        <v>266_0007</v>
      </c>
      <c r="L1253" s="69">
        <f>VLOOKUP(Tabla6[[#This Row],[OBJETIVOS PND]],Listas!$A$1:$C$3,3,0)</f>
        <v>1</v>
      </c>
      <c r="M1253" s="70">
        <f>VLOOKUP(Tabla6[[#This Row],[PG]],Listas2!$G$14:$K$16,5,0)</f>
        <v>0</v>
      </c>
      <c r="N1253" s="71">
        <v>1</v>
      </c>
      <c r="O1253" s="72">
        <v>1101</v>
      </c>
      <c r="P1253" s="73" t="str">
        <f>VLOOKUP(Tabla6[[#This Row],[GEO]],Listas!$A$48:$B$77,2,0)</f>
        <v>LOJA</v>
      </c>
      <c r="Q1253" s="70">
        <f>VLOOKUP(Tabla6[[#This Row],[PG]],Listas2!$G$14:$K$16,3,0)</f>
        <v>1</v>
      </c>
      <c r="R1253" s="73">
        <f>VLOOKUP(Tabla6[[#This Row],[PG]],Listas2!H707:'Listas2'!$G$14:$K$16,4,0)</f>
        <v>0</v>
      </c>
      <c r="S1253" s="73">
        <f>VLOOKUP(Tabla6[[#This Row],[PG]],Listas2!$G$14:$K$16,2,0)</f>
        <v>0</v>
      </c>
      <c r="T1253" s="66" t="s">
        <v>84</v>
      </c>
      <c r="U1253" s="74">
        <v>53</v>
      </c>
      <c r="V1253" s="66">
        <v>530813</v>
      </c>
      <c r="W1253" s="63" t="str">
        <f>VLOOKUP(Tabla6[[#This Row],[ÍTEM PRESUPUESTARIO]],Tabla2[#All],2,0)</f>
        <v>REPUESTOS Y ACCESORIOS</v>
      </c>
      <c r="X1253" s="57">
        <v>2200</v>
      </c>
      <c r="Y1253" s="57">
        <f>3700-1600-573-219.5</f>
        <v>1307.5</v>
      </c>
      <c r="Z1253" s="58">
        <v>0</v>
      </c>
      <c r="AA1253" s="58">
        <v>0</v>
      </c>
      <c r="AB1253" s="58">
        <v>0</v>
      </c>
      <c r="AC1253" s="58">
        <v>831.26</v>
      </c>
      <c r="AD1253" s="58">
        <v>0</v>
      </c>
      <c r="AE1253" s="58">
        <v>0</v>
      </c>
      <c r="AF1253" s="58">
        <v>476.24</v>
      </c>
      <c r="AG1253" s="58">
        <v>0</v>
      </c>
      <c r="AH1253" s="58">
        <v>0</v>
      </c>
      <c r="AI1253" s="58">
        <v>0</v>
      </c>
      <c r="AJ1253" s="58">
        <v>0</v>
      </c>
      <c r="AK1253" s="58">
        <v>0</v>
      </c>
      <c r="AL1253" s="75">
        <f>+SUBTOTAL(9,Tabla6[[#This Row],[ENE]:[DIC]])</f>
        <v>1307.5</v>
      </c>
      <c r="AM1253" s="76" t="str">
        <f t="shared" si="43"/>
        <v>OK</v>
      </c>
      <c r="AN1253" s="60">
        <f>1527-219.5</f>
        <v>1307.5</v>
      </c>
      <c r="AO1253" s="61">
        <f>+Tabla6[[#This Row],[PRESUPUESTO VIGENTE]]-Tabla6[[#This Row],[CERTIFICACIÓN PAPP]]</f>
        <v>0</v>
      </c>
      <c r="AP1253" s="59">
        <v>0</v>
      </c>
    </row>
    <row r="1254" spans="1:42" ht="93" customHeight="1" x14ac:dyDescent="0.25">
      <c r="A1254" s="62" t="s">
        <v>78</v>
      </c>
      <c r="B1254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254" s="64" t="s">
        <v>79</v>
      </c>
      <c r="D1254" s="64" t="s">
        <v>80</v>
      </c>
      <c r="E1254" s="64" t="s">
        <v>81</v>
      </c>
      <c r="F1254" s="64" t="s">
        <v>112</v>
      </c>
      <c r="G1254" s="64" t="s">
        <v>83</v>
      </c>
      <c r="H1254" s="65" t="str">
        <f>VLOOKUP(Tabla6[[#This Row],[DIRECCIÓN]],DIRECCIÓN[#All],2,0)</f>
        <v>ADMINISTRACIÓN CENTRAL</v>
      </c>
      <c r="I1254" s="66" t="s">
        <v>762</v>
      </c>
      <c r="J1254" s="67">
        <v>1</v>
      </c>
      <c r="K1254" s="68" t="str">
        <f>VLOOKUP(Tabla6[[#This Row],[DIRECCIÓN GENERAL / COORDINACIÓN / SUBDIRECCIÓN]],Tabla37[[#All],[Columna1]:[EOD]],2,0)</f>
        <v>266_0007</v>
      </c>
      <c r="L1254" s="69">
        <f>VLOOKUP(Tabla6[[#This Row],[OBJETIVOS PND]],Listas!$A$1:$C$3,3,0)</f>
        <v>1</v>
      </c>
      <c r="M1254" s="70">
        <f>VLOOKUP(Tabla6[[#This Row],[PG]],Listas2!$G$14:$K$16,5,0)</f>
        <v>0</v>
      </c>
      <c r="N1254" s="71">
        <v>1</v>
      </c>
      <c r="O1254" s="72">
        <v>1101</v>
      </c>
      <c r="P1254" s="73" t="str">
        <f>VLOOKUP(Tabla6[[#This Row],[GEO]],Listas!$A$48:$B$77,2,0)</f>
        <v>LOJA</v>
      </c>
      <c r="Q1254" s="70">
        <f>VLOOKUP(Tabla6[[#This Row],[PG]],Listas2!$G$14:$K$16,3,0)</f>
        <v>1</v>
      </c>
      <c r="R1254" s="73">
        <f>VLOOKUP(Tabla6[[#This Row],[PG]],Listas2!H708:'Listas2'!$G$14:$K$16,4,0)</f>
        <v>0</v>
      </c>
      <c r="S1254" s="73">
        <f>VLOOKUP(Tabla6[[#This Row],[PG]],Listas2!$G$14:$K$16,2,0)</f>
        <v>0</v>
      </c>
      <c r="T1254" s="66" t="s">
        <v>84</v>
      </c>
      <c r="U1254" s="74">
        <v>53</v>
      </c>
      <c r="V1254" s="66">
        <v>531404</v>
      </c>
      <c r="W1254" s="63" t="str">
        <f>VLOOKUP(Tabla6[[#This Row],[ÍTEM PRESUPUESTARIO]],Tabla2[#All],2,0)</f>
        <v>MAQUINARIAS Y EQUIPOS</v>
      </c>
      <c r="X1254" s="57">
        <v>0</v>
      </c>
      <c r="Y1254" s="57">
        <v>0</v>
      </c>
      <c r="Z1254" s="58">
        <v>0</v>
      </c>
      <c r="AA1254" s="58">
        <v>0</v>
      </c>
      <c r="AB1254" s="58">
        <v>0</v>
      </c>
      <c r="AC1254" s="58">
        <v>0</v>
      </c>
      <c r="AD1254" s="58">
        <v>0</v>
      </c>
      <c r="AE1254" s="58">
        <v>0</v>
      </c>
      <c r="AF1254" s="58">
        <v>0</v>
      </c>
      <c r="AG1254" s="58">
        <v>0</v>
      </c>
      <c r="AH1254" s="58">
        <v>0</v>
      </c>
      <c r="AI1254" s="58">
        <v>0</v>
      </c>
      <c r="AJ1254" s="58">
        <v>0</v>
      </c>
      <c r="AK1254" s="58">
        <v>0</v>
      </c>
      <c r="AL1254" s="75">
        <f>+SUBTOTAL(9,Tabla6[[#This Row],[ENE]:[DIC]])</f>
        <v>0</v>
      </c>
      <c r="AM1254" s="76" t="str">
        <f t="shared" si="43"/>
        <v>OK</v>
      </c>
      <c r="AN1254" s="60">
        <v>0</v>
      </c>
      <c r="AO1254" s="61">
        <f>+Tabla6[[#This Row],[PRESUPUESTO VIGENTE]]-Tabla6[[#This Row],[CERTIFICACIÓN PAPP]]</f>
        <v>0</v>
      </c>
      <c r="AP1254" s="59">
        <v>0</v>
      </c>
    </row>
    <row r="1255" spans="1:42" ht="93" customHeight="1" x14ac:dyDescent="0.25">
      <c r="A1255" s="62" t="s">
        <v>78</v>
      </c>
      <c r="B1255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255" s="64" t="s">
        <v>79</v>
      </c>
      <c r="D1255" s="64" t="s">
        <v>80</v>
      </c>
      <c r="E1255" s="64" t="s">
        <v>81</v>
      </c>
      <c r="F1255" s="64" t="s">
        <v>112</v>
      </c>
      <c r="G1255" s="64" t="s">
        <v>83</v>
      </c>
      <c r="H1255" s="65" t="str">
        <f>VLOOKUP(Tabla6[[#This Row],[DIRECCIÓN]],DIRECCIÓN[#All],2,0)</f>
        <v>ADMINISTRACIÓN CENTRAL</v>
      </c>
      <c r="I1255" s="66" t="s">
        <v>755</v>
      </c>
      <c r="J1255" s="67">
        <v>1</v>
      </c>
      <c r="K1255" s="68" t="str">
        <f>VLOOKUP(Tabla6[[#This Row],[DIRECCIÓN GENERAL / COORDINACIÓN / SUBDIRECCIÓN]],Tabla37[[#All],[Columna1]:[EOD]],2,0)</f>
        <v>266_0007</v>
      </c>
      <c r="L1255" s="69">
        <f>VLOOKUP(Tabla6[[#This Row],[OBJETIVOS PND]],Listas!$A$1:$C$3,3,0)</f>
        <v>1</v>
      </c>
      <c r="M1255" s="70">
        <f>VLOOKUP(Tabla6[[#This Row],[PG]],Listas2!$G$14:$K$16,5,0)</f>
        <v>0</v>
      </c>
      <c r="N1255" s="71">
        <v>1</v>
      </c>
      <c r="O1255" s="72">
        <v>1101</v>
      </c>
      <c r="P1255" s="73" t="str">
        <f>VLOOKUP(Tabla6[[#This Row],[GEO]],Listas!$A$48:$B$77,2,0)</f>
        <v>LOJA</v>
      </c>
      <c r="Q1255" s="70">
        <f>VLOOKUP(Tabla6[[#This Row],[PG]],Listas2!$G$14:$K$16,3,0)</f>
        <v>1</v>
      </c>
      <c r="R1255" s="73">
        <f>VLOOKUP(Tabla6[[#This Row],[PG]],Listas2!H709:'Listas2'!$G$14:$K$16,4,0)</f>
        <v>0</v>
      </c>
      <c r="S1255" s="73">
        <f>VLOOKUP(Tabla6[[#This Row],[PG]],Listas2!$G$14:$K$16,2,0)</f>
        <v>0</v>
      </c>
      <c r="T1255" s="66" t="s">
        <v>84</v>
      </c>
      <c r="U1255" s="74">
        <v>53</v>
      </c>
      <c r="V1255" s="66">
        <v>531404</v>
      </c>
      <c r="W1255" s="63" t="str">
        <f>VLOOKUP(Tabla6[[#This Row],[ÍTEM PRESUPUESTARIO]],Tabla2[#All],2,0)</f>
        <v>MAQUINARIAS Y EQUIPOS</v>
      </c>
      <c r="X1255" s="57">
        <v>0</v>
      </c>
      <c r="Y1255" s="57">
        <v>0</v>
      </c>
      <c r="Z1255" s="58">
        <v>0</v>
      </c>
      <c r="AA1255" s="58">
        <v>0</v>
      </c>
      <c r="AB1255" s="58">
        <v>0</v>
      </c>
      <c r="AC1255" s="58">
        <v>0</v>
      </c>
      <c r="AD1255" s="58">
        <v>0</v>
      </c>
      <c r="AE1255" s="58">
        <v>0</v>
      </c>
      <c r="AF1255" s="58">
        <v>0</v>
      </c>
      <c r="AG1255" s="58">
        <v>0</v>
      </c>
      <c r="AH1255" s="58">
        <v>0</v>
      </c>
      <c r="AI1255" s="58">
        <v>0</v>
      </c>
      <c r="AJ1255" s="58">
        <v>0</v>
      </c>
      <c r="AK1255" s="58">
        <v>0</v>
      </c>
      <c r="AL1255" s="75">
        <f>+SUBTOTAL(9,Tabla6[[#This Row],[ENE]:[DIC]])</f>
        <v>0</v>
      </c>
      <c r="AM1255" s="76" t="str">
        <f t="shared" si="43"/>
        <v>OK</v>
      </c>
      <c r="AN1255" s="60">
        <v>0</v>
      </c>
      <c r="AO1255" s="61">
        <f>+Tabla6[[#This Row],[PRESUPUESTO VIGENTE]]-Tabla6[[#This Row],[CERTIFICACIÓN PAPP]]</f>
        <v>0</v>
      </c>
      <c r="AP1255" s="59">
        <v>0</v>
      </c>
    </row>
    <row r="1256" spans="1:42" ht="93" customHeight="1" x14ac:dyDescent="0.25">
      <c r="A1256" s="62" t="s">
        <v>78</v>
      </c>
      <c r="B1256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256" s="64" t="s">
        <v>79</v>
      </c>
      <c r="D1256" s="64" t="s">
        <v>80</v>
      </c>
      <c r="E1256" s="64" t="s">
        <v>81</v>
      </c>
      <c r="F1256" s="64" t="s">
        <v>112</v>
      </c>
      <c r="G1256" s="64" t="s">
        <v>83</v>
      </c>
      <c r="H1256" s="65" t="str">
        <f>VLOOKUP(Tabla6[[#This Row],[DIRECCIÓN]],DIRECCIÓN[#All],2,0)</f>
        <v>ADMINISTRACIÓN CENTRAL</v>
      </c>
      <c r="I1256" s="66" t="s">
        <v>755</v>
      </c>
      <c r="J1256" s="67">
        <v>1</v>
      </c>
      <c r="K1256" s="68" t="str">
        <f>VLOOKUP(Tabla6[[#This Row],[DIRECCIÓN GENERAL / COORDINACIÓN / SUBDIRECCIÓN]],Tabla37[[#All],[Columna1]:[EOD]],2,0)</f>
        <v>266_0007</v>
      </c>
      <c r="L1256" s="69">
        <f>VLOOKUP(Tabla6[[#This Row],[OBJETIVOS PND]],Listas!$A$1:$C$3,3,0)</f>
        <v>1</v>
      </c>
      <c r="M1256" s="70">
        <f>VLOOKUP(Tabla6[[#This Row],[PG]],Listas2!$G$14:$K$16,5,0)</f>
        <v>0</v>
      </c>
      <c r="N1256" s="71">
        <v>1</v>
      </c>
      <c r="O1256" s="72">
        <v>1101</v>
      </c>
      <c r="P1256" s="73" t="str">
        <f>VLOOKUP(Tabla6[[#This Row],[GEO]],Listas!$A$48:$B$77,2,0)</f>
        <v>LOJA</v>
      </c>
      <c r="Q1256" s="70">
        <f>VLOOKUP(Tabla6[[#This Row],[PG]],Listas2!$G$14:$K$16,3,0)</f>
        <v>1</v>
      </c>
      <c r="R1256" s="73">
        <f>VLOOKUP(Tabla6[[#This Row],[PG]],Listas2!H710:'Listas2'!$G$14:$K$16,4,0)</f>
        <v>0</v>
      </c>
      <c r="S1256" s="73">
        <f>VLOOKUP(Tabla6[[#This Row],[PG]],Listas2!$G$14:$K$16,2,0)</f>
        <v>0</v>
      </c>
      <c r="T1256" s="66" t="s">
        <v>84</v>
      </c>
      <c r="U1256" s="74">
        <v>53</v>
      </c>
      <c r="V1256" s="66">
        <v>531406</v>
      </c>
      <c r="W1256" s="63" t="str">
        <f>VLOOKUP(Tabla6[[#This Row],[ÍTEM PRESUPUESTARIO]],Tabla2[#All],2,0)</f>
        <v>HERRAMIENTAS Y EQUIPOS MENORES</v>
      </c>
      <c r="X1256" s="57">
        <v>0</v>
      </c>
      <c r="Y1256" s="57">
        <f>1100-1100</f>
        <v>0</v>
      </c>
      <c r="Z1256" s="58">
        <v>0</v>
      </c>
      <c r="AA1256" s="58">
        <v>0</v>
      </c>
      <c r="AB1256" s="58">
        <v>0</v>
      </c>
      <c r="AC1256" s="58">
        <v>0</v>
      </c>
      <c r="AD1256" s="58">
        <v>0</v>
      </c>
      <c r="AE1256" s="58">
        <v>0</v>
      </c>
      <c r="AF1256" s="58">
        <v>0</v>
      </c>
      <c r="AG1256" s="58">
        <v>0</v>
      </c>
      <c r="AH1256" s="58">
        <v>0</v>
      </c>
      <c r="AI1256" s="58">
        <v>0</v>
      </c>
      <c r="AJ1256" s="58">
        <v>0</v>
      </c>
      <c r="AK1256" s="58">
        <v>0</v>
      </c>
      <c r="AL1256" s="75">
        <f>+SUBTOTAL(9,Tabla6[[#This Row],[ENE]:[DIC]])</f>
        <v>0</v>
      </c>
      <c r="AM1256" s="76" t="str">
        <f t="shared" si="43"/>
        <v>OK</v>
      </c>
      <c r="AN1256" s="60">
        <v>0</v>
      </c>
      <c r="AO1256" s="61">
        <f>+Tabla6[[#This Row],[PRESUPUESTO VIGENTE]]-Tabla6[[#This Row],[CERTIFICACIÓN PAPP]]</f>
        <v>0</v>
      </c>
      <c r="AP1256" s="59">
        <v>0</v>
      </c>
    </row>
    <row r="1257" spans="1:42" ht="93" customHeight="1" x14ac:dyDescent="0.25">
      <c r="A1257" s="62" t="s">
        <v>78</v>
      </c>
      <c r="B1257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257" s="64" t="s">
        <v>79</v>
      </c>
      <c r="D1257" s="64" t="s">
        <v>80</v>
      </c>
      <c r="E1257" s="64" t="s">
        <v>81</v>
      </c>
      <c r="F1257" s="64" t="s">
        <v>112</v>
      </c>
      <c r="G1257" s="64" t="s">
        <v>83</v>
      </c>
      <c r="H1257" s="65" t="str">
        <f>VLOOKUP(Tabla6[[#This Row],[DIRECCIÓN]],DIRECCIÓN[#All],2,0)</f>
        <v>ADMINISTRACIÓN CENTRAL</v>
      </c>
      <c r="I1257" s="66" t="s">
        <v>759</v>
      </c>
      <c r="J1257" s="67">
        <v>1</v>
      </c>
      <c r="K1257" s="68" t="str">
        <f>VLOOKUP(Tabla6[[#This Row],[DIRECCIÓN GENERAL / COORDINACIÓN / SUBDIRECCIÓN]],Tabla37[[#All],[Columna1]:[EOD]],2,0)</f>
        <v>266_0007</v>
      </c>
      <c r="L1257" s="69">
        <f>VLOOKUP(Tabla6[[#This Row],[OBJETIVOS PND]],Listas!$A$1:$C$3,3,0)</f>
        <v>1</v>
      </c>
      <c r="M1257" s="70">
        <f>VLOOKUP(Tabla6[[#This Row],[PG]],Listas2!$G$14:$K$16,5,0)</f>
        <v>0</v>
      </c>
      <c r="N1257" s="71">
        <v>1</v>
      </c>
      <c r="O1257" s="72">
        <v>1101</v>
      </c>
      <c r="P1257" s="73" t="str">
        <f>VLOOKUP(Tabla6[[#This Row],[GEO]],Listas!$A$48:$B$77,2,0)</f>
        <v>LOJA</v>
      </c>
      <c r="Q1257" s="70">
        <f>VLOOKUP(Tabla6[[#This Row],[PG]],Listas2!$G$14:$K$16,3,0)</f>
        <v>1</v>
      </c>
      <c r="R1257" s="73">
        <f>VLOOKUP(Tabla6[[#This Row],[PG]],Listas2!H711:'Listas2'!$G$14:$K$16,4,0)</f>
        <v>0</v>
      </c>
      <c r="S1257" s="73">
        <f>VLOOKUP(Tabla6[[#This Row],[PG]],Listas2!$G$14:$K$16,2,0)</f>
        <v>0</v>
      </c>
      <c r="T1257" s="66" t="s">
        <v>84</v>
      </c>
      <c r="U1257" s="74">
        <v>53</v>
      </c>
      <c r="V1257" s="66">
        <v>531406</v>
      </c>
      <c r="W1257" s="63" t="str">
        <f>VLOOKUP(Tabla6[[#This Row],[ÍTEM PRESUPUESTARIO]],Tabla2[#All],2,0)</f>
        <v>HERRAMIENTAS Y EQUIPOS MENORES</v>
      </c>
      <c r="X1257" s="57">
        <v>0</v>
      </c>
      <c r="Y1257" s="57">
        <v>0</v>
      </c>
      <c r="Z1257" s="58">
        <v>0</v>
      </c>
      <c r="AA1257" s="58">
        <v>0</v>
      </c>
      <c r="AB1257" s="58">
        <v>0</v>
      </c>
      <c r="AC1257" s="58">
        <v>0</v>
      </c>
      <c r="AD1257" s="58">
        <v>0</v>
      </c>
      <c r="AE1257" s="58">
        <v>0</v>
      </c>
      <c r="AF1257" s="58">
        <v>0</v>
      </c>
      <c r="AG1257" s="58">
        <v>0</v>
      </c>
      <c r="AH1257" s="58">
        <v>0</v>
      </c>
      <c r="AI1257" s="58">
        <v>0</v>
      </c>
      <c r="AJ1257" s="58">
        <v>0</v>
      </c>
      <c r="AK1257" s="58">
        <v>0</v>
      </c>
      <c r="AL1257" s="75">
        <f>+SUBTOTAL(9,Tabla6[[#This Row],[ENE]:[DIC]])</f>
        <v>0</v>
      </c>
      <c r="AM1257" s="76" t="str">
        <f t="shared" si="43"/>
        <v>OK</v>
      </c>
      <c r="AN1257" s="60">
        <v>0</v>
      </c>
      <c r="AO1257" s="61">
        <f>+Tabla6[[#This Row],[PRESUPUESTO VIGENTE]]-Tabla6[[#This Row],[CERTIFICACIÓN PAPP]]</f>
        <v>0</v>
      </c>
      <c r="AP1257" s="59">
        <v>0</v>
      </c>
    </row>
    <row r="1258" spans="1:42" ht="93" customHeight="1" x14ac:dyDescent="0.25">
      <c r="A1258" s="62" t="s">
        <v>78</v>
      </c>
      <c r="B1258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258" s="64" t="s">
        <v>79</v>
      </c>
      <c r="D1258" s="64" t="s">
        <v>80</v>
      </c>
      <c r="E1258" s="64" t="s">
        <v>81</v>
      </c>
      <c r="F1258" s="64" t="s">
        <v>112</v>
      </c>
      <c r="G1258" s="64" t="s">
        <v>83</v>
      </c>
      <c r="H1258" s="65" t="str">
        <f>VLOOKUP(Tabla6[[#This Row],[DIRECCIÓN]],DIRECCIÓN[#All],2,0)</f>
        <v>ADMINISTRACIÓN CENTRAL</v>
      </c>
      <c r="I1258" s="66" t="s">
        <v>762</v>
      </c>
      <c r="J1258" s="67">
        <v>1</v>
      </c>
      <c r="K1258" s="68" t="str">
        <f>VLOOKUP(Tabla6[[#This Row],[DIRECCIÓN GENERAL / COORDINACIÓN / SUBDIRECCIÓN]],Tabla37[[#All],[Columna1]:[EOD]],2,0)</f>
        <v>266_0007</v>
      </c>
      <c r="L1258" s="69">
        <f>VLOOKUP(Tabla6[[#This Row],[OBJETIVOS PND]],Listas!$A$1:$C$3,3,0)</f>
        <v>1</v>
      </c>
      <c r="M1258" s="70">
        <f>VLOOKUP(Tabla6[[#This Row],[PG]],Listas2!$G$14:$K$16,5,0)</f>
        <v>0</v>
      </c>
      <c r="N1258" s="71">
        <v>1</v>
      </c>
      <c r="O1258" s="72">
        <v>1101</v>
      </c>
      <c r="P1258" s="73" t="str">
        <f>VLOOKUP(Tabla6[[#This Row],[GEO]],Listas!$A$48:$B$77,2,0)</f>
        <v>LOJA</v>
      </c>
      <c r="Q1258" s="70">
        <f>VLOOKUP(Tabla6[[#This Row],[PG]],Listas2!$G$14:$K$16,3,0)</f>
        <v>1</v>
      </c>
      <c r="R1258" s="73">
        <f>VLOOKUP(Tabla6[[#This Row],[PG]],Listas2!H712:'Listas2'!$G$14:$K$16,4,0)</f>
        <v>0</v>
      </c>
      <c r="S1258" s="73">
        <f>VLOOKUP(Tabla6[[#This Row],[PG]],Listas2!$G$14:$K$16,2,0)</f>
        <v>0</v>
      </c>
      <c r="T1258" s="66" t="s">
        <v>84</v>
      </c>
      <c r="U1258" s="74">
        <v>53</v>
      </c>
      <c r="V1258" s="66">
        <v>531411</v>
      </c>
      <c r="W1258" s="63" t="str">
        <f>VLOOKUP(Tabla6[[#This Row],[ÍTEM PRESUPUESTARIO]],Tabla2[#All],2,0)</f>
        <v>PARTES Y REPUESTOS</v>
      </c>
      <c r="X1258" s="57">
        <v>0</v>
      </c>
      <c r="Y1258" s="57">
        <f>1150-200</f>
        <v>950</v>
      </c>
      <c r="Z1258" s="58">
        <v>0</v>
      </c>
      <c r="AA1258" s="58">
        <v>0</v>
      </c>
      <c r="AB1258" s="58">
        <v>0</v>
      </c>
      <c r="AC1258" s="58">
        <v>0</v>
      </c>
      <c r="AD1258" s="58">
        <v>0</v>
      </c>
      <c r="AE1258" s="58">
        <v>0</v>
      </c>
      <c r="AF1258" s="58">
        <v>0</v>
      </c>
      <c r="AG1258" s="58">
        <v>0</v>
      </c>
      <c r="AH1258" s="58">
        <v>0</v>
      </c>
      <c r="AI1258" s="58">
        <v>0</v>
      </c>
      <c r="AJ1258" s="58">
        <v>0</v>
      </c>
      <c r="AK1258" s="58">
        <v>950</v>
      </c>
      <c r="AL1258" s="75">
        <f>+SUBTOTAL(9,Tabla6[[#This Row],[ENE]:[DIC]])</f>
        <v>950</v>
      </c>
      <c r="AM1258" s="76" t="str">
        <f t="shared" si="43"/>
        <v>OK</v>
      </c>
      <c r="AN1258" s="60">
        <v>950</v>
      </c>
      <c r="AO1258" s="61">
        <f>+Tabla6[[#This Row],[PRESUPUESTO VIGENTE]]-Tabla6[[#This Row],[CERTIFICACIÓN PAPP]]</f>
        <v>0</v>
      </c>
      <c r="AP1258" s="59">
        <v>0</v>
      </c>
    </row>
    <row r="1259" spans="1:42" ht="93" customHeight="1" x14ac:dyDescent="0.25">
      <c r="A1259" s="62" t="s">
        <v>78</v>
      </c>
      <c r="B1259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259" s="64" t="s">
        <v>79</v>
      </c>
      <c r="D1259" s="64" t="s">
        <v>80</v>
      </c>
      <c r="E1259" s="64" t="s">
        <v>81</v>
      </c>
      <c r="F1259" s="64" t="s">
        <v>112</v>
      </c>
      <c r="G1259" s="64" t="s">
        <v>83</v>
      </c>
      <c r="H1259" s="65" t="str">
        <f>VLOOKUP(Tabla6[[#This Row],[DIRECCIÓN]],DIRECCIÓN[#All],2,0)</f>
        <v>ADMINISTRACIÓN CENTRAL</v>
      </c>
      <c r="I1259" s="66" t="s">
        <v>763</v>
      </c>
      <c r="J1259" s="67">
        <v>1</v>
      </c>
      <c r="K1259" s="68" t="str">
        <f>VLOOKUP(Tabla6[[#This Row],[DIRECCIÓN GENERAL / COORDINACIÓN / SUBDIRECCIÓN]],Tabla37[[#All],[Columna1]:[EOD]],2,0)</f>
        <v>266_0007</v>
      </c>
      <c r="L1259" s="69">
        <f>VLOOKUP(Tabla6[[#This Row],[OBJETIVOS PND]],Listas!$A$1:$C$3,3,0)</f>
        <v>1</v>
      </c>
      <c r="M1259" s="70">
        <f>VLOOKUP(Tabla6[[#This Row],[PG]],Listas2!$G$14:$K$16,5,0)</f>
        <v>0</v>
      </c>
      <c r="N1259" s="71">
        <v>1</v>
      </c>
      <c r="O1259" s="72">
        <v>1101</v>
      </c>
      <c r="P1259" s="73" t="str">
        <f>VLOOKUP(Tabla6[[#This Row],[GEO]],Listas!$A$48:$B$77,2,0)</f>
        <v>LOJA</v>
      </c>
      <c r="Q1259" s="70">
        <f>VLOOKUP(Tabla6[[#This Row],[PG]],Listas2!$G$14:$K$16,3,0)</f>
        <v>1</v>
      </c>
      <c r="R1259" s="73">
        <f>VLOOKUP(Tabla6[[#This Row],[PG]],Listas2!H713:'Listas2'!$G$14:$K$16,4,0)</f>
        <v>0</v>
      </c>
      <c r="S1259" s="73">
        <f>VLOOKUP(Tabla6[[#This Row],[PG]],Listas2!$G$14:$K$16,2,0)</f>
        <v>0</v>
      </c>
      <c r="T1259" s="66" t="s">
        <v>84</v>
      </c>
      <c r="U1259" s="74">
        <v>57</v>
      </c>
      <c r="V1259" s="66">
        <v>570102</v>
      </c>
      <c r="W1259" s="63" t="str">
        <f>VLOOKUP(Tabla6[[#This Row],[ÍTEM PRESUPUESTARIO]],Tabla2[#All],2,0)</f>
        <v>TASAS GENERALES, IMPUESTOS, CONTRIBUCIONES, PERMISOS, LICENCIAS Y PATENTES</v>
      </c>
      <c r="X1259" s="57">
        <v>120</v>
      </c>
      <c r="Y1259" s="57">
        <f>120-45-14.55</f>
        <v>60.45</v>
      </c>
      <c r="Z1259" s="58">
        <v>0</v>
      </c>
      <c r="AA1259" s="58">
        <v>0</v>
      </c>
      <c r="AB1259" s="58">
        <v>0</v>
      </c>
      <c r="AC1259" s="58">
        <v>60.45</v>
      </c>
      <c r="AD1259" s="58">
        <v>0</v>
      </c>
      <c r="AE1259" s="58">
        <v>0</v>
      </c>
      <c r="AF1259" s="58">
        <v>0</v>
      </c>
      <c r="AG1259" s="58">
        <v>0</v>
      </c>
      <c r="AH1259" s="58">
        <v>0</v>
      </c>
      <c r="AI1259" s="58">
        <v>0</v>
      </c>
      <c r="AJ1259" s="58">
        <v>0</v>
      </c>
      <c r="AK1259" s="58">
        <v>0</v>
      </c>
      <c r="AL1259" s="75">
        <f>+SUBTOTAL(9,Tabla6[[#This Row],[ENE]:[DIC]])</f>
        <v>60.45</v>
      </c>
      <c r="AM1259" s="76" t="str">
        <f t="shared" si="43"/>
        <v>OK</v>
      </c>
      <c r="AN1259" s="60">
        <f>41.1+19.35</f>
        <v>60.45</v>
      </c>
      <c r="AO1259" s="61">
        <f>+Tabla6[[#This Row],[PRESUPUESTO VIGENTE]]-Tabla6[[#This Row],[CERTIFICACIÓN PAPP]]</f>
        <v>0</v>
      </c>
      <c r="AP1259" s="59">
        <v>0</v>
      </c>
    </row>
    <row r="1260" spans="1:42" ht="93" customHeight="1" x14ac:dyDescent="0.25">
      <c r="A1260" s="62" t="s">
        <v>78</v>
      </c>
      <c r="B1260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260" s="64" t="s">
        <v>79</v>
      </c>
      <c r="D1260" s="64" t="s">
        <v>80</v>
      </c>
      <c r="E1260" s="64" t="s">
        <v>81</v>
      </c>
      <c r="F1260" s="64" t="s">
        <v>112</v>
      </c>
      <c r="G1260" s="64" t="s">
        <v>83</v>
      </c>
      <c r="H1260" s="65" t="str">
        <f>VLOOKUP(Tabla6[[#This Row],[DIRECCIÓN]],DIRECCIÓN[#All],2,0)</f>
        <v>ADMINISTRACIÓN CENTRAL</v>
      </c>
      <c r="I1260" s="66" t="s">
        <v>764</v>
      </c>
      <c r="J1260" s="67">
        <v>1</v>
      </c>
      <c r="K1260" s="68" t="str">
        <f>VLOOKUP(Tabla6[[#This Row],[DIRECCIÓN GENERAL / COORDINACIÓN / SUBDIRECCIÓN]],Tabla37[[#All],[Columna1]:[EOD]],2,0)</f>
        <v>266_0007</v>
      </c>
      <c r="L1260" s="69">
        <f>VLOOKUP(Tabla6[[#This Row],[OBJETIVOS PND]],Listas!$A$1:$C$3,3,0)</f>
        <v>1</v>
      </c>
      <c r="M1260" s="70">
        <f>VLOOKUP(Tabla6[[#This Row],[PG]],Listas2!$G$14:$K$16,5,0)</f>
        <v>0</v>
      </c>
      <c r="N1260" s="71">
        <v>1</v>
      </c>
      <c r="O1260" s="72">
        <v>1101</v>
      </c>
      <c r="P1260" s="73" t="str">
        <f>VLOOKUP(Tabla6[[#This Row],[GEO]],Listas!$A$48:$B$77,2,0)</f>
        <v>LOJA</v>
      </c>
      <c r="Q1260" s="70">
        <f>VLOOKUP(Tabla6[[#This Row],[PG]],Listas2!$G$14:$K$16,3,0)</f>
        <v>1</v>
      </c>
      <c r="R1260" s="73">
        <f>VLOOKUP(Tabla6[[#This Row],[PG]],Listas2!H714:'Listas2'!$G$14:$K$16,4,0)</f>
        <v>0</v>
      </c>
      <c r="S1260" s="73">
        <f>VLOOKUP(Tabla6[[#This Row],[PG]],Listas2!$G$14:$K$16,2,0)</f>
        <v>0</v>
      </c>
      <c r="T1260" s="66" t="s">
        <v>84</v>
      </c>
      <c r="U1260" s="74">
        <v>57</v>
      </c>
      <c r="V1260" s="66">
        <v>570102</v>
      </c>
      <c r="W1260" s="63" t="str">
        <f>VLOOKUP(Tabla6[[#This Row],[ÍTEM PRESUPUESTARIO]],Tabla2[#All],2,0)</f>
        <v>TASAS GENERALES, IMPUESTOS, CONTRIBUCIONES, PERMISOS, LICENCIAS Y PATENTES</v>
      </c>
      <c r="X1260" s="57">
        <v>300</v>
      </c>
      <c r="Y1260" s="57">
        <f>300-145.82</f>
        <v>154.18</v>
      </c>
      <c r="Z1260" s="58">
        <v>0</v>
      </c>
      <c r="AA1260" s="58">
        <v>0</v>
      </c>
      <c r="AB1260" s="58">
        <v>0</v>
      </c>
      <c r="AC1260" s="58">
        <v>154.18</v>
      </c>
      <c r="AD1260" s="58">
        <v>0</v>
      </c>
      <c r="AE1260" s="58">
        <v>0</v>
      </c>
      <c r="AF1260" s="58">
        <v>0</v>
      </c>
      <c r="AG1260" s="58">
        <v>0</v>
      </c>
      <c r="AH1260" s="58">
        <v>0</v>
      </c>
      <c r="AI1260" s="58">
        <v>0</v>
      </c>
      <c r="AJ1260" s="58">
        <v>0</v>
      </c>
      <c r="AK1260" s="58">
        <v>0</v>
      </c>
      <c r="AL1260" s="75">
        <f>+SUBTOTAL(9,Tabla6[[#This Row],[ENE]:[DIC]])</f>
        <v>154.18</v>
      </c>
      <c r="AM1260" s="76" t="str">
        <f t="shared" si="43"/>
        <v>OK</v>
      </c>
      <c r="AN1260" s="60">
        <v>154.18</v>
      </c>
      <c r="AO1260" s="61">
        <f>+Tabla6[[#This Row],[PRESUPUESTO VIGENTE]]-Tabla6[[#This Row],[CERTIFICACIÓN PAPP]]</f>
        <v>0</v>
      </c>
      <c r="AP1260" s="59">
        <v>0</v>
      </c>
    </row>
    <row r="1261" spans="1:42" ht="93" customHeight="1" x14ac:dyDescent="0.25">
      <c r="A1261" s="62" t="s">
        <v>78</v>
      </c>
      <c r="B1261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261" s="64" t="s">
        <v>79</v>
      </c>
      <c r="D1261" s="64" t="s">
        <v>80</v>
      </c>
      <c r="E1261" s="64" t="s">
        <v>81</v>
      </c>
      <c r="F1261" s="64" t="s">
        <v>112</v>
      </c>
      <c r="G1261" s="64" t="s">
        <v>83</v>
      </c>
      <c r="H1261" s="65" t="str">
        <f>VLOOKUP(Tabla6[[#This Row],[DIRECCIÓN]],DIRECCIÓN[#All],2,0)</f>
        <v>ADMINISTRACIÓN CENTRAL</v>
      </c>
      <c r="I1261" s="66" t="s">
        <v>765</v>
      </c>
      <c r="J1261" s="67">
        <v>1</v>
      </c>
      <c r="K1261" s="68" t="str">
        <f>VLOOKUP(Tabla6[[#This Row],[DIRECCIÓN GENERAL / COORDINACIÓN / SUBDIRECCIÓN]],Tabla37[[#All],[Columna1]:[EOD]],2,0)</f>
        <v>266_0007</v>
      </c>
      <c r="L1261" s="69">
        <f>VLOOKUP(Tabla6[[#This Row],[OBJETIVOS PND]],Listas!$A$1:$C$3,3,0)</f>
        <v>1</v>
      </c>
      <c r="M1261" s="70">
        <f>VLOOKUP(Tabla6[[#This Row],[PG]],Listas2!$G$14:$K$16,5,0)</f>
        <v>0</v>
      </c>
      <c r="N1261" s="71">
        <v>1</v>
      </c>
      <c r="O1261" s="72">
        <v>1101</v>
      </c>
      <c r="P1261" s="73" t="str">
        <f>VLOOKUP(Tabla6[[#This Row],[GEO]],Listas!$A$48:$B$77,2,0)</f>
        <v>LOJA</v>
      </c>
      <c r="Q1261" s="70">
        <f>VLOOKUP(Tabla6[[#This Row],[PG]],Listas2!$G$14:$K$16,3,0)</f>
        <v>1</v>
      </c>
      <c r="R1261" s="73">
        <f>VLOOKUP(Tabla6[[#This Row],[PG]],Listas2!H715:'Listas2'!$G$14:$K$16,4,0)</f>
        <v>0</v>
      </c>
      <c r="S1261" s="73">
        <f>VLOOKUP(Tabla6[[#This Row],[PG]],Listas2!$G$14:$K$16,2,0)</f>
        <v>0</v>
      </c>
      <c r="T1261" s="66" t="s">
        <v>84</v>
      </c>
      <c r="U1261" s="74">
        <v>57</v>
      </c>
      <c r="V1261" s="66">
        <v>570102</v>
      </c>
      <c r="W1261" s="63" t="str">
        <f>VLOOKUP(Tabla6[[#This Row],[ÍTEM PRESUPUESTARIO]],Tabla2[#All],2,0)</f>
        <v>TASAS GENERALES, IMPUESTOS, CONTRIBUCIONES, PERMISOS, LICENCIAS Y PATENTES</v>
      </c>
      <c r="X1261" s="57">
        <v>400</v>
      </c>
      <c r="Y1261" s="57">
        <f>400-35-2.57</f>
        <v>362.43</v>
      </c>
      <c r="Z1261" s="58">
        <v>0</v>
      </c>
      <c r="AA1261" s="58">
        <v>0</v>
      </c>
      <c r="AB1261" s="58">
        <v>0</v>
      </c>
      <c r="AC1261" s="58">
        <v>362.43</v>
      </c>
      <c r="AD1261" s="58">
        <v>0</v>
      </c>
      <c r="AE1261" s="58">
        <v>0</v>
      </c>
      <c r="AF1261" s="58">
        <v>0</v>
      </c>
      <c r="AG1261" s="58">
        <v>0</v>
      </c>
      <c r="AH1261" s="58">
        <v>0</v>
      </c>
      <c r="AI1261" s="58">
        <v>0</v>
      </c>
      <c r="AJ1261" s="58">
        <v>0</v>
      </c>
      <c r="AK1261" s="58">
        <v>0</v>
      </c>
      <c r="AL1261" s="75">
        <f>+SUBTOTAL(9,Tabla6[[#This Row],[ENE]:[DIC]])</f>
        <v>362.43</v>
      </c>
      <c r="AM1261" s="76" t="str">
        <f t="shared" si="43"/>
        <v>OK</v>
      </c>
      <c r="AN1261" s="60">
        <f>269.83+92.6</f>
        <v>362.42999999999995</v>
      </c>
      <c r="AO1261" s="61">
        <f>+Tabla6[[#This Row],[PRESUPUESTO VIGENTE]]-Tabla6[[#This Row],[CERTIFICACIÓN PAPP]]</f>
        <v>0</v>
      </c>
      <c r="AP1261" s="59">
        <v>0</v>
      </c>
    </row>
    <row r="1262" spans="1:42" ht="93" customHeight="1" x14ac:dyDescent="0.25">
      <c r="A1262" s="62" t="s">
        <v>78</v>
      </c>
      <c r="B1262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262" s="64" t="s">
        <v>79</v>
      </c>
      <c r="D1262" s="64" t="s">
        <v>80</v>
      </c>
      <c r="E1262" s="64" t="s">
        <v>81</v>
      </c>
      <c r="F1262" s="64" t="s">
        <v>112</v>
      </c>
      <c r="G1262" s="64" t="s">
        <v>83</v>
      </c>
      <c r="H1262" s="65" t="str">
        <f>VLOOKUP(Tabla6[[#This Row],[DIRECCIÓN]],DIRECCIÓN[#All],2,0)</f>
        <v>ADMINISTRACIÓN CENTRAL</v>
      </c>
      <c r="I1262" s="66" t="s">
        <v>766</v>
      </c>
      <c r="J1262" s="67">
        <v>1</v>
      </c>
      <c r="K1262" s="68" t="str">
        <f>VLOOKUP(Tabla6[[#This Row],[DIRECCIÓN GENERAL / COORDINACIÓN / SUBDIRECCIÓN]],Tabla37[[#All],[Columna1]:[EOD]],2,0)</f>
        <v>266_0007</v>
      </c>
      <c r="L1262" s="69">
        <f>VLOOKUP(Tabla6[[#This Row],[OBJETIVOS PND]],Listas!$A$1:$C$3,3,0)</f>
        <v>1</v>
      </c>
      <c r="M1262" s="70">
        <f>VLOOKUP(Tabla6[[#This Row],[PG]],Listas2!$G$14:$K$16,5,0)</f>
        <v>0</v>
      </c>
      <c r="N1262" s="71">
        <v>1</v>
      </c>
      <c r="O1262" s="72">
        <v>1101</v>
      </c>
      <c r="P1262" s="73" t="str">
        <f>VLOOKUP(Tabla6[[#This Row],[GEO]],Listas!$A$48:$B$77,2,0)</f>
        <v>LOJA</v>
      </c>
      <c r="Q1262" s="70">
        <f>VLOOKUP(Tabla6[[#This Row],[PG]],Listas2!$G$14:$K$16,3,0)</f>
        <v>1</v>
      </c>
      <c r="R1262" s="73">
        <f>VLOOKUP(Tabla6[[#This Row],[PG]],Listas2!H716:'Listas2'!$G$14:$K$16,4,0)</f>
        <v>0</v>
      </c>
      <c r="S1262" s="73">
        <f>VLOOKUP(Tabla6[[#This Row],[PG]],Listas2!$G$14:$K$16,2,0)</f>
        <v>0</v>
      </c>
      <c r="T1262" s="66" t="s">
        <v>84</v>
      </c>
      <c r="U1262" s="74">
        <v>57</v>
      </c>
      <c r="V1262" s="66">
        <v>570102</v>
      </c>
      <c r="W1262" s="63" t="str">
        <f>VLOOKUP(Tabla6[[#This Row],[ÍTEM PRESUPUESTARIO]],Tabla2[#All],2,0)</f>
        <v>TASAS GENERALES, IMPUESTOS, CONTRIBUCIONES, PERMISOS, LICENCIAS Y PATENTES</v>
      </c>
      <c r="X1262" s="57">
        <v>0</v>
      </c>
      <c r="Y1262" s="57">
        <v>0</v>
      </c>
      <c r="Z1262" s="58">
        <v>0</v>
      </c>
      <c r="AA1262" s="58">
        <v>0</v>
      </c>
      <c r="AB1262" s="58">
        <v>0</v>
      </c>
      <c r="AC1262" s="58">
        <v>0</v>
      </c>
      <c r="AD1262" s="58">
        <v>0</v>
      </c>
      <c r="AE1262" s="58">
        <v>0</v>
      </c>
      <c r="AF1262" s="58">
        <v>0</v>
      </c>
      <c r="AG1262" s="58">
        <v>0</v>
      </c>
      <c r="AH1262" s="58">
        <v>0</v>
      </c>
      <c r="AI1262" s="58">
        <v>0</v>
      </c>
      <c r="AJ1262" s="58">
        <v>0</v>
      </c>
      <c r="AK1262" s="58">
        <v>0</v>
      </c>
      <c r="AL1262" s="75">
        <f>+SUBTOTAL(9,Tabla6[[#This Row],[ENE]:[DIC]])</f>
        <v>0</v>
      </c>
      <c r="AM1262" s="76" t="str">
        <f t="shared" si="43"/>
        <v>OK</v>
      </c>
      <c r="AN1262" s="60">
        <v>0</v>
      </c>
      <c r="AO1262" s="61">
        <f>+Tabla6[[#This Row],[PRESUPUESTO VIGENTE]]-Tabla6[[#This Row],[CERTIFICACIÓN PAPP]]</f>
        <v>0</v>
      </c>
      <c r="AP1262" s="59">
        <v>0</v>
      </c>
    </row>
    <row r="1263" spans="1:42" ht="93" customHeight="1" x14ac:dyDescent="0.25">
      <c r="A1263" s="62" t="s">
        <v>78</v>
      </c>
      <c r="B1263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263" s="64" t="s">
        <v>79</v>
      </c>
      <c r="D1263" s="64" t="s">
        <v>80</v>
      </c>
      <c r="E1263" s="64" t="s">
        <v>81</v>
      </c>
      <c r="F1263" s="64" t="s">
        <v>112</v>
      </c>
      <c r="G1263" s="64" t="s">
        <v>83</v>
      </c>
      <c r="H1263" s="65" t="str">
        <f>VLOOKUP(Tabla6[[#This Row],[DIRECCIÓN]],DIRECCIÓN[#All],2,0)</f>
        <v>ADMINISTRACIÓN CENTRAL</v>
      </c>
      <c r="I1263" s="66" t="s">
        <v>767</v>
      </c>
      <c r="J1263" s="67">
        <v>1</v>
      </c>
      <c r="K1263" s="68" t="str">
        <f>VLOOKUP(Tabla6[[#This Row],[DIRECCIÓN GENERAL / COORDINACIÓN / SUBDIRECCIÓN]],Tabla37[[#All],[Columna1]:[EOD]],2,0)</f>
        <v>266_0007</v>
      </c>
      <c r="L1263" s="69">
        <f>VLOOKUP(Tabla6[[#This Row],[OBJETIVOS PND]],Listas!$A$1:$C$3,3,0)</f>
        <v>1</v>
      </c>
      <c r="M1263" s="70">
        <f>VLOOKUP(Tabla6[[#This Row],[PG]],Listas2!$G$14:$K$16,5,0)</f>
        <v>0</v>
      </c>
      <c r="N1263" s="71">
        <v>1</v>
      </c>
      <c r="O1263" s="72">
        <v>1101</v>
      </c>
      <c r="P1263" s="73" t="str">
        <f>VLOOKUP(Tabla6[[#This Row],[GEO]],Listas!$A$48:$B$77,2,0)</f>
        <v>LOJA</v>
      </c>
      <c r="Q1263" s="70">
        <f>VLOOKUP(Tabla6[[#This Row],[PG]],Listas2!$G$14:$K$16,3,0)</f>
        <v>1</v>
      </c>
      <c r="R1263" s="73">
        <f>VLOOKUP(Tabla6[[#This Row],[PG]],Listas2!H717:'Listas2'!$G$14:$K$16,4,0)</f>
        <v>0</v>
      </c>
      <c r="S1263" s="73">
        <f>VLOOKUP(Tabla6[[#This Row],[PG]],Listas2!$G$14:$K$16,2,0)</f>
        <v>0</v>
      </c>
      <c r="T1263" s="66" t="s">
        <v>84</v>
      </c>
      <c r="U1263" s="74">
        <v>57</v>
      </c>
      <c r="V1263" s="66">
        <v>570102</v>
      </c>
      <c r="W1263" s="63" t="str">
        <f>VLOOKUP(Tabla6[[#This Row],[ÍTEM PRESUPUESTARIO]],Tabla2[#All],2,0)</f>
        <v>TASAS GENERALES, IMPUESTOS, CONTRIBUCIONES, PERMISOS, LICENCIAS Y PATENTES</v>
      </c>
      <c r="X1263" s="57">
        <v>3420</v>
      </c>
      <c r="Y1263" s="57">
        <f>3420-14.04</f>
        <v>3405.96</v>
      </c>
      <c r="Z1263" s="58">
        <v>285</v>
      </c>
      <c r="AA1263" s="58">
        <v>285</v>
      </c>
      <c r="AB1263" s="58">
        <v>285</v>
      </c>
      <c r="AC1263" s="58">
        <v>285</v>
      </c>
      <c r="AD1263" s="58">
        <v>285</v>
      </c>
      <c r="AE1263" s="58">
        <v>285</v>
      </c>
      <c r="AF1263" s="58">
        <v>285</v>
      </c>
      <c r="AG1263" s="58">
        <v>285</v>
      </c>
      <c r="AH1263" s="58">
        <v>285</v>
      </c>
      <c r="AI1263" s="58">
        <v>285</v>
      </c>
      <c r="AJ1263" s="58">
        <v>285</v>
      </c>
      <c r="AK1263" s="58">
        <v>270.95999999999998</v>
      </c>
      <c r="AL1263" s="75">
        <f>+SUBTOTAL(9,Tabla6[[#This Row],[ENE]:[DIC]])</f>
        <v>3405.96</v>
      </c>
      <c r="AM1263" s="76" t="str">
        <f t="shared" si="43"/>
        <v>OK</v>
      </c>
      <c r="AN1263" s="60">
        <v>3405.96</v>
      </c>
      <c r="AO1263" s="61">
        <f>+Tabla6[[#This Row],[PRESUPUESTO VIGENTE]]-Tabla6[[#This Row],[CERTIFICACIÓN PAPP]]</f>
        <v>0</v>
      </c>
      <c r="AP1263" s="59">
        <v>0</v>
      </c>
    </row>
    <row r="1264" spans="1:42" ht="93" customHeight="1" x14ac:dyDescent="0.25">
      <c r="A1264" s="62" t="s">
        <v>78</v>
      </c>
      <c r="B1264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264" s="64" t="s">
        <v>79</v>
      </c>
      <c r="D1264" s="64" t="s">
        <v>80</v>
      </c>
      <c r="E1264" s="64" t="s">
        <v>81</v>
      </c>
      <c r="F1264" s="64" t="s">
        <v>112</v>
      </c>
      <c r="G1264" s="64" t="s">
        <v>83</v>
      </c>
      <c r="H1264" s="65" t="str">
        <f>VLOOKUP(Tabla6[[#This Row],[DIRECCIÓN]],DIRECCIÓN[#All],2,0)</f>
        <v>ADMINISTRACIÓN CENTRAL</v>
      </c>
      <c r="I1264" s="66" t="s">
        <v>768</v>
      </c>
      <c r="J1264" s="67">
        <v>1</v>
      </c>
      <c r="K1264" s="68" t="str">
        <f>VLOOKUP(Tabla6[[#This Row],[DIRECCIÓN GENERAL / COORDINACIÓN / SUBDIRECCIÓN]],Tabla37[[#All],[Columna1]:[EOD]],2,0)</f>
        <v>266_0007</v>
      </c>
      <c r="L1264" s="69">
        <f>VLOOKUP(Tabla6[[#This Row],[OBJETIVOS PND]],Listas!$A$1:$C$3,3,0)</f>
        <v>1</v>
      </c>
      <c r="M1264" s="70">
        <f>VLOOKUP(Tabla6[[#This Row],[PG]],Listas2!$G$14:$K$16,5,0)</f>
        <v>0</v>
      </c>
      <c r="N1264" s="71">
        <v>1</v>
      </c>
      <c r="O1264" s="72">
        <v>1101</v>
      </c>
      <c r="P1264" s="73" t="str">
        <f>VLOOKUP(Tabla6[[#This Row],[GEO]],Listas!$A$48:$B$77,2,0)</f>
        <v>LOJA</v>
      </c>
      <c r="Q1264" s="70">
        <f>VLOOKUP(Tabla6[[#This Row],[PG]],Listas2!$G$14:$K$16,3,0)</f>
        <v>1</v>
      </c>
      <c r="R1264" s="73">
        <f>VLOOKUP(Tabla6[[#This Row],[PG]],Listas2!H718:'Listas2'!$G$14:$K$16,4,0)</f>
        <v>0</v>
      </c>
      <c r="S1264" s="73">
        <f>VLOOKUP(Tabla6[[#This Row],[PG]],Listas2!$G$14:$K$16,2,0)</f>
        <v>0</v>
      </c>
      <c r="T1264" s="66" t="s">
        <v>84</v>
      </c>
      <c r="U1264" s="74">
        <v>57</v>
      </c>
      <c r="V1264" s="66">
        <v>570104</v>
      </c>
      <c r="W1264" s="63" t="str">
        <f>VLOOKUP(Tabla6[[#This Row],[ÍTEM PRESUPUESTARIO]],Tabla2[#All],2,0)</f>
        <v>CONTRIBUCIONES ESPECIALES Y DE MEJORA</v>
      </c>
      <c r="X1264" s="57">
        <v>2800</v>
      </c>
      <c r="Y1264" s="57">
        <f>2881-0.06</f>
        <v>2880.94</v>
      </c>
      <c r="Z1264" s="58">
        <v>0</v>
      </c>
      <c r="AA1264" s="58">
        <v>0</v>
      </c>
      <c r="AB1264" s="58">
        <v>0</v>
      </c>
      <c r="AC1264" s="58">
        <v>0</v>
      </c>
      <c r="AD1264" s="58">
        <v>2880.94</v>
      </c>
      <c r="AE1264" s="58">
        <v>0</v>
      </c>
      <c r="AF1264" s="58">
        <v>0</v>
      </c>
      <c r="AG1264" s="58">
        <v>0</v>
      </c>
      <c r="AH1264" s="58">
        <v>0</v>
      </c>
      <c r="AI1264" s="58">
        <v>0</v>
      </c>
      <c r="AJ1264" s="58">
        <v>0</v>
      </c>
      <c r="AK1264" s="58">
        <v>0</v>
      </c>
      <c r="AL1264" s="75">
        <f>+SUBTOTAL(9,Tabla6[[#This Row],[ENE]:[DIC]])</f>
        <v>2880.94</v>
      </c>
      <c r="AM1264" s="76" t="str">
        <f t="shared" si="43"/>
        <v>OK</v>
      </c>
      <c r="AN1264" s="60">
        <v>2880.94</v>
      </c>
      <c r="AO1264" s="61">
        <f>+Tabla6[[#This Row],[PRESUPUESTO VIGENTE]]-Tabla6[[#This Row],[CERTIFICACIÓN PAPP]]</f>
        <v>0</v>
      </c>
      <c r="AP1264" s="59">
        <v>0</v>
      </c>
    </row>
    <row r="1265" spans="1:42" ht="93" customHeight="1" x14ac:dyDescent="0.25">
      <c r="A1265" s="62" t="s">
        <v>78</v>
      </c>
      <c r="B1265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265" s="64" t="s">
        <v>79</v>
      </c>
      <c r="D1265" s="64" t="s">
        <v>80</v>
      </c>
      <c r="E1265" s="64" t="s">
        <v>81</v>
      </c>
      <c r="F1265" s="64" t="s">
        <v>112</v>
      </c>
      <c r="G1265" s="64" t="s">
        <v>83</v>
      </c>
      <c r="H1265" s="65" t="str">
        <f>VLOOKUP(Tabla6[[#This Row],[DIRECCIÓN]],DIRECCIÓN[#All],2,0)</f>
        <v>ADMINISTRACIÓN CENTRAL</v>
      </c>
      <c r="I1265" s="66" t="s">
        <v>769</v>
      </c>
      <c r="J1265" s="67">
        <v>1</v>
      </c>
      <c r="K1265" s="68" t="str">
        <f>VLOOKUP(Tabla6[[#This Row],[DIRECCIÓN GENERAL / COORDINACIÓN / SUBDIRECCIÓN]],Tabla37[[#All],[Columna1]:[EOD]],2,0)</f>
        <v>266_0007</v>
      </c>
      <c r="L1265" s="69">
        <f>VLOOKUP(Tabla6[[#This Row],[OBJETIVOS PND]],Listas!$A$1:$C$3,3,0)</f>
        <v>1</v>
      </c>
      <c r="M1265" s="70">
        <f>VLOOKUP(Tabla6[[#This Row],[PG]],Listas2!$G$14:$K$16,5,0)</f>
        <v>0</v>
      </c>
      <c r="N1265" s="71">
        <v>1</v>
      </c>
      <c r="O1265" s="72">
        <v>1101</v>
      </c>
      <c r="P1265" s="73" t="str">
        <f>VLOOKUP(Tabla6[[#This Row],[GEO]],Listas!$A$48:$B$77,2,0)</f>
        <v>LOJA</v>
      </c>
      <c r="Q1265" s="70">
        <f>VLOOKUP(Tabla6[[#This Row],[PG]],Listas2!$G$14:$K$16,3,0)</f>
        <v>1</v>
      </c>
      <c r="R1265" s="73">
        <f>VLOOKUP(Tabla6[[#This Row],[PG]],Listas2!H719:'Listas2'!$G$14:$K$16,4,0)</f>
        <v>0</v>
      </c>
      <c r="S1265" s="73">
        <f>VLOOKUP(Tabla6[[#This Row],[PG]],Listas2!$G$14:$K$16,2,0)</f>
        <v>0</v>
      </c>
      <c r="T1265" s="66" t="s">
        <v>84</v>
      </c>
      <c r="U1265" s="74">
        <v>57</v>
      </c>
      <c r="V1265" s="66">
        <v>570104</v>
      </c>
      <c r="W1265" s="63" t="str">
        <f>VLOOKUP(Tabla6[[#This Row],[ÍTEM PRESUPUESTARIO]],Tabla2[#All],2,0)</f>
        <v>CONTRIBUCIONES ESPECIALES Y DE MEJORA</v>
      </c>
      <c r="X1265" s="57">
        <v>6981</v>
      </c>
      <c r="Y1265" s="57">
        <f>6980-1.82</f>
        <v>6978.18</v>
      </c>
      <c r="Z1265" s="58">
        <v>537</v>
      </c>
      <c r="AA1265" s="58">
        <v>537</v>
      </c>
      <c r="AB1265" s="58">
        <v>537</v>
      </c>
      <c r="AC1265" s="58">
        <v>537</v>
      </c>
      <c r="AD1265" s="58">
        <v>537</v>
      </c>
      <c r="AE1265" s="58">
        <v>537</v>
      </c>
      <c r="AF1265" s="58">
        <v>537</v>
      </c>
      <c r="AG1265" s="58">
        <v>537</v>
      </c>
      <c r="AH1265" s="58">
        <v>537</v>
      </c>
      <c r="AI1265" s="58">
        <v>537</v>
      </c>
      <c r="AJ1265" s="58">
        <v>537</v>
      </c>
      <c r="AK1265" s="58">
        <v>1071.18</v>
      </c>
      <c r="AL1265" s="75">
        <f>+SUBTOTAL(9,Tabla6[[#This Row],[ENE]:[DIC]])</f>
        <v>6978.18</v>
      </c>
      <c r="AM1265" s="76" t="str">
        <f t="shared" si="43"/>
        <v>OK</v>
      </c>
      <c r="AN1265" s="60">
        <v>6978.18</v>
      </c>
      <c r="AO1265" s="61">
        <f>+Tabla6[[#This Row],[PRESUPUESTO VIGENTE]]-Tabla6[[#This Row],[CERTIFICACIÓN PAPP]]</f>
        <v>0</v>
      </c>
      <c r="AP1265" s="59">
        <v>0</v>
      </c>
    </row>
    <row r="1266" spans="1:42" ht="93" customHeight="1" x14ac:dyDescent="0.25">
      <c r="A1266" s="62" t="s">
        <v>88</v>
      </c>
      <c r="B1266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266" s="64" t="s">
        <v>89</v>
      </c>
      <c r="D1266" s="64" t="s">
        <v>80</v>
      </c>
      <c r="E1266" s="64" t="s">
        <v>81</v>
      </c>
      <c r="F1266" s="64" t="s">
        <v>112</v>
      </c>
      <c r="G1266" s="64" t="s">
        <v>90</v>
      </c>
      <c r="H1266" s="65" t="str">
        <f>VLOOKUP(Tabla6[[#This Row],[DIRECCIÓN]],DIRECCIÓN[#All],2,0)</f>
        <v>TECNOLOGÍA</v>
      </c>
      <c r="I1266" s="66" t="s">
        <v>770</v>
      </c>
      <c r="J1266" s="67">
        <v>1</v>
      </c>
      <c r="K1266" s="68" t="str">
        <f>VLOOKUP(Tabla6[[#This Row],[DIRECCIÓN GENERAL / COORDINACIÓN / SUBDIRECCIÓN]],Tabla37[[#All],[Columna1]:[EOD]],2,0)</f>
        <v>266_0007</v>
      </c>
      <c r="L1266" s="69">
        <f>VLOOKUP(Tabla6[[#This Row],[OBJETIVOS PND]],Listas!$A$1:$C$3,3,0)</f>
        <v>55</v>
      </c>
      <c r="M1266" s="70">
        <f>VLOOKUP(Tabla6[[#This Row],[PG]],Listas2!$G$14:$K$16,5,0)</f>
        <v>0</v>
      </c>
      <c r="N1266" s="71">
        <v>3</v>
      </c>
      <c r="O1266" s="72">
        <v>1101</v>
      </c>
      <c r="P1266" s="73" t="str">
        <f>VLOOKUP(Tabla6[[#This Row],[GEO]],Listas!$A$48:$B$77,2,0)</f>
        <v>LOJA</v>
      </c>
      <c r="Q1266" s="70">
        <f>VLOOKUP(Tabla6[[#This Row],[PG]],Listas2!$G$14:$K$16,3,0)</f>
        <v>1</v>
      </c>
      <c r="R1266" s="73">
        <f>VLOOKUP(Tabla6[[#This Row],[PG]],Listas2!H720:'Listas2'!$G$14:$K$16,4,0)</f>
        <v>0</v>
      </c>
      <c r="S1266" s="73">
        <f>VLOOKUP(Tabla6[[#This Row],[PG]],Listas2!$G$14:$K$16,2,0)</f>
        <v>0</v>
      </c>
      <c r="T1266" s="66" t="s">
        <v>84</v>
      </c>
      <c r="U1266" s="74">
        <v>53</v>
      </c>
      <c r="V1266" s="66">
        <v>530105</v>
      </c>
      <c r="W1266" s="63" t="str">
        <f>VLOOKUP(Tabla6[[#This Row],[ÍTEM PRESUPUESTARIO]],Tabla2[#All],2,0)</f>
        <v>TELECOMUNICACIONES</v>
      </c>
      <c r="X1266" s="57">
        <v>146407</v>
      </c>
      <c r="Y1266" s="57">
        <f>145219.3-48000-178-675-7147-4432.73-1399.48-5761.56-7660.2</f>
        <v>69965.33</v>
      </c>
      <c r="Z1266" s="58">
        <v>0</v>
      </c>
      <c r="AA1266" s="58">
        <v>15982.74</v>
      </c>
      <c r="AB1266" s="58">
        <v>5170.0600000000004</v>
      </c>
      <c r="AC1266" s="58">
        <v>5170.0600000000004</v>
      </c>
      <c r="AD1266" s="58">
        <v>6500</v>
      </c>
      <c r="AE1266" s="58">
        <v>6500</v>
      </c>
      <c r="AF1266" s="58">
        <v>6500</v>
      </c>
      <c r="AG1266" s="58">
        <v>3462.23</v>
      </c>
      <c r="AH1266" s="58">
        <v>5170.0600000000004</v>
      </c>
      <c r="AI1266" s="58">
        <v>5170.0600000000004</v>
      </c>
      <c r="AJ1266" s="58">
        <v>5170.0600000000004</v>
      </c>
      <c r="AK1266" s="58">
        <v>5170.0600000000004</v>
      </c>
      <c r="AL1266" s="75">
        <f>+SUBTOTAL(9,Tabla6[[#This Row],[ENE]:[DIC]])</f>
        <v>69965.33</v>
      </c>
      <c r="AM1266" s="76" t="str">
        <f t="shared" si="43"/>
        <v>OK</v>
      </c>
      <c r="AN1266" s="60">
        <f>111649.82-23284.02-4978.71-10380.27-3041.49</f>
        <v>69965.329999999987</v>
      </c>
      <c r="AO1266" s="61">
        <f>+Tabla6[[#This Row],[PRESUPUESTO VIGENTE]]-Tabla6[[#This Row],[CERTIFICACIÓN PAPP]]</f>
        <v>0</v>
      </c>
      <c r="AP1266" s="59">
        <v>0</v>
      </c>
    </row>
    <row r="1267" spans="1:42" ht="93" customHeight="1" x14ac:dyDescent="0.25">
      <c r="A1267" s="62" t="s">
        <v>88</v>
      </c>
      <c r="B1267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267" s="64" t="s">
        <v>89</v>
      </c>
      <c r="D1267" s="64" t="s">
        <v>80</v>
      </c>
      <c r="E1267" s="64" t="s">
        <v>81</v>
      </c>
      <c r="F1267" s="64" t="s">
        <v>112</v>
      </c>
      <c r="G1267" s="64" t="s">
        <v>90</v>
      </c>
      <c r="H1267" s="65" t="str">
        <f>VLOOKUP(Tabla6[[#This Row],[DIRECCIÓN]],DIRECCIÓN[#All],2,0)</f>
        <v>TECNOLOGÍA</v>
      </c>
      <c r="I1267" s="66" t="s">
        <v>771</v>
      </c>
      <c r="J1267" s="67">
        <v>1</v>
      </c>
      <c r="K1267" s="68" t="str">
        <f>VLOOKUP(Tabla6[[#This Row],[DIRECCIÓN GENERAL / COORDINACIÓN / SUBDIRECCIÓN]],Tabla37[[#All],[Columna1]:[EOD]],2,0)</f>
        <v>266_0007</v>
      </c>
      <c r="L1267" s="69">
        <f>VLOOKUP(Tabla6[[#This Row],[OBJETIVOS PND]],Listas!$A$1:$C$3,3,0)</f>
        <v>55</v>
      </c>
      <c r="M1267" s="70">
        <f>VLOOKUP(Tabla6[[#This Row],[PG]],Listas2!$G$14:$K$16,5,0)</f>
        <v>0</v>
      </c>
      <c r="N1267" s="71">
        <v>3</v>
      </c>
      <c r="O1267" s="72">
        <v>1101</v>
      </c>
      <c r="P1267" s="73" t="str">
        <f>VLOOKUP(Tabla6[[#This Row],[GEO]],Listas!$A$48:$B$77,2,0)</f>
        <v>LOJA</v>
      </c>
      <c r="Q1267" s="70">
        <f>VLOOKUP(Tabla6[[#This Row],[PG]],Listas2!$G$14:$K$16,3,0)</f>
        <v>1</v>
      </c>
      <c r="R1267" s="73">
        <f>VLOOKUP(Tabla6[[#This Row],[PG]],Listas2!H721:'Listas2'!$G$14:$K$16,4,0)</f>
        <v>0</v>
      </c>
      <c r="S1267" s="73">
        <f>VLOOKUP(Tabla6[[#This Row],[PG]],Listas2!$G$14:$K$16,2,0)</f>
        <v>0</v>
      </c>
      <c r="T1267" s="66" t="s">
        <v>84</v>
      </c>
      <c r="U1267" s="74">
        <v>53</v>
      </c>
      <c r="V1267" s="66">
        <v>530813</v>
      </c>
      <c r="W1267" s="63" t="str">
        <f>VLOOKUP(Tabla6[[#This Row],[ÍTEM PRESUPUESTARIO]],Tabla2[#All],2,0)</f>
        <v>REPUESTOS Y ACCESORIOS</v>
      </c>
      <c r="X1267" s="57">
        <v>0</v>
      </c>
      <c r="Y1267" s="57">
        <v>0</v>
      </c>
      <c r="Z1267" s="58">
        <v>0</v>
      </c>
      <c r="AA1267" s="58">
        <v>0</v>
      </c>
      <c r="AB1267" s="58">
        <v>0</v>
      </c>
      <c r="AC1267" s="58">
        <v>0</v>
      </c>
      <c r="AD1267" s="58">
        <v>0</v>
      </c>
      <c r="AE1267" s="58">
        <v>0</v>
      </c>
      <c r="AF1267" s="58">
        <v>0</v>
      </c>
      <c r="AG1267" s="58">
        <v>0</v>
      </c>
      <c r="AH1267" s="58">
        <v>0</v>
      </c>
      <c r="AI1267" s="58">
        <v>0</v>
      </c>
      <c r="AJ1267" s="58">
        <v>0</v>
      </c>
      <c r="AK1267" s="58">
        <v>0</v>
      </c>
      <c r="AL1267" s="75">
        <f>+SUBTOTAL(9,Tabla6[[#This Row],[ENE]:[DIC]])</f>
        <v>0</v>
      </c>
      <c r="AM1267" s="76" t="str">
        <f t="shared" si="43"/>
        <v>OK</v>
      </c>
      <c r="AN1267" s="60">
        <v>0</v>
      </c>
      <c r="AO1267" s="61">
        <f>+Tabla6[[#This Row],[PRESUPUESTO VIGENTE]]-Tabla6[[#This Row],[CERTIFICACIÓN PAPP]]</f>
        <v>0</v>
      </c>
      <c r="AP1267" s="59">
        <v>0</v>
      </c>
    </row>
    <row r="1268" spans="1:42" ht="93" customHeight="1" x14ac:dyDescent="0.25">
      <c r="A1268" s="62" t="s">
        <v>88</v>
      </c>
      <c r="B1268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268" s="64" t="s">
        <v>89</v>
      </c>
      <c r="D1268" s="64" t="s">
        <v>80</v>
      </c>
      <c r="E1268" s="64" t="s">
        <v>81</v>
      </c>
      <c r="F1268" s="64" t="s">
        <v>112</v>
      </c>
      <c r="G1268" s="64" t="s">
        <v>90</v>
      </c>
      <c r="H1268" s="65" t="str">
        <f>VLOOKUP(Tabla6[[#This Row],[DIRECCIÓN]],DIRECCIÓN[#All],2,0)</f>
        <v>TECNOLOGÍA</v>
      </c>
      <c r="I1268" s="66" t="s">
        <v>772</v>
      </c>
      <c r="J1268" s="67">
        <v>1</v>
      </c>
      <c r="K1268" s="68" t="str">
        <f>VLOOKUP(Tabla6[[#This Row],[DIRECCIÓN GENERAL / COORDINACIÓN / SUBDIRECCIÓN]],Tabla37[[#All],[Columna1]:[EOD]],2,0)</f>
        <v>266_0007</v>
      </c>
      <c r="L1268" s="69">
        <f>VLOOKUP(Tabla6[[#This Row],[OBJETIVOS PND]],Listas!$A$1:$C$3,3,0)</f>
        <v>55</v>
      </c>
      <c r="M1268" s="70">
        <f>VLOOKUP(Tabla6[[#This Row],[PG]],Listas2!$G$14:$K$16,5,0)</f>
        <v>0</v>
      </c>
      <c r="N1268" s="71">
        <v>3</v>
      </c>
      <c r="O1268" s="72">
        <v>1101</v>
      </c>
      <c r="P1268" s="73" t="str">
        <f>VLOOKUP(Tabla6[[#This Row],[GEO]],Listas!$A$48:$B$77,2,0)</f>
        <v>LOJA</v>
      </c>
      <c r="Q1268" s="70">
        <f>VLOOKUP(Tabla6[[#This Row],[PG]],Listas2!$G$14:$K$16,3,0)</f>
        <v>1</v>
      </c>
      <c r="R1268" s="73">
        <f>VLOOKUP(Tabla6[[#This Row],[PG]],Listas2!H722:'Listas2'!$G$14:$K$16,4,0)</f>
        <v>0</v>
      </c>
      <c r="S1268" s="73">
        <f>VLOOKUP(Tabla6[[#This Row],[PG]],Listas2!$G$14:$K$16,2,0)</f>
        <v>0</v>
      </c>
      <c r="T1268" s="66" t="s">
        <v>84</v>
      </c>
      <c r="U1268" s="74">
        <v>53</v>
      </c>
      <c r="V1268" s="66">
        <v>530813</v>
      </c>
      <c r="W1268" s="63" t="str">
        <f>VLOOKUP(Tabla6[[#This Row],[ÍTEM PRESUPUESTARIO]],Tabla2[#All],2,0)</f>
        <v>REPUESTOS Y ACCESORIOS</v>
      </c>
      <c r="X1268" s="57">
        <v>0</v>
      </c>
      <c r="Y1268" s="57">
        <f>6701+4432.73-501</f>
        <v>10632.73</v>
      </c>
      <c r="Z1268" s="58">
        <v>0</v>
      </c>
      <c r="AA1268" s="58">
        <v>0</v>
      </c>
      <c r="AB1268" s="58">
        <v>0</v>
      </c>
      <c r="AC1268" s="58">
        <v>0</v>
      </c>
      <c r="AD1268" s="58">
        <v>0</v>
      </c>
      <c r="AE1268" s="58">
        <v>10632.73</v>
      </c>
      <c r="AF1268" s="58">
        <v>0</v>
      </c>
      <c r="AG1268" s="58">
        <v>0</v>
      </c>
      <c r="AH1268" s="58">
        <v>0</v>
      </c>
      <c r="AI1268" s="58">
        <v>0</v>
      </c>
      <c r="AJ1268" s="58">
        <v>0</v>
      </c>
      <c r="AK1268" s="58">
        <v>0</v>
      </c>
      <c r="AL1268" s="75">
        <f>+SUBTOTAL(9,Tabla6[[#This Row],[ENE]:[DIC]])</f>
        <v>10632.73</v>
      </c>
      <c r="AM1268" s="76" t="str">
        <f t="shared" si="43"/>
        <v>OK</v>
      </c>
      <c r="AN1268" s="60">
        <f>6200+4432.73</f>
        <v>10632.73</v>
      </c>
      <c r="AO1268" s="61">
        <f>+Tabla6[[#This Row],[PRESUPUESTO VIGENTE]]-Tabla6[[#This Row],[CERTIFICACIÓN PAPP]]</f>
        <v>0</v>
      </c>
      <c r="AP1268" s="59">
        <v>0</v>
      </c>
    </row>
    <row r="1269" spans="1:42" ht="93" customHeight="1" x14ac:dyDescent="0.25">
      <c r="A1269" s="62" t="s">
        <v>88</v>
      </c>
      <c r="B1269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269" s="64" t="s">
        <v>89</v>
      </c>
      <c r="D1269" s="64" t="s">
        <v>80</v>
      </c>
      <c r="E1269" s="64" t="s">
        <v>81</v>
      </c>
      <c r="F1269" s="64" t="s">
        <v>112</v>
      </c>
      <c r="G1269" s="64" t="s">
        <v>90</v>
      </c>
      <c r="H1269" s="65" t="str">
        <f>VLOOKUP(Tabla6[[#This Row],[DIRECCIÓN]],DIRECCIÓN[#All],2,0)</f>
        <v>TECNOLOGÍA</v>
      </c>
      <c r="I1269" s="66" t="s">
        <v>773</v>
      </c>
      <c r="J1269" s="67">
        <v>1</v>
      </c>
      <c r="K1269" s="68" t="str">
        <f>VLOOKUP(Tabla6[[#This Row],[DIRECCIÓN GENERAL / COORDINACIÓN / SUBDIRECCIÓN]],Tabla37[[#All],[Columna1]:[EOD]],2,0)</f>
        <v>266_0007</v>
      </c>
      <c r="L1269" s="69">
        <f>VLOOKUP(Tabla6[[#This Row],[OBJETIVOS PND]],Listas!$A$1:$C$3,3,0)</f>
        <v>55</v>
      </c>
      <c r="M1269" s="70">
        <f>VLOOKUP(Tabla6[[#This Row],[PG]],Listas2!$G$14:$K$16,5,0)</f>
        <v>0</v>
      </c>
      <c r="N1269" s="71">
        <v>3</v>
      </c>
      <c r="O1269" s="72">
        <v>1101</v>
      </c>
      <c r="P1269" s="73" t="str">
        <f>VLOOKUP(Tabla6[[#This Row],[GEO]],Listas!$A$48:$B$77,2,0)</f>
        <v>LOJA</v>
      </c>
      <c r="Q1269" s="70">
        <f>VLOOKUP(Tabla6[[#This Row],[PG]],Listas2!$G$14:$K$16,3,0)</f>
        <v>1</v>
      </c>
      <c r="R1269" s="73">
        <f>VLOOKUP(Tabla6[[#This Row],[PG]],Listas2!H723:'Listas2'!$G$14:$K$16,4,0)</f>
        <v>0</v>
      </c>
      <c r="S1269" s="73">
        <f>VLOOKUP(Tabla6[[#This Row],[PG]],Listas2!$G$14:$K$16,2,0)</f>
        <v>0</v>
      </c>
      <c r="T1269" s="66" t="s">
        <v>84</v>
      </c>
      <c r="U1269" s="74">
        <v>53</v>
      </c>
      <c r="V1269" s="66">
        <v>531407</v>
      </c>
      <c r="W1269" s="63" t="str">
        <f>VLOOKUP(Tabla6[[#This Row],[ÍTEM PRESUPUESTARIO]],Tabla2[#All],2,0)</f>
        <v>EQUIPOS, SISTEMAS Y PAQUETES INFORMÁTICOS</v>
      </c>
      <c r="X1269" s="57">
        <v>0</v>
      </c>
      <c r="Y1269" s="57">
        <f>6300-3150+1661.56</f>
        <v>4811.5599999999995</v>
      </c>
      <c r="Z1269" s="58">
        <v>0</v>
      </c>
      <c r="AA1269" s="58">
        <v>0</v>
      </c>
      <c r="AB1269" s="58">
        <v>0</v>
      </c>
      <c r="AC1269" s="58">
        <v>0</v>
      </c>
      <c r="AD1269" s="58">
        <v>0</v>
      </c>
      <c r="AE1269" s="58">
        <v>0</v>
      </c>
      <c r="AF1269" s="58">
        <v>0</v>
      </c>
      <c r="AG1269" s="58">
        <v>0</v>
      </c>
      <c r="AH1269" s="58">
        <v>0</v>
      </c>
      <c r="AI1269" s="58">
        <v>0</v>
      </c>
      <c r="AJ1269" s="58">
        <f>3150+1661.56</f>
        <v>4811.5599999999995</v>
      </c>
      <c r="AK1269" s="58">
        <v>0</v>
      </c>
      <c r="AL1269" s="75">
        <f>+SUBTOTAL(9,Tabla6[[#This Row],[ENE]:[DIC]])</f>
        <v>4811.5599999999995</v>
      </c>
      <c r="AM1269" s="76" t="str">
        <f t="shared" si="43"/>
        <v>OK</v>
      </c>
      <c r="AN1269" s="60">
        <v>4811.5600000000004</v>
      </c>
      <c r="AO1269" s="61">
        <f>+Tabla6[[#This Row],[PRESUPUESTO VIGENTE]]-Tabla6[[#This Row],[CERTIFICACIÓN PAPP]]</f>
        <v>0</v>
      </c>
      <c r="AP1269" s="59">
        <v>0</v>
      </c>
    </row>
    <row r="1270" spans="1:42" ht="93" customHeight="1" x14ac:dyDescent="0.25">
      <c r="A1270" s="62" t="s">
        <v>88</v>
      </c>
      <c r="B1270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270" s="64" t="s">
        <v>89</v>
      </c>
      <c r="D1270" s="64" t="s">
        <v>80</v>
      </c>
      <c r="E1270" s="64" t="s">
        <v>81</v>
      </c>
      <c r="F1270" s="64" t="s">
        <v>112</v>
      </c>
      <c r="G1270" s="64" t="s">
        <v>90</v>
      </c>
      <c r="H1270" s="65" t="str">
        <f>VLOOKUP(Tabla6[[#This Row],[DIRECCIÓN]],DIRECCIÓN[#All],2,0)</f>
        <v>TECNOLOGÍA</v>
      </c>
      <c r="I1270" s="66" t="s">
        <v>774</v>
      </c>
      <c r="J1270" s="67">
        <v>1</v>
      </c>
      <c r="K1270" s="68" t="str">
        <f>VLOOKUP(Tabla6[[#This Row],[DIRECCIÓN GENERAL / COORDINACIÓN / SUBDIRECCIÓN]],Tabla37[[#All],[Columna1]:[EOD]],2,0)</f>
        <v>266_0007</v>
      </c>
      <c r="L1270" s="69">
        <f>VLOOKUP(Tabla6[[#This Row],[OBJETIVOS PND]],Listas!$A$1:$C$3,3,0)</f>
        <v>55</v>
      </c>
      <c r="M1270" s="70">
        <f>VLOOKUP(Tabla6[[#This Row],[PG]],Listas2!$G$14:$K$16,5,0)</f>
        <v>0</v>
      </c>
      <c r="N1270" s="71">
        <v>3</v>
      </c>
      <c r="O1270" s="72">
        <v>1101</v>
      </c>
      <c r="P1270" s="73" t="str">
        <f>VLOOKUP(Tabla6[[#This Row],[GEO]],Listas!$A$48:$B$77,2,0)</f>
        <v>LOJA</v>
      </c>
      <c r="Q1270" s="70">
        <f>VLOOKUP(Tabla6[[#This Row],[PG]],Listas2!$G$14:$K$16,3,0)</f>
        <v>1</v>
      </c>
      <c r="R1270" s="73">
        <f>VLOOKUP(Tabla6[[#This Row],[PG]],Listas2!H724:'Listas2'!$G$14:$K$16,4,0)</f>
        <v>0</v>
      </c>
      <c r="S1270" s="73">
        <f>VLOOKUP(Tabla6[[#This Row],[PG]],Listas2!$G$14:$K$16,2,0)</f>
        <v>0</v>
      </c>
      <c r="T1270" s="66" t="s">
        <v>84</v>
      </c>
      <c r="U1270" s="74">
        <v>53</v>
      </c>
      <c r="V1270" s="66">
        <v>531407</v>
      </c>
      <c r="W1270" s="63" t="str">
        <f>VLOOKUP(Tabla6[[#This Row],[ÍTEM PRESUPUESTARIO]],Tabla2[#All],2,0)</f>
        <v>EQUIPOS, SISTEMAS Y PAQUETES INFORMÁTICOS</v>
      </c>
      <c r="X1270" s="57">
        <v>0</v>
      </c>
      <c r="Y1270" s="57">
        <v>0</v>
      </c>
      <c r="Z1270" s="58">
        <v>0</v>
      </c>
      <c r="AA1270" s="58">
        <v>0</v>
      </c>
      <c r="AB1270" s="58">
        <v>0</v>
      </c>
      <c r="AC1270" s="58">
        <v>0</v>
      </c>
      <c r="AD1270" s="58">
        <v>0</v>
      </c>
      <c r="AE1270" s="58">
        <v>0</v>
      </c>
      <c r="AF1270" s="58">
        <v>0</v>
      </c>
      <c r="AG1270" s="58">
        <v>0</v>
      </c>
      <c r="AH1270" s="58">
        <v>0</v>
      </c>
      <c r="AI1270" s="58">
        <v>0</v>
      </c>
      <c r="AJ1270" s="58">
        <v>0</v>
      </c>
      <c r="AK1270" s="58">
        <v>0</v>
      </c>
      <c r="AL1270" s="75">
        <f>+SUBTOTAL(9,Tabla6[[#This Row],[ENE]:[DIC]])</f>
        <v>0</v>
      </c>
      <c r="AM1270" s="76" t="str">
        <f t="shared" si="43"/>
        <v>OK</v>
      </c>
      <c r="AN1270" s="60">
        <v>0</v>
      </c>
      <c r="AO1270" s="61">
        <f>+Tabla6[[#This Row],[PRESUPUESTO VIGENTE]]-Tabla6[[#This Row],[CERTIFICACIÓN PAPP]]</f>
        <v>0</v>
      </c>
      <c r="AP1270" s="59">
        <v>0</v>
      </c>
    </row>
    <row r="1271" spans="1:42" ht="93" customHeight="1" x14ac:dyDescent="0.25">
      <c r="A1271" s="62" t="s">
        <v>78</v>
      </c>
      <c r="B1271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271" s="64" t="s">
        <v>79</v>
      </c>
      <c r="D1271" s="64" t="s">
        <v>113</v>
      </c>
      <c r="E1271" s="64" t="s">
        <v>114</v>
      </c>
      <c r="F1271" s="64" t="s">
        <v>4</v>
      </c>
      <c r="G1271" s="64" t="s">
        <v>7</v>
      </c>
      <c r="H1271" s="65" t="str">
        <f>VLOOKUP(Tabla6[[#This Row],[DIRECCIÓN]],DIRECCIÓN[#All],2,0)</f>
        <v>ADMINISTRACIÓN CENTRAL</v>
      </c>
      <c r="I1271" s="66" t="s">
        <v>93</v>
      </c>
      <c r="J1271" s="67">
        <v>1</v>
      </c>
      <c r="K1271" s="68" t="str">
        <f>VLOOKUP(Tabla6[[#This Row],[DIRECCIÓN GENERAL / COORDINACIÓN / SUBDIRECCIÓN]],Tabla37[[#All],[Columna1]:[EOD]],2,0)</f>
        <v>266_9999</v>
      </c>
      <c r="L1271" s="69">
        <f>VLOOKUP(Tabla6[[#This Row],[OBJETIVOS PND]],Listas!$A$1:$C$3,3,0)</f>
        <v>1</v>
      </c>
      <c r="M1271" s="70">
        <f>VLOOKUP(Tabla6[[#This Row],[PG]],Listas2!$G$14:$K$16,5,0)</f>
        <v>0</v>
      </c>
      <c r="N1271" s="71">
        <v>1</v>
      </c>
      <c r="O1271" s="72">
        <v>1700</v>
      </c>
      <c r="P1271" s="73" t="str">
        <f>VLOOKUP(Tabla6[[#This Row],[GEO]],Listas!$A$48:$B$77,2,0)</f>
        <v>PICHINCHA</v>
      </c>
      <c r="Q1271" s="70">
        <f>VLOOKUP(Tabla6[[#This Row],[PG]],Listas2!$G$14:$K$16,3,0)</f>
        <v>1</v>
      </c>
      <c r="R1271" s="73">
        <f>VLOOKUP(Tabla6[[#This Row],[PG]],Listas2!H14:'Listas2'!$G$14:$K$16,4,0)</f>
        <v>0</v>
      </c>
      <c r="S1271" s="73">
        <f>VLOOKUP(Tabla6[[#This Row],[PG]],Listas2!$G$14:$K$16,2,0)</f>
        <v>0</v>
      </c>
      <c r="T1271" s="66" t="s">
        <v>84</v>
      </c>
      <c r="U1271" s="74">
        <v>51</v>
      </c>
      <c r="V1271" s="66">
        <v>510105</v>
      </c>
      <c r="W1271" s="63" t="str">
        <f>VLOOKUP(Tabla6[[#This Row],[ÍTEM PRESUPUESTARIO]],Tabla2[#All],2,0)</f>
        <v>REMUNERACIONES UNIFICADAS</v>
      </c>
      <c r="X1271" s="57">
        <v>1547772</v>
      </c>
      <c r="Y1271" s="57">
        <f>1547772-9648.12-306.01-1200-1500-13095.84-2725.95-6677.11-2004.84-20231.93</f>
        <v>1490382.1999999997</v>
      </c>
      <c r="Z1271" s="58">
        <v>128981</v>
      </c>
      <c r="AA1271" s="58">
        <v>128981</v>
      </c>
      <c r="AB1271" s="58">
        <v>128016.19</v>
      </c>
      <c r="AC1271" s="58">
        <f>128016.19-34</f>
        <v>127982.19</v>
      </c>
      <c r="AD1271" s="58">
        <f>128016.19-34-150-187.5</f>
        <v>127644.69</v>
      </c>
      <c r="AE1271" s="58">
        <f>128016.19-34-150-187.5-1870.83</f>
        <v>125773.86</v>
      </c>
      <c r="AF1271" s="58">
        <f>128016.19-34-150-187.5-1870.83-454.33</f>
        <v>125319.53</v>
      </c>
      <c r="AG1271" s="58">
        <f>128016.19-34-150-187.5-1870.83-454.33-1335.42</f>
        <v>123984.11</v>
      </c>
      <c r="AH1271" s="58">
        <f>128016.19-34-150-187.5-1870.83-454.33-1335.42</f>
        <v>123984.11</v>
      </c>
      <c r="AI1271" s="58">
        <f>128016.19-34-150-187.5-1870.83-454.33-1335.42-668.28</f>
        <v>123315.83</v>
      </c>
      <c r="AJ1271" s="58">
        <f>128016.19-34-150-187.5-1870.83-454.33-1335.42-668.28</f>
        <v>123315.83</v>
      </c>
      <c r="AK1271" s="58">
        <v>103083.86</v>
      </c>
      <c r="AL1271" s="75">
        <f>+SUBTOTAL(9,Tabla6[[#This Row],[ENE]:[DIC]])</f>
        <v>1490382.2000000004</v>
      </c>
      <c r="AM1271" s="76" t="str">
        <f>IF(AL1271=Y1271,"OK",Y1271-AL1271)</f>
        <v>OK</v>
      </c>
      <c r="AN1271" s="60">
        <v>0</v>
      </c>
      <c r="AO1271" s="61">
        <f>+Tabla6[[#This Row],[PRESUPUESTO VIGENTE]]-Tabla6[[#This Row],[CERTIFICACIÓN PAPP]]</f>
        <v>1490382.1999999997</v>
      </c>
      <c r="AP1271" s="59">
        <v>0</v>
      </c>
    </row>
    <row r="1272" spans="1:42" ht="93" customHeight="1" x14ac:dyDescent="0.25">
      <c r="A1272" s="62" t="s">
        <v>78</v>
      </c>
      <c r="B1272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272" s="64" t="s">
        <v>79</v>
      </c>
      <c r="D1272" s="64" t="s">
        <v>113</v>
      </c>
      <c r="E1272" s="64" t="s">
        <v>114</v>
      </c>
      <c r="F1272" s="64" t="s">
        <v>4</v>
      </c>
      <c r="G1272" s="64" t="s">
        <v>7</v>
      </c>
      <c r="H1272" s="65" t="str">
        <f>VLOOKUP(Tabla6[[#This Row],[DIRECCIÓN]],DIRECCIÓN[#All],2,0)</f>
        <v>ADMINISTRACIÓN CENTRAL</v>
      </c>
      <c r="I1272" s="66" t="s">
        <v>93</v>
      </c>
      <c r="J1272" s="67">
        <v>1</v>
      </c>
      <c r="K1272" s="68" t="str">
        <f>VLOOKUP(Tabla6[[#This Row],[DIRECCIÓN GENERAL / COORDINACIÓN / SUBDIRECCIÓN]],Tabla37[[#All],[Columna1]:[EOD]],2,0)</f>
        <v>266_9999</v>
      </c>
      <c r="L1272" s="69">
        <f>VLOOKUP(Tabla6[[#This Row],[OBJETIVOS PND]],Listas!$A$1:$C$3,3,0)</f>
        <v>1</v>
      </c>
      <c r="M1272" s="70">
        <f>VLOOKUP(Tabla6[[#This Row],[PG]],Listas2!$G$14:$K$16,5,0)</f>
        <v>0</v>
      </c>
      <c r="N1272" s="71">
        <v>1</v>
      </c>
      <c r="O1272" s="72">
        <v>1700</v>
      </c>
      <c r="P1272" s="73" t="str">
        <f>VLOOKUP(Tabla6[[#This Row],[GEO]],Listas!$A$48:$B$77,2,0)</f>
        <v>PICHINCHA</v>
      </c>
      <c r="Q1272" s="70">
        <f>VLOOKUP(Tabla6[[#This Row],[PG]],Listas2!$G$14:$K$16,3,0)</f>
        <v>1</v>
      </c>
      <c r="R1272" s="73">
        <f>VLOOKUP(Tabla6[[#This Row],[PG]],Listas2!H15:'Listas2'!$G$14:$K$16,4,0)</f>
        <v>0</v>
      </c>
      <c r="S1272" s="73">
        <f>VLOOKUP(Tabla6[[#This Row],[PG]],Listas2!$G$14:$K$16,2,0)</f>
        <v>0</v>
      </c>
      <c r="T1272" s="66" t="s">
        <v>84</v>
      </c>
      <c r="U1272" s="74">
        <v>51</v>
      </c>
      <c r="V1272" s="66">
        <v>510106</v>
      </c>
      <c r="W1272" s="63" t="str">
        <f>VLOOKUP(Tabla6[[#This Row],[ÍTEM PRESUPUESTARIO]],Tabla2[#All],2,0)</f>
        <v>SALARIOS UNIFICADOS</v>
      </c>
      <c r="X1272" s="57">
        <v>324891</v>
      </c>
      <c r="Y1272" s="57">
        <f>324891-192303-1132+103.3</f>
        <v>131559.29999999999</v>
      </c>
      <c r="Z1272" s="58">
        <v>11049</v>
      </c>
      <c r="AA1272" s="58">
        <v>11049</v>
      </c>
      <c r="AB1272" s="58">
        <v>11049</v>
      </c>
      <c r="AC1272" s="58">
        <v>11049</v>
      </c>
      <c r="AD1272" s="58">
        <v>11049</v>
      </c>
      <c r="AE1272" s="58">
        <v>11049</v>
      </c>
      <c r="AF1272" s="58">
        <v>11049</v>
      </c>
      <c r="AG1272" s="58">
        <v>11049</v>
      </c>
      <c r="AH1272" s="58">
        <v>11049</v>
      </c>
      <c r="AI1272" s="58">
        <f>11049-377.33</f>
        <v>10671.67</v>
      </c>
      <c r="AJ1272" s="58">
        <f>11049-377.33</f>
        <v>10671.67</v>
      </c>
      <c r="AK1272" s="58">
        <v>10774.96</v>
      </c>
      <c r="AL1272" s="75">
        <f>+SUBTOTAL(9,Tabla6[[#This Row],[ENE]:[DIC]])</f>
        <v>131559.29999999999</v>
      </c>
      <c r="AM1272" s="76" t="str">
        <f t="shared" ref="AM1272:AM1284" si="44">IF(AL1272=Y1272,"OK",Y1272-AL1272)</f>
        <v>OK</v>
      </c>
      <c r="AN1272" s="60">
        <v>0</v>
      </c>
      <c r="AO1272" s="61">
        <f>+Tabla6[[#This Row],[PRESUPUESTO VIGENTE]]-Tabla6[[#This Row],[CERTIFICACIÓN PAPP]]</f>
        <v>131559.29999999999</v>
      </c>
      <c r="AP1272" s="59">
        <v>0</v>
      </c>
    </row>
    <row r="1273" spans="1:42" ht="93" customHeight="1" x14ac:dyDescent="0.25">
      <c r="A1273" s="62" t="s">
        <v>78</v>
      </c>
      <c r="B1273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273" s="64" t="s">
        <v>79</v>
      </c>
      <c r="D1273" s="64" t="s">
        <v>113</v>
      </c>
      <c r="E1273" s="64" t="s">
        <v>114</v>
      </c>
      <c r="F1273" s="64" t="s">
        <v>4</v>
      </c>
      <c r="G1273" s="64" t="s">
        <v>7</v>
      </c>
      <c r="H1273" s="65" t="str">
        <f>VLOOKUP(Tabla6[[#This Row],[DIRECCIÓN]],DIRECCIÓN[#All],2,0)</f>
        <v>ADMINISTRACIÓN CENTRAL</v>
      </c>
      <c r="I1273" s="66" t="s">
        <v>93</v>
      </c>
      <c r="J1273" s="67">
        <v>1</v>
      </c>
      <c r="K1273" s="68" t="str">
        <f>VLOOKUP(Tabla6[[#This Row],[DIRECCIÓN GENERAL / COORDINACIÓN / SUBDIRECCIÓN]],Tabla37[[#All],[Columna1]:[EOD]],2,0)</f>
        <v>266_9999</v>
      </c>
      <c r="L1273" s="69">
        <f>VLOOKUP(Tabla6[[#This Row],[OBJETIVOS PND]],Listas!$A$1:$C$3,3,0)</f>
        <v>1</v>
      </c>
      <c r="M1273" s="70">
        <f>VLOOKUP(Tabla6[[#This Row],[PG]],Listas2!$G$14:$K$16,5,0)</f>
        <v>0</v>
      </c>
      <c r="N1273" s="71">
        <v>1</v>
      </c>
      <c r="O1273" s="72">
        <v>1700</v>
      </c>
      <c r="P1273" s="73" t="str">
        <f>VLOOKUP(Tabla6[[#This Row],[GEO]],Listas!$A$48:$B$77,2,0)</f>
        <v>PICHINCHA</v>
      </c>
      <c r="Q1273" s="70">
        <f>VLOOKUP(Tabla6[[#This Row],[PG]],Listas2!$G$14:$K$16,3,0)</f>
        <v>1</v>
      </c>
      <c r="R1273" s="73">
        <f>VLOOKUP(Tabla6[[#This Row],[PG]],Listas2!H16:'Listas2'!$G$14:$K$16,4,0)</f>
        <v>0</v>
      </c>
      <c r="S1273" s="73">
        <f>VLOOKUP(Tabla6[[#This Row],[PG]],Listas2!$G$14:$K$16,2,0)</f>
        <v>0</v>
      </c>
      <c r="T1273" s="66" t="s">
        <v>84</v>
      </c>
      <c r="U1273" s="74">
        <v>51</v>
      </c>
      <c r="V1273" s="66">
        <v>510203</v>
      </c>
      <c r="W1273" s="63" t="str">
        <f>VLOOKUP(Tabla6[[#This Row],[ÍTEM PRESUPUESTARIO]],Tabla2[#All],2,0)</f>
        <v>DÉCIMO TERCER SUELDO</v>
      </c>
      <c r="X1273" s="57">
        <v>129000</v>
      </c>
      <c r="Y1273" s="57">
        <f>129000+21256+8477.24-4182+2690.43</f>
        <v>157241.66999999998</v>
      </c>
      <c r="Z1273" s="58">
        <v>0</v>
      </c>
      <c r="AA1273" s="58">
        <v>0</v>
      </c>
      <c r="AB1273" s="58">
        <v>0</v>
      </c>
      <c r="AC1273" s="58">
        <v>0</v>
      </c>
      <c r="AD1273" s="58">
        <v>0</v>
      </c>
      <c r="AE1273" s="58">
        <v>0</v>
      </c>
      <c r="AF1273" s="58">
        <v>0</v>
      </c>
      <c r="AG1273" s="58">
        <v>0</v>
      </c>
      <c r="AH1273" s="58">
        <v>0</v>
      </c>
      <c r="AI1273" s="58">
        <v>0</v>
      </c>
      <c r="AJ1273" s="58">
        <v>0</v>
      </c>
      <c r="AK1273" s="58">
        <v>157241.67000000001</v>
      </c>
      <c r="AL1273" s="75">
        <f>+SUBTOTAL(9,Tabla6[[#This Row],[ENE]:[DIC]])</f>
        <v>157241.67000000001</v>
      </c>
      <c r="AM1273" s="76" t="str">
        <f t="shared" si="44"/>
        <v>OK</v>
      </c>
      <c r="AN1273" s="60">
        <v>0</v>
      </c>
      <c r="AO1273" s="61">
        <f>+Tabla6[[#This Row],[PRESUPUESTO VIGENTE]]-Tabla6[[#This Row],[CERTIFICACIÓN PAPP]]</f>
        <v>157241.66999999998</v>
      </c>
      <c r="AP1273" s="59">
        <v>0</v>
      </c>
    </row>
    <row r="1274" spans="1:42" ht="93" customHeight="1" x14ac:dyDescent="0.25">
      <c r="A1274" s="62" t="s">
        <v>78</v>
      </c>
      <c r="B1274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274" s="64" t="s">
        <v>79</v>
      </c>
      <c r="D1274" s="64" t="s">
        <v>113</v>
      </c>
      <c r="E1274" s="64" t="s">
        <v>114</v>
      </c>
      <c r="F1274" s="64" t="s">
        <v>4</v>
      </c>
      <c r="G1274" s="64" t="s">
        <v>7</v>
      </c>
      <c r="H1274" s="65" t="str">
        <f>VLOOKUP(Tabla6[[#This Row],[DIRECCIÓN]],DIRECCIÓN[#All],2,0)</f>
        <v>ADMINISTRACIÓN CENTRAL</v>
      </c>
      <c r="I1274" s="66" t="s">
        <v>93</v>
      </c>
      <c r="J1274" s="67">
        <v>1</v>
      </c>
      <c r="K1274" s="68" t="str">
        <f>VLOOKUP(Tabla6[[#This Row],[DIRECCIÓN GENERAL / COORDINACIÓN / SUBDIRECCIÓN]],Tabla37[[#All],[Columna1]:[EOD]],2,0)</f>
        <v>266_9999</v>
      </c>
      <c r="L1274" s="69">
        <f>VLOOKUP(Tabla6[[#This Row],[OBJETIVOS PND]],Listas!$A$1:$C$3,3,0)</f>
        <v>1</v>
      </c>
      <c r="M1274" s="70">
        <f>VLOOKUP(Tabla6[[#This Row],[PG]],Listas2!$G$14:$K$16,5,0)</f>
        <v>0</v>
      </c>
      <c r="N1274" s="71">
        <v>1</v>
      </c>
      <c r="O1274" s="72">
        <v>1700</v>
      </c>
      <c r="P1274" s="73" t="str">
        <f>VLOOKUP(Tabla6[[#This Row],[GEO]],Listas!$A$48:$B$77,2,0)</f>
        <v>PICHINCHA</v>
      </c>
      <c r="Q1274" s="70">
        <f>VLOOKUP(Tabla6[[#This Row],[PG]],Listas2!$G$14:$K$16,3,0)</f>
        <v>1</v>
      </c>
      <c r="R1274" s="73">
        <f>VLOOKUP(Tabla6[[#This Row],[PG]],Listas2!H17:'Listas2'!$G$14:$K$16,4,0)</f>
        <v>0</v>
      </c>
      <c r="S1274" s="73">
        <f>VLOOKUP(Tabla6[[#This Row],[PG]],Listas2!$G$14:$K$16,2,0)</f>
        <v>0</v>
      </c>
      <c r="T1274" s="66" t="s">
        <v>84</v>
      </c>
      <c r="U1274" s="74">
        <v>51</v>
      </c>
      <c r="V1274" s="66">
        <v>510204</v>
      </c>
      <c r="W1274" s="63" t="str">
        <f>VLOOKUP(Tabla6[[#This Row],[ÍTEM PRESUPUESTARIO]],Tabla2[#All],2,0)</f>
        <v>DÉCIMO CUARTO SUELDO</v>
      </c>
      <c r="X1274" s="57">
        <v>48875</v>
      </c>
      <c r="Y1274" s="57">
        <f>48875+1702+1642.58+1214.15-500.77</f>
        <v>52932.960000000006</v>
      </c>
      <c r="Z1274" s="58">
        <v>0</v>
      </c>
      <c r="AA1274" s="58">
        <v>0</v>
      </c>
      <c r="AB1274" s="58">
        <v>0</v>
      </c>
      <c r="AC1274" s="58">
        <v>0</v>
      </c>
      <c r="AD1274" s="58">
        <v>0</v>
      </c>
      <c r="AE1274" s="58">
        <v>0</v>
      </c>
      <c r="AF1274" s="58">
        <v>0</v>
      </c>
      <c r="AG1274" s="58">
        <v>52932.959999999999</v>
      </c>
      <c r="AH1274" s="58">
        <v>0</v>
      </c>
      <c r="AI1274" s="58">
        <v>0</v>
      </c>
      <c r="AJ1274" s="58">
        <v>0</v>
      </c>
      <c r="AK1274" s="58">
        <v>0</v>
      </c>
      <c r="AL1274" s="75">
        <f>+SUBTOTAL(9,Tabla6[[#This Row],[ENE]:[DIC]])</f>
        <v>52932.959999999999</v>
      </c>
      <c r="AM1274" s="76" t="str">
        <f t="shared" si="44"/>
        <v>OK</v>
      </c>
      <c r="AN1274" s="60">
        <v>0</v>
      </c>
      <c r="AO1274" s="61">
        <f>+Tabla6[[#This Row],[PRESUPUESTO VIGENTE]]-Tabla6[[#This Row],[CERTIFICACIÓN PAPP]]</f>
        <v>52932.960000000006</v>
      </c>
      <c r="AP1274" s="59">
        <v>0</v>
      </c>
    </row>
    <row r="1275" spans="1:42" ht="93" customHeight="1" x14ac:dyDescent="0.25">
      <c r="A1275" s="62" t="s">
        <v>78</v>
      </c>
      <c r="B1275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275" s="64" t="s">
        <v>79</v>
      </c>
      <c r="D1275" s="64" t="s">
        <v>113</v>
      </c>
      <c r="E1275" s="64" t="s">
        <v>114</v>
      </c>
      <c r="F1275" s="64" t="s">
        <v>4</v>
      </c>
      <c r="G1275" s="64" t="s">
        <v>7</v>
      </c>
      <c r="H1275" s="65" t="str">
        <f>VLOOKUP(Tabla6[[#This Row],[DIRECCIÓN]],DIRECCIÓN[#All],2,0)</f>
        <v>ADMINISTRACIÓN CENTRAL</v>
      </c>
      <c r="I1275" s="66" t="s">
        <v>93</v>
      </c>
      <c r="J1275" s="67">
        <v>1</v>
      </c>
      <c r="K1275" s="68" t="str">
        <f>VLOOKUP(Tabla6[[#This Row],[DIRECCIÓN GENERAL / COORDINACIÓN / SUBDIRECCIÓN]],Tabla37[[#All],[Columna1]:[EOD]],2,0)</f>
        <v>266_9999</v>
      </c>
      <c r="L1275" s="69">
        <f>VLOOKUP(Tabla6[[#This Row],[OBJETIVOS PND]],Listas!$A$1:$C$3,3,0)</f>
        <v>1</v>
      </c>
      <c r="M1275" s="70">
        <f>VLOOKUP(Tabla6[[#This Row],[PG]],Listas2!$G$14:$K$16,5,0)</f>
        <v>0</v>
      </c>
      <c r="N1275" s="71">
        <v>1</v>
      </c>
      <c r="O1275" s="72">
        <v>1700</v>
      </c>
      <c r="P1275" s="73" t="str">
        <f>VLOOKUP(Tabla6[[#This Row],[GEO]],Listas!$A$48:$B$77,2,0)</f>
        <v>PICHINCHA</v>
      </c>
      <c r="Q1275" s="70">
        <f>VLOOKUP(Tabla6[[#This Row],[PG]],Listas2!$G$14:$K$16,3,0)</f>
        <v>1</v>
      </c>
      <c r="R1275" s="73">
        <f>VLOOKUP(Tabla6[[#This Row],[PG]],Listas2!H18:'Listas2'!$G$14:$K$16,4,0)</f>
        <v>0</v>
      </c>
      <c r="S1275" s="73">
        <f>VLOOKUP(Tabla6[[#This Row],[PG]],Listas2!$G$14:$K$16,2,0)</f>
        <v>0</v>
      </c>
      <c r="T1275" s="66" t="s">
        <v>84</v>
      </c>
      <c r="U1275" s="74">
        <v>51</v>
      </c>
      <c r="V1275" s="66">
        <v>510509</v>
      </c>
      <c r="W1275" s="63" t="str">
        <f>VLOOKUP(Tabla6[[#This Row],[ÍTEM PRESUPUESTARIO]],Tabla2[#All],2,0)</f>
        <v>HORAS EXTRAORDINARIAS Y SUPLEMENTARIAS</v>
      </c>
      <c r="X1275" s="57">
        <v>16005</v>
      </c>
      <c r="Y1275" s="57">
        <f>16005+1000-1613.8</f>
        <v>15391.2</v>
      </c>
      <c r="Z1275" s="58">
        <v>1333</v>
      </c>
      <c r="AA1275" s="58">
        <v>1333</v>
      </c>
      <c r="AB1275" s="58">
        <v>1333</v>
      </c>
      <c r="AC1275" s="58">
        <v>1333</v>
      </c>
      <c r="AD1275" s="58">
        <v>1333</v>
      </c>
      <c r="AE1275" s="58">
        <v>1333</v>
      </c>
      <c r="AF1275" s="58">
        <v>1333</v>
      </c>
      <c r="AG1275" s="58">
        <v>1333</v>
      </c>
      <c r="AH1275" s="58">
        <v>1333</v>
      </c>
      <c r="AI1275" s="58">
        <f>1333+333.33</f>
        <v>1666.33</v>
      </c>
      <c r="AJ1275" s="58">
        <f>1333+333.33</f>
        <v>1666.33</v>
      </c>
      <c r="AK1275" s="58">
        <v>61.54</v>
      </c>
      <c r="AL1275" s="75">
        <f>+SUBTOTAL(9,Tabla6[[#This Row],[ENE]:[DIC]])</f>
        <v>15391.2</v>
      </c>
      <c r="AM1275" s="76" t="str">
        <f t="shared" si="44"/>
        <v>OK</v>
      </c>
      <c r="AN1275" s="60">
        <v>0</v>
      </c>
      <c r="AO1275" s="61">
        <f>+Tabla6[[#This Row],[PRESUPUESTO VIGENTE]]-Tabla6[[#This Row],[CERTIFICACIÓN PAPP]]</f>
        <v>15391.2</v>
      </c>
      <c r="AP1275" s="59">
        <v>0</v>
      </c>
    </row>
    <row r="1276" spans="1:42" ht="93" customHeight="1" x14ac:dyDescent="0.25">
      <c r="A1276" s="62" t="s">
        <v>78</v>
      </c>
      <c r="B1276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276" s="64" t="s">
        <v>79</v>
      </c>
      <c r="D1276" s="64" t="s">
        <v>113</v>
      </c>
      <c r="E1276" s="64" t="s">
        <v>114</v>
      </c>
      <c r="F1276" s="64" t="s">
        <v>4</v>
      </c>
      <c r="G1276" s="64" t="s">
        <v>7</v>
      </c>
      <c r="H1276" s="65" t="str">
        <f>VLOOKUP(Tabla6[[#This Row],[DIRECCIÓN]],DIRECCIÓN[#All],2,0)</f>
        <v>ADMINISTRACIÓN CENTRAL</v>
      </c>
      <c r="I1276" s="66" t="s">
        <v>93</v>
      </c>
      <c r="J1276" s="67">
        <v>1</v>
      </c>
      <c r="K1276" s="68" t="str">
        <f>VLOOKUP(Tabla6[[#This Row],[DIRECCIÓN GENERAL / COORDINACIÓN / SUBDIRECCIÓN]],Tabla37[[#All],[Columna1]:[EOD]],2,0)</f>
        <v>266_9999</v>
      </c>
      <c r="L1276" s="69">
        <f>VLOOKUP(Tabla6[[#This Row],[OBJETIVOS PND]],Listas!$A$1:$C$3,3,0)</f>
        <v>1</v>
      </c>
      <c r="M1276" s="70">
        <f>VLOOKUP(Tabla6[[#This Row],[PG]],Listas2!$G$14:$K$16,5,0)</f>
        <v>0</v>
      </c>
      <c r="N1276" s="71">
        <v>1</v>
      </c>
      <c r="O1276" s="72">
        <v>1700</v>
      </c>
      <c r="P1276" s="73" t="str">
        <f>VLOOKUP(Tabla6[[#This Row],[GEO]],Listas!$A$48:$B$77,2,0)</f>
        <v>PICHINCHA</v>
      </c>
      <c r="Q1276" s="70">
        <f>VLOOKUP(Tabla6[[#This Row],[PG]],Listas2!$G$14:$K$16,3,0)</f>
        <v>1</v>
      </c>
      <c r="R1276" s="73">
        <f>VLOOKUP(Tabla6[[#This Row],[PG]],Listas2!H19:'Listas2'!$G$14:$K$16,4,0)</f>
        <v>0</v>
      </c>
      <c r="S1276" s="73">
        <f>VLOOKUP(Tabla6[[#This Row],[PG]],Listas2!$G$14:$K$16,2,0)</f>
        <v>0</v>
      </c>
      <c r="T1276" s="66" t="s">
        <v>84</v>
      </c>
      <c r="U1276" s="74">
        <v>51</v>
      </c>
      <c r="V1276" s="66">
        <v>510510</v>
      </c>
      <c r="W1276" s="63" t="str">
        <f>VLOOKUP(Tabla6[[#This Row],[ÍTEM PRESUPUESTARIO]],Tabla2[#All],2,0)</f>
        <v>SERVICIOS PERSONALES POR CONTRATO</v>
      </c>
      <c r="X1276" s="57">
        <v>324891</v>
      </c>
      <c r="Y1276" s="57">
        <f>324891-102291-7272-4078.8-2814.07</f>
        <v>208435.13</v>
      </c>
      <c r="Z1276" s="58">
        <v>18550</v>
      </c>
      <c r="AA1276" s="58">
        <v>18550</v>
      </c>
      <c r="AB1276" s="58">
        <v>18550</v>
      </c>
      <c r="AC1276" s="58">
        <v>18550</v>
      </c>
      <c r="AD1276" s="58">
        <v>18550</v>
      </c>
      <c r="AE1276" s="58">
        <v>18550</v>
      </c>
      <c r="AF1276" s="58">
        <f>18550-1212</f>
        <v>17338</v>
      </c>
      <c r="AG1276" s="58">
        <f>18550-1212-815.76</f>
        <v>16522.240000000002</v>
      </c>
      <c r="AH1276" s="58">
        <f>18550-1212-815.76</f>
        <v>16522.240000000002</v>
      </c>
      <c r="AI1276" s="58">
        <f>18550-1212-815.76</f>
        <v>16522.240000000002</v>
      </c>
      <c r="AJ1276" s="58">
        <f>18550-1212-815.76</f>
        <v>16522.240000000002</v>
      </c>
      <c r="AK1276" s="58">
        <v>13708.17</v>
      </c>
      <c r="AL1276" s="75">
        <f>+SUBTOTAL(9,Tabla6[[#This Row],[ENE]:[DIC]])</f>
        <v>208435.12999999998</v>
      </c>
      <c r="AM1276" s="76" t="str">
        <f t="shared" si="44"/>
        <v>OK</v>
      </c>
      <c r="AN1276" s="60">
        <v>0</v>
      </c>
      <c r="AO1276" s="61">
        <f>+Tabla6[[#This Row],[PRESUPUESTO VIGENTE]]-Tabla6[[#This Row],[CERTIFICACIÓN PAPP]]</f>
        <v>208435.13</v>
      </c>
      <c r="AP1276" s="59">
        <v>0</v>
      </c>
    </row>
    <row r="1277" spans="1:42" ht="93" customHeight="1" x14ac:dyDescent="0.25">
      <c r="A1277" s="62" t="s">
        <v>78</v>
      </c>
      <c r="B1277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277" s="64" t="s">
        <v>79</v>
      </c>
      <c r="D1277" s="64" t="s">
        <v>113</v>
      </c>
      <c r="E1277" s="64" t="s">
        <v>114</v>
      </c>
      <c r="F1277" s="64" t="s">
        <v>4</v>
      </c>
      <c r="G1277" s="64" t="s">
        <v>7</v>
      </c>
      <c r="H1277" s="65" t="str">
        <f>VLOOKUP(Tabla6[[#This Row],[DIRECCIÓN]],DIRECCIÓN[#All],2,0)</f>
        <v>ADMINISTRACIÓN CENTRAL</v>
      </c>
      <c r="I1277" s="66" t="s">
        <v>93</v>
      </c>
      <c r="J1277" s="67">
        <v>1</v>
      </c>
      <c r="K1277" s="68" t="str">
        <f>VLOOKUP(Tabla6[[#This Row],[DIRECCIÓN GENERAL / COORDINACIÓN / SUBDIRECCIÓN]],Tabla37[[#All],[Columna1]:[EOD]],2,0)</f>
        <v>266_9999</v>
      </c>
      <c r="L1277" s="69">
        <f>VLOOKUP(Tabla6[[#This Row],[OBJETIVOS PND]],Listas!$A$1:$C$3,3,0)</f>
        <v>1</v>
      </c>
      <c r="M1277" s="70">
        <f>VLOOKUP(Tabla6[[#This Row],[PG]],Listas2!$G$14:$K$16,5,0)</f>
        <v>0</v>
      </c>
      <c r="N1277" s="71">
        <v>1</v>
      </c>
      <c r="O1277" s="72">
        <v>1700</v>
      </c>
      <c r="P1277" s="73" t="str">
        <f>VLOOKUP(Tabla6[[#This Row],[GEO]],Listas!$A$48:$B$77,2,0)</f>
        <v>PICHINCHA</v>
      </c>
      <c r="Q1277" s="70">
        <f>VLOOKUP(Tabla6[[#This Row],[PG]],Listas2!$G$14:$K$16,3,0)</f>
        <v>1</v>
      </c>
      <c r="R1277" s="73">
        <f>VLOOKUP(Tabla6[[#This Row],[PG]],Listas2!H20:'Listas2'!$G$14:$K$16,4,0)</f>
        <v>0</v>
      </c>
      <c r="S1277" s="73">
        <f>VLOOKUP(Tabla6[[#This Row],[PG]],Listas2!$G$14:$K$16,2,0)</f>
        <v>0</v>
      </c>
      <c r="T1277" s="66" t="s">
        <v>84</v>
      </c>
      <c r="U1277" s="74">
        <v>51</v>
      </c>
      <c r="V1277" s="66">
        <v>510512</v>
      </c>
      <c r="W1277" s="63" t="str">
        <f>VLOOKUP(Tabla6[[#This Row],[ÍTEM PRESUPUESTARIO]],Tabla2[#All],2,0)</f>
        <v xml:space="preserve">SUBROGACIÓN </v>
      </c>
      <c r="X1277" s="57">
        <v>6700</v>
      </c>
      <c r="Y1277" s="57">
        <f>6700-2700+2500+1000+2700-1247.41</f>
        <v>8952.59</v>
      </c>
      <c r="Z1277" s="58">
        <v>333.33</v>
      </c>
      <c r="AA1277" s="58">
        <v>333.33</v>
      </c>
      <c r="AB1277" s="58">
        <v>333.33</v>
      </c>
      <c r="AC1277" s="58">
        <v>333.33</v>
      </c>
      <c r="AD1277" s="58">
        <f>333.33+312.5+125</f>
        <v>770.82999999999993</v>
      </c>
      <c r="AE1277" s="58">
        <f t="shared" ref="AE1277:AI1277" si="45">333.33+312.5+125+385.61</f>
        <v>1156.44</v>
      </c>
      <c r="AF1277" s="58">
        <f t="shared" si="45"/>
        <v>1156.44</v>
      </c>
      <c r="AG1277" s="58">
        <f t="shared" si="45"/>
        <v>1156.44</v>
      </c>
      <c r="AH1277" s="58">
        <f t="shared" si="45"/>
        <v>1156.44</v>
      </c>
      <c r="AI1277" s="58">
        <f t="shared" si="45"/>
        <v>1156.44</v>
      </c>
      <c r="AJ1277" s="58">
        <v>1066.24</v>
      </c>
      <c r="AK1277" s="58">
        <v>0</v>
      </c>
      <c r="AL1277" s="75">
        <f>+SUBTOTAL(9,Tabla6[[#This Row],[ENE]:[DIC]])</f>
        <v>8952.59</v>
      </c>
      <c r="AM1277" s="76" t="str">
        <f t="shared" si="44"/>
        <v>OK</v>
      </c>
      <c r="AN1277" s="60">
        <v>0</v>
      </c>
      <c r="AO1277" s="61">
        <f>+Tabla6[[#This Row],[PRESUPUESTO VIGENTE]]-Tabla6[[#This Row],[CERTIFICACIÓN PAPP]]</f>
        <v>8952.59</v>
      </c>
      <c r="AP1277" s="59">
        <v>0</v>
      </c>
    </row>
    <row r="1278" spans="1:42" ht="93" customHeight="1" x14ac:dyDescent="0.25">
      <c r="A1278" s="62" t="s">
        <v>78</v>
      </c>
      <c r="B1278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278" s="64" t="s">
        <v>79</v>
      </c>
      <c r="D1278" s="64" t="s">
        <v>113</v>
      </c>
      <c r="E1278" s="64" t="s">
        <v>114</v>
      </c>
      <c r="F1278" s="64" t="s">
        <v>4</v>
      </c>
      <c r="G1278" s="64" t="s">
        <v>7</v>
      </c>
      <c r="H1278" s="65" t="str">
        <f>VLOOKUP(Tabla6[[#This Row],[DIRECCIÓN]],DIRECCIÓN[#All],2,0)</f>
        <v>ADMINISTRACIÓN CENTRAL</v>
      </c>
      <c r="I1278" s="66" t="s">
        <v>93</v>
      </c>
      <c r="J1278" s="67">
        <v>1</v>
      </c>
      <c r="K1278" s="68" t="str">
        <f>VLOOKUP(Tabla6[[#This Row],[DIRECCIÓN GENERAL / COORDINACIÓN / SUBDIRECCIÓN]],Tabla37[[#All],[Columna1]:[EOD]],2,0)</f>
        <v>266_9999</v>
      </c>
      <c r="L1278" s="69">
        <f>VLOOKUP(Tabla6[[#This Row],[OBJETIVOS PND]],Listas!$A$1:$C$3,3,0)</f>
        <v>1</v>
      </c>
      <c r="M1278" s="70">
        <f>VLOOKUP(Tabla6[[#This Row],[PG]],Listas2!$G$14:$K$16,5,0)</f>
        <v>0</v>
      </c>
      <c r="N1278" s="71">
        <v>1</v>
      </c>
      <c r="O1278" s="72">
        <v>1700</v>
      </c>
      <c r="P1278" s="73" t="str">
        <f>VLOOKUP(Tabla6[[#This Row],[GEO]],Listas!$A$48:$B$77,2,0)</f>
        <v>PICHINCHA</v>
      </c>
      <c r="Q1278" s="70">
        <f>VLOOKUP(Tabla6[[#This Row],[PG]],Listas2!$G$14:$K$16,3,0)</f>
        <v>1</v>
      </c>
      <c r="R1278" s="73">
        <f>VLOOKUP(Tabla6[[#This Row],[PG]],Listas2!H21:'Listas2'!$G$14:$K$16,4,0)</f>
        <v>0</v>
      </c>
      <c r="S1278" s="73">
        <f>VLOOKUP(Tabla6[[#This Row],[PG]],Listas2!$G$14:$K$16,2,0)</f>
        <v>0</v>
      </c>
      <c r="T1278" s="66" t="s">
        <v>84</v>
      </c>
      <c r="U1278" s="74">
        <v>51</v>
      </c>
      <c r="V1278" s="66">
        <v>510513</v>
      </c>
      <c r="W1278" s="63" t="str">
        <f>VLOOKUP(Tabla6[[#This Row],[ÍTEM PRESUPUESTARIO]],Tabla2[#All],2,0)</f>
        <v>ENCARGOS</v>
      </c>
      <c r="X1278" s="57">
        <v>2000</v>
      </c>
      <c r="Y1278" s="57">
        <f>2000+2500-1900+690+1350+500+3200+2000+2300+561.24</f>
        <v>13201.24</v>
      </c>
      <c r="Z1278" s="58">
        <v>375</v>
      </c>
      <c r="AA1278" s="58">
        <v>375</v>
      </c>
      <c r="AB1278" s="58">
        <v>185</v>
      </c>
      <c r="AC1278" s="58">
        <v>261.67</v>
      </c>
      <c r="AD1278" s="58">
        <f>261.67+168.75+62.5</f>
        <v>492.92</v>
      </c>
      <c r="AE1278" s="58">
        <f>261.67+168.75+62.5+457.14</f>
        <v>950.06</v>
      </c>
      <c r="AF1278" s="58">
        <f>261.67+168.75+62.5+457.14</f>
        <v>950.06</v>
      </c>
      <c r="AG1278" s="58">
        <f>261.67+168.75+62.5+457.14+400</f>
        <v>1350.06</v>
      </c>
      <c r="AH1278" s="58">
        <f>261.67+168.75+62.5+457.14+400</f>
        <v>1350.06</v>
      </c>
      <c r="AI1278" s="58">
        <f>261.67+168.75+62.5+457.14+400+766.67</f>
        <v>2116.73</v>
      </c>
      <c r="AJ1278" s="58">
        <f>261.67+168.75+62.5+457.14+400+766.67</f>
        <v>2116.73</v>
      </c>
      <c r="AK1278" s="58">
        <v>2677.95</v>
      </c>
      <c r="AL1278" s="75">
        <f>+SUBTOTAL(9,Tabla6[[#This Row],[ENE]:[DIC]])</f>
        <v>13201.239999999998</v>
      </c>
      <c r="AM1278" s="76" t="str">
        <f t="shared" si="44"/>
        <v>OK</v>
      </c>
      <c r="AN1278" s="60">
        <v>0</v>
      </c>
      <c r="AO1278" s="61">
        <f>+Tabla6[[#This Row],[PRESUPUESTO VIGENTE]]-Tabla6[[#This Row],[CERTIFICACIÓN PAPP]]</f>
        <v>13201.24</v>
      </c>
      <c r="AP1278" s="59">
        <v>0</v>
      </c>
    </row>
    <row r="1279" spans="1:42" ht="93" customHeight="1" x14ac:dyDescent="0.25">
      <c r="A1279" s="62" t="s">
        <v>78</v>
      </c>
      <c r="B1279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279" s="64" t="s">
        <v>79</v>
      </c>
      <c r="D1279" s="64" t="s">
        <v>113</v>
      </c>
      <c r="E1279" s="64" t="s">
        <v>114</v>
      </c>
      <c r="F1279" s="64" t="s">
        <v>4</v>
      </c>
      <c r="G1279" s="64" t="s">
        <v>7</v>
      </c>
      <c r="H1279" s="65" t="str">
        <f>VLOOKUP(Tabla6[[#This Row],[DIRECCIÓN]],DIRECCIÓN[#All],2,0)</f>
        <v>ADMINISTRACIÓN CENTRAL</v>
      </c>
      <c r="I1279" s="66" t="s">
        <v>93</v>
      </c>
      <c r="J1279" s="67">
        <v>1</v>
      </c>
      <c r="K1279" s="68" t="str">
        <f>VLOOKUP(Tabla6[[#This Row],[DIRECCIÓN GENERAL / COORDINACIÓN / SUBDIRECCIÓN]],Tabla37[[#All],[Columna1]:[EOD]],2,0)</f>
        <v>266_9999</v>
      </c>
      <c r="L1279" s="69">
        <f>VLOOKUP(Tabla6[[#This Row],[OBJETIVOS PND]],Listas!$A$1:$C$3,3,0)</f>
        <v>1</v>
      </c>
      <c r="M1279" s="70">
        <f>VLOOKUP(Tabla6[[#This Row],[PG]],Listas2!$G$14:$K$16,5,0)</f>
        <v>0</v>
      </c>
      <c r="N1279" s="71">
        <v>1</v>
      </c>
      <c r="O1279" s="72">
        <v>1700</v>
      </c>
      <c r="P1279" s="73" t="str">
        <f>VLOOKUP(Tabla6[[#This Row],[GEO]],Listas!$A$48:$B$77,2,0)</f>
        <v>PICHINCHA</v>
      </c>
      <c r="Q1279" s="70">
        <f>VLOOKUP(Tabla6[[#This Row],[PG]],Listas2!$G$14:$K$16,3,0)</f>
        <v>1</v>
      </c>
      <c r="R1279" s="73">
        <f>VLOOKUP(Tabla6[[#This Row],[PG]],Listas2!H22:'Listas2'!$G$14:$K$16,4,0)</f>
        <v>0</v>
      </c>
      <c r="S1279" s="73">
        <f>VLOOKUP(Tabla6[[#This Row],[PG]],Listas2!$G$14:$K$16,2,0)</f>
        <v>0</v>
      </c>
      <c r="T1279" s="66" t="s">
        <v>84</v>
      </c>
      <c r="U1279" s="74">
        <v>51</v>
      </c>
      <c r="V1279" s="66">
        <v>510517</v>
      </c>
      <c r="W1279" s="63" t="str">
        <f>VLOOKUP(Tabla6[[#This Row],[ÍTEM PRESUPUESTARIO]],Tabla2[#All],2,0)</f>
        <v>SERVICIOS PERSONALES POR CONTRATO DE PROFESIONALES DE LA SALUD</v>
      </c>
      <c r="X1279" s="57">
        <v>0</v>
      </c>
      <c r="Y1279" s="57">
        <f>20112+7272</f>
        <v>27384</v>
      </c>
      <c r="Z1279" s="58">
        <v>1676</v>
      </c>
      <c r="AA1279" s="58">
        <v>1676</v>
      </c>
      <c r="AB1279" s="58">
        <v>1676</v>
      </c>
      <c r="AC1279" s="58">
        <v>1676</v>
      </c>
      <c r="AD1279" s="58">
        <v>1676</v>
      </c>
      <c r="AE1279" s="58">
        <v>1676</v>
      </c>
      <c r="AF1279" s="58">
        <f t="shared" ref="AF1279:AK1279" si="46">1676+1212</f>
        <v>2888</v>
      </c>
      <c r="AG1279" s="58">
        <f t="shared" si="46"/>
        <v>2888</v>
      </c>
      <c r="AH1279" s="58">
        <f t="shared" si="46"/>
        <v>2888</v>
      </c>
      <c r="AI1279" s="58">
        <f t="shared" si="46"/>
        <v>2888</v>
      </c>
      <c r="AJ1279" s="58">
        <f t="shared" si="46"/>
        <v>2888</v>
      </c>
      <c r="AK1279" s="58">
        <f t="shared" si="46"/>
        <v>2888</v>
      </c>
      <c r="AL1279" s="75">
        <f>+SUBTOTAL(9,Tabla6[[#This Row],[ENE]:[DIC]])</f>
        <v>27384</v>
      </c>
      <c r="AM1279" s="76" t="str">
        <f t="shared" si="44"/>
        <v>OK</v>
      </c>
      <c r="AN1279" s="60">
        <v>0</v>
      </c>
      <c r="AO1279" s="61">
        <f>+Tabla6[[#This Row],[PRESUPUESTO VIGENTE]]-Tabla6[[#This Row],[CERTIFICACIÓN PAPP]]</f>
        <v>27384</v>
      </c>
      <c r="AP1279" s="59">
        <v>0</v>
      </c>
    </row>
    <row r="1280" spans="1:42" ht="93" customHeight="1" x14ac:dyDescent="0.25">
      <c r="A1280" s="62" t="s">
        <v>78</v>
      </c>
      <c r="B1280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280" s="64" t="s">
        <v>79</v>
      </c>
      <c r="D1280" s="64" t="s">
        <v>113</v>
      </c>
      <c r="E1280" s="64" t="s">
        <v>114</v>
      </c>
      <c r="F1280" s="64" t="s">
        <v>4</v>
      </c>
      <c r="G1280" s="64" t="s">
        <v>7</v>
      </c>
      <c r="H1280" s="65" t="str">
        <f>VLOOKUP(Tabla6[[#This Row],[DIRECCIÓN]],DIRECCIÓN[#All],2,0)</f>
        <v>ADMINISTRACIÓN CENTRAL</v>
      </c>
      <c r="I1280" s="66" t="s">
        <v>93</v>
      </c>
      <c r="J1280" s="67">
        <v>1</v>
      </c>
      <c r="K1280" s="68" t="str">
        <f>VLOOKUP(Tabla6[[#This Row],[DIRECCIÓN GENERAL / COORDINACIÓN / SUBDIRECCIÓN]],Tabla37[[#All],[Columna1]:[EOD]],2,0)</f>
        <v>266_9999</v>
      </c>
      <c r="L1280" s="69">
        <f>VLOOKUP(Tabla6[[#This Row],[OBJETIVOS PND]],Listas!$A$1:$C$3,3,0)</f>
        <v>1</v>
      </c>
      <c r="M1280" s="70">
        <f>VLOOKUP(Tabla6[[#This Row],[PG]],Listas2!$G$14:$K$16,5,0)</f>
        <v>0</v>
      </c>
      <c r="N1280" s="71">
        <v>1</v>
      </c>
      <c r="O1280" s="72">
        <v>1700</v>
      </c>
      <c r="P1280" s="73" t="str">
        <f>VLOOKUP(Tabla6[[#This Row],[GEO]],Listas!$A$48:$B$77,2,0)</f>
        <v>PICHINCHA</v>
      </c>
      <c r="Q1280" s="70">
        <f>VLOOKUP(Tabla6[[#This Row],[PG]],Listas2!$G$14:$K$16,3,0)</f>
        <v>1</v>
      </c>
      <c r="R1280" s="73">
        <f>VLOOKUP(Tabla6[[#This Row],[PG]],Listas2!H23:'Listas2'!$G$14:$K$16,4,0)</f>
        <v>0</v>
      </c>
      <c r="S1280" s="73">
        <f>VLOOKUP(Tabla6[[#This Row],[PG]],Listas2!$G$14:$K$16,2,0)</f>
        <v>0</v>
      </c>
      <c r="T1280" s="66" t="s">
        <v>84</v>
      </c>
      <c r="U1280" s="74">
        <v>51</v>
      </c>
      <c r="V1280" s="66">
        <v>510601</v>
      </c>
      <c r="W1280" s="63" t="str">
        <f>VLOOKUP(Tabla6[[#This Row],[ÍTEM PRESUPUESTARIO]],Tabla2[#All],2,0)</f>
        <v>APORTE PATRONAL</v>
      </c>
      <c r="X1280" s="57">
        <v>187487</v>
      </c>
      <c r="Y1280" s="57">
        <f>187487-5556+6295.06-2317.81-1771.19+245.95</f>
        <v>184383.01</v>
      </c>
      <c r="Z1280" s="58">
        <v>15160.92</v>
      </c>
      <c r="AA1280" s="58">
        <v>15160.92</v>
      </c>
      <c r="AB1280" s="58">
        <v>15160.92</v>
      </c>
      <c r="AC1280" s="58">
        <f t="shared" ref="AC1280:AH1280" si="47">15160.92+699.45</f>
        <v>15860.37</v>
      </c>
      <c r="AD1280" s="58">
        <f t="shared" si="47"/>
        <v>15860.37</v>
      </c>
      <c r="AE1280" s="58">
        <f t="shared" si="47"/>
        <v>15860.37</v>
      </c>
      <c r="AF1280" s="58">
        <f t="shared" si="47"/>
        <v>15860.37</v>
      </c>
      <c r="AG1280" s="58">
        <f t="shared" si="47"/>
        <v>15860.37</v>
      </c>
      <c r="AH1280" s="58">
        <f t="shared" si="47"/>
        <v>15860.37</v>
      </c>
      <c r="AI1280" s="58">
        <f>15160.92+699.45-772.6</f>
        <v>15087.77</v>
      </c>
      <c r="AJ1280" s="58">
        <v>14202.15</v>
      </c>
      <c r="AK1280" s="58">
        <v>14448.11</v>
      </c>
      <c r="AL1280" s="75">
        <f>+SUBTOTAL(9,Tabla6[[#This Row],[ENE]:[DIC]])</f>
        <v>184383.00999999995</v>
      </c>
      <c r="AM1280" s="76" t="str">
        <f t="shared" si="44"/>
        <v>OK</v>
      </c>
      <c r="AN1280" s="60">
        <v>0</v>
      </c>
      <c r="AO1280" s="61">
        <f>+Tabla6[[#This Row],[PRESUPUESTO VIGENTE]]-Tabla6[[#This Row],[CERTIFICACIÓN PAPP]]</f>
        <v>184383.01</v>
      </c>
      <c r="AP1280" s="59">
        <v>0</v>
      </c>
    </row>
    <row r="1281" spans="1:42" ht="93" customHeight="1" x14ac:dyDescent="0.25">
      <c r="A1281" s="62" t="s">
        <v>78</v>
      </c>
      <c r="B1281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281" s="64" t="s">
        <v>79</v>
      </c>
      <c r="D1281" s="64" t="s">
        <v>113</v>
      </c>
      <c r="E1281" s="64" t="s">
        <v>114</v>
      </c>
      <c r="F1281" s="64" t="s">
        <v>4</v>
      </c>
      <c r="G1281" s="64" t="s">
        <v>7</v>
      </c>
      <c r="H1281" s="65" t="str">
        <f>VLOOKUP(Tabla6[[#This Row],[DIRECCIÓN]],DIRECCIÓN[#All],2,0)</f>
        <v>ADMINISTRACIÓN CENTRAL</v>
      </c>
      <c r="I1281" s="66" t="s">
        <v>93</v>
      </c>
      <c r="J1281" s="67">
        <v>1</v>
      </c>
      <c r="K1281" s="68" t="str">
        <f>VLOOKUP(Tabla6[[#This Row],[DIRECCIÓN GENERAL / COORDINACIÓN / SUBDIRECCIÓN]],Tabla37[[#All],[Columna1]:[EOD]],2,0)</f>
        <v>266_9999</v>
      </c>
      <c r="L1281" s="69">
        <f>VLOOKUP(Tabla6[[#This Row],[OBJETIVOS PND]],Listas!$A$1:$C$3,3,0)</f>
        <v>1</v>
      </c>
      <c r="M1281" s="70">
        <f>VLOOKUP(Tabla6[[#This Row],[PG]],Listas2!$G$14:$K$16,5,0)</f>
        <v>0</v>
      </c>
      <c r="N1281" s="71">
        <v>1</v>
      </c>
      <c r="O1281" s="72">
        <v>1700</v>
      </c>
      <c r="P1281" s="73" t="str">
        <f>VLOOKUP(Tabla6[[#This Row],[GEO]],Listas!$A$48:$B$77,2,0)</f>
        <v>PICHINCHA</v>
      </c>
      <c r="Q1281" s="70">
        <f>VLOOKUP(Tabla6[[#This Row],[PG]],Listas2!$G$14:$K$16,3,0)</f>
        <v>1</v>
      </c>
      <c r="R1281" s="73">
        <f>VLOOKUP(Tabla6[[#This Row],[PG]],Listas2!H24:'Listas2'!$G$14:$K$16,4,0)</f>
        <v>0</v>
      </c>
      <c r="S1281" s="73">
        <f>VLOOKUP(Tabla6[[#This Row],[PG]],Listas2!$G$14:$K$16,2,0)</f>
        <v>0</v>
      </c>
      <c r="T1281" s="66" t="s">
        <v>84</v>
      </c>
      <c r="U1281" s="74">
        <v>51</v>
      </c>
      <c r="V1281" s="66">
        <v>510602</v>
      </c>
      <c r="W1281" s="63" t="str">
        <f>VLOOKUP(Tabla6[[#This Row],[ÍTEM PRESUPUESTARIO]],Tabla2[#All],2,0)</f>
        <v>FONDO DE RESERVA</v>
      </c>
      <c r="X1281" s="57">
        <v>130421</v>
      </c>
      <c r="Y1281" s="57">
        <f>130421+14835+12625.78-1354.66-6888.32-2908.49-7821.07</f>
        <v>138909.24</v>
      </c>
      <c r="Z1281" s="58">
        <v>12104.67</v>
      </c>
      <c r="AA1281" s="58">
        <v>12104.67</v>
      </c>
      <c r="AB1281" s="58">
        <v>12104.67</v>
      </c>
      <c r="AC1281" s="58">
        <f>12104.67+1402.86</f>
        <v>13507.53</v>
      </c>
      <c r="AD1281" s="58">
        <f>12104.67+1402.86-169.33</f>
        <v>13338.2</v>
      </c>
      <c r="AE1281" s="58">
        <f>12104.67+1402.86-169.33-984.05</f>
        <v>12354.150000000001</v>
      </c>
      <c r="AF1281" s="58">
        <f>12104.67+1402.86-169.33-984.05</f>
        <v>12354.150000000001</v>
      </c>
      <c r="AG1281" s="58">
        <f>12104.67+1402.86-169.33-984.05</f>
        <v>12354.150000000001</v>
      </c>
      <c r="AH1281" s="58">
        <f>12104.67+1402.86-169.33-984.05</f>
        <v>12354.150000000001</v>
      </c>
      <c r="AI1281" s="58">
        <f>12104.67+1402.86-169.33-984.05-969.5</f>
        <v>11384.650000000001</v>
      </c>
      <c r="AJ1281" s="58">
        <f>12104.67+1402.86-169.33-984.05-969.5</f>
        <v>11384.650000000001</v>
      </c>
      <c r="AK1281" s="58">
        <v>3563.6</v>
      </c>
      <c r="AL1281" s="75">
        <f>+SUBTOTAL(9,Tabla6[[#This Row],[ENE]:[DIC]])</f>
        <v>138909.24</v>
      </c>
      <c r="AM1281" s="76" t="str">
        <f t="shared" si="44"/>
        <v>OK</v>
      </c>
      <c r="AN1281" s="60">
        <v>0</v>
      </c>
      <c r="AO1281" s="61">
        <f>+Tabla6[[#This Row],[PRESUPUESTO VIGENTE]]-Tabla6[[#This Row],[CERTIFICACIÓN PAPP]]</f>
        <v>138909.24</v>
      </c>
      <c r="AP1281" s="59">
        <v>0</v>
      </c>
    </row>
    <row r="1282" spans="1:42" ht="93" customHeight="1" x14ac:dyDescent="0.25">
      <c r="A1282" s="62" t="s">
        <v>78</v>
      </c>
      <c r="B1282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282" s="64" t="s">
        <v>79</v>
      </c>
      <c r="D1282" s="64" t="s">
        <v>113</v>
      </c>
      <c r="E1282" s="64" t="s">
        <v>114</v>
      </c>
      <c r="F1282" s="64" t="s">
        <v>4</v>
      </c>
      <c r="G1282" s="64" t="s">
        <v>7</v>
      </c>
      <c r="H1282" s="65" t="str">
        <f>VLOOKUP(Tabla6[[#This Row],[DIRECCIÓN]],DIRECCIÓN[#All],2,0)</f>
        <v>ADMINISTRACIÓN CENTRAL</v>
      </c>
      <c r="I1282" s="66" t="s">
        <v>93</v>
      </c>
      <c r="J1282" s="67">
        <v>1</v>
      </c>
      <c r="K1282" s="68" t="str">
        <f>VLOOKUP(Tabla6[[#This Row],[DIRECCIÓN GENERAL / COORDINACIÓN / SUBDIRECCIÓN]],Tabla37[[#All],[Columna1]:[EOD]],2,0)</f>
        <v>266_9999</v>
      </c>
      <c r="L1282" s="69">
        <f>VLOOKUP(Tabla6[[#This Row],[OBJETIVOS PND]],Listas!$A$1:$C$3,3,0)</f>
        <v>1</v>
      </c>
      <c r="M1282" s="70">
        <f>VLOOKUP(Tabla6[[#This Row],[PG]],Listas2!$G$14:$K$16,5,0)</f>
        <v>0</v>
      </c>
      <c r="N1282" s="71">
        <v>1</v>
      </c>
      <c r="O1282" s="72">
        <v>1700</v>
      </c>
      <c r="P1282" s="73" t="str">
        <f>VLOOKUP(Tabla6[[#This Row],[GEO]],Listas!$A$48:$B$77,2,0)</f>
        <v>PICHINCHA</v>
      </c>
      <c r="Q1282" s="70">
        <f>VLOOKUP(Tabla6[[#This Row],[PG]],Listas2!$G$14:$K$16,3,0)</f>
        <v>1</v>
      </c>
      <c r="R1282" s="73">
        <f>VLOOKUP(Tabla6[[#This Row],[PG]],Listas2!H25:'Listas2'!$G$14:$K$16,4,0)</f>
        <v>0</v>
      </c>
      <c r="S1282" s="73">
        <f>VLOOKUP(Tabla6[[#This Row],[PG]],Listas2!$G$14:$K$16,2,0)</f>
        <v>0</v>
      </c>
      <c r="T1282" s="66" t="s">
        <v>84</v>
      </c>
      <c r="U1282" s="74">
        <v>51</v>
      </c>
      <c r="V1282" s="66">
        <v>510704</v>
      </c>
      <c r="W1282" s="63" t="str">
        <f>VLOOKUP(Tabla6[[#This Row],[ÍTEM PRESUPUESTARIO]],Tabla2[#All],2,0)</f>
        <v>COMPENSACIÓN POR DESAHUCIO</v>
      </c>
      <c r="X1282" s="57">
        <v>0</v>
      </c>
      <c r="Y1282" s="57">
        <f>1273.5+183.25+1132</f>
        <v>2588.75</v>
      </c>
      <c r="Z1282" s="58">
        <v>0</v>
      </c>
      <c r="AA1282" s="58">
        <v>0</v>
      </c>
      <c r="AB1282" s="58">
        <v>0</v>
      </c>
      <c r="AC1282" s="58">
        <v>0</v>
      </c>
      <c r="AD1282" s="58">
        <v>0</v>
      </c>
      <c r="AE1282" s="58">
        <v>0</v>
      </c>
      <c r="AF1282" s="58">
        <v>2588.75</v>
      </c>
      <c r="AG1282" s="58">
        <v>0</v>
      </c>
      <c r="AH1282" s="58">
        <v>0</v>
      </c>
      <c r="AI1282" s="58">
        <v>0</v>
      </c>
      <c r="AJ1282" s="58">
        <v>0</v>
      </c>
      <c r="AK1282" s="58">
        <v>0</v>
      </c>
      <c r="AL1282" s="75">
        <f>+SUBTOTAL(9,Tabla6[[#This Row],[ENE]:[DIC]])</f>
        <v>2588.75</v>
      </c>
      <c r="AM1282" s="76" t="str">
        <f t="shared" si="44"/>
        <v>OK</v>
      </c>
      <c r="AN1282" s="60">
        <v>0</v>
      </c>
      <c r="AO1282" s="61">
        <f>+Tabla6[[#This Row],[PRESUPUESTO VIGENTE]]-Tabla6[[#This Row],[CERTIFICACIÓN PAPP]]</f>
        <v>2588.75</v>
      </c>
      <c r="AP1282" s="59">
        <v>0</v>
      </c>
    </row>
    <row r="1283" spans="1:42" ht="93" customHeight="1" x14ac:dyDescent="0.25">
      <c r="A1283" s="62" t="s">
        <v>78</v>
      </c>
      <c r="B1283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283" s="64" t="s">
        <v>79</v>
      </c>
      <c r="D1283" s="64" t="s">
        <v>113</v>
      </c>
      <c r="E1283" s="64" t="s">
        <v>114</v>
      </c>
      <c r="F1283" s="64" t="s">
        <v>4</v>
      </c>
      <c r="G1283" s="64" t="s">
        <v>7</v>
      </c>
      <c r="H1283" s="65" t="str">
        <f>VLOOKUP(Tabla6[[#This Row],[DIRECCIÓN]],DIRECCIÓN[#All],2,0)</f>
        <v>ADMINISTRACIÓN CENTRAL</v>
      </c>
      <c r="I1283" s="66" t="s">
        <v>93</v>
      </c>
      <c r="J1283" s="67">
        <v>1</v>
      </c>
      <c r="K1283" s="68" t="str">
        <f>VLOOKUP(Tabla6[[#This Row],[DIRECCIÓN GENERAL / COORDINACIÓN / SUBDIRECCIÓN]],Tabla37[[#All],[Columna1]:[EOD]],2,0)</f>
        <v>266_9999</v>
      </c>
      <c r="L1283" s="69">
        <f>VLOOKUP(Tabla6[[#This Row],[OBJETIVOS PND]],Listas!$A$1:$C$3,3,0)</f>
        <v>1</v>
      </c>
      <c r="M1283" s="70">
        <f>VLOOKUP(Tabla6[[#This Row],[PG]],Listas2!$G$14:$K$16,5,0)</f>
        <v>0</v>
      </c>
      <c r="N1283" s="71">
        <v>1</v>
      </c>
      <c r="O1283" s="72">
        <v>1700</v>
      </c>
      <c r="P1283" s="73" t="str">
        <f>VLOOKUP(Tabla6[[#This Row],[GEO]],Listas!$A$48:$B$77,2,0)</f>
        <v>PICHINCHA</v>
      </c>
      <c r="Q1283" s="70">
        <f>VLOOKUP(Tabla6[[#This Row],[PG]],Listas2!$G$14:$K$16,3,0)</f>
        <v>1</v>
      </c>
      <c r="R1283" s="73">
        <f>VLOOKUP(Tabla6[[#This Row],[PG]],Listas2!H25:'Listas2'!$G$14:$K$16,4,0)</f>
        <v>0</v>
      </c>
      <c r="S1283" s="73">
        <f>VLOOKUP(Tabla6[[#This Row],[PG]],Listas2!$G$14:$K$16,2,0)</f>
        <v>0</v>
      </c>
      <c r="T1283" s="66" t="s">
        <v>84</v>
      </c>
      <c r="U1283" s="74">
        <v>51</v>
      </c>
      <c r="V1283" s="66">
        <v>510707</v>
      </c>
      <c r="W1283" s="63" t="str">
        <f>VLOOKUP(Tabla6[[#This Row],[ÍTEM PRESUPUESTARIO]],Tabla2[#All],2,0)</f>
        <v>COMPENSACIÓN POR VACACIONES NO GOZADAS POR CESACIÓN DE FUNCIONES</v>
      </c>
      <c r="X1283" s="57">
        <v>0</v>
      </c>
      <c r="Y1283" s="57">
        <f>8455.23+5000+3385+5634.45+11495.05-354.37</f>
        <v>33615.359999999993</v>
      </c>
      <c r="Z1283" s="58">
        <v>0</v>
      </c>
      <c r="AA1283" s="58">
        <v>0</v>
      </c>
      <c r="AB1283" s="58">
        <v>845.52</v>
      </c>
      <c r="AC1283" s="58">
        <f>845.52+555.56</f>
        <v>1401.08</v>
      </c>
      <c r="AD1283" s="58">
        <f>845.52+555.56+423.13</f>
        <v>1824.21</v>
      </c>
      <c r="AE1283" s="58">
        <f>845.52+555.56+423.13</f>
        <v>1824.21</v>
      </c>
      <c r="AF1283" s="58">
        <f>845.52+555.56+423.13+939.08</f>
        <v>2763.29</v>
      </c>
      <c r="AG1283" s="58">
        <f>845.52+555.56+423.13+939.08+2299.01</f>
        <v>5062.3</v>
      </c>
      <c r="AH1283" s="58">
        <f>845.52+555.56+423.13+939.08+2299.01</f>
        <v>5062.3</v>
      </c>
      <c r="AI1283" s="58">
        <f>845.52+555.56+423.13+939.08+2299.01</f>
        <v>5062.3</v>
      </c>
      <c r="AJ1283" s="58">
        <f>845.52+555.56+423.13+939.08+2299.01</f>
        <v>5062.3</v>
      </c>
      <c r="AK1283" s="58">
        <v>4707.8500000000004</v>
      </c>
      <c r="AL1283" s="75">
        <f>+SUBTOTAL(9,Tabla6[[#This Row],[ENE]:[DIC]])</f>
        <v>33615.360000000001</v>
      </c>
      <c r="AM1283" s="76" t="str">
        <f t="shared" si="44"/>
        <v>OK</v>
      </c>
      <c r="AN1283" s="60">
        <v>0</v>
      </c>
      <c r="AO1283" s="61">
        <f>+Tabla6[[#This Row],[PRESUPUESTO VIGENTE]]-Tabla6[[#This Row],[CERTIFICACIÓN PAPP]]</f>
        <v>33615.359999999993</v>
      </c>
      <c r="AP1283" s="59">
        <v>0</v>
      </c>
    </row>
    <row r="1284" spans="1:42" ht="93" customHeight="1" x14ac:dyDescent="0.25">
      <c r="A1284" s="62" t="s">
        <v>78</v>
      </c>
      <c r="B1284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284" s="64" t="s">
        <v>79</v>
      </c>
      <c r="D1284" s="64" t="s">
        <v>113</v>
      </c>
      <c r="E1284" s="64" t="s">
        <v>114</v>
      </c>
      <c r="F1284" s="64" t="s">
        <v>4</v>
      </c>
      <c r="G1284" s="64" t="s">
        <v>7</v>
      </c>
      <c r="H1284" s="65" t="str">
        <f>VLOOKUP(Tabla6[[#This Row],[DIRECCIÓN]],DIRECCIÓN[#All],2,0)</f>
        <v>ADMINISTRACIÓN CENTRAL</v>
      </c>
      <c r="I1284" s="66" t="s">
        <v>93</v>
      </c>
      <c r="J1284" s="67">
        <v>1</v>
      </c>
      <c r="K1284" s="68" t="str">
        <f>VLOOKUP(Tabla6[[#This Row],[DIRECCIÓN GENERAL / COORDINACIÓN / SUBDIRECCIÓN]],Tabla37[[#All],[Columna1]:[EOD]],2,0)</f>
        <v>266_9999</v>
      </c>
      <c r="L1284" s="69">
        <f>VLOOKUP(Tabla6[[#This Row],[OBJETIVOS PND]],Listas!$A$1:$C$3,3,0)</f>
        <v>1</v>
      </c>
      <c r="M1284" s="70">
        <f>VLOOKUP(Tabla6[[#This Row],[PG]],Listas2!$G$14:$K$16,5,0)</f>
        <v>0</v>
      </c>
      <c r="N1284" s="71">
        <v>1</v>
      </c>
      <c r="O1284" s="72">
        <v>1700</v>
      </c>
      <c r="P1284" s="73" t="str">
        <f>VLOOKUP(Tabla6[[#This Row],[GEO]],Listas!$A$48:$B$77,2,0)</f>
        <v>PICHINCHA</v>
      </c>
      <c r="Q1284" s="70">
        <f>VLOOKUP(Tabla6[[#This Row],[PG]],Listas2!$G$14:$K$16,3,0)</f>
        <v>1</v>
      </c>
      <c r="R1284" s="73">
        <f>VLOOKUP(Tabla6[[#This Row],[PG]],Listas2!H26:'Listas2'!$G$14:$K$16,4,0)</f>
        <v>0</v>
      </c>
      <c r="S1284" s="73">
        <f>VLOOKUP(Tabla6[[#This Row],[PG]],Listas2!$G$14:$K$16,2,0)</f>
        <v>0</v>
      </c>
      <c r="T1284" s="66" t="s">
        <v>84</v>
      </c>
      <c r="U1284" s="74">
        <v>99</v>
      </c>
      <c r="V1284" s="66">
        <v>990101</v>
      </c>
      <c r="W1284" s="63" t="str">
        <f>VLOOKUP(Tabla6[[#This Row],[ÍTEM PRESUPUESTARIO]],Tabla2[#All],2,0)</f>
        <v>OBLIGACIONES DE EJERCICIOS ANTERIORES POR EGRESOS DE PERSONAL</v>
      </c>
      <c r="X1284" s="57">
        <v>0</v>
      </c>
      <c r="Y1284" s="57">
        <f>5611.54+2917.32+1200-632.93</f>
        <v>9095.93</v>
      </c>
      <c r="Z1284" s="58">
        <v>0</v>
      </c>
      <c r="AA1284" s="58">
        <v>0</v>
      </c>
      <c r="AB1284" s="58">
        <v>561.15</v>
      </c>
      <c r="AC1284" s="58">
        <f>561.15+324.15</f>
        <v>885.3</v>
      </c>
      <c r="AD1284" s="58">
        <f t="shared" ref="AD1284:AJ1284" si="48">561.15+324.15+150</f>
        <v>1035.3</v>
      </c>
      <c r="AE1284" s="58">
        <f t="shared" si="48"/>
        <v>1035.3</v>
      </c>
      <c r="AF1284" s="58">
        <f t="shared" si="48"/>
        <v>1035.3</v>
      </c>
      <c r="AG1284" s="58">
        <f t="shared" si="48"/>
        <v>1035.3</v>
      </c>
      <c r="AH1284" s="58">
        <f t="shared" si="48"/>
        <v>1035.3</v>
      </c>
      <c r="AI1284" s="58">
        <f t="shared" si="48"/>
        <v>1035.3</v>
      </c>
      <c r="AJ1284" s="58">
        <f t="shared" si="48"/>
        <v>1035.3</v>
      </c>
      <c r="AK1284" s="58">
        <v>402.38</v>
      </c>
      <c r="AL1284" s="75">
        <f>+SUBTOTAL(9,Tabla6[[#This Row],[ENE]:[DIC]])</f>
        <v>9095.93</v>
      </c>
      <c r="AM1284" s="76" t="str">
        <f t="shared" si="44"/>
        <v>OK</v>
      </c>
      <c r="AN1284" s="60">
        <v>9095.93</v>
      </c>
      <c r="AO1284" s="61">
        <f>+Tabla6[[#This Row],[PRESUPUESTO VIGENTE]]-Tabla6[[#This Row],[CERTIFICACIÓN PAPP]]</f>
        <v>0</v>
      </c>
      <c r="AP1284" s="59">
        <v>0</v>
      </c>
    </row>
    <row r="1285" spans="1:42" ht="93" customHeight="1" x14ac:dyDescent="0.25">
      <c r="A1285" s="62" t="s">
        <v>88</v>
      </c>
      <c r="B1285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285" s="64" t="s">
        <v>89</v>
      </c>
      <c r="D1285" s="64" t="s">
        <v>113</v>
      </c>
      <c r="E1285" s="64" t="s">
        <v>114</v>
      </c>
      <c r="F1285" s="64" t="s">
        <v>15</v>
      </c>
      <c r="G1285" s="64" t="s">
        <v>16</v>
      </c>
      <c r="H1285" s="65" t="str">
        <f>VLOOKUP(Tabla6[[#This Row],[DIRECCIÓN]],DIRECCIÓN[#All],2,0)</f>
        <v>DOCTRINA</v>
      </c>
      <c r="I1285" s="66" t="s">
        <v>93</v>
      </c>
      <c r="J1285" s="67">
        <v>1</v>
      </c>
      <c r="K1285" s="68" t="str">
        <f>VLOOKUP(Tabla6[[#This Row],[DIRECCIÓN GENERAL / COORDINACIÓN / SUBDIRECCIÓN]],Tabla37[[#All],[Columna1]:[EOD]],2,0)</f>
        <v>266_9999</v>
      </c>
      <c r="L1285" s="69">
        <f>VLOOKUP(Tabla6[[#This Row],[OBJETIVOS PND]],Listas!$A$1:$C$3,3,0)</f>
        <v>55</v>
      </c>
      <c r="M1285" s="70">
        <f>VLOOKUP(Tabla6[[#This Row],[PG]],Listas2!$G$14:$K$16,5,0)</f>
        <v>0</v>
      </c>
      <c r="N1285" s="71">
        <v>1</v>
      </c>
      <c r="O1285" s="72">
        <v>1700</v>
      </c>
      <c r="P1285" s="73" t="str">
        <f>VLOOKUP(Tabla6[[#This Row],[GEO]],Listas!$A$48:$B$77,2,0)</f>
        <v>PICHINCHA</v>
      </c>
      <c r="Q1285" s="70">
        <f>VLOOKUP(Tabla6[[#This Row],[PG]],Listas2!$G$14:$K$16,3,0)</f>
        <v>1</v>
      </c>
      <c r="R1285" s="73">
        <f>VLOOKUP(Tabla6[[#This Row],[PG]],Listas2!H27:'Listas2'!$G$14:$K$16,4,0)</f>
        <v>0</v>
      </c>
      <c r="S1285" s="73">
        <f>VLOOKUP(Tabla6[[#This Row],[PG]],Listas2!$G$14:$K$16,2,0)</f>
        <v>0</v>
      </c>
      <c r="T1285" s="66" t="s">
        <v>84</v>
      </c>
      <c r="U1285" s="74">
        <v>51</v>
      </c>
      <c r="V1285" s="66">
        <v>510105</v>
      </c>
      <c r="W1285" s="63" t="str">
        <f>VLOOKUP(Tabla6[[#This Row],[ÍTEM PRESUPUESTARIO]],Tabla2[#All],2,0)</f>
        <v>REMUNERACIONES UNIFICADAS</v>
      </c>
      <c r="X1285" s="57">
        <v>173592</v>
      </c>
      <c r="Y1285" s="57">
        <f>173592-1676</f>
        <v>171916</v>
      </c>
      <c r="Z1285" s="58">
        <v>14466</v>
      </c>
      <c r="AA1285" s="58">
        <v>14466</v>
      </c>
      <c r="AB1285" s="58">
        <v>14466</v>
      </c>
      <c r="AC1285" s="58">
        <v>14466</v>
      </c>
      <c r="AD1285" s="58">
        <f t="shared" ref="AD1285:AK1285" si="49">14466-209.5</f>
        <v>14256.5</v>
      </c>
      <c r="AE1285" s="58">
        <f t="shared" si="49"/>
        <v>14256.5</v>
      </c>
      <c r="AF1285" s="58">
        <f t="shared" si="49"/>
        <v>14256.5</v>
      </c>
      <c r="AG1285" s="58">
        <f t="shared" si="49"/>
        <v>14256.5</v>
      </c>
      <c r="AH1285" s="58">
        <f t="shared" si="49"/>
        <v>14256.5</v>
      </c>
      <c r="AI1285" s="58">
        <f t="shared" si="49"/>
        <v>14256.5</v>
      </c>
      <c r="AJ1285" s="58">
        <f t="shared" si="49"/>
        <v>14256.5</v>
      </c>
      <c r="AK1285" s="58">
        <f t="shared" si="49"/>
        <v>14256.5</v>
      </c>
      <c r="AL1285" s="75">
        <f>+SUBTOTAL(9,Tabla6[[#This Row],[ENE]:[DIC]])</f>
        <v>171916</v>
      </c>
      <c r="AM1285" s="76" t="str">
        <f t="shared" ref="AM1285:AM1350" si="50">IF(AL1285=Y1285,"OK",Y1285-AL1285)</f>
        <v>OK</v>
      </c>
      <c r="AN1285" s="60">
        <v>0</v>
      </c>
      <c r="AO1285" s="61">
        <f>+Tabla6[[#This Row],[PRESUPUESTO VIGENTE]]-Tabla6[[#This Row],[CERTIFICACIÓN PAPP]]</f>
        <v>171916</v>
      </c>
      <c r="AP1285" s="59">
        <v>0</v>
      </c>
    </row>
    <row r="1286" spans="1:42" ht="93" customHeight="1" x14ac:dyDescent="0.25">
      <c r="A1286" s="62" t="s">
        <v>88</v>
      </c>
      <c r="B1286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286" s="64" t="s">
        <v>89</v>
      </c>
      <c r="D1286" s="64" t="s">
        <v>113</v>
      </c>
      <c r="E1286" s="64" t="s">
        <v>114</v>
      </c>
      <c r="F1286" s="64" t="s">
        <v>15</v>
      </c>
      <c r="G1286" s="64" t="s">
        <v>16</v>
      </c>
      <c r="H1286" s="65" t="str">
        <f>VLOOKUP(Tabla6[[#This Row],[DIRECCIÓN]],DIRECCIÓN[#All],2,0)</f>
        <v>DOCTRINA</v>
      </c>
      <c r="I1286" s="66" t="s">
        <v>93</v>
      </c>
      <c r="J1286" s="67">
        <v>1</v>
      </c>
      <c r="K1286" s="68" t="str">
        <f>VLOOKUP(Tabla6[[#This Row],[DIRECCIÓN GENERAL / COORDINACIÓN / SUBDIRECCIÓN]],Tabla37[[#All],[Columna1]:[EOD]],2,0)</f>
        <v>266_9999</v>
      </c>
      <c r="L1286" s="69">
        <f>VLOOKUP(Tabla6[[#This Row],[OBJETIVOS PND]],Listas!$A$1:$C$3,3,0)</f>
        <v>55</v>
      </c>
      <c r="M1286" s="70">
        <f>VLOOKUP(Tabla6[[#This Row],[PG]],Listas2!$G$14:$K$16,5,0)</f>
        <v>0</v>
      </c>
      <c r="N1286" s="71">
        <v>1</v>
      </c>
      <c r="O1286" s="72">
        <v>1700</v>
      </c>
      <c r="P1286" s="73" t="str">
        <f>VLOOKUP(Tabla6[[#This Row],[GEO]],Listas!$A$48:$B$77,2,0)</f>
        <v>PICHINCHA</v>
      </c>
      <c r="Q1286" s="70">
        <f>VLOOKUP(Tabla6[[#This Row],[PG]],Listas2!$G$14:$K$16,3,0)</f>
        <v>1</v>
      </c>
      <c r="R1286" s="73">
        <f>VLOOKUP(Tabla6[[#This Row],[PG]],Listas2!H28:'Listas2'!$G$14:$K$16,4,0)</f>
        <v>0</v>
      </c>
      <c r="S1286" s="73">
        <f>VLOOKUP(Tabla6[[#This Row],[PG]],Listas2!$G$14:$K$16,2,0)</f>
        <v>0</v>
      </c>
      <c r="T1286" s="66" t="s">
        <v>84</v>
      </c>
      <c r="U1286" s="74">
        <v>51</v>
      </c>
      <c r="V1286" s="66">
        <v>510203</v>
      </c>
      <c r="W1286" s="63" t="str">
        <f>VLOOKUP(Tabla6[[#This Row],[ÍTEM PRESUPUESTARIO]],Tabla2[#All],2,0)</f>
        <v>DÉCIMO TERCER SUELDO</v>
      </c>
      <c r="X1286" s="57">
        <v>12466</v>
      </c>
      <c r="Y1286" s="57">
        <f>12466-944+2944.01+442.42</f>
        <v>14908.43</v>
      </c>
      <c r="Z1286" s="58">
        <v>0</v>
      </c>
      <c r="AA1286" s="58">
        <v>0</v>
      </c>
      <c r="AB1286" s="58">
        <v>0</v>
      </c>
      <c r="AC1286" s="58">
        <v>0</v>
      </c>
      <c r="AD1286" s="58">
        <v>0</v>
      </c>
      <c r="AE1286" s="58">
        <v>0</v>
      </c>
      <c r="AF1286" s="58">
        <v>0</v>
      </c>
      <c r="AG1286" s="58">
        <v>0</v>
      </c>
      <c r="AH1286" s="58">
        <v>0</v>
      </c>
      <c r="AI1286" s="58">
        <v>0</v>
      </c>
      <c r="AJ1286" s="58">
        <v>0</v>
      </c>
      <c r="AK1286" s="58">
        <v>14908.43</v>
      </c>
      <c r="AL1286" s="75">
        <f>+SUBTOTAL(9,Tabla6[[#This Row],[ENE]:[DIC]])</f>
        <v>14908.43</v>
      </c>
      <c r="AM1286" s="76" t="str">
        <f t="shared" si="50"/>
        <v>OK</v>
      </c>
      <c r="AN1286" s="60">
        <v>0</v>
      </c>
      <c r="AO1286" s="61">
        <f>+Tabla6[[#This Row],[PRESUPUESTO VIGENTE]]-Tabla6[[#This Row],[CERTIFICACIÓN PAPP]]</f>
        <v>14908.43</v>
      </c>
      <c r="AP1286" s="59">
        <v>0</v>
      </c>
    </row>
    <row r="1287" spans="1:42" ht="93" customHeight="1" x14ac:dyDescent="0.25">
      <c r="A1287" s="62" t="s">
        <v>88</v>
      </c>
      <c r="B1287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287" s="64" t="s">
        <v>89</v>
      </c>
      <c r="D1287" s="64" t="s">
        <v>113</v>
      </c>
      <c r="E1287" s="64" t="s">
        <v>114</v>
      </c>
      <c r="F1287" s="64" t="s">
        <v>15</v>
      </c>
      <c r="G1287" s="64" t="s">
        <v>16</v>
      </c>
      <c r="H1287" s="65" t="str">
        <f>VLOOKUP(Tabla6[[#This Row],[DIRECCIÓN]],DIRECCIÓN[#All],2,0)</f>
        <v>DOCTRINA</v>
      </c>
      <c r="I1287" s="66" t="s">
        <v>93</v>
      </c>
      <c r="J1287" s="67">
        <v>1</v>
      </c>
      <c r="K1287" s="68" t="str">
        <f>VLOOKUP(Tabla6[[#This Row],[DIRECCIÓN GENERAL / COORDINACIÓN / SUBDIRECCIÓN]],Tabla37[[#All],[Columna1]:[EOD]],2,0)</f>
        <v>266_9999</v>
      </c>
      <c r="L1287" s="69">
        <f>VLOOKUP(Tabla6[[#This Row],[OBJETIVOS PND]],Listas!$A$1:$C$3,3,0)</f>
        <v>55</v>
      </c>
      <c r="M1287" s="70">
        <f>VLOOKUP(Tabla6[[#This Row],[PG]],Listas2!$G$14:$K$16,5,0)</f>
        <v>0</v>
      </c>
      <c r="N1287" s="71">
        <v>1</v>
      </c>
      <c r="O1287" s="72">
        <v>1700</v>
      </c>
      <c r="P1287" s="73" t="str">
        <f>VLOOKUP(Tabla6[[#This Row],[GEO]],Listas!$A$48:$B$77,2,0)</f>
        <v>PICHINCHA</v>
      </c>
      <c r="Q1287" s="70">
        <f>VLOOKUP(Tabla6[[#This Row],[PG]],Listas2!$G$14:$K$16,3,0)</f>
        <v>1</v>
      </c>
      <c r="R1287" s="73">
        <f>VLOOKUP(Tabla6[[#This Row],[PG]],Listas2!H29:'Listas2'!$G$14:$K$16,4,0)</f>
        <v>0</v>
      </c>
      <c r="S1287" s="73">
        <f>VLOOKUP(Tabla6[[#This Row],[PG]],Listas2!$G$14:$K$16,2,0)</f>
        <v>0</v>
      </c>
      <c r="T1287" s="66" t="s">
        <v>84</v>
      </c>
      <c r="U1287" s="74">
        <v>51</v>
      </c>
      <c r="V1287" s="66">
        <v>510204</v>
      </c>
      <c r="W1287" s="63" t="str">
        <f>VLOOKUP(Tabla6[[#This Row],[ÍTEM PRESUPUESTARIO]],Tabla2[#All],2,0)</f>
        <v>DÉCIMO CUARTO SUELDO</v>
      </c>
      <c r="X1287" s="57">
        <v>2975</v>
      </c>
      <c r="Y1287" s="57">
        <f>2975+104+33.5-112.5</f>
        <v>3000</v>
      </c>
      <c r="Z1287" s="58">
        <v>0</v>
      </c>
      <c r="AA1287" s="58">
        <v>0</v>
      </c>
      <c r="AB1287" s="58">
        <v>0</v>
      </c>
      <c r="AC1287" s="58">
        <v>0</v>
      </c>
      <c r="AD1287" s="58">
        <v>0</v>
      </c>
      <c r="AE1287" s="58">
        <v>0</v>
      </c>
      <c r="AF1287" s="58">
        <v>0</v>
      </c>
      <c r="AG1287" s="58">
        <v>3000</v>
      </c>
      <c r="AH1287" s="58">
        <v>0</v>
      </c>
      <c r="AI1287" s="58">
        <v>0</v>
      </c>
      <c r="AJ1287" s="58">
        <v>0</v>
      </c>
      <c r="AK1287" s="58">
        <v>0</v>
      </c>
      <c r="AL1287" s="75">
        <f>+SUBTOTAL(9,Tabla6[[#This Row],[ENE]:[DIC]])</f>
        <v>3000</v>
      </c>
      <c r="AM1287" s="76" t="str">
        <f t="shared" si="50"/>
        <v>OK</v>
      </c>
      <c r="AN1287" s="60">
        <v>0</v>
      </c>
      <c r="AO1287" s="61">
        <f>+Tabla6[[#This Row],[PRESUPUESTO VIGENTE]]-Tabla6[[#This Row],[CERTIFICACIÓN PAPP]]</f>
        <v>3000</v>
      </c>
      <c r="AP1287" s="59">
        <v>0</v>
      </c>
    </row>
    <row r="1288" spans="1:42" ht="93" customHeight="1" x14ac:dyDescent="0.25">
      <c r="A1288" s="62" t="s">
        <v>88</v>
      </c>
      <c r="B1288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288" s="64" t="s">
        <v>89</v>
      </c>
      <c r="D1288" s="64" t="s">
        <v>113</v>
      </c>
      <c r="E1288" s="64" t="s">
        <v>114</v>
      </c>
      <c r="F1288" s="64" t="s">
        <v>15</v>
      </c>
      <c r="G1288" s="64" t="s">
        <v>16</v>
      </c>
      <c r="H1288" s="65" t="str">
        <f>VLOOKUP(Tabla6[[#This Row],[DIRECCIÓN]],DIRECCIÓN[#All],2,0)</f>
        <v>DOCTRINA</v>
      </c>
      <c r="I1288" s="66" t="s">
        <v>93</v>
      </c>
      <c r="J1288" s="67">
        <v>1</v>
      </c>
      <c r="K1288" s="68" t="str">
        <f>VLOOKUP(Tabla6[[#This Row],[DIRECCIÓN GENERAL / COORDINACIÓN / SUBDIRECCIÓN]],Tabla37[[#All],[Columna1]:[EOD]],2,0)</f>
        <v>266_9999</v>
      </c>
      <c r="L1288" s="69">
        <f>VLOOKUP(Tabla6[[#This Row],[OBJETIVOS PND]],Listas!$A$1:$C$3,3,0)</f>
        <v>55</v>
      </c>
      <c r="M1288" s="70">
        <f>VLOOKUP(Tabla6[[#This Row],[PG]],Listas2!$G$14:$K$16,5,0)</f>
        <v>0</v>
      </c>
      <c r="N1288" s="71">
        <v>1</v>
      </c>
      <c r="O1288" s="72">
        <v>1700</v>
      </c>
      <c r="P1288" s="73" t="str">
        <f>VLOOKUP(Tabla6[[#This Row],[GEO]],Listas!$A$48:$B$77,2,0)</f>
        <v>PICHINCHA</v>
      </c>
      <c r="Q1288" s="70">
        <f>VLOOKUP(Tabla6[[#This Row],[PG]],Listas2!$G$14:$K$16,3,0)</f>
        <v>1</v>
      </c>
      <c r="R1288" s="73">
        <f>VLOOKUP(Tabla6[[#This Row],[PG]],Listas2!H30:'Listas2'!$G$14:$K$16,4,0)</f>
        <v>0</v>
      </c>
      <c r="S1288" s="73">
        <f>VLOOKUP(Tabla6[[#This Row],[PG]],Listas2!$G$14:$K$16,2,0)</f>
        <v>0</v>
      </c>
      <c r="T1288" s="66" t="s">
        <v>84</v>
      </c>
      <c r="U1288" s="74">
        <v>51</v>
      </c>
      <c r="V1288" s="66">
        <v>510512</v>
      </c>
      <c r="W1288" s="63" t="str">
        <f>VLOOKUP(Tabla6[[#This Row],[ÍTEM PRESUPUESTARIO]],Tabla2[#All],2,0)</f>
        <v xml:space="preserve">SUBROGACIÓN </v>
      </c>
      <c r="X1288" s="57">
        <v>0</v>
      </c>
      <c r="Y1288" s="57">
        <f>300+650+600+3500+4400-1628.23</f>
        <v>7821.77</v>
      </c>
      <c r="Z1288" s="58">
        <v>0</v>
      </c>
      <c r="AA1288" s="58">
        <v>0</v>
      </c>
      <c r="AB1288" s="58">
        <v>300</v>
      </c>
      <c r="AC1288" s="58">
        <v>650</v>
      </c>
      <c r="AD1288" s="58">
        <v>0</v>
      </c>
      <c r="AE1288" s="58">
        <v>6871.77</v>
      </c>
      <c r="AF1288" s="58">
        <v>0</v>
      </c>
      <c r="AG1288" s="58">
        <v>0</v>
      </c>
      <c r="AH1288" s="58">
        <v>0</v>
      </c>
      <c r="AI1288" s="58">
        <v>0</v>
      </c>
      <c r="AJ1288" s="58">
        <v>0</v>
      </c>
      <c r="AK1288" s="58">
        <v>0</v>
      </c>
      <c r="AL1288" s="75">
        <f>+SUBTOTAL(9,Tabla6[[#This Row],[ENE]:[DIC]])</f>
        <v>7821.77</v>
      </c>
      <c r="AM1288" s="76" t="str">
        <f t="shared" si="50"/>
        <v>OK</v>
      </c>
      <c r="AN1288" s="60">
        <v>0</v>
      </c>
      <c r="AO1288" s="61">
        <f>+Tabla6[[#This Row],[PRESUPUESTO VIGENTE]]-Tabla6[[#This Row],[CERTIFICACIÓN PAPP]]</f>
        <v>7821.77</v>
      </c>
      <c r="AP1288" s="59">
        <v>0</v>
      </c>
    </row>
    <row r="1289" spans="1:42" ht="93" customHeight="1" x14ac:dyDescent="0.25">
      <c r="A1289" s="62" t="s">
        <v>88</v>
      </c>
      <c r="B1289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289" s="64" t="s">
        <v>89</v>
      </c>
      <c r="D1289" s="64" t="s">
        <v>113</v>
      </c>
      <c r="E1289" s="64" t="s">
        <v>114</v>
      </c>
      <c r="F1289" s="64" t="s">
        <v>15</v>
      </c>
      <c r="G1289" s="64" t="s">
        <v>17</v>
      </c>
      <c r="H1289" s="65" t="str">
        <f>VLOOKUP(Tabla6[[#This Row],[DIRECCIÓN]],DIRECCIÓN[#All],2,0)</f>
        <v>DOCTRINA</v>
      </c>
      <c r="I1289" s="66" t="s">
        <v>93</v>
      </c>
      <c r="J1289" s="67">
        <v>1</v>
      </c>
      <c r="K1289" s="68" t="str">
        <f>VLOOKUP(Tabla6[[#This Row],[DIRECCIÓN GENERAL / COORDINACIÓN / SUBDIRECCIÓN]],Tabla37[[#All],[Columna1]:[EOD]],2,0)</f>
        <v>266_9999</v>
      </c>
      <c r="L1289" s="69">
        <f>VLOOKUP(Tabla6[[#This Row],[OBJETIVOS PND]],Listas!$A$1:$C$3,3,0)</f>
        <v>55</v>
      </c>
      <c r="M1289" s="70">
        <f>VLOOKUP(Tabla6[[#This Row],[PG]],Listas2!$G$14:$K$16,5,0)</f>
        <v>0</v>
      </c>
      <c r="N1289" s="71">
        <v>1</v>
      </c>
      <c r="O1289" s="72">
        <v>1700</v>
      </c>
      <c r="P1289" s="73" t="str">
        <f>VLOOKUP(Tabla6[[#This Row],[GEO]],Listas!$A$48:$B$77,2,0)</f>
        <v>PICHINCHA</v>
      </c>
      <c r="Q1289" s="70">
        <f>VLOOKUP(Tabla6[[#This Row],[PG]],Listas2!$G$14:$K$16,3,0)</f>
        <v>1</v>
      </c>
      <c r="R1289" s="73">
        <f>VLOOKUP(Tabla6[[#This Row],[PG]],Listas2!H31:'Listas2'!$G$14:$K$16,4,0)</f>
        <v>0</v>
      </c>
      <c r="S1289" s="73">
        <f>VLOOKUP(Tabla6[[#This Row],[PG]],Listas2!$G$14:$K$16,2,0)</f>
        <v>0</v>
      </c>
      <c r="T1289" s="66" t="s">
        <v>84</v>
      </c>
      <c r="U1289" s="74">
        <v>51</v>
      </c>
      <c r="V1289" s="66">
        <v>510513</v>
      </c>
      <c r="W1289" s="63" t="str">
        <f>VLOOKUP(Tabla6[[#This Row],[ÍTEM PRESUPUESTARIO]],Tabla2[#All],2,0)</f>
        <v>ENCARGOS</v>
      </c>
      <c r="X1289" s="57">
        <v>0</v>
      </c>
      <c r="Y1289" s="57">
        <f>1000+500+1300-597.8</f>
        <v>2202.1999999999998</v>
      </c>
      <c r="Z1289" s="58">
        <v>0</v>
      </c>
      <c r="AA1289" s="58">
        <v>0</v>
      </c>
      <c r="AB1289" s="58">
        <v>0</v>
      </c>
      <c r="AC1289" s="58">
        <v>0</v>
      </c>
      <c r="AD1289" s="58">
        <v>0</v>
      </c>
      <c r="AE1289" s="58">
        <v>2202.1999999999998</v>
      </c>
      <c r="AF1289" s="58">
        <v>0</v>
      </c>
      <c r="AG1289" s="58">
        <v>0</v>
      </c>
      <c r="AH1289" s="58">
        <v>0</v>
      </c>
      <c r="AI1289" s="58">
        <v>0</v>
      </c>
      <c r="AJ1289" s="58">
        <v>0</v>
      </c>
      <c r="AK1289" s="58">
        <v>0</v>
      </c>
      <c r="AL1289" s="75">
        <f>+SUBTOTAL(9,Tabla6[[#This Row],[ENE]:[DIC]])</f>
        <v>2202.1999999999998</v>
      </c>
      <c r="AM1289" s="76" t="str">
        <f t="shared" si="50"/>
        <v>OK</v>
      </c>
      <c r="AN1289" s="60">
        <v>0</v>
      </c>
      <c r="AO1289" s="61">
        <f>+Tabla6[[#This Row],[PRESUPUESTO VIGENTE]]-Tabla6[[#This Row],[CERTIFICACIÓN PAPP]]</f>
        <v>2202.1999999999998</v>
      </c>
      <c r="AP1289" s="59">
        <v>0</v>
      </c>
    </row>
    <row r="1290" spans="1:42" ht="93" customHeight="1" x14ac:dyDescent="0.25">
      <c r="A1290" s="62" t="s">
        <v>88</v>
      </c>
      <c r="B1290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290" s="64" t="s">
        <v>89</v>
      </c>
      <c r="D1290" s="64" t="s">
        <v>113</v>
      </c>
      <c r="E1290" s="64" t="s">
        <v>114</v>
      </c>
      <c r="F1290" s="64" t="s">
        <v>15</v>
      </c>
      <c r="G1290" s="64" t="s">
        <v>16</v>
      </c>
      <c r="H1290" s="65" t="str">
        <f>VLOOKUP(Tabla6[[#This Row],[DIRECCIÓN]],DIRECCIÓN[#All],2,0)</f>
        <v>DOCTRINA</v>
      </c>
      <c r="I1290" s="66" t="s">
        <v>93</v>
      </c>
      <c r="J1290" s="67">
        <v>1</v>
      </c>
      <c r="K1290" s="68" t="str">
        <f>VLOOKUP(Tabla6[[#This Row],[DIRECCIÓN GENERAL / COORDINACIÓN / SUBDIRECCIÓN]],Tabla37[[#All],[Columna1]:[EOD]],2,0)</f>
        <v>266_9999</v>
      </c>
      <c r="L1290" s="69">
        <f>VLOOKUP(Tabla6[[#This Row],[OBJETIVOS PND]],Listas!$A$1:$C$3,3,0)</f>
        <v>55</v>
      </c>
      <c r="M1290" s="70">
        <f>VLOOKUP(Tabla6[[#This Row],[PG]],Listas2!$G$14:$K$16,5,0)</f>
        <v>0</v>
      </c>
      <c r="N1290" s="71">
        <v>1</v>
      </c>
      <c r="O1290" s="72">
        <v>1700</v>
      </c>
      <c r="P1290" s="73" t="str">
        <f>VLOOKUP(Tabla6[[#This Row],[GEO]],Listas!$A$48:$B$77,2,0)</f>
        <v>PICHINCHA</v>
      </c>
      <c r="Q1290" s="70">
        <f>VLOOKUP(Tabla6[[#This Row],[PG]],Listas2!$G$14:$K$16,3,0)</f>
        <v>1</v>
      </c>
      <c r="R1290" s="73">
        <f>VLOOKUP(Tabla6[[#This Row],[PG]],Listas2!H31:'Listas2'!$G$14:$K$16,4,0)</f>
        <v>0</v>
      </c>
      <c r="S1290" s="73">
        <f>VLOOKUP(Tabla6[[#This Row],[PG]],Listas2!$G$14:$K$16,2,0)</f>
        <v>0</v>
      </c>
      <c r="T1290" s="66" t="s">
        <v>84</v>
      </c>
      <c r="U1290" s="74">
        <v>51</v>
      </c>
      <c r="V1290" s="66">
        <v>510601</v>
      </c>
      <c r="W1290" s="63" t="str">
        <f>VLOOKUP(Tabla6[[#This Row],[ÍTEM PRESUPUESTARIO]],Tabla2[#All],2,0)</f>
        <v>APORTE PATRONAL</v>
      </c>
      <c r="X1290" s="57">
        <v>16751</v>
      </c>
      <c r="Y1290" s="57">
        <f>16751-496+1176.72+213.66+1771.19+16.24</f>
        <v>19432.810000000001</v>
      </c>
      <c r="Z1290" s="58">
        <v>1354.58</v>
      </c>
      <c r="AA1290" s="58">
        <v>1354.58</v>
      </c>
      <c r="AB1290" s="58">
        <v>1354.58</v>
      </c>
      <c r="AC1290" s="58">
        <f>1354.58+130.75</f>
        <v>1485.33</v>
      </c>
      <c r="AD1290" s="58">
        <f>1354.58+130.75</f>
        <v>1485.33</v>
      </c>
      <c r="AE1290" s="58">
        <f t="shared" ref="AE1290:AI1290" si="51">1354.58+130.75+30.52</f>
        <v>1515.85</v>
      </c>
      <c r="AF1290" s="58">
        <f t="shared" si="51"/>
        <v>1515.85</v>
      </c>
      <c r="AG1290" s="58">
        <f t="shared" si="51"/>
        <v>1515.85</v>
      </c>
      <c r="AH1290" s="58">
        <f t="shared" si="51"/>
        <v>1515.85</v>
      </c>
      <c r="AI1290" s="58">
        <f t="shared" si="51"/>
        <v>1515.85</v>
      </c>
      <c r="AJ1290" s="58">
        <v>2401.46</v>
      </c>
      <c r="AK1290" s="58">
        <v>2417.6999999999998</v>
      </c>
      <c r="AL1290" s="75">
        <f>+SUBTOTAL(9,Tabla6[[#This Row],[ENE]:[DIC]])</f>
        <v>19432.810000000001</v>
      </c>
      <c r="AM1290" s="76" t="str">
        <f t="shared" si="50"/>
        <v>OK</v>
      </c>
      <c r="AN1290" s="60">
        <v>0</v>
      </c>
      <c r="AO1290" s="61">
        <f>+Tabla6[[#This Row],[PRESUPUESTO VIGENTE]]-Tabla6[[#This Row],[CERTIFICACIÓN PAPP]]</f>
        <v>19432.810000000001</v>
      </c>
      <c r="AP1290" s="59">
        <v>0</v>
      </c>
    </row>
    <row r="1291" spans="1:42" ht="93" customHeight="1" x14ac:dyDescent="0.25">
      <c r="A1291" s="62" t="s">
        <v>88</v>
      </c>
      <c r="B1291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291" s="64" t="s">
        <v>89</v>
      </c>
      <c r="D1291" s="64" t="s">
        <v>113</v>
      </c>
      <c r="E1291" s="64" t="s">
        <v>114</v>
      </c>
      <c r="F1291" s="64" t="s">
        <v>15</v>
      </c>
      <c r="G1291" s="64" t="s">
        <v>16</v>
      </c>
      <c r="H1291" s="65" t="str">
        <f>VLOOKUP(Tabla6[[#This Row],[DIRECCIÓN]],DIRECCIÓN[#All],2,0)</f>
        <v>DOCTRINA</v>
      </c>
      <c r="I1291" s="66" t="s">
        <v>93</v>
      </c>
      <c r="J1291" s="67">
        <v>1</v>
      </c>
      <c r="K1291" s="68" t="str">
        <f>VLOOKUP(Tabla6[[#This Row],[DIRECCIÓN GENERAL / COORDINACIÓN / SUBDIRECCIÓN]],Tabla37[[#All],[Columna1]:[EOD]],2,0)</f>
        <v>266_9999</v>
      </c>
      <c r="L1291" s="69">
        <f>VLOOKUP(Tabla6[[#This Row],[OBJETIVOS PND]],Listas!$A$1:$C$3,3,0)</f>
        <v>55</v>
      </c>
      <c r="M1291" s="70">
        <f>VLOOKUP(Tabla6[[#This Row],[PG]],Listas2!$G$14:$K$16,5,0)</f>
        <v>0</v>
      </c>
      <c r="N1291" s="71">
        <v>1</v>
      </c>
      <c r="O1291" s="72">
        <v>1700</v>
      </c>
      <c r="P1291" s="73" t="str">
        <f>VLOOKUP(Tabla6[[#This Row],[GEO]],Listas!$A$48:$B$77,2,0)</f>
        <v>PICHINCHA</v>
      </c>
      <c r="Q1291" s="70">
        <f>VLOOKUP(Tabla6[[#This Row],[PG]],Listas2!$G$14:$K$16,3,0)</f>
        <v>1</v>
      </c>
      <c r="R1291" s="73">
        <f>VLOOKUP(Tabla6[[#This Row],[PG]],Listas2!H32:'Listas2'!$G$14:$K$16,4,0)</f>
        <v>0</v>
      </c>
      <c r="S1291" s="73">
        <f>VLOOKUP(Tabla6[[#This Row],[PG]],Listas2!$G$14:$K$16,2,0)</f>
        <v>0</v>
      </c>
      <c r="T1291" s="66" t="s">
        <v>84</v>
      </c>
      <c r="U1291" s="74">
        <v>51</v>
      </c>
      <c r="V1291" s="66">
        <v>510602</v>
      </c>
      <c r="W1291" s="63" t="str">
        <f>VLOOKUP(Tabla6[[#This Row],[ÍTEM PRESUPUESTARIO]],Tabla2[#All],2,0)</f>
        <v>FONDO DE RESERVA</v>
      </c>
      <c r="X1291" s="57">
        <v>12466</v>
      </c>
      <c r="Y1291" s="57">
        <f>12466+959+2400.9-1205.5-415.92</f>
        <v>14204.48</v>
      </c>
      <c r="Z1291" s="58">
        <v>1118.75</v>
      </c>
      <c r="AA1291" s="58">
        <v>1118.75</v>
      </c>
      <c r="AB1291" s="58">
        <v>1118.75</v>
      </c>
      <c r="AC1291" s="58">
        <f>1118.75+266.77</f>
        <v>1385.52</v>
      </c>
      <c r="AD1291" s="58">
        <f t="shared" ref="AD1291:AJ1291" si="52">1118.75+266.77-150.69</f>
        <v>1234.83</v>
      </c>
      <c r="AE1291" s="58">
        <f t="shared" si="52"/>
        <v>1234.83</v>
      </c>
      <c r="AF1291" s="58">
        <f t="shared" si="52"/>
        <v>1234.83</v>
      </c>
      <c r="AG1291" s="58">
        <f t="shared" si="52"/>
        <v>1234.83</v>
      </c>
      <c r="AH1291" s="58">
        <f t="shared" si="52"/>
        <v>1234.83</v>
      </c>
      <c r="AI1291" s="58">
        <f t="shared" si="52"/>
        <v>1234.83</v>
      </c>
      <c r="AJ1291" s="58">
        <f t="shared" si="52"/>
        <v>1234.83</v>
      </c>
      <c r="AK1291" s="58">
        <v>818.9</v>
      </c>
      <c r="AL1291" s="75">
        <f>+SUBTOTAL(9,Tabla6[[#This Row],[ENE]:[DIC]])</f>
        <v>14204.48</v>
      </c>
      <c r="AM1291" s="76" t="str">
        <f t="shared" si="50"/>
        <v>OK</v>
      </c>
      <c r="AN1291" s="60">
        <v>0</v>
      </c>
      <c r="AO1291" s="61">
        <f>+Tabla6[[#This Row],[PRESUPUESTO VIGENTE]]-Tabla6[[#This Row],[CERTIFICACIÓN PAPP]]</f>
        <v>14204.48</v>
      </c>
      <c r="AP1291" s="59">
        <v>0</v>
      </c>
    </row>
    <row r="1292" spans="1:42" ht="93" customHeight="1" x14ac:dyDescent="0.25">
      <c r="A1292" s="62" t="s">
        <v>88</v>
      </c>
      <c r="B1292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292" s="64" t="s">
        <v>89</v>
      </c>
      <c r="D1292" s="64" t="s">
        <v>113</v>
      </c>
      <c r="E1292" s="64" t="s">
        <v>114</v>
      </c>
      <c r="F1292" s="64" t="s">
        <v>15</v>
      </c>
      <c r="G1292" s="64" t="s">
        <v>16</v>
      </c>
      <c r="H1292" s="65" t="str">
        <f>VLOOKUP(Tabla6[[#This Row],[DIRECCIÓN]],DIRECCIÓN[#All],2,0)</f>
        <v>DOCTRINA</v>
      </c>
      <c r="I1292" s="66" t="s">
        <v>93</v>
      </c>
      <c r="J1292" s="67">
        <v>1</v>
      </c>
      <c r="K1292" s="68" t="str">
        <f>VLOOKUP(Tabla6[[#This Row],[DIRECCIÓN GENERAL / COORDINACIÓN / SUBDIRECCIÓN]],Tabla37[[#All],[Columna1]:[EOD]],2,0)</f>
        <v>266_9999</v>
      </c>
      <c r="L1292" s="69">
        <f>VLOOKUP(Tabla6[[#This Row],[OBJETIVOS PND]],Listas!$A$1:$C$3,3,0)</f>
        <v>55</v>
      </c>
      <c r="M1292" s="70">
        <f>VLOOKUP(Tabla6[[#This Row],[PG]],Listas2!$G$14:$K$16,5,0)</f>
        <v>0</v>
      </c>
      <c r="N1292" s="71">
        <v>1</v>
      </c>
      <c r="O1292" s="72">
        <v>1700</v>
      </c>
      <c r="P1292" s="73" t="str">
        <f>VLOOKUP(Tabla6[[#This Row],[GEO]],Listas!$A$48:$B$77,2,0)</f>
        <v>PICHINCHA</v>
      </c>
      <c r="Q1292" s="70">
        <f>VLOOKUP(Tabla6[[#This Row],[PG]],Listas2!$G$14:$K$16,3,0)</f>
        <v>1</v>
      </c>
      <c r="R1292" s="73">
        <f>VLOOKUP(Tabla6[[#This Row],[PG]],Listas2!H33:'Listas2'!$G$14:$K$16,4,0)</f>
        <v>0</v>
      </c>
      <c r="S1292" s="73">
        <f>VLOOKUP(Tabla6[[#This Row],[PG]],Listas2!$G$14:$K$16,2,0)</f>
        <v>0</v>
      </c>
      <c r="T1292" s="66" t="s">
        <v>84</v>
      </c>
      <c r="U1292" s="74">
        <v>51</v>
      </c>
      <c r="V1292" s="66">
        <v>510707</v>
      </c>
      <c r="W1292" s="63" t="str">
        <f>VLOOKUP(Tabla6[[#This Row],[ÍTEM PRESUPUESTARIO]],Tabla2[#All],2,0)</f>
        <v>COMPENSACIÓN POR VACACIONES NO GOZADAS POR CESACIÓN DE FUNCIONES</v>
      </c>
      <c r="X1292" s="57">
        <v>0</v>
      </c>
      <c r="Y1292" s="57">
        <f>1761.86-1761.86</f>
        <v>0</v>
      </c>
      <c r="Z1292" s="58">
        <v>0</v>
      </c>
      <c r="AA1292" s="58">
        <v>0</v>
      </c>
      <c r="AB1292" s="58">
        <v>0</v>
      </c>
      <c r="AC1292" s="58">
        <v>0</v>
      </c>
      <c r="AD1292" s="58">
        <v>0</v>
      </c>
      <c r="AE1292" s="58">
        <v>0</v>
      </c>
      <c r="AF1292" s="58">
        <v>0</v>
      </c>
      <c r="AG1292" s="58">
        <v>0</v>
      </c>
      <c r="AH1292" s="58">
        <v>0</v>
      </c>
      <c r="AI1292" s="58">
        <v>0</v>
      </c>
      <c r="AJ1292" s="58">
        <v>0</v>
      </c>
      <c r="AK1292" s="58">
        <v>0</v>
      </c>
      <c r="AL1292" s="75">
        <f>+SUBTOTAL(9,Tabla6[[#This Row],[ENE]:[DIC]])</f>
        <v>0</v>
      </c>
      <c r="AM1292" s="76" t="str">
        <f t="shared" si="50"/>
        <v>OK</v>
      </c>
      <c r="AN1292" s="60">
        <v>0</v>
      </c>
      <c r="AO1292" s="61">
        <f>+Tabla6[[#This Row],[PRESUPUESTO VIGENTE]]-Tabla6[[#This Row],[CERTIFICACIÓN PAPP]]</f>
        <v>0</v>
      </c>
      <c r="AP1292" s="59">
        <v>0</v>
      </c>
    </row>
    <row r="1293" spans="1:42" ht="93" customHeight="1" x14ac:dyDescent="0.25">
      <c r="A1293" s="62" t="s">
        <v>88</v>
      </c>
      <c r="B1293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293" s="64" t="s">
        <v>89</v>
      </c>
      <c r="D1293" s="64" t="s">
        <v>113</v>
      </c>
      <c r="E1293" s="64" t="s">
        <v>114</v>
      </c>
      <c r="F1293" s="64" t="s">
        <v>18</v>
      </c>
      <c r="G1293" s="64" t="s">
        <v>19</v>
      </c>
      <c r="H1293" s="65" t="str">
        <f>VLOOKUP(Tabla6[[#This Row],[DIRECCIÓN]],DIRECCIÓN[#All],2,0)</f>
        <v>OPERACIONES</v>
      </c>
      <c r="I1293" s="66" t="s">
        <v>93</v>
      </c>
      <c r="J1293" s="67">
        <v>1</v>
      </c>
      <c r="K1293" s="68" t="str">
        <f>VLOOKUP(Tabla6[[#This Row],[DIRECCIÓN GENERAL / COORDINACIÓN / SUBDIRECCIÓN]],Tabla37[[#All],[Columna1]:[EOD]],2,0)</f>
        <v>266_9999</v>
      </c>
      <c r="L1293" s="69">
        <f>VLOOKUP(Tabla6[[#This Row],[OBJETIVOS PND]],Listas!$A$1:$C$3,3,0)</f>
        <v>55</v>
      </c>
      <c r="M1293" s="70">
        <f>VLOOKUP(Tabla6[[#This Row],[PG]],Listas2!$G$14:$K$16,5,0)</f>
        <v>0</v>
      </c>
      <c r="N1293" s="71">
        <v>2</v>
      </c>
      <c r="O1293" s="72">
        <v>1700</v>
      </c>
      <c r="P1293" s="73" t="str">
        <f>VLOOKUP(Tabla6[[#This Row],[GEO]],Listas!$A$48:$B$77,2,0)</f>
        <v>PICHINCHA</v>
      </c>
      <c r="Q1293" s="70">
        <f>VLOOKUP(Tabla6[[#This Row],[PG]],Listas2!$G$14:$K$16,3,0)</f>
        <v>1</v>
      </c>
      <c r="R1293" s="73">
        <f>VLOOKUP(Tabla6[[#This Row],[PG]],Listas2!H33:'Listas2'!$G$14:$K$16,4,0)</f>
        <v>0</v>
      </c>
      <c r="S1293" s="73">
        <f>VLOOKUP(Tabla6[[#This Row],[PG]],Listas2!$G$14:$K$16,2,0)</f>
        <v>0</v>
      </c>
      <c r="T1293" s="66" t="s">
        <v>84</v>
      </c>
      <c r="U1293" s="74">
        <v>51</v>
      </c>
      <c r="V1293" s="66">
        <v>510105</v>
      </c>
      <c r="W1293" s="63" t="str">
        <f>VLOOKUP(Tabla6[[#This Row],[ÍTEM PRESUPUESTARIO]],Tabla2[#All],2,0)</f>
        <v>REMUNERACIONES UNIFICADAS</v>
      </c>
      <c r="X1293" s="57">
        <v>1354716</v>
      </c>
      <c r="Y1293" s="57">
        <f>1354716-733-3914.47-999.64-10044.23-16501.16-1900-3039.61-9493.6</f>
        <v>1308090.29</v>
      </c>
      <c r="Z1293" s="58">
        <v>112831.92</v>
      </c>
      <c r="AA1293" s="58">
        <v>112831.92</v>
      </c>
      <c r="AB1293" s="58">
        <v>112440.47</v>
      </c>
      <c r="AC1293" s="58">
        <f>112440.47-111.07</f>
        <v>112329.4</v>
      </c>
      <c r="AD1293" s="58">
        <f>112440.47-111.07-1255.53</f>
        <v>111073.87</v>
      </c>
      <c r="AE1293" s="58">
        <f>112440.47-111.07-1255.53-2357.31</f>
        <v>108716.56</v>
      </c>
      <c r="AF1293" s="58">
        <f>112440.47-111.07-1255.53-2357.31</f>
        <v>108716.56</v>
      </c>
      <c r="AG1293" s="58">
        <f>112440.47-111.07-1255.53-2357.31-380</f>
        <v>108336.56</v>
      </c>
      <c r="AH1293" s="58">
        <f>112440.47-111.07-1255.53-2357.31-380</f>
        <v>108336.56</v>
      </c>
      <c r="AI1293" s="58">
        <f>112440.47-111.07-1255.53-2357.31-380-1013.2</f>
        <v>107323.36</v>
      </c>
      <c r="AJ1293" s="58">
        <f>112440.47-111.07-1255.53-2357.31-380-1013.2</f>
        <v>107323.36</v>
      </c>
      <c r="AK1293" s="58">
        <v>97829.75</v>
      </c>
      <c r="AL1293" s="75">
        <f>+SUBTOTAL(9,Tabla6[[#This Row],[ENE]:[DIC]])</f>
        <v>1308090.2900000003</v>
      </c>
      <c r="AM1293" s="76" t="str">
        <f t="shared" si="50"/>
        <v>OK</v>
      </c>
      <c r="AN1293" s="60">
        <v>0</v>
      </c>
      <c r="AO1293" s="61">
        <f>+Tabla6[[#This Row],[PRESUPUESTO VIGENTE]]-Tabla6[[#This Row],[CERTIFICACIÓN PAPP]]</f>
        <v>1308090.29</v>
      </c>
      <c r="AP1293" s="59">
        <v>0</v>
      </c>
    </row>
    <row r="1294" spans="1:42" ht="93" customHeight="1" x14ac:dyDescent="0.25">
      <c r="A1294" s="62" t="s">
        <v>88</v>
      </c>
      <c r="B1294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294" s="64" t="s">
        <v>89</v>
      </c>
      <c r="D1294" s="64" t="s">
        <v>113</v>
      </c>
      <c r="E1294" s="64" t="s">
        <v>114</v>
      </c>
      <c r="F1294" s="64" t="s">
        <v>18</v>
      </c>
      <c r="G1294" s="64" t="s">
        <v>19</v>
      </c>
      <c r="H1294" s="65" t="str">
        <f>VLOOKUP(Tabla6[[#This Row],[DIRECCIÓN]],DIRECCIÓN[#All],2,0)</f>
        <v>OPERACIONES</v>
      </c>
      <c r="I1294" s="66" t="s">
        <v>93</v>
      </c>
      <c r="J1294" s="67">
        <v>1</v>
      </c>
      <c r="K1294" s="68" t="str">
        <f>VLOOKUP(Tabla6[[#This Row],[DIRECCIÓN GENERAL / COORDINACIÓN / SUBDIRECCIÓN]],Tabla37[[#All],[Columna1]:[EOD]],2,0)</f>
        <v>266_9999</v>
      </c>
      <c r="L1294" s="69">
        <f>VLOOKUP(Tabla6[[#This Row],[OBJETIVOS PND]],Listas!$A$1:$C$3,3,0)</f>
        <v>55</v>
      </c>
      <c r="M1294" s="70">
        <f>VLOOKUP(Tabla6[[#This Row],[PG]],Listas2!$G$14:$K$16,5,0)</f>
        <v>0</v>
      </c>
      <c r="N1294" s="71">
        <v>2</v>
      </c>
      <c r="O1294" s="72">
        <v>1700</v>
      </c>
      <c r="P1294" s="73" t="str">
        <f>VLOOKUP(Tabla6[[#This Row],[GEO]],Listas!$A$48:$B$77,2,0)</f>
        <v>PICHINCHA</v>
      </c>
      <c r="Q1294" s="70">
        <f>VLOOKUP(Tabla6[[#This Row],[PG]],Listas2!$G$14:$K$16,3,0)</f>
        <v>1</v>
      </c>
      <c r="R1294" s="73">
        <f>VLOOKUP(Tabla6[[#This Row],[PG]],Listas2!H34:'Listas2'!$G$14:$K$16,4,0)</f>
        <v>0</v>
      </c>
      <c r="S1294" s="73">
        <f>VLOOKUP(Tabla6[[#This Row],[PG]],Listas2!$G$14:$K$16,2,0)</f>
        <v>0</v>
      </c>
      <c r="T1294" s="66" t="s">
        <v>84</v>
      </c>
      <c r="U1294" s="74">
        <v>51</v>
      </c>
      <c r="V1294" s="66">
        <v>510203</v>
      </c>
      <c r="W1294" s="63" t="str">
        <f>VLOOKUP(Tabla6[[#This Row],[ÍTEM PRESUPUESTARIO]],Tabla2[#All],2,0)</f>
        <v>DÉCIMO TERCER SUELDO</v>
      </c>
      <c r="X1294" s="57">
        <v>80791</v>
      </c>
      <c r="Y1294" s="57">
        <f>80791+3706+18412.9+8122.16+12102.96-2603.11</f>
        <v>120531.90999999999</v>
      </c>
      <c r="Z1294" s="58">
        <v>0</v>
      </c>
      <c r="AA1294" s="58">
        <v>0</v>
      </c>
      <c r="AB1294" s="58">
        <v>0</v>
      </c>
      <c r="AC1294" s="58">
        <v>0</v>
      </c>
      <c r="AD1294" s="58">
        <v>0</v>
      </c>
      <c r="AE1294" s="58">
        <v>0</v>
      </c>
      <c r="AF1294" s="58">
        <v>0</v>
      </c>
      <c r="AG1294" s="58">
        <v>0</v>
      </c>
      <c r="AH1294" s="58">
        <v>0</v>
      </c>
      <c r="AI1294" s="58">
        <v>0</v>
      </c>
      <c r="AJ1294" s="58">
        <v>0</v>
      </c>
      <c r="AK1294" s="58">
        <v>120531.91</v>
      </c>
      <c r="AL1294" s="75">
        <f>+SUBTOTAL(9,Tabla6[[#This Row],[ENE]:[DIC]])</f>
        <v>120531.91</v>
      </c>
      <c r="AM1294" s="76" t="str">
        <f t="shared" si="50"/>
        <v>OK</v>
      </c>
      <c r="AN1294" s="60">
        <v>0</v>
      </c>
      <c r="AO1294" s="61">
        <f>+Tabla6[[#This Row],[PRESUPUESTO VIGENTE]]-Tabla6[[#This Row],[CERTIFICACIÓN PAPP]]</f>
        <v>120531.90999999999</v>
      </c>
      <c r="AP1294" s="59">
        <v>0</v>
      </c>
    </row>
    <row r="1295" spans="1:42" ht="93" customHeight="1" x14ac:dyDescent="0.25">
      <c r="A1295" s="62" t="s">
        <v>88</v>
      </c>
      <c r="B1295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295" s="64" t="s">
        <v>89</v>
      </c>
      <c r="D1295" s="64" t="s">
        <v>113</v>
      </c>
      <c r="E1295" s="64" t="s">
        <v>114</v>
      </c>
      <c r="F1295" s="64" t="s">
        <v>18</v>
      </c>
      <c r="G1295" s="64" t="s">
        <v>19</v>
      </c>
      <c r="H1295" s="65" t="str">
        <f>VLOOKUP(Tabla6[[#This Row],[DIRECCIÓN]],DIRECCIÓN[#All],2,0)</f>
        <v>OPERACIONES</v>
      </c>
      <c r="I1295" s="66" t="s">
        <v>93</v>
      </c>
      <c r="J1295" s="67">
        <v>1</v>
      </c>
      <c r="K1295" s="68" t="str">
        <f>VLOOKUP(Tabla6[[#This Row],[DIRECCIÓN GENERAL / COORDINACIÓN / SUBDIRECCIÓN]],Tabla37[[#All],[Columna1]:[EOD]],2,0)</f>
        <v>266_9999</v>
      </c>
      <c r="L1295" s="69">
        <f>VLOOKUP(Tabla6[[#This Row],[OBJETIVOS PND]],Listas!$A$1:$C$3,3,0)</f>
        <v>55</v>
      </c>
      <c r="M1295" s="70">
        <f>VLOOKUP(Tabla6[[#This Row],[PG]],Listas2!$G$14:$K$16,5,0)</f>
        <v>0</v>
      </c>
      <c r="N1295" s="71">
        <v>2</v>
      </c>
      <c r="O1295" s="72">
        <v>1700</v>
      </c>
      <c r="P1295" s="73" t="str">
        <f>VLOOKUP(Tabla6[[#This Row],[GEO]],Listas!$A$48:$B$77,2,0)</f>
        <v>PICHINCHA</v>
      </c>
      <c r="Q1295" s="70">
        <f>VLOOKUP(Tabla6[[#This Row],[PG]],Listas2!$G$14:$K$16,3,0)</f>
        <v>1</v>
      </c>
      <c r="R1295" s="73">
        <f>VLOOKUP(Tabla6[[#This Row],[PG]],Listas2!H35:'Listas2'!$G$14:$K$16,4,0)</f>
        <v>0</v>
      </c>
      <c r="S1295" s="73">
        <f>VLOOKUP(Tabla6[[#This Row],[PG]],Listas2!$G$14:$K$16,2,0)</f>
        <v>0</v>
      </c>
      <c r="T1295" s="66" t="s">
        <v>84</v>
      </c>
      <c r="U1295" s="74">
        <v>51</v>
      </c>
      <c r="V1295" s="66">
        <v>510204</v>
      </c>
      <c r="W1295" s="63" t="str">
        <f>VLOOKUP(Tabla6[[#This Row],[ÍTEM PRESUPUESTARIO]],Tabla2[#All],2,0)</f>
        <v>DÉCIMO CUARTO SUELDO</v>
      </c>
      <c r="X1295" s="57">
        <v>64600</v>
      </c>
      <c r="Y1295" s="57">
        <f>64600+2249+751.81+1687.08-3180.85-3757.5</f>
        <v>62349.539999999994</v>
      </c>
      <c r="Z1295" s="58">
        <v>0</v>
      </c>
      <c r="AA1295" s="58">
        <v>0</v>
      </c>
      <c r="AB1295" s="58">
        <v>0</v>
      </c>
      <c r="AC1295" s="58">
        <v>0</v>
      </c>
      <c r="AD1295" s="58">
        <v>0</v>
      </c>
      <c r="AE1295" s="58">
        <v>0</v>
      </c>
      <c r="AF1295" s="58">
        <v>0</v>
      </c>
      <c r="AG1295" s="58">
        <v>62349.54</v>
      </c>
      <c r="AH1295" s="58">
        <v>0</v>
      </c>
      <c r="AI1295" s="58">
        <v>0</v>
      </c>
      <c r="AJ1295" s="58">
        <v>0</v>
      </c>
      <c r="AK1295" s="58">
        <v>0</v>
      </c>
      <c r="AL1295" s="75">
        <f>+SUBTOTAL(9,Tabla6[[#This Row],[ENE]:[DIC]])</f>
        <v>62349.54</v>
      </c>
      <c r="AM1295" s="76" t="str">
        <f t="shared" si="50"/>
        <v>OK</v>
      </c>
      <c r="AN1295" s="60">
        <v>0</v>
      </c>
      <c r="AO1295" s="61">
        <f>+Tabla6[[#This Row],[PRESUPUESTO VIGENTE]]-Tabla6[[#This Row],[CERTIFICACIÓN PAPP]]</f>
        <v>62349.539999999994</v>
      </c>
      <c r="AP1295" s="59">
        <v>0</v>
      </c>
    </row>
    <row r="1296" spans="1:42" ht="93" customHeight="1" x14ac:dyDescent="0.25">
      <c r="A1296" s="62" t="s">
        <v>88</v>
      </c>
      <c r="B1296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296" s="64" t="s">
        <v>89</v>
      </c>
      <c r="D1296" s="64" t="s">
        <v>113</v>
      </c>
      <c r="E1296" s="64" t="s">
        <v>114</v>
      </c>
      <c r="F1296" s="64" t="s">
        <v>18</v>
      </c>
      <c r="G1296" s="64" t="s">
        <v>19</v>
      </c>
      <c r="H1296" s="65" t="str">
        <f>VLOOKUP(Tabla6[[#This Row],[DIRECCIÓN]],DIRECCIÓN[#All],2,0)</f>
        <v>OPERACIONES</v>
      </c>
      <c r="I1296" s="66" t="s">
        <v>93</v>
      </c>
      <c r="J1296" s="67">
        <v>1</v>
      </c>
      <c r="K1296" s="68" t="str">
        <f>VLOOKUP(Tabla6[[#This Row],[DIRECCIÓN GENERAL / COORDINACIÓN / SUBDIRECCIÓN]],Tabla37[[#All],[Columna1]:[EOD]],2,0)</f>
        <v>266_9999</v>
      </c>
      <c r="L1296" s="69">
        <f>VLOOKUP(Tabla6[[#This Row],[OBJETIVOS PND]],Listas!$A$1:$C$3,3,0)</f>
        <v>55</v>
      </c>
      <c r="M1296" s="70">
        <f>VLOOKUP(Tabla6[[#This Row],[PG]],Listas2!$G$14:$K$16,5,0)</f>
        <v>0</v>
      </c>
      <c r="N1296" s="71">
        <v>2</v>
      </c>
      <c r="O1296" s="72">
        <v>1700</v>
      </c>
      <c r="P1296" s="73" t="str">
        <f>VLOOKUP(Tabla6[[#This Row],[GEO]],Listas!$A$48:$B$77,2,0)</f>
        <v>PICHINCHA</v>
      </c>
      <c r="Q1296" s="70">
        <f>VLOOKUP(Tabla6[[#This Row],[PG]],Listas2!$G$14:$K$16,3,0)</f>
        <v>1</v>
      </c>
      <c r="R1296" s="73">
        <f>VLOOKUP(Tabla6[[#This Row],[PG]],Listas2!H36:'Listas2'!$G$14:$K$16,4,0)</f>
        <v>0</v>
      </c>
      <c r="S1296" s="73">
        <f>VLOOKUP(Tabla6[[#This Row],[PG]],Listas2!$G$14:$K$16,2,0)</f>
        <v>0</v>
      </c>
      <c r="T1296" s="66" t="s">
        <v>84</v>
      </c>
      <c r="U1296" s="74">
        <v>51</v>
      </c>
      <c r="V1296" s="66">
        <v>510510</v>
      </c>
      <c r="W1296" s="63" t="str">
        <f>VLOOKUP(Tabla6[[#This Row],[ÍTEM PRESUPUESTARIO]],Tabla2[#All],2,0)</f>
        <v>SERVICIOS PERSONALES POR CONTRATO</v>
      </c>
      <c r="X1296" s="57">
        <v>166776</v>
      </c>
      <c r="Y1296" s="57">
        <f>166776-17592-2932-1300-3098</f>
        <v>141854</v>
      </c>
      <c r="Z1296" s="58">
        <v>12432</v>
      </c>
      <c r="AA1296" s="58">
        <v>12432</v>
      </c>
      <c r="AB1296" s="58">
        <v>12432</v>
      </c>
      <c r="AC1296" s="58">
        <v>12432</v>
      </c>
      <c r="AD1296" s="58">
        <f>12432-366.5</f>
        <v>12065.5</v>
      </c>
      <c r="AE1296" s="58">
        <f>12432-366.5</f>
        <v>12065.5</v>
      </c>
      <c r="AF1296" s="58">
        <f>12432-366.5</f>
        <v>12065.5</v>
      </c>
      <c r="AG1296" s="58">
        <f>12432-366.5-260</f>
        <v>11805.5</v>
      </c>
      <c r="AH1296" s="58">
        <f>12432-366.5-260</f>
        <v>11805.5</v>
      </c>
      <c r="AI1296" s="58">
        <f>12432-366.5-260</f>
        <v>11805.5</v>
      </c>
      <c r="AJ1296" s="58">
        <f>12432-366.5-260</f>
        <v>11805.5</v>
      </c>
      <c r="AK1296" s="58">
        <v>8707.5</v>
      </c>
      <c r="AL1296" s="75">
        <f>+SUBTOTAL(9,Tabla6[[#This Row],[ENE]:[DIC]])</f>
        <v>141854</v>
      </c>
      <c r="AM1296" s="76" t="str">
        <f t="shared" si="50"/>
        <v>OK</v>
      </c>
      <c r="AN1296" s="60">
        <v>0</v>
      </c>
      <c r="AO1296" s="61">
        <f>+Tabla6[[#This Row],[PRESUPUESTO VIGENTE]]-Tabla6[[#This Row],[CERTIFICACIÓN PAPP]]</f>
        <v>141854</v>
      </c>
      <c r="AP1296" s="59">
        <v>0</v>
      </c>
    </row>
    <row r="1297" spans="1:42" ht="93" customHeight="1" x14ac:dyDescent="0.25">
      <c r="A1297" s="62" t="s">
        <v>88</v>
      </c>
      <c r="B1297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297" s="64" t="s">
        <v>89</v>
      </c>
      <c r="D1297" s="64" t="s">
        <v>113</v>
      </c>
      <c r="E1297" s="64" t="s">
        <v>114</v>
      </c>
      <c r="F1297" s="64" t="s">
        <v>18</v>
      </c>
      <c r="G1297" s="64" t="s">
        <v>19</v>
      </c>
      <c r="H1297" s="65" t="str">
        <f>VLOOKUP(Tabla6[[#This Row],[DIRECCIÓN]],DIRECCIÓN[#All],2,0)</f>
        <v>OPERACIONES</v>
      </c>
      <c r="I1297" s="66" t="s">
        <v>93</v>
      </c>
      <c r="J1297" s="67">
        <v>1</v>
      </c>
      <c r="K1297" s="68" t="str">
        <f>VLOOKUP(Tabla6[[#This Row],[DIRECCIÓN GENERAL / COORDINACIÓN / SUBDIRECCIÓN]],Tabla37[[#All],[Columna1]:[EOD]],2,0)</f>
        <v>266_9999</v>
      </c>
      <c r="L1297" s="69">
        <f>VLOOKUP(Tabla6[[#This Row],[OBJETIVOS PND]],Listas!$A$1:$C$3,3,0)</f>
        <v>55</v>
      </c>
      <c r="M1297" s="70">
        <f>VLOOKUP(Tabla6[[#This Row],[PG]],Listas2!$G$14:$K$16,5,0)</f>
        <v>0</v>
      </c>
      <c r="N1297" s="71">
        <v>2</v>
      </c>
      <c r="O1297" s="72">
        <v>1700</v>
      </c>
      <c r="P1297" s="73" t="str">
        <f>VLOOKUP(Tabla6[[#This Row],[GEO]],Listas!$A$48:$B$77,2,0)</f>
        <v>PICHINCHA</v>
      </c>
      <c r="Q1297" s="70">
        <f>VLOOKUP(Tabla6[[#This Row],[PG]],Listas2!$G$14:$K$16,3,0)</f>
        <v>1</v>
      </c>
      <c r="R1297" s="73">
        <f>VLOOKUP(Tabla6[[#This Row],[PG]],Listas2!H37:'Listas2'!$G$14:$K$16,4,0)</f>
        <v>0</v>
      </c>
      <c r="S1297" s="73">
        <f>VLOOKUP(Tabla6[[#This Row],[PG]],Listas2!$G$14:$K$16,2,0)</f>
        <v>0</v>
      </c>
      <c r="T1297" s="66" t="s">
        <v>84</v>
      </c>
      <c r="U1297" s="74">
        <v>51</v>
      </c>
      <c r="V1297" s="66">
        <v>510512</v>
      </c>
      <c r="W1297" s="63" t="str">
        <f>VLOOKUP(Tabla6[[#This Row],[ÍTEM PRESUPUESTARIO]],Tabla2[#All],2,0)</f>
        <v xml:space="preserve">SUBROGACIÓN </v>
      </c>
      <c r="X1297" s="57">
        <v>1000</v>
      </c>
      <c r="Y1297" s="57">
        <f>1000+182+1986-530+400+1000-491.73</f>
        <v>3546.27</v>
      </c>
      <c r="Z1297" s="58">
        <v>98.5</v>
      </c>
      <c r="AA1297" s="58">
        <v>98.5</v>
      </c>
      <c r="AB1297" s="58">
        <v>297.10000000000002</v>
      </c>
      <c r="AC1297" s="58">
        <f>297.1-58.89</f>
        <v>238.21000000000004</v>
      </c>
      <c r="AD1297" s="58">
        <f>297.1-58.89+50</f>
        <v>288.21000000000004</v>
      </c>
      <c r="AE1297" s="58">
        <f t="shared" ref="AE1297:AI1297" si="53">297.1-58.89+50+142.86</f>
        <v>431.07000000000005</v>
      </c>
      <c r="AF1297" s="58">
        <f t="shared" si="53"/>
        <v>431.07000000000005</v>
      </c>
      <c r="AG1297" s="58">
        <f t="shared" si="53"/>
        <v>431.07000000000005</v>
      </c>
      <c r="AH1297" s="58">
        <f t="shared" si="53"/>
        <v>431.07000000000005</v>
      </c>
      <c r="AI1297" s="58">
        <f t="shared" si="53"/>
        <v>431.07000000000005</v>
      </c>
      <c r="AJ1297" s="58">
        <v>370.4</v>
      </c>
      <c r="AK1297" s="58">
        <v>0</v>
      </c>
      <c r="AL1297" s="75">
        <f>+SUBTOTAL(9,Tabla6[[#This Row],[ENE]:[DIC]])</f>
        <v>3546.2700000000009</v>
      </c>
      <c r="AM1297" s="76" t="str">
        <f t="shared" si="50"/>
        <v>OK</v>
      </c>
      <c r="AN1297" s="60">
        <v>0</v>
      </c>
      <c r="AO1297" s="61">
        <f>+Tabla6[[#This Row],[PRESUPUESTO VIGENTE]]-Tabla6[[#This Row],[CERTIFICACIÓN PAPP]]</f>
        <v>3546.27</v>
      </c>
      <c r="AP1297" s="59">
        <v>0</v>
      </c>
    </row>
    <row r="1298" spans="1:42" ht="93" customHeight="1" x14ac:dyDescent="0.25">
      <c r="A1298" s="62" t="s">
        <v>88</v>
      </c>
      <c r="B1298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298" s="64" t="s">
        <v>89</v>
      </c>
      <c r="D1298" s="64" t="s">
        <v>113</v>
      </c>
      <c r="E1298" s="64" t="s">
        <v>114</v>
      </c>
      <c r="F1298" s="64" t="s">
        <v>18</v>
      </c>
      <c r="G1298" s="64" t="s">
        <v>19</v>
      </c>
      <c r="H1298" s="65" t="str">
        <f>VLOOKUP(Tabla6[[#This Row],[DIRECCIÓN]],DIRECCIÓN[#All],2,0)</f>
        <v>OPERACIONES</v>
      </c>
      <c r="I1298" s="66" t="s">
        <v>93</v>
      </c>
      <c r="J1298" s="67">
        <v>1</v>
      </c>
      <c r="K1298" s="68" t="str">
        <f>VLOOKUP(Tabla6[[#This Row],[DIRECCIÓN GENERAL / COORDINACIÓN / SUBDIRECCIÓN]],Tabla37[[#All],[Columna1]:[EOD]],2,0)</f>
        <v>266_9999</v>
      </c>
      <c r="L1298" s="69">
        <f>VLOOKUP(Tabla6[[#This Row],[OBJETIVOS PND]],Listas!$A$1:$C$3,3,0)</f>
        <v>55</v>
      </c>
      <c r="M1298" s="70">
        <f>VLOOKUP(Tabla6[[#This Row],[PG]],Listas2!$G$14:$K$16,5,0)</f>
        <v>0</v>
      </c>
      <c r="N1298" s="71">
        <v>2</v>
      </c>
      <c r="O1298" s="72">
        <v>1700</v>
      </c>
      <c r="P1298" s="73" t="str">
        <f>VLOOKUP(Tabla6[[#This Row],[GEO]],Listas!$A$48:$B$77,2,0)</f>
        <v>PICHINCHA</v>
      </c>
      <c r="Q1298" s="70">
        <f>VLOOKUP(Tabla6[[#This Row],[PG]],Listas2!$G$14:$K$16,3,0)</f>
        <v>1</v>
      </c>
      <c r="R1298" s="73">
        <f>VLOOKUP(Tabla6[[#This Row],[PG]],Listas2!H40:'Listas2'!$G$14:$K$16,4,0)</f>
        <v>0</v>
      </c>
      <c r="S1298" s="73">
        <f>VLOOKUP(Tabla6[[#This Row],[PG]],Listas2!$G$14:$K$16,2,0)</f>
        <v>0</v>
      </c>
      <c r="T1298" s="66" t="s">
        <v>84</v>
      </c>
      <c r="U1298" s="74">
        <v>51</v>
      </c>
      <c r="V1298" s="66">
        <v>510513</v>
      </c>
      <c r="W1298" s="63" t="str">
        <f>VLOOKUP(Tabla6[[#This Row],[ÍTEM PRESUPUESTARIO]],Tabla2[#All],2,0)</f>
        <v>ENCARGOS</v>
      </c>
      <c r="X1298" s="57">
        <v>0</v>
      </c>
      <c r="Y1298" s="57">
        <f>800+100+3750-4650</f>
        <v>0</v>
      </c>
      <c r="Z1298" s="58">
        <v>0</v>
      </c>
      <c r="AA1298" s="58">
        <v>0</v>
      </c>
      <c r="AB1298" s="58">
        <v>0</v>
      </c>
      <c r="AC1298" s="58">
        <v>0</v>
      </c>
      <c r="AD1298" s="58">
        <v>0</v>
      </c>
      <c r="AE1298" s="58">
        <v>0</v>
      </c>
      <c r="AF1298" s="58">
        <v>0</v>
      </c>
      <c r="AG1298" s="58">
        <v>0</v>
      </c>
      <c r="AH1298" s="58">
        <v>0</v>
      </c>
      <c r="AI1298" s="58">
        <v>0</v>
      </c>
      <c r="AJ1298" s="58">
        <v>0</v>
      </c>
      <c r="AK1298" s="58">
        <v>0</v>
      </c>
      <c r="AL1298" s="75">
        <f>+SUBTOTAL(9,Tabla6[[#This Row],[ENE]:[DIC]])</f>
        <v>0</v>
      </c>
      <c r="AM1298" s="76" t="str">
        <f t="shared" si="50"/>
        <v>OK</v>
      </c>
      <c r="AN1298" s="60">
        <v>0</v>
      </c>
      <c r="AO1298" s="61">
        <f>+Tabla6[[#This Row],[PRESUPUESTO VIGENTE]]-Tabla6[[#This Row],[CERTIFICACIÓN PAPP]]</f>
        <v>0</v>
      </c>
      <c r="AP1298" s="59">
        <v>0</v>
      </c>
    </row>
    <row r="1299" spans="1:42" ht="93" customHeight="1" x14ac:dyDescent="0.25">
      <c r="A1299" s="62" t="s">
        <v>88</v>
      </c>
      <c r="B1299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299" s="64" t="s">
        <v>89</v>
      </c>
      <c r="D1299" s="64" t="s">
        <v>113</v>
      </c>
      <c r="E1299" s="64" t="s">
        <v>114</v>
      </c>
      <c r="F1299" s="64" t="s">
        <v>18</v>
      </c>
      <c r="G1299" s="64" t="s">
        <v>19</v>
      </c>
      <c r="H1299" s="65" t="str">
        <f>VLOOKUP(Tabla6[[#This Row],[DIRECCIÓN]],DIRECCIÓN[#All],2,0)</f>
        <v>OPERACIONES</v>
      </c>
      <c r="I1299" s="66" t="s">
        <v>93</v>
      </c>
      <c r="J1299" s="67">
        <v>1</v>
      </c>
      <c r="K1299" s="68" t="str">
        <f>VLOOKUP(Tabla6[[#This Row],[DIRECCIÓN GENERAL / COORDINACIÓN / SUBDIRECCIÓN]],Tabla37[[#All],[Columna1]:[EOD]],2,0)</f>
        <v>266_9999</v>
      </c>
      <c r="L1299" s="69">
        <f>VLOOKUP(Tabla6[[#This Row],[OBJETIVOS PND]],Listas!$A$1:$C$3,3,0)</f>
        <v>55</v>
      </c>
      <c r="M1299" s="70">
        <f>VLOOKUP(Tabla6[[#This Row],[PG]],Listas2!$G$14:$K$16,5,0)</f>
        <v>0</v>
      </c>
      <c r="N1299" s="71">
        <v>2</v>
      </c>
      <c r="O1299" s="72">
        <v>1700</v>
      </c>
      <c r="P1299" s="73" t="str">
        <f>VLOOKUP(Tabla6[[#This Row],[GEO]],Listas!$A$48:$B$77,2,0)</f>
        <v>PICHINCHA</v>
      </c>
      <c r="Q1299" s="70">
        <f>VLOOKUP(Tabla6[[#This Row],[PG]],Listas2!$G$14:$K$16,3,0)</f>
        <v>1</v>
      </c>
      <c r="R1299" s="73">
        <f>VLOOKUP(Tabla6[[#This Row],[PG]],Listas2!H38:'Listas2'!$G$14:$K$16,4,0)</f>
        <v>0</v>
      </c>
      <c r="S1299" s="73">
        <f>VLOOKUP(Tabla6[[#This Row],[PG]],Listas2!$G$14:$K$16,2,0)</f>
        <v>0</v>
      </c>
      <c r="T1299" s="66" t="s">
        <v>84</v>
      </c>
      <c r="U1299" s="74">
        <v>51</v>
      </c>
      <c r="V1299" s="66">
        <v>510601</v>
      </c>
      <c r="W1299" s="63" t="str">
        <f>VLOOKUP(Tabla6[[#This Row],[ÍTEM PRESUPUESTARIO]],Tabla2[#All],2,0)</f>
        <v>APORTE PATRONAL</v>
      </c>
      <c r="X1299" s="57">
        <v>146823</v>
      </c>
      <c r="Y1299" s="57">
        <f>146823-4351-2048.94</f>
        <v>140423.06</v>
      </c>
      <c r="Z1299" s="58">
        <v>11872.67</v>
      </c>
      <c r="AA1299" s="58">
        <v>11872.67</v>
      </c>
      <c r="AB1299" s="58">
        <v>11872.67</v>
      </c>
      <c r="AC1299" s="58">
        <v>11872.67</v>
      </c>
      <c r="AD1299" s="58">
        <v>11872.67</v>
      </c>
      <c r="AE1299" s="58">
        <v>11872.67</v>
      </c>
      <c r="AF1299" s="58">
        <v>11872.67</v>
      </c>
      <c r="AG1299" s="58">
        <v>11872.67</v>
      </c>
      <c r="AH1299" s="58">
        <v>11872.67</v>
      </c>
      <c r="AI1299" s="58">
        <v>11872.67</v>
      </c>
      <c r="AJ1299" s="58">
        <v>11872.67</v>
      </c>
      <c r="AK1299" s="58">
        <v>9823.69</v>
      </c>
      <c r="AL1299" s="75">
        <f>+SUBTOTAL(9,Tabla6[[#This Row],[ENE]:[DIC]])</f>
        <v>140423.06</v>
      </c>
      <c r="AM1299" s="76" t="str">
        <f t="shared" si="50"/>
        <v>OK</v>
      </c>
      <c r="AN1299" s="60">
        <v>0</v>
      </c>
      <c r="AO1299" s="61">
        <f>+Tabla6[[#This Row],[PRESUPUESTO VIGENTE]]-Tabla6[[#This Row],[CERTIFICACIÓN PAPP]]</f>
        <v>140423.06</v>
      </c>
      <c r="AP1299" s="59">
        <v>0</v>
      </c>
    </row>
    <row r="1300" spans="1:42" ht="93" customHeight="1" x14ac:dyDescent="0.25">
      <c r="A1300" s="62" t="s">
        <v>88</v>
      </c>
      <c r="B1300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300" s="64" t="s">
        <v>89</v>
      </c>
      <c r="D1300" s="64" t="s">
        <v>113</v>
      </c>
      <c r="E1300" s="64" t="s">
        <v>114</v>
      </c>
      <c r="F1300" s="64" t="s">
        <v>18</v>
      </c>
      <c r="G1300" s="64" t="s">
        <v>19</v>
      </c>
      <c r="H1300" s="65" t="str">
        <f>VLOOKUP(Tabla6[[#This Row],[DIRECCIÓN]],DIRECCIÓN[#All],2,0)</f>
        <v>OPERACIONES</v>
      </c>
      <c r="I1300" s="66" t="s">
        <v>93</v>
      </c>
      <c r="J1300" s="67">
        <v>1</v>
      </c>
      <c r="K1300" s="68" t="str">
        <f>VLOOKUP(Tabla6[[#This Row],[DIRECCIÓN GENERAL / COORDINACIÓN / SUBDIRECCIÓN]],Tabla37[[#All],[Columna1]:[EOD]],2,0)</f>
        <v>266_9999</v>
      </c>
      <c r="L1300" s="69">
        <f>VLOOKUP(Tabla6[[#This Row],[OBJETIVOS PND]],Listas!$A$1:$C$3,3,0)</f>
        <v>55</v>
      </c>
      <c r="M1300" s="70">
        <f>VLOOKUP(Tabla6[[#This Row],[PG]],Listas2!$G$14:$K$16,5,0)</f>
        <v>0</v>
      </c>
      <c r="N1300" s="71">
        <v>2</v>
      </c>
      <c r="O1300" s="72">
        <v>1700</v>
      </c>
      <c r="P1300" s="73" t="str">
        <f>VLOOKUP(Tabla6[[#This Row],[GEO]],Listas!$A$48:$B$77,2,0)</f>
        <v>PICHINCHA</v>
      </c>
      <c r="Q1300" s="70">
        <f>VLOOKUP(Tabla6[[#This Row],[PG]],Listas2!$G$14:$K$16,3,0)</f>
        <v>1</v>
      </c>
      <c r="R1300" s="73">
        <f>VLOOKUP(Tabla6[[#This Row],[PG]],Listas2!H39:'Listas2'!$G$14:$K$16,4,0)</f>
        <v>0</v>
      </c>
      <c r="S1300" s="73">
        <f>VLOOKUP(Tabla6[[#This Row],[PG]],Listas2!$G$14:$K$16,2,0)</f>
        <v>0</v>
      </c>
      <c r="T1300" s="66" t="s">
        <v>84</v>
      </c>
      <c r="U1300" s="74">
        <v>51</v>
      </c>
      <c r="V1300" s="66">
        <v>510602</v>
      </c>
      <c r="W1300" s="63" t="str">
        <f>VLOOKUP(Tabla6[[#This Row],[ÍTEM PRESUPUESTARIO]],Tabla2[#All],2,0)</f>
        <v>FONDO DE RESERVA</v>
      </c>
      <c r="X1300" s="57">
        <v>80791</v>
      </c>
      <c r="Y1300" s="57">
        <f>80791+31309+2985.03-11441.09</f>
        <v>103643.94</v>
      </c>
      <c r="Z1300" s="58">
        <v>9341.67</v>
      </c>
      <c r="AA1300" s="58">
        <v>9341.67</v>
      </c>
      <c r="AB1300" s="58">
        <v>9341.67</v>
      </c>
      <c r="AC1300" s="58">
        <v>9341.67</v>
      </c>
      <c r="AD1300" s="58">
        <v>9341.67</v>
      </c>
      <c r="AE1300" s="58">
        <f t="shared" ref="AE1300:AI1300" si="54">9341.67+426.43</f>
        <v>9768.1</v>
      </c>
      <c r="AF1300" s="58">
        <f t="shared" si="54"/>
        <v>9768.1</v>
      </c>
      <c r="AG1300" s="58">
        <f t="shared" si="54"/>
        <v>9768.1</v>
      </c>
      <c r="AH1300" s="58">
        <f t="shared" si="54"/>
        <v>9768.1</v>
      </c>
      <c r="AI1300" s="58">
        <f t="shared" si="54"/>
        <v>9768.1</v>
      </c>
      <c r="AJ1300" s="58">
        <v>8095.09</v>
      </c>
      <c r="AK1300" s="58">
        <v>0</v>
      </c>
      <c r="AL1300" s="75">
        <f>+SUBTOTAL(9,Tabla6[[#This Row],[ENE]:[DIC]])</f>
        <v>103643.94000000002</v>
      </c>
      <c r="AM1300" s="76" t="str">
        <f t="shared" si="50"/>
        <v>OK</v>
      </c>
      <c r="AN1300" s="60">
        <v>0</v>
      </c>
      <c r="AO1300" s="61">
        <f>+Tabla6[[#This Row],[PRESUPUESTO VIGENTE]]-Tabla6[[#This Row],[CERTIFICACIÓN PAPP]]</f>
        <v>103643.94</v>
      </c>
      <c r="AP1300" s="59">
        <v>0</v>
      </c>
    </row>
    <row r="1301" spans="1:42" ht="93" customHeight="1" x14ac:dyDescent="0.25">
      <c r="A1301" s="62" t="s">
        <v>88</v>
      </c>
      <c r="B1301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301" s="64" t="s">
        <v>89</v>
      </c>
      <c r="D1301" s="64" t="s">
        <v>113</v>
      </c>
      <c r="E1301" s="64" t="s">
        <v>114</v>
      </c>
      <c r="F1301" s="64" t="s">
        <v>18</v>
      </c>
      <c r="G1301" s="64" t="s">
        <v>19</v>
      </c>
      <c r="H1301" s="65" t="str">
        <f>VLOOKUP(Tabla6[[#This Row],[DIRECCIÓN]],DIRECCIÓN[#All],2,0)</f>
        <v>OPERACIONES</v>
      </c>
      <c r="I1301" s="66" t="s">
        <v>93</v>
      </c>
      <c r="J1301" s="67">
        <v>1</v>
      </c>
      <c r="K1301" s="68" t="str">
        <f>VLOOKUP(Tabla6[[#This Row],[DIRECCIÓN GENERAL / COORDINACIÓN / SUBDIRECCIÓN]],Tabla37[[#All],[Columna1]:[EOD]],2,0)</f>
        <v>266_9999</v>
      </c>
      <c r="L1301" s="69">
        <f>VLOOKUP(Tabla6[[#This Row],[OBJETIVOS PND]],Listas!$A$1:$C$3,3,0)</f>
        <v>55</v>
      </c>
      <c r="M1301" s="70">
        <f>VLOOKUP(Tabla6[[#This Row],[PG]],Listas2!$G$14:$K$16,5,0)</f>
        <v>0</v>
      </c>
      <c r="N1301" s="71">
        <v>2</v>
      </c>
      <c r="O1301" s="72">
        <v>1700</v>
      </c>
      <c r="P1301" s="73" t="str">
        <f>VLOOKUP(Tabla6[[#This Row],[GEO]],Listas!$A$48:$B$77,2,0)</f>
        <v>PICHINCHA</v>
      </c>
      <c r="Q1301" s="70">
        <f>VLOOKUP(Tabla6[[#This Row],[PG]],Listas2!$G$14:$K$16,3,0)</f>
        <v>1</v>
      </c>
      <c r="R1301" s="73">
        <f>VLOOKUP(Tabla6[[#This Row],[PG]],Listas2!H40:'Listas2'!$G$14:$K$16,4,0)</f>
        <v>0</v>
      </c>
      <c r="S1301" s="73">
        <f>VLOOKUP(Tabla6[[#This Row],[PG]],Listas2!$G$14:$K$16,2,0)</f>
        <v>0</v>
      </c>
      <c r="T1301" s="66" t="s">
        <v>84</v>
      </c>
      <c r="U1301" s="74">
        <v>51</v>
      </c>
      <c r="V1301" s="66">
        <v>510707</v>
      </c>
      <c r="W1301" s="63" t="str">
        <f>VLOOKUP(Tabla6[[#This Row],[ÍTEM PRESUPUESTARIO]],Tabla2[#All],2,0)</f>
        <v>COMPENSACIÓN POR VACACIONES NO GOZADAS POR CESACIÓN DE FUNCIONES</v>
      </c>
      <c r="X1301" s="57">
        <v>0</v>
      </c>
      <c r="Y1301" s="57">
        <f>1795.82+4923.71+3175.24-1302.74</f>
        <v>8592.0300000000007</v>
      </c>
      <c r="Z1301" s="58">
        <v>0</v>
      </c>
      <c r="AA1301" s="58">
        <v>0</v>
      </c>
      <c r="AB1301" s="58">
        <v>179.58</v>
      </c>
      <c r="AC1301" s="58">
        <f>179.58+547.08</f>
        <v>726.66000000000008</v>
      </c>
      <c r="AD1301" s="58">
        <f>179.58+547.08</f>
        <v>726.66000000000008</v>
      </c>
      <c r="AE1301" s="58">
        <f>179.58+547.08</f>
        <v>726.66000000000008</v>
      </c>
      <c r="AF1301" s="58">
        <f>179.58+547.08</f>
        <v>726.66000000000008</v>
      </c>
      <c r="AG1301" s="58">
        <f>179.58+547.08+635.05</f>
        <v>1361.71</v>
      </c>
      <c r="AH1301" s="58">
        <f>179.58+547.08+635.05</f>
        <v>1361.71</v>
      </c>
      <c r="AI1301" s="58">
        <f>179.58+547.08+635.05</f>
        <v>1361.71</v>
      </c>
      <c r="AJ1301" s="58">
        <f>179.58+547.08+635.05</f>
        <v>1361.71</v>
      </c>
      <c r="AK1301" s="58">
        <v>58.97</v>
      </c>
      <c r="AL1301" s="75">
        <f>+SUBTOTAL(9,Tabla6[[#This Row],[ENE]:[DIC]])</f>
        <v>8592.0300000000007</v>
      </c>
      <c r="AM1301" s="76" t="str">
        <f t="shared" si="50"/>
        <v>OK</v>
      </c>
      <c r="AN1301" s="60">
        <v>0</v>
      </c>
      <c r="AO1301" s="61">
        <f>+Tabla6[[#This Row],[PRESUPUESTO VIGENTE]]-Tabla6[[#This Row],[CERTIFICACIÓN PAPP]]</f>
        <v>8592.0300000000007</v>
      </c>
      <c r="AP1301" s="59">
        <v>0</v>
      </c>
    </row>
    <row r="1302" spans="1:42" ht="93" customHeight="1" x14ac:dyDescent="0.25">
      <c r="A1302" s="62" t="s">
        <v>88</v>
      </c>
      <c r="B1302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302" s="64" t="s">
        <v>89</v>
      </c>
      <c r="D1302" s="64" t="s">
        <v>113</v>
      </c>
      <c r="E1302" s="64" t="s">
        <v>114</v>
      </c>
      <c r="F1302" s="64" t="s">
        <v>20</v>
      </c>
      <c r="G1302" s="64" t="s">
        <v>21</v>
      </c>
      <c r="H1302" s="65" t="str">
        <f>VLOOKUP(Tabla6[[#This Row],[DIRECCIÓN]],DIRECCIÓN[#All],2,0)</f>
        <v>TECNOLOGÍA</v>
      </c>
      <c r="I1302" s="66" t="s">
        <v>93</v>
      </c>
      <c r="J1302" s="67">
        <v>1</v>
      </c>
      <c r="K1302" s="68" t="str">
        <f>VLOOKUP(Tabla6[[#This Row],[DIRECCIÓN GENERAL / COORDINACIÓN / SUBDIRECCIÓN]],Tabla37[[#All],[Columna1]:[EOD]],2,0)</f>
        <v>266_9999</v>
      </c>
      <c r="L1302" s="69">
        <f>VLOOKUP(Tabla6[[#This Row],[OBJETIVOS PND]],Listas!$A$1:$C$3,3,0)</f>
        <v>55</v>
      </c>
      <c r="M1302" s="70">
        <f>VLOOKUP(Tabla6[[#This Row],[PG]],Listas2!$G$14:$K$16,5,0)</f>
        <v>0</v>
      </c>
      <c r="N1302" s="71">
        <v>3</v>
      </c>
      <c r="O1302" s="72">
        <v>1700</v>
      </c>
      <c r="P1302" s="73" t="str">
        <f>VLOOKUP(Tabla6[[#This Row],[GEO]],Listas!$A$48:$B$77,2,0)</f>
        <v>PICHINCHA</v>
      </c>
      <c r="Q1302" s="70">
        <f>VLOOKUP(Tabla6[[#This Row],[PG]],Listas2!$G$14:$K$16,3,0)</f>
        <v>1</v>
      </c>
      <c r="R1302" s="73">
        <f>VLOOKUP(Tabla6[[#This Row],[PG]],Listas2!H41:'Listas2'!$G$14:$K$16,4,0)</f>
        <v>0</v>
      </c>
      <c r="S1302" s="73">
        <f>VLOOKUP(Tabla6[[#This Row],[PG]],Listas2!$G$14:$K$16,2,0)</f>
        <v>0</v>
      </c>
      <c r="T1302" s="66" t="s">
        <v>84</v>
      </c>
      <c r="U1302" s="74">
        <v>51</v>
      </c>
      <c r="V1302" s="66">
        <v>510105</v>
      </c>
      <c r="W1302" s="63" t="str">
        <f>VLOOKUP(Tabla6[[#This Row],[ÍTEM PRESUPUESTARIO]],Tabla2[#All],2,0)</f>
        <v>REMUNERACIONES UNIFICADAS</v>
      </c>
      <c r="X1302" s="57">
        <v>323460</v>
      </c>
      <c r="Y1302" s="57">
        <f>323460-5245-6637-2798.4-16833.67</f>
        <v>291945.93</v>
      </c>
      <c r="Z1302" s="58">
        <v>26955</v>
      </c>
      <c r="AA1302" s="58">
        <v>26955</v>
      </c>
      <c r="AB1302" s="58">
        <v>26955</v>
      </c>
      <c r="AC1302" s="58">
        <v>26955</v>
      </c>
      <c r="AD1302" s="58">
        <f>26955-655.63</f>
        <v>26299.37</v>
      </c>
      <c r="AE1302" s="58">
        <f>26955-655.63</f>
        <v>26299.37</v>
      </c>
      <c r="AF1302" s="58">
        <f>26955-655.63</f>
        <v>26299.37</v>
      </c>
      <c r="AG1302" s="58">
        <f>26955-655.63-1327.4</f>
        <v>24971.969999999998</v>
      </c>
      <c r="AH1302" s="58">
        <f>26955-655.63-1327.4</f>
        <v>24971.969999999998</v>
      </c>
      <c r="AI1302" s="58">
        <f>26955-655.63-1327.4-932.8</f>
        <v>24039.17</v>
      </c>
      <c r="AJ1302" s="58">
        <f>26955-655.63-1327.4-932.8</f>
        <v>24039.17</v>
      </c>
      <c r="AK1302" s="58">
        <v>7205.54</v>
      </c>
      <c r="AL1302" s="75">
        <f>+SUBTOTAL(9,Tabla6[[#This Row],[ENE]:[DIC]])</f>
        <v>291945.92999999993</v>
      </c>
      <c r="AM1302" s="76" t="str">
        <f t="shared" si="50"/>
        <v>OK</v>
      </c>
      <c r="AN1302" s="60">
        <v>0</v>
      </c>
      <c r="AO1302" s="61">
        <f>+Tabla6[[#This Row],[PRESUPUESTO VIGENTE]]-Tabla6[[#This Row],[CERTIFICACIÓN PAPP]]</f>
        <v>291945.93</v>
      </c>
      <c r="AP1302" s="59">
        <v>0</v>
      </c>
    </row>
    <row r="1303" spans="1:42" ht="93" customHeight="1" x14ac:dyDescent="0.25">
      <c r="A1303" s="62" t="s">
        <v>88</v>
      </c>
      <c r="B1303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303" s="64" t="s">
        <v>89</v>
      </c>
      <c r="D1303" s="64" t="s">
        <v>113</v>
      </c>
      <c r="E1303" s="64" t="s">
        <v>114</v>
      </c>
      <c r="F1303" s="64" t="s">
        <v>20</v>
      </c>
      <c r="G1303" s="64" t="s">
        <v>21</v>
      </c>
      <c r="H1303" s="65" t="str">
        <f>VLOOKUP(Tabla6[[#This Row],[DIRECCIÓN]],DIRECCIÓN[#All],2,0)</f>
        <v>TECNOLOGÍA</v>
      </c>
      <c r="I1303" s="66" t="s">
        <v>93</v>
      </c>
      <c r="J1303" s="67">
        <v>1</v>
      </c>
      <c r="K1303" s="68" t="str">
        <f>VLOOKUP(Tabla6[[#This Row],[DIRECCIÓN GENERAL / COORDINACIÓN / SUBDIRECCIÓN]],Tabla37[[#All],[Columna1]:[EOD]],2,0)</f>
        <v>266_9999</v>
      </c>
      <c r="L1303" s="69">
        <f>VLOOKUP(Tabla6[[#This Row],[OBJETIVOS PND]],Listas!$A$1:$C$3,3,0)</f>
        <v>55</v>
      </c>
      <c r="M1303" s="70">
        <f>VLOOKUP(Tabla6[[#This Row],[PG]],Listas2!$G$14:$K$16,5,0)</f>
        <v>0</v>
      </c>
      <c r="N1303" s="71">
        <v>3</v>
      </c>
      <c r="O1303" s="72">
        <v>1700</v>
      </c>
      <c r="P1303" s="73" t="str">
        <f>VLOOKUP(Tabla6[[#This Row],[GEO]],Listas!$A$48:$B$77,2,0)</f>
        <v>PICHINCHA</v>
      </c>
      <c r="Q1303" s="70">
        <f>VLOOKUP(Tabla6[[#This Row],[PG]],Listas2!$G$14:$K$16,3,0)</f>
        <v>1</v>
      </c>
      <c r="R1303" s="73">
        <f>VLOOKUP(Tabla6[[#This Row],[PG]],Listas2!H42:'Listas2'!$G$14:$K$16,4,0)</f>
        <v>0</v>
      </c>
      <c r="S1303" s="73">
        <f>VLOOKUP(Tabla6[[#This Row],[PG]],Listas2!$G$14:$K$16,2,0)</f>
        <v>0</v>
      </c>
      <c r="T1303" s="66" t="s">
        <v>84</v>
      </c>
      <c r="U1303" s="74">
        <v>51</v>
      </c>
      <c r="V1303" s="66">
        <v>510203</v>
      </c>
      <c r="W1303" s="63" t="str">
        <f>VLOOKUP(Tabla6[[#This Row],[ÍTEM PRESUPUESTARIO]],Tabla2[#All],2,0)</f>
        <v>DÉCIMO TERCER SUELDO</v>
      </c>
      <c r="X1303" s="57">
        <v>18167</v>
      </c>
      <c r="Y1303" s="57">
        <f>18167+5911+3775.73-2181.06</f>
        <v>25672.67</v>
      </c>
      <c r="Z1303" s="58">
        <v>0</v>
      </c>
      <c r="AA1303" s="58">
        <v>0</v>
      </c>
      <c r="AB1303" s="58">
        <v>0</v>
      </c>
      <c r="AC1303" s="58">
        <v>0</v>
      </c>
      <c r="AD1303" s="58">
        <v>0</v>
      </c>
      <c r="AE1303" s="58">
        <v>0</v>
      </c>
      <c r="AF1303" s="58">
        <v>0</v>
      </c>
      <c r="AG1303" s="58">
        <v>0</v>
      </c>
      <c r="AH1303" s="58">
        <v>0</v>
      </c>
      <c r="AI1303" s="58">
        <v>0</v>
      </c>
      <c r="AJ1303" s="58">
        <v>0</v>
      </c>
      <c r="AK1303" s="58">
        <v>25672.67</v>
      </c>
      <c r="AL1303" s="75">
        <f>+SUBTOTAL(9,Tabla6[[#This Row],[ENE]:[DIC]])</f>
        <v>25672.67</v>
      </c>
      <c r="AM1303" s="76" t="str">
        <f t="shared" si="50"/>
        <v>OK</v>
      </c>
      <c r="AN1303" s="60">
        <v>0</v>
      </c>
      <c r="AO1303" s="61">
        <f>+Tabla6[[#This Row],[PRESUPUESTO VIGENTE]]-Tabla6[[#This Row],[CERTIFICACIÓN PAPP]]</f>
        <v>25672.67</v>
      </c>
      <c r="AP1303" s="59">
        <v>0</v>
      </c>
    </row>
    <row r="1304" spans="1:42" ht="93" customHeight="1" x14ac:dyDescent="0.25">
      <c r="A1304" s="62" t="s">
        <v>88</v>
      </c>
      <c r="B1304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304" s="64" t="s">
        <v>89</v>
      </c>
      <c r="D1304" s="64" t="s">
        <v>113</v>
      </c>
      <c r="E1304" s="64" t="s">
        <v>114</v>
      </c>
      <c r="F1304" s="64" t="s">
        <v>20</v>
      </c>
      <c r="G1304" s="64" t="s">
        <v>21</v>
      </c>
      <c r="H1304" s="65" t="str">
        <f>VLOOKUP(Tabla6[[#This Row],[DIRECCIÓN]],DIRECCIÓN[#All],2,0)</f>
        <v>TECNOLOGÍA</v>
      </c>
      <c r="I1304" s="66" t="s">
        <v>93</v>
      </c>
      <c r="J1304" s="67">
        <v>1</v>
      </c>
      <c r="K1304" s="68" t="str">
        <f>VLOOKUP(Tabla6[[#This Row],[DIRECCIÓN GENERAL / COORDINACIÓN / SUBDIRECCIÓN]],Tabla37[[#All],[Columna1]:[EOD]],2,0)</f>
        <v>266_9999</v>
      </c>
      <c r="L1304" s="69">
        <f>VLOOKUP(Tabla6[[#This Row],[OBJETIVOS PND]],Listas!$A$1:$C$3,3,0)</f>
        <v>55</v>
      </c>
      <c r="M1304" s="70">
        <f>VLOOKUP(Tabla6[[#This Row],[PG]],Listas2!$G$14:$K$16,5,0)</f>
        <v>0</v>
      </c>
      <c r="N1304" s="71">
        <v>3</v>
      </c>
      <c r="O1304" s="72">
        <v>1700</v>
      </c>
      <c r="P1304" s="73" t="str">
        <f>VLOOKUP(Tabla6[[#This Row],[GEO]],Listas!$A$48:$B$77,2,0)</f>
        <v>PICHINCHA</v>
      </c>
      <c r="Q1304" s="70">
        <f>VLOOKUP(Tabla6[[#This Row],[PG]],Listas2!$G$14:$K$16,3,0)</f>
        <v>1</v>
      </c>
      <c r="R1304" s="73">
        <f>VLOOKUP(Tabla6[[#This Row],[PG]],Listas2!H43:'Listas2'!$G$14:$K$16,4,0)</f>
        <v>0</v>
      </c>
      <c r="S1304" s="73">
        <f>VLOOKUP(Tabla6[[#This Row],[PG]],Listas2!$G$14:$K$16,2,0)</f>
        <v>0</v>
      </c>
      <c r="T1304" s="66" t="s">
        <v>84</v>
      </c>
      <c r="U1304" s="74">
        <v>51</v>
      </c>
      <c r="V1304" s="66">
        <v>510204</v>
      </c>
      <c r="W1304" s="63" t="str">
        <f>VLOOKUP(Tabla6[[#This Row],[ÍTEM PRESUPUESTARIO]],Tabla2[#All],2,0)</f>
        <v>DÉCIMO CUARTO SUELDO</v>
      </c>
      <c r="X1304" s="57">
        <v>600</v>
      </c>
      <c r="Y1304" s="57">
        <f>600+21+4188.37+2325.63-492.5</f>
        <v>6642.5</v>
      </c>
      <c r="Z1304" s="58">
        <v>0</v>
      </c>
      <c r="AA1304" s="58">
        <v>0</v>
      </c>
      <c r="AB1304" s="58">
        <v>0</v>
      </c>
      <c r="AC1304" s="58">
        <v>0</v>
      </c>
      <c r="AD1304" s="58">
        <v>0</v>
      </c>
      <c r="AE1304" s="58">
        <v>0</v>
      </c>
      <c r="AF1304" s="58">
        <v>0</v>
      </c>
      <c r="AG1304" s="58">
        <v>6642.5</v>
      </c>
      <c r="AH1304" s="58">
        <v>0</v>
      </c>
      <c r="AI1304" s="58">
        <v>0</v>
      </c>
      <c r="AJ1304" s="58">
        <v>0</v>
      </c>
      <c r="AK1304" s="58">
        <v>0</v>
      </c>
      <c r="AL1304" s="75">
        <f>+SUBTOTAL(9,Tabla6[[#This Row],[ENE]:[DIC]])</f>
        <v>6642.5</v>
      </c>
      <c r="AM1304" s="76" t="str">
        <f t="shared" si="50"/>
        <v>OK</v>
      </c>
      <c r="AN1304" s="60">
        <v>0</v>
      </c>
      <c r="AO1304" s="61">
        <f>+Tabla6[[#This Row],[PRESUPUESTO VIGENTE]]-Tabla6[[#This Row],[CERTIFICACIÓN PAPP]]</f>
        <v>6642.5</v>
      </c>
      <c r="AP1304" s="59">
        <v>0</v>
      </c>
    </row>
    <row r="1305" spans="1:42" ht="93" customHeight="1" x14ac:dyDescent="0.25">
      <c r="A1305" s="62" t="s">
        <v>88</v>
      </c>
      <c r="B1305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305" s="64" t="s">
        <v>89</v>
      </c>
      <c r="D1305" s="64" t="s">
        <v>113</v>
      </c>
      <c r="E1305" s="64" t="s">
        <v>114</v>
      </c>
      <c r="F1305" s="64" t="s">
        <v>20</v>
      </c>
      <c r="G1305" s="64" t="s">
        <v>21</v>
      </c>
      <c r="H1305" s="65" t="str">
        <f>VLOOKUP(Tabla6[[#This Row],[DIRECCIÓN]],DIRECCIÓN[#All],2,0)</f>
        <v>TECNOLOGÍA</v>
      </c>
      <c r="I1305" s="66" t="s">
        <v>93</v>
      </c>
      <c r="J1305" s="67">
        <v>1</v>
      </c>
      <c r="K1305" s="68" t="str">
        <f>VLOOKUP(Tabla6[[#This Row],[DIRECCIÓN GENERAL / COORDINACIÓN / SUBDIRECCIÓN]],Tabla37[[#All],[Columna1]:[EOD]],2,0)</f>
        <v>266_9999</v>
      </c>
      <c r="L1305" s="69">
        <f>VLOOKUP(Tabla6[[#This Row],[OBJETIVOS PND]],Listas!$A$1:$C$3,3,0)</f>
        <v>55</v>
      </c>
      <c r="M1305" s="70">
        <f>VLOOKUP(Tabla6[[#This Row],[PG]],Listas2!$G$14:$K$16,5,0)</f>
        <v>0</v>
      </c>
      <c r="N1305" s="71">
        <v>3</v>
      </c>
      <c r="O1305" s="72">
        <v>1700</v>
      </c>
      <c r="P1305" s="73" t="str">
        <f>VLOOKUP(Tabla6[[#This Row],[GEO]],Listas!$A$48:$B$77,2,0)</f>
        <v>PICHINCHA</v>
      </c>
      <c r="Q1305" s="70">
        <f>VLOOKUP(Tabla6[[#This Row],[PG]],Listas2!$G$14:$K$16,3,0)</f>
        <v>1</v>
      </c>
      <c r="R1305" s="73">
        <f>VLOOKUP(Tabla6[[#This Row],[PG]],Listas2!H44:'Listas2'!$G$14:$K$16,4,0)</f>
        <v>0</v>
      </c>
      <c r="S1305" s="73">
        <f>VLOOKUP(Tabla6[[#This Row],[PG]],Listas2!$G$14:$K$16,2,0)</f>
        <v>0</v>
      </c>
      <c r="T1305" s="66" t="s">
        <v>84</v>
      </c>
      <c r="U1305" s="74">
        <v>51</v>
      </c>
      <c r="V1305" s="66">
        <v>510306</v>
      </c>
      <c r="W1305" s="63" t="str">
        <f>VLOOKUP(Tabla6[[#This Row],[ÍTEM PRESUPUESTARIO]],Tabla2[#All],2,0)</f>
        <v>ALIMENTACION</v>
      </c>
      <c r="X1305" s="57">
        <v>0</v>
      </c>
      <c r="Y1305" s="57">
        <f>1870-1870</f>
        <v>0</v>
      </c>
      <c r="Z1305" s="58">
        <v>0</v>
      </c>
      <c r="AA1305" s="58">
        <v>0</v>
      </c>
      <c r="AB1305" s="58">
        <v>0</v>
      </c>
      <c r="AC1305" s="58">
        <v>0</v>
      </c>
      <c r="AD1305" s="58">
        <v>0</v>
      </c>
      <c r="AE1305" s="58">
        <v>0</v>
      </c>
      <c r="AF1305" s="58">
        <v>0</v>
      </c>
      <c r="AG1305" s="58">
        <v>0</v>
      </c>
      <c r="AH1305" s="58">
        <v>0</v>
      </c>
      <c r="AI1305" s="58">
        <v>0</v>
      </c>
      <c r="AJ1305" s="58">
        <v>0</v>
      </c>
      <c r="AK1305" s="58">
        <v>0</v>
      </c>
      <c r="AL1305" s="75">
        <f>+SUBTOTAL(9,Tabla6[[#This Row],[ENE]:[DIC]])</f>
        <v>0</v>
      </c>
      <c r="AM1305" s="76" t="str">
        <f t="shared" si="50"/>
        <v>OK</v>
      </c>
      <c r="AN1305" s="60">
        <v>0</v>
      </c>
      <c r="AO1305" s="61">
        <f>+Tabla6[[#This Row],[PRESUPUESTO VIGENTE]]-Tabla6[[#This Row],[CERTIFICACIÓN PAPP]]</f>
        <v>0</v>
      </c>
      <c r="AP1305" s="59">
        <v>0</v>
      </c>
    </row>
    <row r="1306" spans="1:42" ht="93" customHeight="1" x14ac:dyDescent="0.25">
      <c r="A1306" s="62" t="s">
        <v>88</v>
      </c>
      <c r="B1306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306" s="64" t="s">
        <v>89</v>
      </c>
      <c r="D1306" s="64" t="s">
        <v>113</v>
      </c>
      <c r="E1306" s="64" t="s">
        <v>114</v>
      </c>
      <c r="F1306" s="64" t="s">
        <v>20</v>
      </c>
      <c r="G1306" s="64" t="s">
        <v>21</v>
      </c>
      <c r="H1306" s="65" t="str">
        <f>VLOOKUP(Tabla6[[#This Row],[DIRECCIÓN]],DIRECCIÓN[#All],2,0)</f>
        <v>TECNOLOGÍA</v>
      </c>
      <c r="I1306" s="66" t="s">
        <v>93</v>
      </c>
      <c r="J1306" s="67">
        <v>1</v>
      </c>
      <c r="K1306" s="68" t="str">
        <f>VLOOKUP(Tabla6[[#This Row],[DIRECCIÓN GENERAL / COORDINACIÓN / SUBDIRECCIÓN]],Tabla37[[#All],[Columna1]:[EOD]],2,0)</f>
        <v>266_9999</v>
      </c>
      <c r="L1306" s="69">
        <f>VLOOKUP(Tabla6[[#This Row],[OBJETIVOS PND]],Listas!$A$1:$C$3,3,0)</f>
        <v>55</v>
      </c>
      <c r="M1306" s="70">
        <f>VLOOKUP(Tabla6[[#This Row],[PG]],Listas2!$G$14:$K$16,5,0)</f>
        <v>0</v>
      </c>
      <c r="N1306" s="71">
        <v>3</v>
      </c>
      <c r="O1306" s="72">
        <v>1700</v>
      </c>
      <c r="P1306" s="73" t="str">
        <f>VLOOKUP(Tabla6[[#This Row],[GEO]],Listas!$A$48:$B$77,2,0)</f>
        <v>PICHINCHA</v>
      </c>
      <c r="Q1306" s="70">
        <f>VLOOKUP(Tabla6[[#This Row],[PG]],Listas2!$G$14:$K$16,3,0)</f>
        <v>1</v>
      </c>
      <c r="R1306" s="73">
        <f>VLOOKUP(Tabla6[[#This Row],[PG]],Listas2!H45:'Listas2'!$G$14:$K$16,4,0)</f>
        <v>0</v>
      </c>
      <c r="S1306" s="73">
        <f>VLOOKUP(Tabla6[[#This Row],[PG]],Listas2!$G$14:$K$16,2,0)</f>
        <v>0</v>
      </c>
      <c r="T1306" s="66" t="s">
        <v>84</v>
      </c>
      <c r="U1306" s="74">
        <v>51</v>
      </c>
      <c r="V1306" s="66">
        <v>510401</v>
      </c>
      <c r="W1306" s="63" t="str">
        <f>VLOOKUP(Tabla6[[#This Row],[ÍTEM PRESUPUESTARIO]],Tabla2[#All],2,0)</f>
        <v>POR CARGAS FAMILIARES</v>
      </c>
      <c r="X1306" s="57">
        <v>0</v>
      </c>
      <c r="Y1306" s="57">
        <f>119-119</f>
        <v>0</v>
      </c>
      <c r="Z1306" s="58">
        <v>0</v>
      </c>
      <c r="AA1306" s="58">
        <v>0</v>
      </c>
      <c r="AB1306" s="58">
        <v>0</v>
      </c>
      <c r="AC1306" s="58">
        <v>0</v>
      </c>
      <c r="AD1306" s="58">
        <v>0</v>
      </c>
      <c r="AE1306" s="58">
        <v>0</v>
      </c>
      <c r="AF1306" s="58">
        <v>0</v>
      </c>
      <c r="AG1306" s="58">
        <v>0</v>
      </c>
      <c r="AH1306" s="58">
        <v>0</v>
      </c>
      <c r="AI1306" s="58">
        <v>0</v>
      </c>
      <c r="AJ1306" s="58">
        <v>0</v>
      </c>
      <c r="AK1306" s="58">
        <v>0</v>
      </c>
      <c r="AL1306" s="75">
        <f>+SUBTOTAL(9,Tabla6[[#This Row],[ENE]:[DIC]])</f>
        <v>0</v>
      </c>
      <c r="AM1306" s="76" t="str">
        <f t="shared" si="50"/>
        <v>OK</v>
      </c>
      <c r="AN1306" s="60">
        <v>0</v>
      </c>
      <c r="AO1306" s="61">
        <f>+Tabla6[[#This Row],[PRESUPUESTO VIGENTE]]-Tabla6[[#This Row],[CERTIFICACIÓN PAPP]]</f>
        <v>0</v>
      </c>
      <c r="AP1306" s="59">
        <v>0</v>
      </c>
    </row>
    <row r="1307" spans="1:42" ht="93" customHeight="1" x14ac:dyDescent="0.25">
      <c r="A1307" s="62" t="s">
        <v>88</v>
      </c>
      <c r="B1307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307" s="64" t="s">
        <v>89</v>
      </c>
      <c r="D1307" s="64" t="s">
        <v>113</v>
      </c>
      <c r="E1307" s="64" t="s">
        <v>114</v>
      </c>
      <c r="F1307" s="64" t="s">
        <v>20</v>
      </c>
      <c r="G1307" s="64" t="s">
        <v>21</v>
      </c>
      <c r="H1307" s="65" t="str">
        <f>VLOOKUP(Tabla6[[#This Row],[DIRECCIÓN]],DIRECCIÓN[#All],2,0)</f>
        <v>TECNOLOGÍA</v>
      </c>
      <c r="I1307" s="66" t="s">
        <v>93</v>
      </c>
      <c r="J1307" s="67">
        <v>1</v>
      </c>
      <c r="K1307" s="68" t="str">
        <f>VLOOKUP(Tabla6[[#This Row],[DIRECCIÓN GENERAL / COORDINACIÓN / SUBDIRECCIÓN]],Tabla37[[#All],[Columna1]:[EOD]],2,0)</f>
        <v>266_9999</v>
      </c>
      <c r="L1307" s="69">
        <f>VLOOKUP(Tabla6[[#This Row],[OBJETIVOS PND]],Listas!$A$1:$C$3,3,0)</f>
        <v>55</v>
      </c>
      <c r="M1307" s="70">
        <f>VLOOKUP(Tabla6[[#This Row],[PG]],Listas2!$G$14:$K$16,5,0)</f>
        <v>0</v>
      </c>
      <c r="N1307" s="71">
        <v>3</v>
      </c>
      <c r="O1307" s="72">
        <v>1700</v>
      </c>
      <c r="P1307" s="73" t="str">
        <f>VLOOKUP(Tabla6[[#This Row],[GEO]],Listas!$A$48:$B$77,2,0)</f>
        <v>PICHINCHA</v>
      </c>
      <c r="Q1307" s="70">
        <f>VLOOKUP(Tabla6[[#This Row],[PG]],Listas2!$G$14:$K$16,3,0)</f>
        <v>1</v>
      </c>
      <c r="R1307" s="73">
        <f>VLOOKUP(Tabla6[[#This Row],[PG]],Listas2!H46:'Listas2'!$G$14:$K$16,4,0)</f>
        <v>0</v>
      </c>
      <c r="S1307" s="73">
        <f>VLOOKUP(Tabla6[[#This Row],[PG]],Listas2!$G$14:$K$16,2,0)</f>
        <v>0</v>
      </c>
      <c r="T1307" s="66" t="s">
        <v>84</v>
      </c>
      <c r="U1307" s="74">
        <v>51</v>
      </c>
      <c r="V1307" s="66">
        <v>510408</v>
      </c>
      <c r="W1307" s="63" t="str">
        <f>VLOOKUP(Tabla6[[#This Row],[ÍTEM PRESUPUESTARIO]],Tabla2[#All],2,0)</f>
        <v>SUBSIDIO DE ANTIGUEDAD</v>
      </c>
      <c r="X1307" s="57">
        <v>0</v>
      </c>
      <c r="Y1307" s="57">
        <f>311-311</f>
        <v>0</v>
      </c>
      <c r="Z1307" s="58">
        <v>0</v>
      </c>
      <c r="AA1307" s="58">
        <v>0</v>
      </c>
      <c r="AB1307" s="58">
        <v>0</v>
      </c>
      <c r="AC1307" s="58">
        <v>0</v>
      </c>
      <c r="AD1307" s="58">
        <v>0</v>
      </c>
      <c r="AE1307" s="58">
        <v>0</v>
      </c>
      <c r="AF1307" s="58">
        <v>0</v>
      </c>
      <c r="AG1307" s="58">
        <v>0</v>
      </c>
      <c r="AH1307" s="58">
        <v>0</v>
      </c>
      <c r="AI1307" s="58">
        <v>0</v>
      </c>
      <c r="AJ1307" s="58">
        <v>0</v>
      </c>
      <c r="AK1307" s="58">
        <v>0</v>
      </c>
      <c r="AL1307" s="75">
        <f>+SUBTOTAL(9,Tabla6[[#This Row],[ENE]:[DIC]])</f>
        <v>0</v>
      </c>
      <c r="AM1307" s="76" t="str">
        <f t="shared" si="50"/>
        <v>OK</v>
      </c>
      <c r="AN1307" s="60">
        <v>0</v>
      </c>
      <c r="AO1307" s="61">
        <f>+Tabla6[[#This Row],[PRESUPUESTO VIGENTE]]-Tabla6[[#This Row],[CERTIFICACIÓN PAPP]]</f>
        <v>0</v>
      </c>
      <c r="AP1307" s="59">
        <v>0</v>
      </c>
    </row>
    <row r="1308" spans="1:42" ht="93" customHeight="1" x14ac:dyDescent="0.25">
      <c r="A1308" s="62" t="s">
        <v>88</v>
      </c>
      <c r="B1308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308" s="64" t="s">
        <v>89</v>
      </c>
      <c r="D1308" s="64" t="s">
        <v>113</v>
      </c>
      <c r="E1308" s="64" t="s">
        <v>114</v>
      </c>
      <c r="F1308" s="64" t="s">
        <v>20</v>
      </c>
      <c r="G1308" s="64" t="s">
        <v>21</v>
      </c>
      <c r="H1308" s="65" t="str">
        <f>VLOOKUP(Tabla6[[#This Row],[DIRECCIÓN]],DIRECCIÓN[#All],2,0)</f>
        <v>TECNOLOGÍA</v>
      </c>
      <c r="I1308" s="66" t="s">
        <v>93</v>
      </c>
      <c r="J1308" s="67">
        <v>1</v>
      </c>
      <c r="K1308" s="68" t="str">
        <f>VLOOKUP(Tabla6[[#This Row],[DIRECCIÓN GENERAL / COORDINACIÓN / SUBDIRECCIÓN]],Tabla37[[#All],[Columna1]:[EOD]],2,0)</f>
        <v>266_9999</v>
      </c>
      <c r="L1308" s="69">
        <f>VLOOKUP(Tabla6[[#This Row],[OBJETIVOS PND]],Listas!$A$1:$C$3,3,0)</f>
        <v>55</v>
      </c>
      <c r="M1308" s="70">
        <f>VLOOKUP(Tabla6[[#This Row],[PG]],Listas2!$G$14:$K$16,5,0)</f>
        <v>0</v>
      </c>
      <c r="N1308" s="71">
        <v>3</v>
      </c>
      <c r="O1308" s="72">
        <v>1700</v>
      </c>
      <c r="P1308" s="73" t="str">
        <f>VLOOKUP(Tabla6[[#This Row],[GEO]],Listas!$A$48:$B$77,2,0)</f>
        <v>PICHINCHA</v>
      </c>
      <c r="Q1308" s="70">
        <f>VLOOKUP(Tabla6[[#This Row],[PG]],Listas2!$G$14:$K$16,3,0)</f>
        <v>1</v>
      </c>
      <c r="R1308" s="73">
        <f>VLOOKUP(Tabla6[[#This Row],[PG]],Listas2!H47:'Listas2'!$G$14:$K$16,4,0)</f>
        <v>0</v>
      </c>
      <c r="S1308" s="73">
        <f>VLOOKUP(Tabla6[[#This Row],[PG]],Listas2!$G$14:$K$16,2,0)</f>
        <v>0</v>
      </c>
      <c r="T1308" s="66" t="s">
        <v>84</v>
      </c>
      <c r="U1308" s="74">
        <v>51</v>
      </c>
      <c r="V1308" s="66">
        <v>510510</v>
      </c>
      <c r="W1308" s="63" t="str">
        <f>VLOOKUP(Tabla6[[#This Row],[ÍTEM PRESUPUESTARIO]],Tabla2[#All],2,0)</f>
        <v>SERVICIOS PERSONALES POR CONTRATO</v>
      </c>
      <c r="X1308" s="57">
        <v>14544</v>
      </c>
      <c r="Y1308" s="57">
        <v>14544</v>
      </c>
      <c r="Z1308" s="58">
        <v>1212</v>
      </c>
      <c r="AA1308" s="58">
        <v>1212</v>
      </c>
      <c r="AB1308" s="58">
        <v>1212</v>
      </c>
      <c r="AC1308" s="58">
        <v>1212</v>
      </c>
      <c r="AD1308" s="58">
        <v>1212</v>
      </c>
      <c r="AE1308" s="58">
        <v>1212</v>
      </c>
      <c r="AF1308" s="58">
        <v>1212</v>
      </c>
      <c r="AG1308" s="58">
        <v>1212</v>
      </c>
      <c r="AH1308" s="58">
        <v>1212</v>
      </c>
      <c r="AI1308" s="58">
        <v>1212</v>
      </c>
      <c r="AJ1308" s="58">
        <v>1212</v>
      </c>
      <c r="AK1308" s="58">
        <v>1212</v>
      </c>
      <c r="AL1308" s="75">
        <f>+SUBTOTAL(9,Tabla6[[#This Row],[ENE]:[DIC]])</f>
        <v>14544</v>
      </c>
      <c r="AM1308" s="76" t="str">
        <f t="shared" si="50"/>
        <v>OK</v>
      </c>
      <c r="AN1308" s="60">
        <v>0</v>
      </c>
      <c r="AO1308" s="61">
        <f>+Tabla6[[#This Row],[PRESUPUESTO VIGENTE]]-Tabla6[[#This Row],[CERTIFICACIÓN PAPP]]</f>
        <v>14544</v>
      </c>
      <c r="AP1308" s="59">
        <v>0</v>
      </c>
    </row>
    <row r="1309" spans="1:42" ht="93" customHeight="1" x14ac:dyDescent="0.25">
      <c r="A1309" s="62" t="s">
        <v>88</v>
      </c>
      <c r="B1309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309" s="64" t="s">
        <v>89</v>
      </c>
      <c r="D1309" s="64" t="s">
        <v>113</v>
      </c>
      <c r="E1309" s="64" t="s">
        <v>114</v>
      </c>
      <c r="F1309" s="64" t="s">
        <v>20</v>
      </c>
      <c r="G1309" s="64" t="s">
        <v>21</v>
      </c>
      <c r="H1309" s="65" t="str">
        <f>VLOOKUP(Tabla6[[#This Row],[DIRECCIÓN]],DIRECCIÓN[#All],2,0)</f>
        <v>TECNOLOGÍA</v>
      </c>
      <c r="I1309" s="66" t="s">
        <v>93</v>
      </c>
      <c r="J1309" s="67">
        <v>1</v>
      </c>
      <c r="K1309" s="68" t="str">
        <f>VLOOKUP(Tabla6[[#This Row],[DIRECCIÓN GENERAL / COORDINACIÓN / SUBDIRECCIÓN]],Tabla37[[#All],[Columna1]:[EOD]],2,0)</f>
        <v>266_9999</v>
      </c>
      <c r="L1309" s="69">
        <f>VLOOKUP(Tabla6[[#This Row],[OBJETIVOS PND]],Listas!$A$1:$C$3,3,0)</f>
        <v>55</v>
      </c>
      <c r="M1309" s="70">
        <f>VLOOKUP(Tabla6[[#This Row],[PG]],Listas2!$G$14:$K$16,5,0)</f>
        <v>0</v>
      </c>
      <c r="N1309" s="71">
        <v>3</v>
      </c>
      <c r="O1309" s="72">
        <v>1700</v>
      </c>
      <c r="P1309" s="73" t="str">
        <f>VLOOKUP(Tabla6[[#This Row],[GEO]],Listas!$A$48:$B$77,2,0)</f>
        <v>PICHINCHA</v>
      </c>
      <c r="Q1309" s="70">
        <f>VLOOKUP(Tabla6[[#This Row],[PG]],Listas2!$G$14:$K$16,3,0)</f>
        <v>1</v>
      </c>
      <c r="R1309" s="73">
        <f>VLOOKUP(Tabla6[[#This Row],[PG]],Listas2!H48:'Listas2'!$G$14:$K$16,4,0)</f>
        <v>0</v>
      </c>
      <c r="S1309" s="73">
        <f>VLOOKUP(Tabla6[[#This Row],[PG]],Listas2!$G$14:$K$16,2,0)</f>
        <v>0</v>
      </c>
      <c r="T1309" s="66" t="s">
        <v>84</v>
      </c>
      <c r="U1309" s="74">
        <v>51</v>
      </c>
      <c r="V1309" s="66">
        <v>510512</v>
      </c>
      <c r="W1309" s="63" t="str">
        <f>VLOOKUP(Tabla6[[#This Row],[ÍTEM PRESUPUESTARIO]],Tabla2[#All],2,0)</f>
        <v xml:space="preserve">SUBROGACIÓN </v>
      </c>
      <c r="X1309" s="57">
        <v>1000</v>
      </c>
      <c r="Y1309" s="57">
        <f>1000+182-546+100+700-500-412.93</f>
        <v>523.06999999999994</v>
      </c>
      <c r="Z1309" s="58">
        <v>98.5</v>
      </c>
      <c r="AA1309" s="58">
        <v>98.5</v>
      </c>
      <c r="AB1309" s="58">
        <v>43.9</v>
      </c>
      <c r="AC1309" s="58">
        <v>43.9</v>
      </c>
      <c r="AD1309" s="58">
        <f>43.9+12.5</f>
        <v>56.4</v>
      </c>
      <c r="AE1309" s="58">
        <v>56.4</v>
      </c>
      <c r="AF1309" s="58">
        <v>56.4</v>
      </c>
      <c r="AG1309" s="58">
        <v>56.4</v>
      </c>
      <c r="AH1309" s="58">
        <v>12.67</v>
      </c>
      <c r="AI1309" s="58">
        <v>0</v>
      </c>
      <c r="AJ1309" s="58">
        <v>0</v>
      </c>
      <c r="AK1309" s="58">
        <v>0</v>
      </c>
      <c r="AL1309" s="75">
        <f>+SUBTOTAL(9,Tabla6[[#This Row],[ENE]:[DIC]])</f>
        <v>523.06999999999994</v>
      </c>
      <c r="AM1309" s="76" t="str">
        <f t="shared" si="50"/>
        <v>OK</v>
      </c>
      <c r="AN1309" s="60">
        <v>0</v>
      </c>
      <c r="AO1309" s="61">
        <f>+Tabla6[[#This Row],[PRESUPUESTO VIGENTE]]-Tabla6[[#This Row],[CERTIFICACIÓN PAPP]]</f>
        <v>523.06999999999994</v>
      </c>
      <c r="AP1309" s="59">
        <v>0</v>
      </c>
    </row>
    <row r="1310" spans="1:42" ht="93" customHeight="1" x14ac:dyDescent="0.25">
      <c r="A1310" s="62" t="s">
        <v>88</v>
      </c>
      <c r="B1310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310" s="64" t="s">
        <v>89</v>
      </c>
      <c r="D1310" s="64" t="s">
        <v>113</v>
      </c>
      <c r="E1310" s="64" t="s">
        <v>114</v>
      </c>
      <c r="F1310" s="64" t="s">
        <v>20</v>
      </c>
      <c r="G1310" s="64" t="s">
        <v>21</v>
      </c>
      <c r="H1310" s="65" t="str">
        <f>VLOOKUP(Tabla6[[#This Row],[DIRECCIÓN]],DIRECCIÓN[#All],2,0)</f>
        <v>TECNOLOGÍA</v>
      </c>
      <c r="I1310" s="66" t="s">
        <v>93</v>
      </c>
      <c r="J1310" s="67">
        <v>1</v>
      </c>
      <c r="K1310" s="68" t="str">
        <f>VLOOKUP(Tabla6[[#This Row],[DIRECCIÓN GENERAL / COORDINACIÓN / SUBDIRECCIÓN]],Tabla37[[#All],[Columna1]:[EOD]],2,0)</f>
        <v>266_9999</v>
      </c>
      <c r="L1310" s="69">
        <f>VLOOKUP(Tabla6[[#This Row],[OBJETIVOS PND]],Listas!$A$1:$C$3,3,0)</f>
        <v>55</v>
      </c>
      <c r="M1310" s="70">
        <f>VLOOKUP(Tabla6[[#This Row],[PG]],Listas2!$G$14:$K$16,5,0)</f>
        <v>0</v>
      </c>
      <c r="N1310" s="71">
        <v>3</v>
      </c>
      <c r="O1310" s="72">
        <v>1700</v>
      </c>
      <c r="P1310" s="73" t="str">
        <f>VLOOKUP(Tabla6[[#This Row],[GEO]],Listas!$A$48:$B$77,2,0)</f>
        <v>PICHINCHA</v>
      </c>
      <c r="Q1310" s="70">
        <f>VLOOKUP(Tabla6[[#This Row],[PG]],Listas2!$G$14:$K$16,3,0)</f>
        <v>1</v>
      </c>
      <c r="R1310" s="73">
        <f>VLOOKUP(Tabla6[[#This Row],[PG]],Listas2!H49:'Listas2'!$G$14:$K$16,4,0)</f>
        <v>0</v>
      </c>
      <c r="S1310" s="73">
        <f>VLOOKUP(Tabla6[[#This Row],[PG]],Listas2!$G$14:$K$16,2,0)</f>
        <v>0</v>
      </c>
      <c r="T1310" s="66" t="s">
        <v>84</v>
      </c>
      <c r="U1310" s="74">
        <v>51</v>
      </c>
      <c r="V1310" s="66">
        <v>510513</v>
      </c>
      <c r="W1310" s="63" t="str">
        <f>VLOOKUP(Tabla6[[#This Row],[ÍTEM PRESUPUESTARIO]],Tabla2[#All],2,0)</f>
        <v>ENCARGOS</v>
      </c>
      <c r="X1310" s="57">
        <v>0</v>
      </c>
      <c r="Y1310" s="57">
        <v>77.069999999999993</v>
      </c>
      <c r="Z1310" s="58">
        <v>0</v>
      </c>
      <c r="AA1310" s="58">
        <v>0</v>
      </c>
      <c r="AB1310" s="58">
        <v>0</v>
      </c>
      <c r="AC1310" s="58">
        <v>0</v>
      </c>
      <c r="AD1310" s="58">
        <v>0</v>
      </c>
      <c r="AE1310" s="58">
        <v>0</v>
      </c>
      <c r="AF1310" s="58">
        <v>0</v>
      </c>
      <c r="AG1310" s="58">
        <v>0</v>
      </c>
      <c r="AH1310" s="58">
        <v>0</v>
      </c>
      <c r="AI1310" s="58">
        <v>77.069999999999993</v>
      </c>
      <c r="AJ1310" s="58">
        <v>0</v>
      </c>
      <c r="AK1310" s="58">
        <v>0</v>
      </c>
      <c r="AL1310" s="75">
        <f>+SUBTOTAL(9,Tabla6[[#This Row],[ENE]:[DIC]])</f>
        <v>77.069999999999993</v>
      </c>
      <c r="AM1310" s="76" t="str">
        <f t="shared" si="50"/>
        <v>OK</v>
      </c>
      <c r="AN1310" s="60">
        <v>0</v>
      </c>
      <c r="AO1310" s="61">
        <f>+Tabla6[[#This Row],[PRESUPUESTO VIGENTE]]-Tabla6[[#This Row],[CERTIFICACIÓN PAPP]]</f>
        <v>77.069999999999993</v>
      </c>
      <c r="AP1310" s="59">
        <v>0</v>
      </c>
    </row>
    <row r="1311" spans="1:42" ht="93" customHeight="1" x14ac:dyDescent="0.25">
      <c r="A1311" s="62" t="s">
        <v>88</v>
      </c>
      <c r="B1311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311" s="64" t="s">
        <v>89</v>
      </c>
      <c r="D1311" s="64" t="s">
        <v>113</v>
      </c>
      <c r="E1311" s="64" t="s">
        <v>114</v>
      </c>
      <c r="F1311" s="64" t="s">
        <v>20</v>
      </c>
      <c r="G1311" s="64" t="s">
        <v>21</v>
      </c>
      <c r="H1311" s="65" t="str">
        <f>VLOOKUP(Tabla6[[#This Row],[DIRECCIÓN]],DIRECCIÓN[#All],2,0)</f>
        <v>TECNOLOGÍA</v>
      </c>
      <c r="I1311" s="66" t="s">
        <v>93</v>
      </c>
      <c r="J1311" s="67">
        <v>1</v>
      </c>
      <c r="K1311" s="68" t="str">
        <f>VLOOKUP(Tabla6[[#This Row],[DIRECCIÓN GENERAL / COORDINACIÓN / SUBDIRECCIÓN]],Tabla37[[#All],[Columna1]:[EOD]],2,0)</f>
        <v>266_9999</v>
      </c>
      <c r="L1311" s="69">
        <f>VLOOKUP(Tabla6[[#This Row],[OBJETIVOS PND]],Listas!$A$1:$C$3,3,0)</f>
        <v>55</v>
      </c>
      <c r="M1311" s="70">
        <f>VLOOKUP(Tabla6[[#This Row],[PG]],Listas2!$G$14:$K$16,5,0)</f>
        <v>0</v>
      </c>
      <c r="N1311" s="71">
        <v>3</v>
      </c>
      <c r="O1311" s="72">
        <v>1700</v>
      </c>
      <c r="P1311" s="73" t="str">
        <f>VLOOKUP(Tabla6[[#This Row],[GEO]],Listas!$A$48:$B$77,2,0)</f>
        <v>PICHINCHA</v>
      </c>
      <c r="Q1311" s="70">
        <f>VLOOKUP(Tabla6[[#This Row],[PG]],Listas2!$G$14:$K$16,3,0)</f>
        <v>1</v>
      </c>
      <c r="R1311" s="73">
        <f>VLOOKUP(Tabla6[[#This Row],[PG]],Listas2!H50:'Listas2'!$G$14:$K$16,4,0)</f>
        <v>0</v>
      </c>
      <c r="S1311" s="73">
        <f>VLOOKUP(Tabla6[[#This Row],[PG]],Listas2!$G$14:$K$16,2,0)</f>
        <v>0</v>
      </c>
      <c r="T1311" s="66" t="s">
        <v>84</v>
      </c>
      <c r="U1311" s="74">
        <v>51</v>
      </c>
      <c r="V1311" s="66">
        <v>510601</v>
      </c>
      <c r="W1311" s="63" t="str">
        <f>VLOOKUP(Tabla6[[#This Row],[ÍTEM PRESUPUESTARIO]],Tabla2[#All],2,0)</f>
        <v>APORTE PATRONAL</v>
      </c>
      <c r="X1311" s="57">
        <v>32617</v>
      </c>
      <c r="Y1311" s="57">
        <f>32617-966+501.91-2423.93</f>
        <v>29728.98</v>
      </c>
      <c r="Z1311" s="58">
        <v>2637.58</v>
      </c>
      <c r="AA1311" s="58">
        <v>2637.58</v>
      </c>
      <c r="AB1311" s="58">
        <v>2637.58</v>
      </c>
      <c r="AC1311" s="58">
        <v>2637.58</v>
      </c>
      <c r="AD1311" s="58">
        <v>2637.58</v>
      </c>
      <c r="AE1311" s="58">
        <f t="shared" ref="AE1311:AJ1311" si="55">2637.58+71.7</f>
        <v>2709.2799999999997</v>
      </c>
      <c r="AF1311" s="58">
        <f t="shared" si="55"/>
        <v>2709.2799999999997</v>
      </c>
      <c r="AG1311" s="58">
        <f t="shared" si="55"/>
        <v>2709.2799999999997</v>
      </c>
      <c r="AH1311" s="58">
        <f t="shared" si="55"/>
        <v>2709.2799999999997</v>
      </c>
      <c r="AI1311" s="58">
        <f t="shared" si="55"/>
        <v>2709.2799999999997</v>
      </c>
      <c r="AJ1311" s="58">
        <f t="shared" si="55"/>
        <v>2709.2799999999997</v>
      </c>
      <c r="AK1311" s="58">
        <v>285.39999999999998</v>
      </c>
      <c r="AL1311" s="75">
        <f>+SUBTOTAL(9,Tabla6[[#This Row],[ENE]:[DIC]])</f>
        <v>29728.979999999996</v>
      </c>
      <c r="AM1311" s="76" t="str">
        <f t="shared" si="50"/>
        <v>OK</v>
      </c>
      <c r="AN1311" s="60">
        <v>0</v>
      </c>
      <c r="AO1311" s="61">
        <f>+Tabla6[[#This Row],[PRESUPUESTO VIGENTE]]-Tabla6[[#This Row],[CERTIFICACIÓN PAPP]]</f>
        <v>29728.98</v>
      </c>
      <c r="AP1311" s="59">
        <v>0</v>
      </c>
    </row>
    <row r="1312" spans="1:42" ht="93" customHeight="1" x14ac:dyDescent="0.25">
      <c r="A1312" s="62" t="s">
        <v>88</v>
      </c>
      <c r="B1312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312" s="64" t="s">
        <v>89</v>
      </c>
      <c r="D1312" s="64" t="s">
        <v>113</v>
      </c>
      <c r="E1312" s="64" t="s">
        <v>114</v>
      </c>
      <c r="F1312" s="64" t="s">
        <v>20</v>
      </c>
      <c r="G1312" s="64" t="s">
        <v>21</v>
      </c>
      <c r="H1312" s="65" t="str">
        <f>VLOOKUP(Tabla6[[#This Row],[DIRECCIÓN]],DIRECCIÓN[#All],2,0)</f>
        <v>TECNOLOGÍA</v>
      </c>
      <c r="I1312" s="66" t="s">
        <v>93</v>
      </c>
      <c r="J1312" s="67">
        <v>1</v>
      </c>
      <c r="K1312" s="68" t="str">
        <f>VLOOKUP(Tabla6[[#This Row],[DIRECCIÓN GENERAL / COORDINACIÓN / SUBDIRECCIÓN]],Tabla37[[#All],[Columna1]:[EOD]],2,0)</f>
        <v>266_9999</v>
      </c>
      <c r="L1312" s="69">
        <f>VLOOKUP(Tabla6[[#This Row],[OBJETIVOS PND]],Listas!$A$1:$C$3,3,0)</f>
        <v>55</v>
      </c>
      <c r="M1312" s="70">
        <f>VLOOKUP(Tabla6[[#This Row],[PG]],Listas2!$G$14:$K$16,5,0)</f>
        <v>0</v>
      </c>
      <c r="N1312" s="71">
        <v>3</v>
      </c>
      <c r="O1312" s="72">
        <v>1700</v>
      </c>
      <c r="P1312" s="73" t="str">
        <f>VLOOKUP(Tabla6[[#This Row],[GEO]],Listas!$A$48:$B$77,2,0)</f>
        <v>PICHINCHA</v>
      </c>
      <c r="Q1312" s="70">
        <f>VLOOKUP(Tabla6[[#This Row],[PG]],Listas2!$G$14:$K$16,3,0)</f>
        <v>1</v>
      </c>
      <c r="R1312" s="73">
        <f>VLOOKUP(Tabla6[[#This Row],[PG]],Listas2!H51:'Listas2'!$G$14:$K$16,4,0)</f>
        <v>0</v>
      </c>
      <c r="S1312" s="73">
        <f>VLOOKUP(Tabla6[[#This Row],[PG]],Listas2!$G$14:$K$16,2,0)</f>
        <v>0</v>
      </c>
      <c r="T1312" s="66" t="s">
        <v>84</v>
      </c>
      <c r="U1312" s="74">
        <v>51</v>
      </c>
      <c r="V1312" s="66">
        <v>510602</v>
      </c>
      <c r="W1312" s="63" t="str">
        <f>VLOOKUP(Tabla6[[#This Row],[ÍTEM PRESUPUESTARIO]],Tabla2[#All],2,0)</f>
        <v>FONDO DE RESERVA</v>
      </c>
      <c r="X1312" s="57">
        <v>18167</v>
      </c>
      <c r="Y1312" s="57">
        <f>18167+5770+2795.09-4243.52</f>
        <v>22488.57</v>
      </c>
      <c r="Z1312" s="58">
        <v>1994.75</v>
      </c>
      <c r="AA1312" s="58">
        <v>1994.75</v>
      </c>
      <c r="AB1312" s="58">
        <v>1994.75</v>
      </c>
      <c r="AC1312" s="58">
        <v>1994.75</v>
      </c>
      <c r="AD1312" s="58">
        <v>1994.75</v>
      </c>
      <c r="AE1312" s="58">
        <f t="shared" ref="AE1312:AI1312" si="56">1994.75+399.3</f>
        <v>2394.0500000000002</v>
      </c>
      <c r="AF1312" s="58">
        <f t="shared" si="56"/>
        <v>2394.0500000000002</v>
      </c>
      <c r="AG1312" s="58">
        <f t="shared" si="56"/>
        <v>2394.0500000000002</v>
      </c>
      <c r="AH1312" s="58">
        <f t="shared" si="56"/>
        <v>2394.0500000000002</v>
      </c>
      <c r="AI1312" s="58">
        <f t="shared" si="56"/>
        <v>2394.0500000000002</v>
      </c>
      <c r="AJ1312" s="58">
        <v>544.57000000000005</v>
      </c>
      <c r="AK1312" s="58">
        <v>0</v>
      </c>
      <c r="AL1312" s="75">
        <f>+SUBTOTAL(9,Tabla6[[#This Row],[ENE]:[DIC]])</f>
        <v>22488.569999999996</v>
      </c>
      <c r="AM1312" s="76" t="str">
        <f t="shared" si="50"/>
        <v>OK</v>
      </c>
      <c r="AN1312" s="60">
        <v>0</v>
      </c>
      <c r="AO1312" s="61">
        <f>+Tabla6[[#This Row],[PRESUPUESTO VIGENTE]]-Tabla6[[#This Row],[CERTIFICACIÓN PAPP]]</f>
        <v>22488.57</v>
      </c>
      <c r="AP1312" s="59">
        <v>0</v>
      </c>
    </row>
    <row r="1313" spans="1:42" ht="93" customHeight="1" x14ac:dyDescent="0.25">
      <c r="A1313" s="62" t="s">
        <v>78</v>
      </c>
      <c r="B1313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313" s="64" t="s">
        <v>79</v>
      </c>
      <c r="D1313" s="64" t="s">
        <v>115</v>
      </c>
      <c r="E1313" s="64" t="s">
        <v>114</v>
      </c>
      <c r="F1313" s="64" t="s">
        <v>4</v>
      </c>
      <c r="G1313" s="64" t="s">
        <v>5</v>
      </c>
      <c r="H1313" s="65" t="str">
        <f>VLOOKUP(Tabla6[[#This Row],[DIRECCIÓN]],DIRECCIÓN[#All],2,0)</f>
        <v>ADMINISTRACIÓN CENTRAL</v>
      </c>
      <c r="I1313" s="66" t="s">
        <v>116</v>
      </c>
      <c r="J1313" s="67">
        <v>1</v>
      </c>
      <c r="K1313" s="68" t="str">
        <f>VLOOKUP(Tabla6[[#This Row],[DIRECCIÓN GENERAL / COORDINACIÓN / SUBDIRECCIÓN]],Tabla37[[#All],[Columna1]:[EOD]],2,0)</f>
        <v>266_9999</v>
      </c>
      <c r="L1313" s="69">
        <f>VLOOKUP(Tabla6[[#This Row],[OBJETIVOS PND]],Listas!$A$1:$C$3,3,0)</f>
        <v>1</v>
      </c>
      <c r="M1313" s="70">
        <f>VLOOKUP(Tabla6[[#This Row],[PG]],Listas2!$G$14:$K$16,5,0)</f>
        <v>0</v>
      </c>
      <c r="N1313" s="71">
        <v>1</v>
      </c>
      <c r="O1313" s="72">
        <v>1701</v>
      </c>
      <c r="P1313" s="73" t="str">
        <f>VLOOKUP(Tabla6[[#This Row],[GEO]],Listas!$A$48:$B$77,2,0)</f>
        <v>QUITO</v>
      </c>
      <c r="Q1313" s="70">
        <f>VLOOKUP(Tabla6[[#This Row],[PG]],Listas2!$G$14:$K$16,3,0)</f>
        <v>1</v>
      </c>
      <c r="R1313" s="73">
        <f>VLOOKUP(Tabla6[[#This Row],[PG]],Listas2!H52:'Listas2'!$G$14:$K$16,4,0)</f>
        <v>0</v>
      </c>
      <c r="S1313" s="73">
        <f>VLOOKUP(Tabla6[[#This Row],[PG]],Listas2!$G$14:$K$16,2,0)</f>
        <v>0</v>
      </c>
      <c r="T1313" s="66" t="s">
        <v>84</v>
      </c>
      <c r="U1313" s="74">
        <v>53</v>
      </c>
      <c r="V1313" s="66">
        <v>530101</v>
      </c>
      <c r="W1313" s="63" t="str">
        <f>VLOOKUP(Tabla6[[#This Row],[ÍTEM PRESUPUESTARIO]],Tabla2[#All],2,0)</f>
        <v>AGUA POTABLE</v>
      </c>
      <c r="X1313" s="57">
        <v>5400</v>
      </c>
      <c r="Y1313" s="57">
        <v>5400</v>
      </c>
      <c r="Z1313" s="58">
        <v>450</v>
      </c>
      <c r="AA1313" s="58">
        <v>450</v>
      </c>
      <c r="AB1313" s="58">
        <v>450</v>
      </c>
      <c r="AC1313" s="58">
        <v>450</v>
      </c>
      <c r="AD1313" s="58">
        <v>450</v>
      </c>
      <c r="AE1313" s="58">
        <v>450</v>
      </c>
      <c r="AF1313" s="58">
        <v>450</v>
      </c>
      <c r="AG1313" s="58">
        <v>450</v>
      </c>
      <c r="AH1313" s="58">
        <v>450</v>
      </c>
      <c r="AI1313" s="58">
        <v>450</v>
      </c>
      <c r="AJ1313" s="58">
        <v>450</v>
      </c>
      <c r="AK1313" s="58">
        <v>450</v>
      </c>
      <c r="AL1313" s="75">
        <f>+SUBTOTAL(9,Tabla6[[#This Row],[ENE]:[DIC]])</f>
        <v>5400</v>
      </c>
      <c r="AM1313" s="76" t="str">
        <f t="shared" si="50"/>
        <v>OK</v>
      </c>
      <c r="AN1313" s="60">
        <f>416.41+4983.59</f>
        <v>5400</v>
      </c>
      <c r="AO1313" s="61">
        <f>+Tabla6[[#This Row],[PRESUPUESTO VIGENTE]]-Tabla6[[#This Row],[CERTIFICACIÓN PAPP]]</f>
        <v>0</v>
      </c>
      <c r="AP1313" s="59">
        <v>0</v>
      </c>
    </row>
    <row r="1314" spans="1:42" ht="93" customHeight="1" x14ac:dyDescent="0.25">
      <c r="A1314" s="62" t="s">
        <v>78</v>
      </c>
      <c r="B1314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314" s="64" t="s">
        <v>79</v>
      </c>
      <c r="D1314" s="64" t="s">
        <v>115</v>
      </c>
      <c r="E1314" s="64" t="s">
        <v>114</v>
      </c>
      <c r="F1314" s="64" t="s">
        <v>4</v>
      </c>
      <c r="G1314" s="64" t="s">
        <v>5</v>
      </c>
      <c r="H1314" s="65" t="str">
        <f>VLOOKUP(Tabla6[[#This Row],[DIRECCIÓN]],DIRECCIÓN[#All],2,0)</f>
        <v>ADMINISTRACIÓN CENTRAL</v>
      </c>
      <c r="I1314" s="66" t="s">
        <v>116</v>
      </c>
      <c r="J1314" s="67">
        <v>1</v>
      </c>
      <c r="K1314" s="68" t="str">
        <f>VLOOKUP(Tabla6[[#This Row],[DIRECCIÓN GENERAL / COORDINACIÓN / SUBDIRECCIÓN]],Tabla37[[#All],[Columna1]:[EOD]],2,0)</f>
        <v>266_9999</v>
      </c>
      <c r="L1314" s="69">
        <f>VLOOKUP(Tabla6[[#This Row],[OBJETIVOS PND]],Listas!$A$1:$C$3,3,0)</f>
        <v>1</v>
      </c>
      <c r="M1314" s="70">
        <f>VLOOKUP(Tabla6[[#This Row],[PG]],Listas2!$G$14:$K$16,5,0)</f>
        <v>0</v>
      </c>
      <c r="N1314" s="71">
        <v>1</v>
      </c>
      <c r="O1314" s="72">
        <v>1701</v>
      </c>
      <c r="P1314" s="73" t="str">
        <f>VLOOKUP(Tabla6[[#This Row],[GEO]],Listas!$A$48:$B$77,2,0)</f>
        <v>QUITO</v>
      </c>
      <c r="Q1314" s="70">
        <f>VLOOKUP(Tabla6[[#This Row],[PG]],Listas2!$G$14:$K$16,3,0)</f>
        <v>1</v>
      </c>
      <c r="R1314" s="73">
        <f>VLOOKUP(Tabla6[[#This Row],[PG]],Listas2!H53:'Listas2'!$G$14:$K$16,4,0)</f>
        <v>0</v>
      </c>
      <c r="S1314" s="73">
        <f>VLOOKUP(Tabla6[[#This Row],[PG]],Listas2!$G$14:$K$16,2,0)</f>
        <v>0</v>
      </c>
      <c r="T1314" s="66" t="s">
        <v>84</v>
      </c>
      <c r="U1314" s="74">
        <v>53</v>
      </c>
      <c r="V1314" s="66">
        <v>530104</v>
      </c>
      <c r="W1314" s="63" t="str">
        <f>VLOOKUP(Tabla6[[#This Row],[ÍTEM PRESUPUESTARIO]],Tabla2[#All],2,0)</f>
        <v>ENERGÍA ELÉCTRICA</v>
      </c>
      <c r="X1314" s="57">
        <v>122976</v>
      </c>
      <c r="Y1314" s="57">
        <f>122976-20000+24000</f>
        <v>126976</v>
      </c>
      <c r="Z1314" s="58">
        <v>10248</v>
      </c>
      <c r="AA1314" s="58">
        <v>10248</v>
      </c>
      <c r="AB1314" s="58">
        <v>10248</v>
      </c>
      <c r="AC1314" s="58">
        <v>8025.78</v>
      </c>
      <c r="AD1314" s="58">
        <v>8025.78</v>
      </c>
      <c r="AE1314" s="58">
        <v>8025.78</v>
      </c>
      <c r="AF1314" s="58">
        <v>8025.78</v>
      </c>
      <c r="AG1314" s="58">
        <v>8025.78</v>
      </c>
      <c r="AH1314" s="58">
        <v>8025.78</v>
      </c>
      <c r="AI1314" s="58">
        <v>8025.78</v>
      </c>
      <c r="AJ1314" s="58">
        <f>8025.78+12000</f>
        <v>20025.78</v>
      </c>
      <c r="AK1314" s="58">
        <f>8025.76+12000</f>
        <v>20025.760000000002</v>
      </c>
      <c r="AL1314" s="75">
        <f>+SUBTOTAL(9,Tabla6[[#This Row],[ENE]:[DIC]])</f>
        <v>126976</v>
      </c>
      <c r="AM1314" s="76" t="str">
        <f t="shared" si="50"/>
        <v>OK</v>
      </c>
      <c r="AN1314" s="60">
        <f>10633.52+112342.48-92359.59+72359.59-9599.84+33599.84</f>
        <v>126976</v>
      </c>
      <c r="AO1314" s="61">
        <f>+Tabla6[[#This Row],[PRESUPUESTO VIGENTE]]-Tabla6[[#This Row],[CERTIFICACIÓN PAPP]]</f>
        <v>0</v>
      </c>
      <c r="AP1314" s="59">
        <v>0</v>
      </c>
    </row>
    <row r="1315" spans="1:42" ht="93" customHeight="1" x14ac:dyDescent="0.25">
      <c r="A1315" s="62" t="s">
        <v>78</v>
      </c>
      <c r="B1315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315" s="64" t="s">
        <v>79</v>
      </c>
      <c r="D1315" s="64" t="s">
        <v>115</v>
      </c>
      <c r="E1315" s="64" t="s">
        <v>114</v>
      </c>
      <c r="F1315" s="64" t="s">
        <v>4</v>
      </c>
      <c r="G1315" s="64" t="s">
        <v>5</v>
      </c>
      <c r="H1315" s="65" t="str">
        <f>VLOOKUP(Tabla6[[#This Row],[DIRECCIÓN]],DIRECCIÓN[#All],2,0)</f>
        <v>ADMINISTRACIÓN CENTRAL</v>
      </c>
      <c r="I1315" s="66" t="s">
        <v>117</v>
      </c>
      <c r="J1315" s="67">
        <v>1</v>
      </c>
      <c r="K1315" s="68" t="str">
        <f>VLOOKUP(Tabla6[[#This Row],[DIRECCIÓN GENERAL / COORDINACIÓN / SUBDIRECCIÓN]],Tabla37[[#All],[Columna1]:[EOD]],2,0)</f>
        <v>266_9999</v>
      </c>
      <c r="L1315" s="69">
        <f>VLOOKUP(Tabla6[[#This Row],[OBJETIVOS PND]],Listas!$A$1:$C$3,3,0)</f>
        <v>1</v>
      </c>
      <c r="M1315" s="70">
        <f>VLOOKUP(Tabla6[[#This Row],[PG]],Listas2!$G$14:$K$16,5,0)</f>
        <v>0</v>
      </c>
      <c r="N1315" s="71">
        <v>1</v>
      </c>
      <c r="O1315" s="72">
        <v>1701</v>
      </c>
      <c r="P1315" s="73" t="str">
        <f>VLOOKUP(Tabla6[[#This Row],[GEO]],Listas!$A$48:$B$77,2,0)</f>
        <v>QUITO</v>
      </c>
      <c r="Q1315" s="70">
        <f>VLOOKUP(Tabla6[[#This Row],[PG]],Listas2!$G$14:$K$16,3,0)</f>
        <v>1</v>
      </c>
      <c r="R1315" s="73">
        <f>VLOOKUP(Tabla6[[#This Row],[PG]],Listas2!H54:'Listas2'!$G$14:$K$16,4,0)</f>
        <v>0</v>
      </c>
      <c r="S1315" s="73">
        <f>VLOOKUP(Tabla6[[#This Row],[PG]],Listas2!$G$14:$K$16,2,0)</f>
        <v>0</v>
      </c>
      <c r="T1315" s="66" t="s">
        <v>84</v>
      </c>
      <c r="U1315" s="74">
        <v>53</v>
      </c>
      <c r="V1315" s="66">
        <v>530105</v>
      </c>
      <c r="W1315" s="63" t="str">
        <f>VLOOKUP(Tabla6[[#This Row],[ÍTEM PRESUPUESTARIO]],Tabla2[#All],2,0)</f>
        <v>TELECOMUNICACIONES</v>
      </c>
      <c r="X1315" s="57">
        <v>1200</v>
      </c>
      <c r="Y1315" s="57">
        <f>1200-1200</f>
        <v>0</v>
      </c>
      <c r="Z1315" s="58">
        <v>0</v>
      </c>
      <c r="AA1315" s="58">
        <v>0</v>
      </c>
      <c r="AB1315" s="58">
        <v>0</v>
      </c>
      <c r="AC1315" s="58">
        <v>0</v>
      </c>
      <c r="AD1315" s="58">
        <v>0</v>
      </c>
      <c r="AE1315" s="58">
        <v>0</v>
      </c>
      <c r="AF1315" s="58">
        <v>0</v>
      </c>
      <c r="AG1315" s="58">
        <v>0</v>
      </c>
      <c r="AH1315" s="58">
        <v>0</v>
      </c>
      <c r="AI1315" s="58">
        <v>0</v>
      </c>
      <c r="AJ1315" s="58">
        <v>0</v>
      </c>
      <c r="AK1315" s="58">
        <v>0</v>
      </c>
      <c r="AL1315" s="75">
        <f>+SUBTOTAL(9,Tabla6[[#This Row],[ENE]:[DIC]])</f>
        <v>0</v>
      </c>
      <c r="AM1315" s="76" t="str">
        <f t="shared" si="50"/>
        <v>OK</v>
      </c>
      <c r="AN1315" s="60">
        <v>0</v>
      </c>
      <c r="AO1315" s="61">
        <f>+Tabla6[[#This Row],[PRESUPUESTO VIGENTE]]-Tabla6[[#This Row],[CERTIFICACIÓN PAPP]]</f>
        <v>0</v>
      </c>
      <c r="AP1315" s="59">
        <v>0</v>
      </c>
    </row>
    <row r="1316" spans="1:42" ht="93" customHeight="1" x14ac:dyDescent="0.25">
      <c r="A1316" s="62" t="s">
        <v>78</v>
      </c>
      <c r="B1316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316" s="64" t="s">
        <v>79</v>
      </c>
      <c r="D1316" s="64" t="s">
        <v>118</v>
      </c>
      <c r="E1316" s="64" t="s">
        <v>114</v>
      </c>
      <c r="F1316" s="64" t="s">
        <v>11</v>
      </c>
      <c r="G1316" s="64" t="s">
        <v>14</v>
      </c>
      <c r="H1316" s="65" t="str">
        <f>VLOOKUP(Tabla6[[#This Row],[DIRECCIÓN]],DIRECCIÓN[#All],2,0)</f>
        <v>ADMINISTRACIÓN CENTRAL</v>
      </c>
      <c r="I1316" s="66" t="s">
        <v>119</v>
      </c>
      <c r="J1316" s="67">
        <v>1</v>
      </c>
      <c r="K1316" s="68" t="str">
        <f>VLOOKUP(Tabla6[[#This Row],[DIRECCIÓN GENERAL / COORDINACIÓN / SUBDIRECCIÓN]],Tabla37[[#All],[Columna1]:[EOD]],2,0)</f>
        <v>266_9999</v>
      </c>
      <c r="L1316" s="69">
        <f>VLOOKUP(Tabla6[[#This Row],[OBJETIVOS PND]],Listas!$A$1:$C$3,3,0)</f>
        <v>1</v>
      </c>
      <c r="M1316" s="70">
        <f>VLOOKUP(Tabla6[[#This Row],[PG]],Listas2!$G$14:$K$16,5,0)</f>
        <v>0</v>
      </c>
      <c r="N1316" s="71">
        <v>1</v>
      </c>
      <c r="O1316" s="72">
        <v>1701</v>
      </c>
      <c r="P1316" s="73" t="str">
        <f>VLOOKUP(Tabla6[[#This Row],[GEO]],Listas!$A$48:$B$77,2,0)</f>
        <v>QUITO</v>
      </c>
      <c r="Q1316" s="70">
        <f>VLOOKUP(Tabla6[[#This Row],[PG]],Listas2!$G$14:$K$16,3,0)</f>
        <v>1</v>
      </c>
      <c r="R1316" s="73">
        <f>VLOOKUP(Tabla6[[#This Row],[PG]],Listas2!H55:'Listas2'!$G$14:$K$16,4,0)</f>
        <v>0</v>
      </c>
      <c r="S1316" s="73">
        <f>VLOOKUP(Tabla6[[#This Row],[PG]],Listas2!$G$14:$K$16,2,0)</f>
        <v>0</v>
      </c>
      <c r="T1316" s="66" t="s">
        <v>84</v>
      </c>
      <c r="U1316" s="74">
        <v>53</v>
      </c>
      <c r="V1316" s="66">
        <v>530106</v>
      </c>
      <c r="W1316" s="63" t="str">
        <f>VLOOKUP(Tabla6[[#This Row],[ÍTEM PRESUPUESTARIO]],Tabla2[#All],2,0)</f>
        <v>SERVICIO DE CORREO</v>
      </c>
      <c r="X1316" s="57">
        <v>2800</v>
      </c>
      <c r="Y1316" s="57">
        <f>2800-720.4-728.81</f>
        <v>1350.79</v>
      </c>
      <c r="Z1316" s="58">
        <v>200</v>
      </c>
      <c r="AA1316" s="58">
        <v>200</v>
      </c>
      <c r="AB1316" s="58">
        <v>240</v>
      </c>
      <c r="AC1316" s="58">
        <v>240</v>
      </c>
      <c r="AD1316" s="58">
        <v>240</v>
      </c>
      <c r="AE1316" s="58">
        <v>230.79</v>
      </c>
      <c r="AF1316" s="58">
        <v>0</v>
      </c>
      <c r="AG1316" s="58">
        <v>0</v>
      </c>
      <c r="AH1316" s="58">
        <v>0</v>
      </c>
      <c r="AI1316" s="58">
        <v>0</v>
      </c>
      <c r="AJ1316" s="58">
        <v>0</v>
      </c>
      <c r="AK1316" s="58">
        <v>0</v>
      </c>
      <c r="AL1316" s="75">
        <f>+SUBTOTAL(9,Tabla6[[#This Row],[ENE]:[DIC]])</f>
        <v>1350.79</v>
      </c>
      <c r="AM1316" s="76" t="str">
        <f t="shared" si="50"/>
        <v>OK</v>
      </c>
      <c r="AN1316" s="60">
        <v>1350.79</v>
      </c>
      <c r="AO1316" s="61">
        <f>+Tabla6[[#This Row],[PRESUPUESTO VIGENTE]]-Tabla6[[#This Row],[CERTIFICACIÓN PAPP]]</f>
        <v>0</v>
      </c>
      <c r="AP1316" s="59">
        <v>0</v>
      </c>
    </row>
    <row r="1317" spans="1:42" ht="93" customHeight="1" x14ac:dyDescent="0.25">
      <c r="A1317" s="62" t="s">
        <v>78</v>
      </c>
      <c r="B1317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317" s="64" t="s">
        <v>79</v>
      </c>
      <c r="D1317" s="64" t="s">
        <v>118</v>
      </c>
      <c r="E1317" s="64" t="s">
        <v>114</v>
      </c>
      <c r="F1317" s="64" t="s">
        <v>11</v>
      </c>
      <c r="G1317" s="64" t="s">
        <v>14</v>
      </c>
      <c r="H1317" s="65" t="str">
        <f>VLOOKUP(Tabla6[[#This Row],[DIRECCIÓN]],DIRECCIÓN[#All],2,0)</f>
        <v>ADMINISTRACIÓN CENTRAL</v>
      </c>
      <c r="I1317" s="66" t="s">
        <v>120</v>
      </c>
      <c r="J1317" s="67">
        <v>1</v>
      </c>
      <c r="K1317" s="68" t="str">
        <f>VLOOKUP(Tabla6[[#This Row],[DIRECCIÓN GENERAL / COORDINACIÓN / SUBDIRECCIÓN]],Tabla37[[#All],[Columna1]:[EOD]],2,0)</f>
        <v>266_9999</v>
      </c>
      <c r="L1317" s="69">
        <f>VLOOKUP(Tabla6[[#This Row],[OBJETIVOS PND]],Listas!$A$1:$C$3,3,0)</f>
        <v>1</v>
      </c>
      <c r="M1317" s="70">
        <f>VLOOKUP(Tabla6[[#This Row],[PG]],Listas2!$G$14:$K$16,5,0)</f>
        <v>0</v>
      </c>
      <c r="N1317" s="71">
        <v>1</v>
      </c>
      <c r="O1317" s="72">
        <v>1701</v>
      </c>
      <c r="P1317" s="73" t="str">
        <f>VLOOKUP(Tabla6[[#This Row],[GEO]],Listas!$A$48:$B$77,2,0)</f>
        <v>QUITO</v>
      </c>
      <c r="Q1317" s="70">
        <f>VLOOKUP(Tabla6[[#This Row],[PG]],Listas2!$G$14:$K$16,3,0)</f>
        <v>1</v>
      </c>
      <c r="R1317" s="73">
        <f>VLOOKUP(Tabla6[[#This Row],[PG]],Listas2!H56:'Listas2'!$G$14:$K$16,4,0)</f>
        <v>0</v>
      </c>
      <c r="S1317" s="73">
        <f>VLOOKUP(Tabla6[[#This Row],[PG]],Listas2!$G$14:$K$16,2,0)</f>
        <v>0</v>
      </c>
      <c r="T1317" s="66" t="s">
        <v>84</v>
      </c>
      <c r="U1317" s="74">
        <v>53</v>
      </c>
      <c r="V1317" s="66">
        <v>530106</v>
      </c>
      <c r="W1317" s="63" t="str">
        <f>VLOOKUP(Tabla6[[#This Row],[ÍTEM PRESUPUESTARIO]],Tabla2[#All],2,0)</f>
        <v>SERVICIO DE CORREO</v>
      </c>
      <c r="X1317" s="57">
        <v>200</v>
      </c>
      <c r="Y1317" s="57">
        <f>200-81.13</f>
        <v>118.87</v>
      </c>
      <c r="Z1317" s="58">
        <v>118.87</v>
      </c>
      <c r="AA1317" s="58">
        <v>0</v>
      </c>
      <c r="AB1317" s="58">
        <v>0</v>
      </c>
      <c r="AC1317" s="58">
        <v>0</v>
      </c>
      <c r="AD1317" s="58">
        <v>0</v>
      </c>
      <c r="AE1317" s="58">
        <v>0</v>
      </c>
      <c r="AF1317" s="58">
        <v>0</v>
      </c>
      <c r="AG1317" s="58">
        <v>0</v>
      </c>
      <c r="AH1317" s="58">
        <v>0</v>
      </c>
      <c r="AI1317" s="58">
        <v>0</v>
      </c>
      <c r="AJ1317" s="58">
        <v>0</v>
      </c>
      <c r="AK1317" s="58">
        <v>0</v>
      </c>
      <c r="AL1317" s="75">
        <f>+SUBTOTAL(9,Tabla6[[#This Row],[ENE]:[DIC]])</f>
        <v>118.87</v>
      </c>
      <c r="AM1317" s="76" t="str">
        <f t="shared" si="50"/>
        <v>OK</v>
      </c>
      <c r="AN1317" s="60">
        <v>118.87</v>
      </c>
      <c r="AO1317" s="61">
        <f>+Tabla6[[#This Row],[PRESUPUESTO VIGENTE]]-Tabla6[[#This Row],[CERTIFICACIÓN PAPP]]</f>
        <v>0</v>
      </c>
      <c r="AP1317" s="59">
        <v>0</v>
      </c>
    </row>
    <row r="1318" spans="1:42" ht="93" customHeight="1" x14ac:dyDescent="0.25">
      <c r="A1318" s="62" t="s">
        <v>78</v>
      </c>
      <c r="B1318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318" s="64" t="s">
        <v>79</v>
      </c>
      <c r="D1318" s="64" t="s">
        <v>115</v>
      </c>
      <c r="E1318" s="64" t="s">
        <v>114</v>
      </c>
      <c r="F1318" s="64" t="s">
        <v>4</v>
      </c>
      <c r="G1318" s="64" t="s">
        <v>5</v>
      </c>
      <c r="H1318" s="65" t="str">
        <f>VLOOKUP(Tabla6[[#This Row],[DIRECCIÓN]],DIRECCIÓN[#All],2,0)</f>
        <v>ADMINISTRACIÓN CENTRAL</v>
      </c>
      <c r="I1318" s="66" t="s">
        <v>97</v>
      </c>
      <c r="J1318" s="67">
        <v>3</v>
      </c>
      <c r="K1318" s="68" t="str">
        <f>VLOOKUP(Tabla6[[#This Row],[DIRECCIÓN GENERAL / COORDINACIÓN / SUBDIRECCIÓN]],Tabla37[[#All],[Columna1]:[EOD]],2,0)</f>
        <v>266_9999</v>
      </c>
      <c r="L1318" s="69">
        <f>VLOOKUP(Tabla6[[#This Row],[OBJETIVOS PND]],Listas!$A$1:$C$3,3,0)</f>
        <v>1</v>
      </c>
      <c r="M1318" s="70">
        <f>VLOOKUP(Tabla6[[#This Row],[PG]],Listas2!$G$14:$K$16,5,0)</f>
        <v>0</v>
      </c>
      <c r="N1318" s="71">
        <v>1</v>
      </c>
      <c r="O1318" s="72">
        <v>1701</v>
      </c>
      <c r="P1318" s="73" t="str">
        <f>VLOOKUP(Tabla6[[#This Row],[GEO]],Listas!$A$48:$B$77,2,0)</f>
        <v>QUITO</v>
      </c>
      <c r="Q1318" s="70">
        <f>VLOOKUP(Tabla6[[#This Row],[PG]],Listas2!$G$14:$K$16,3,0)</f>
        <v>1</v>
      </c>
      <c r="R1318" s="73">
        <f>VLOOKUP(Tabla6[[#This Row],[PG]],Listas2!H57:'Listas2'!$G$14:$K$16,4,0)</f>
        <v>0</v>
      </c>
      <c r="S1318" s="73">
        <f>VLOOKUP(Tabla6[[#This Row],[PG]],Listas2!$G$14:$K$16,2,0)</f>
        <v>0</v>
      </c>
      <c r="T1318" s="66" t="s">
        <v>84</v>
      </c>
      <c r="U1318" s="74">
        <v>53</v>
      </c>
      <c r="V1318" s="66">
        <v>530106</v>
      </c>
      <c r="W1318" s="63" t="str">
        <f>VLOOKUP(Tabla6[[#This Row],[ÍTEM PRESUPUESTARIO]],Tabla2[#All],2,0)</f>
        <v>SERVICIO DE CORREO</v>
      </c>
      <c r="X1318" s="57">
        <v>100</v>
      </c>
      <c r="Y1318" s="57">
        <f>100-77.32</f>
        <v>22.680000000000007</v>
      </c>
      <c r="Z1318" s="58">
        <v>0</v>
      </c>
      <c r="AA1318" s="58">
        <v>0</v>
      </c>
      <c r="AB1318" s="58">
        <v>0</v>
      </c>
      <c r="AC1318" s="58">
        <v>0</v>
      </c>
      <c r="AD1318" s="58">
        <v>0</v>
      </c>
      <c r="AE1318" s="58">
        <v>0</v>
      </c>
      <c r="AF1318" s="58">
        <v>0</v>
      </c>
      <c r="AG1318" s="58">
        <v>0</v>
      </c>
      <c r="AH1318" s="58">
        <v>0</v>
      </c>
      <c r="AI1318" s="58">
        <v>0</v>
      </c>
      <c r="AJ1318" s="58">
        <v>0</v>
      </c>
      <c r="AK1318" s="58">
        <v>22.68</v>
      </c>
      <c r="AL1318" s="75">
        <f>+SUBTOTAL(9,Tabla6[[#This Row],[ENE]:[DIC]])</f>
        <v>22.68</v>
      </c>
      <c r="AM1318" s="76" t="str">
        <f t="shared" si="50"/>
        <v>OK</v>
      </c>
      <c r="AN1318" s="60">
        <v>22.68</v>
      </c>
      <c r="AO1318" s="61">
        <f>+Tabla6[[#This Row],[PRESUPUESTO VIGENTE]]-Tabla6[[#This Row],[CERTIFICACIÓN PAPP]]</f>
        <v>0</v>
      </c>
      <c r="AP1318" s="59">
        <v>0</v>
      </c>
    </row>
    <row r="1319" spans="1:42" ht="93" customHeight="1" x14ac:dyDescent="0.25">
      <c r="A1319" s="62" t="s">
        <v>78</v>
      </c>
      <c r="B1319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319" s="64" t="s">
        <v>79</v>
      </c>
      <c r="D1319" s="64" t="s">
        <v>115</v>
      </c>
      <c r="E1319" s="64" t="s">
        <v>114</v>
      </c>
      <c r="F1319" s="64" t="s">
        <v>4</v>
      </c>
      <c r="G1319" s="64" t="s">
        <v>5</v>
      </c>
      <c r="H1319" s="65" t="str">
        <f>VLOOKUP(Tabla6[[#This Row],[DIRECCIÓN]],DIRECCIÓN[#All],2,0)</f>
        <v>ADMINISTRACIÓN CENTRAL</v>
      </c>
      <c r="I1319" s="66" t="s">
        <v>121</v>
      </c>
      <c r="J1319" s="67">
        <v>1</v>
      </c>
      <c r="K1319" s="68" t="str">
        <f>VLOOKUP(Tabla6[[#This Row],[DIRECCIÓN GENERAL / COORDINACIÓN / SUBDIRECCIÓN]],Tabla37[[#All],[Columna1]:[EOD]],2,0)</f>
        <v>266_9999</v>
      </c>
      <c r="L1319" s="69">
        <f>VLOOKUP(Tabla6[[#This Row],[OBJETIVOS PND]],Listas!$A$1:$C$3,3,0)</f>
        <v>1</v>
      </c>
      <c r="M1319" s="70">
        <f>VLOOKUP(Tabla6[[#This Row],[PG]],Listas2!$G$14:$K$16,5,0)</f>
        <v>0</v>
      </c>
      <c r="N1319" s="71">
        <v>1</v>
      </c>
      <c r="O1319" s="72">
        <v>1701</v>
      </c>
      <c r="P1319" s="73" t="str">
        <f>VLOOKUP(Tabla6[[#This Row],[GEO]],Listas!$A$48:$B$77,2,0)</f>
        <v>QUITO</v>
      </c>
      <c r="Q1319" s="70">
        <f>VLOOKUP(Tabla6[[#This Row],[PG]],Listas2!$G$14:$K$16,3,0)</f>
        <v>1</v>
      </c>
      <c r="R1319" s="73">
        <f>VLOOKUP(Tabla6[[#This Row],[PG]],Listas2!H58:'Listas2'!$G$14:$K$16,4,0)</f>
        <v>0</v>
      </c>
      <c r="S1319" s="73">
        <f>VLOOKUP(Tabla6[[#This Row],[PG]],Listas2!$G$14:$K$16,2,0)</f>
        <v>0</v>
      </c>
      <c r="T1319" s="66" t="s">
        <v>84</v>
      </c>
      <c r="U1319" s="74">
        <v>53</v>
      </c>
      <c r="V1319" s="66">
        <v>530201</v>
      </c>
      <c r="W1319" s="63" t="str">
        <f>VLOOKUP(Tabla6[[#This Row],[ÍTEM PRESUPUESTARIO]],Tabla2[#All],2,0)</f>
        <v>TRANSPORTE DE PERSONAL</v>
      </c>
      <c r="X1319" s="57">
        <v>300000</v>
      </c>
      <c r="Y1319" s="57">
        <f>300000-5450+0.01</f>
        <v>294550.01</v>
      </c>
      <c r="Z1319" s="58">
        <v>24545</v>
      </c>
      <c r="AA1319" s="58">
        <v>24545</v>
      </c>
      <c r="AB1319" s="58">
        <v>24545</v>
      </c>
      <c r="AC1319" s="58">
        <v>24545</v>
      </c>
      <c r="AD1319" s="58">
        <v>24545</v>
      </c>
      <c r="AE1319" s="58">
        <v>24545</v>
      </c>
      <c r="AF1319" s="58">
        <v>24545</v>
      </c>
      <c r="AG1319" s="58">
        <v>24545</v>
      </c>
      <c r="AH1319" s="58">
        <v>24545</v>
      </c>
      <c r="AI1319" s="58">
        <v>24545</v>
      </c>
      <c r="AJ1319" s="58">
        <v>24545</v>
      </c>
      <c r="AK1319" s="58">
        <v>24555.01</v>
      </c>
      <c r="AL1319" s="75">
        <f>+SUBTOTAL(9,Tabla6[[#This Row],[ENE]:[DIC]])</f>
        <v>294550.01</v>
      </c>
      <c r="AM1319" s="76" t="str">
        <f t="shared" si="50"/>
        <v>OK</v>
      </c>
      <c r="AN1319" s="60">
        <f>271550+23000</f>
        <v>294550</v>
      </c>
      <c r="AO1319" s="61">
        <f>+Tabla6[[#This Row],[PRESUPUESTO VIGENTE]]-Tabla6[[#This Row],[CERTIFICACIÓN PAPP]]</f>
        <v>1.0000000009313226E-2</v>
      </c>
      <c r="AP1319" s="59">
        <v>0</v>
      </c>
    </row>
    <row r="1320" spans="1:42" ht="93" customHeight="1" x14ac:dyDescent="0.25">
      <c r="A1320" s="62" t="s">
        <v>78</v>
      </c>
      <c r="B1320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320" s="64" t="s">
        <v>79</v>
      </c>
      <c r="D1320" s="64" t="s">
        <v>115</v>
      </c>
      <c r="E1320" s="64" t="s">
        <v>114</v>
      </c>
      <c r="F1320" s="64" t="s">
        <v>4</v>
      </c>
      <c r="G1320" s="64" t="s">
        <v>5</v>
      </c>
      <c r="H1320" s="65" t="str">
        <f>VLOOKUP(Tabla6[[#This Row],[DIRECCIÓN]],DIRECCIÓN[#All],2,0)</f>
        <v>ADMINISTRACIÓN CENTRAL</v>
      </c>
      <c r="I1320" s="66" t="s">
        <v>97</v>
      </c>
      <c r="J1320" s="67">
        <v>3</v>
      </c>
      <c r="K1320" s="68" t="str">
        <f>VLOOKUP(Tabla6[[#This Row],[DIRECCIÓN GENERAL / COORDINACIÓN / SUBDIRECCIÓN]],Tabla37[[#All],[Columna1]:[EOD]],2,0)</f>
        <v>266_9999</v>
      </c>
      <c r="L1320" s="69">
        <f>VLOOKUP(Tabla6[[#This Row],[OBJETIVOS PND]],Listas!$A$1:$C$3,3,0)</f>
        <v>1</v>
      </c>
      <c r="M1320" s="70">
        <f>VLOOKUP(Tabla6[[#This Row],[PG]],Listas2!$G$14:$K$16,5,0)</f>
        <v>0</v>
      </c>
      <c r="N1320" s="71">
        <v>1</v>
      </c>
      <c r="O1320" s="72">
        <v>1701</v>
      </c>
      <c r="P1320" s="73" t="str">
        <f>VLOOKUP(Tabla6[[#This Row],[GEO]],Listas!$A$48:$B$77,2,0)</f>
        <v>QUITO</v>
      </c>
      <c r="Q1320" s="70">
        <f>VLOOKUP(Tabla6[[#This Row],[PG]],Listas2!$G$14:$K$16,3,0)</f>
        <v>1</v>
      </c>
      <c r="R1320" s="73">
        <f>VLOOKUP(Tabla6[[#This Row],[PG]],Listas2!H59:'Listas2'!$G$14:$K$16,4,0)</f>
        <v>0</v>
      </c>
      <c r="S1320" s="73">
        <f>VLOOKUP(Tabla6[[#This Row],[PG]],Listas2!$G$14:$K$16,2,0)</f>
        <v>0</v>
      </c>
      <c r="T1320" s="66" t="s">
        <v>84</v>
      </c>
      <c r="U1320" s="74">
        <v>53</v>
      </c>
      <c r="V1320" s="66">
        <v>530202</v>
      </c>
      <c r="W1320" s="63" t="str">
        <f>VLOOKUP(Tabla6[[#This Row],[ÍTEM PRESUPUESTARIO]],Tabla2[#All],2,0)</f>
        <v>FLETES Y MANIOBRAS</v>
      </c>
      <c r="X1320" s="57">
        <v>100</v>
      </c>
      <c r="Y1320" s="57">
        <f>100-100</f>
        <v>0</v>
      </c>
      <c r="Z1320" s="58">
        <v>0</v>
      </c>
      <c r="AA1320" s="58">
        <v>0</v>
      </c>
      <c r="AB1320" s="58">
        <v>0</v>
      </c>
      <c r="AC1320" s="58">
        <v>0</v>
      </c>
      <c r="AD1320" s="58">
        <v>0</v>
      </c>
      <c r="AE1320" s="58">
        <v>0</v>
      </c>
      <c r="AF1320" s="58">
        <v>0</v>
      </c>
      <c r="AG1320" s="58">
        <v>0</v>
      </c>
      <c r="AH1320" s="58">
        <v>0</v>
      </c>
      <c r="AI1320" s="58">
        <v>0</v>
      </c>
      <c r="AJ1320" s="58">
        <v>0</v>
      </c>
      <c r="AK1320" s="58">
        <v>0</v>
      </c>
      <c r="AL1320" s="75">
        <f>+SUBTOTAL(9,Tabla6[[#This Row],[ENE]:[DIC]])</f>
        <v>0</v>
      </c>
      <c r="AM1320" s="76" t="str">
        <f t="shared" si="50"/>
        <v>OK</v>
      </c>
      <c r="AN1320" s="60">
        <v>0</v>
      </c>
      <c r="AO1320" s="61">
        <f>+Tabla6[[#This Row],[PRESUPUESTO VIGENTE]]-Tabla6[[#This Row],[CERTIFICACIÓN PAPP]]</f>
        <v>0</v>
      </c>
      <c r="AP1320" s="59">
        <v>0</v>
      </c>
    </row>
    <row r="1321" spans="1:42" ht="93" customHeight="1" x14ac:dyDescent="0.25">
      <c r="A1321" s="62" t="s">
        <v>78</v>
      </c>
      <c r="B1321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321" s="64" t="s">
        <v>79</v>
      </c>
      <c r="D1321" s="64" t="s">
        <v>115</v>
      </c>
      <c r="E1321" s="64" t="s">
        <v>114</v>
      </c>
      <c r="F1321" s="64" t="s">
        <v>4</v>
      </c>
      <c r="G1321" s="64" t="s">
        <v>5</v>
      </c>
      <c r="H1321" s="65" t="str">
        <f>VLOOKUP(Tabla6[[#This Row],[DIRECCIÓN]],DIRECCIÓN[#All],2,0)</f>
        <v>ADMINISTRACIÓN CENTRAL</v>
      </c>
      <c r="I1321" s="66" t="s">
        <v>122</v>
      </c>
      <c r="J1321" s="67">
        <v>1</v>
      </c>
      <c r="K1321" s="68" t="str">
        <f>VLOOKUP(Tabla6[[#This Row],[DIRECCIÓN GENERAL / COORDINACIÓN / SUBDIRECCIÓN]],Tabla37[[#All],[Columna1]:[EOD]],2,0)</f>
        <v>266_9999</v>
      </c>
      <c r="L1321" s="69">
        <f>VLOOKUP(Tabla6[[#This Row],[OBJETIVOS PND]],Listas!$A$1:$C$3,3,0)</f>
        <v>1</v>
      </c>
      <c r="M1321" s="70">
        <f>VLOOKUP(Tabla6[[#This Row],[PG]],Listas2!$G$14:$K$16,5,0)</f>
        <v>0</v>
      </c>
      <c r="N1321" s="71">
        <v>1</v>
      </c>
      <c r="O1321" s="72">
        <v>1701</v>
      </c>
      <c r="P1321" s="73" t="str">
        <f>VLOOKUP(Tabla6[[#This Row],[GEO]],Listas!$A$48:$B$77,2,0)</f>
        <v>QUITO</v>
      </c>
      <c r="Q1321" s="70">
        <f>VLOOKUP(Tabla6[[#This Row],[PG]],Listas2!$G$14:$K$16,3,0)</f>
        <v>1</v>
      </c>
      <c r="R1321" s="73">
        <f>VLOOKUP(Tabla6[[#This Row],[PG]],Listas2!H1313:'Listas2'!$G$14:$K$16,4,0)</f>
        <v>0</v>
      </c>
      <c r="S1321" s="73">
        <f>VLOOKUP(Tabla6[[#This Row],[PG]],Listas2!$G$14:$K$16,2,0)</f>
        <v>0</v>
      </c>
      <c r="T1321" s="66" t="s">
        <v>84</v>
      </c>
      <c r="U1321" s="74">
        <v>53</v>
      </c>
      <c r="V1321" s="66">
        <v>530202</v>
      </c>
      <c r="W1321" s="63" t="str">
        <f>VLOOKUP(Tabla6[[#This Row],[ÍTEM PRESUPUESTARIO]],Tabla2[#All],2,0)</f>
        <v>FLETES Y MANIOBRAS</v>
      </c>
      <c r="X1321" s="57">
        <v>0</v>
      </c>
      <c r="Y1321" s="57">
        <f>60-60</f>
        <v>0</v>
      </c>
      <c r="Z1321" s="58">
        <v>0</v>
      </c>
      <c r="AA1321" s="58">
        <v>0</v>
      </c>
      <c r="AB1321" s="58">
        <v>0</v>
      </c>
      <c r="AC1321" s="58">
        <v>0</v>
      </c>
      <c r="AD1321" s="58">
        <v>0</v>
      </c>
      <c r="AE1321" s="58">
        <v>0</v>
      </c>
      <c r="AF1321" s="58">
        <v>0</v>
      </c>
      <c r="AG1321" s="58">
        <v>0</v>
      </c>
      <c r="AH1321" s="58">
        <v>0</v>
      </c>
      <c r="AI1321" s="58">
        <v>0</v>
      </c>
      <c r="AJ1321" s="58">
        <v>0</v>
      </c>
      <c r="AK1321" s="58">
        <v>0</v>
      </c>
      <c r="AL1321" s="75">
        <f>+SUBTOTAL(9,Tabla6[[#This Row],[ENE]:[DIC]])</f>
        <v>0</v>
      </c>
      <c r="AM1321" s="76" t="str">
        <f>IF(AL1321=Y1321,"OK",Y1321-AL1321)</f>
        <v>OK</v>
      </c>
      <c r="AN1321" s="60">
        <v>0</v>
      </c>
      <c r="AO1321" s="61">
        <f>+Tabla6[[#This Row],[PRESUPUESTO VIGENTE]]-Tabla6[[#This Row],[CERTIFICACIÓN PAPP]]</f>
        <v>0</v>
      </c>
      <c r="AP1321" s="59">
        <v>0</v>
      </c>
    </row>
    <row r="1322" spans="1:42" ht="93" customHeight="1" x14ac:dyDescent="0.25">
      <c r="A1322" s="62" t="s">
        <v>78</v>
      </c>
      <c r="B1322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322" s="64" t="s">
        <v>79</v>
      </c>
      <c r="D1322" s="64" t="s">
        <v>115</v>
      </c>
      <c r="E1322" s="64" t="s">
        <v>114</v>
      </c>
      <c r="F1322" s="64" t="s">
        <v>4</v>
      </c>
      <c r="G1322" s="64" t="s">
        <v>5</v>
      </c>
      <c r="H1322" s="65" t="str">
        <f>VLOOKUP(Tabla6[[#This Row],[DIRECCIÓN]],DIRECCIÓN[#All],2,0)</f>
        <v>ADMINISTRACIÓN CENTRAL</v>
      </c>
      <c r="I1322" s="66" t="s">
        <v>123</v>
      </c>
      <c r="J1322" s="67">
        <v>1</v>
      </c>
      <c r="K1322" s="68" t="str">
        <f>VLOOKUP(Tabla6[[#This Row],[DIRECCIÓN GENERAL / COORDINACIÓN / SUBDIRECCIÓN]],Tabla37[[#All],[Columna1]:[EOD]],2,0)</f>
        <v>266_9999</v>
      </c>
      <c r="L1322" s="69">
        <f>VLOOKUP(Tabla6[[#This Row],[OBJETIVOS PND]],Listas!$A$1:$C$3,3,0)</f>
        <v>1</v>
      </c>
      <c r="M1322" s="70">
        <f>VLOOKUP(Tabla6[[#This Row],[PG]],Listas2!$G$14:$K$16,5,0)</f>
        <v>0</v>
      </c>
      <c r="N1322" s="71">
        <v>1</v>
      </c>
      <c r="O1322" s="72">
        <v>1701</v>
      </c>
      <c r="P1322" s="73" t="str">
        <f>VLOOKUP(Tabla6[[#This Row],[GEO]],Listas!$A$48:$B$77,2,0)</f>
        <v>QUITO</v>
      </c>
      <c r="Q1322" s="70">
        <f>VLOOKUP(Tabla6[[#This Row],[PG]],Listas2!$G$14:$K$16,3,0)</f>
        <v>1</v>
      </c>
      <c r="R1322" s="73">
        <f>VLOOKUP(Tabla6[[#This Row],[PG]],Listas2!H60:'Listas2'!$G$14:$K$16,4,0)</f>
        <v>0</v>
      </c>
      <c r="S1322" s="73">
        <f>VLOOKUP(Tabla6[[#This Row],[PG]],Listas2!$G$14:$K$16,2,0)</f>
        <v>0</v>
      </c>
      <c r="T1322" s="66" t="s">
        <v>84</v>
      </c>
      <c r="U1322" s="74">
        <v>53</v>
      </c>
      <c r="V1322" s="66">
        <v>530203</v>
      </c>
      <c r="W1322" s="63" t="str">
        <f>VLOOKUP(Tabla6[[#This Row],[ÍTEM PRESUPUESTARIO]],Tabla2[#All],2,0)</f>
        <v>ALMACENAMIENTO, EMBALAJE, DESEMBALAJE, ENVASE, DESENVASE Y RECARGA DE EXTINTORES</v>
      </c>
      <c r="X1322" s="57">
        <v>3000</v>
      </c>
      <c r="Y1322" s="57">
        <f>3000-727.5+2300-1150+650-1941</f>
        <v>2131.5</v>
      </c>
      <c r="Z1322" s="58">
        <v>0</v>
      </c>
      <c r="AA1322" s="58">
        <v>0</v>
      </c>
      <c r="AB1322" s="58">
        <v>0</v>
      </c>
      <c r="AC1322" s="58">
        <v>0</v>
      </c>
      <c r="AD1322" s="58">
        <v>0</v>
      </c>
      <c r="AE1322" s="58">
        <v>0</v>
      </c>
      <c r="AF1322" s="58">
        <v>0</v>
      </c>
      <c r="AG1322" s="58">
        <v>0</v>
      </c>
      <c r="AH1322" s="58">
        <v>2131.5</v>
      </c>
      <c r="AI1322" s="58">
        <v>0</v>
      </c>
      <c r="AJ1322" s="58">
        <v>0</v>
      </c>
      <c r="AK1322" s="58">
        <v>0</v>
      </c>
      <c r="AL1322" s="75">
        <f>+SUBTOTAL(9,Tabla6[[#This Row],[ENE]:[DIC]])</f>
        <v>2131.5</v>
      </c>
      <c r="AM1322" s="76" t="str">
        <f t="shared" si="50"/>
        <v>OK</v>
      </c>
      <c r="AN1322" s="60">
        <f>2272.5-141</f>
        <v>2131.5</v>
      </c>
      <c r="AO1322" s="61">
        <f>+Tabla6[[#This Row],[PRESUPUESTO VIGENTE]]-Tabla6[[#This Row],[CERTIFICACIÓN PAPP]]</f>
        <v>0</v>
      </c>
      <c r="AP1322" s="59">
        <v>0</v>
      </c>
    </row>
    <row r="1323" spans="1:42" ht="93" customHeight="1" x14ac:dyDescent="0.25">
      <c r="A1323" s="62" t="s">
        <v>78</v>
      </c>
      <c r="B1323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323" s="64" t="s">
        <v>85</v>
      </c>
      <c r="D1323" s="64" t="s">
        <v>124</v>
      </c>
      <c r="E1323" s="64" t="s">
        <v>114</v>
      </c>
      <c r="F1323" s="64" t="s">
        <v>11</v>
      </c>
      <c r="G1323" s="64" t="s">
        <v>13</v>
      </c>
      <c r="H1323" s="65" t="str">
        <f>VLOOKUP(Tabla6[[#This Row],[DIRECCIÓN]],DIRECCIÓN[#All],2,0)</f>
        <v>COMUNICACIÓN SOCIAL</v>
      </c>
      <c r="I1323" s="66" t="s">
        <v>125</v>
      </c>
      <c r="J1323" s="67">
        <v>1</v>
      </c>
      <c r="K1323" s="68" t="str">
        <f>VLOOKUP(Tabla6[[#This Row],[DIRECCIÓN GENERAL / COORDINACIÓN / SUBDIRECCIÓN]],Tabla37[[#All],[Columna1]:[EOD]],2,0)</f>
        <v>266_9999</v>
      </c>
      <c r="L1323" s="69">
        <f>VLOOKUP(Tabla6[[#This Row],[OBJETIVOS PND]],Listas!$A$1:$C$3,3,0)</f>
        <v>1</v>
      </c>
      <c r="M1323" s="70">
        <f>VLOOKUP(Tabla6[[#This Row],[PG]],Listas2!$G$14:$K$16,5,0)</f>
        <v>0</v>
      </c>
      <c r="N1323" s="71">
        <v>1</v>
      </c>
      <c r="O1323" s="72">
        <v>1701</v>
      </c>
      <c r="P1323" s="73" t="str">
        <f>VLOOKUP(Tabla6[[#This Row],[GEO]],Listas!$A$48:$B$77,2,0)</f>
        <v>QUITO</v>
      </c>
      <c r="Q1323" s="70">
        <f>VLOOKUP(Tabla6[[#This Row],[PG]],Listas2!$G$14:$K$16,3,0)</f>
        <v>1</v>
      </c>
      <c r="R1323" s="73">
        <f>VLOOKUP(Tabla6[[#This Row],[PG]],Listas2!H61:'Listas2'!$G$14:$K$16,4,0)</f>
        <v>0</v>
      </c>
      <c r="S1323" s="73">
        <f>VLOOKUP(Tabla6[[#This Row],[PG]],Listas2!$G$14:$K$16,2,0)</f>
        <v>0</v>
      </c>
      <c r="T1323" s="66" t="s">
        <v>84</v>
      </c>
      <c r="U1323" s="74">
        <v>53</v>
      </c>
      <c r="V1323" s="66">
        <v>530204</v>
      </c>
      <c r="W1323" s="63" t="str">
        <f>VLOOKUP(Tabla6[[#This Row],[ÍTEM PRESUPUESTARIO]],Tabla2[#All],2,0)</f>
        <v>EDICIÓN, IMPRESIÓN, REPRODUCCIÓN, PUBLICACIONES, SUSCRIPCIONES, FOTOCOPIADO, TRADUCCIÓN, EMPASTADO, ENMARCACIÓN, SERIGRAFÍA, FOTOGRAFÍA, CARNETIZACIÓN, FILMACIÓN E IMÁGENES SATELITALES</v>
      </c>
      <c r="X1323" s="57">
        <v>1500</v>
      </c>
      <c r="Y1323" s="57">
        <f>1500-229.57</f>
        <v>1270.43</v>
      </c>
      <c r="Z1323" s="58">
        <v>125</v>
      </c>
      <c r="AA1323" s="58">
        <v>125</v>
      </c>
      <c r="AB1323" s="58">
        <v>125</v>
      </c>
      <c r="AC1323" s="58">
        <v>125</v>
      </c>
      <c r="AD1323" s="58">
        <v>125</v>
      </c>
      <c r="AE1323" s="58">
        <v>125</v>
      </c>
      <c r="AF1323" s="58">
        <v>125</v>
      </c>
      <c r="AG1323" s="58">
        <v>125</v>
      </c>
      <c r="AH1323" s="58">
        <v>125</v>
      </c>
      <c r="AI1323" s="58">
        <v>125</v>
      </c>
      <c r="AJ1323" s="58">
        <v>20.43</v>
      </c>
      <c r="AK1323" s="58">
        <v>0</v>
      </c>
      <c r="AL1323" s="75">
        <f>+SUBTOTAL(9,Tabla6[[#This Row],[ENE]:[DIC]])</f>
        <v>1270.43</v>
      </c>
      <c r="AM1323" s="76" t="str">
        <f t="shared" si="50"/>
        <v>OK</v>
      </c>
      <c r="AN1323" s="60">
        <f>101.73+1168.7</f>
        <v>1270.43</v>
      </c>
      <c r="AO1323" s="61">
        <f>+Tabla6[[#This Row],[PRESUPUESTO VIGENTE]]-Tabla6[[#This Row],[CERTIFICACIÓN PAPP]]</f>
        <v>0</v>
      </c>
      <c r="AP1323" s="59">
        <v>0</v>
      </c>
    </row>
    <row r="1324" spans="1:42" ht="93" customHeight="1" x14ac:dyDescent="0.25">
      <c r="A1324" s="62" t="s">
        <v>78</v>
      </c>
      <c r="B1324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324" s="64" t="s">
        <v>85</v>
      </c>
      <c r="D1324" s="64" t="s">
        <v>124</v>
      </c>
      <c r="E1324" s="64" t="s">
        <v>114</v>
      </c>
      <c r="F1324" s="64" t="s">
        <v>11</v>
      </c>
      <c r="G1324" s="64" t="s">
        <v>13</v>
      </c>
      <c r="H1324" s="65" t="str">
        <f>VLOOKUP(Tabla6[[#This Row],[DIRECCIÓN]],DIRECCIÓN[#All],2,0)</f>
        <v>COMUNICACIÓN SOCIAL</v>
      </c>
      <c r="I1324" s="66" t="s">
        <v>126</v>
      </c>
      <c r="J1324" s="67">
        <v>1</v>
      </c>
      <c r="K1324" s="68" t="str">
        <f>VLOOKUP(Tabla6[[#This Row],[DIRECCIÓN GENERAL / COORDINACIÓN / SUBDIRECCIÓN]],Tabla37[[#All],[Columna1]:[EOD]],2,0)</f>
        <v>266_9999</v>
      </c>
      <c r="L1324" s="69">
        <f>VLOOKUP(Tabla6[[#This Row],[OBJETIVOS PND]],Listas!$A$1:$C$3,3,0)</f>
        <v>1</v>
      </c>
      <c r="M1324" s="70">
        <f>VLOOKUP(Tabla6[[#This Row],[PG]],Listas2!$G$14:$K$16,5,0)</f>
        <v>0</v>
      </c>
      <c r="N1324" s="71">
        <v>1</v>
      </c>
      <c r="O1324" s="72">
        <v>1701</v>
      </c>
      <c r="P1324" s="73" t="str">
        <f>VLOOKUP(Tabla6[[#This Row],[GEO]],Listas!$A$48:$B$77,2,0)</f>
        <v>QUITO</v>
      </c>
      <c r="Q1324" s="70">
        <f>VLOOKUP(Tabla6[[#This Row],[PG]],Listas2!$G$14:$K$16,3,0)</f>
        <v>1</v>
      </c>
      <c r="R1324" s="73">
        <f>VLOOKUP(Tabla6[[#This Row],[PG]],Listas2!H62:'Listas2'!$G$14:$K$16,4,0)</f>
        <v>0</v>
      </c>
      <c r="S1324" s="73">
        <f>VLOOKUP(Tabla6[[#This Row],[PG]],Listas2!$G$14:$K$16,2,0)</f>
        <v>0</v>
      </c>
      <c r="T1324" s="66" t="s">
        <v>84</v>
      </c>
      <c r="U1324" s="74">
        <v>53</v>
      </c>
      <c r="V1324" s="66">
        <v>530204</v>
      </c>
      <c r="W1324" s="63" t="str">
        <f>VLOOKUP(Tabla6[[#This Row],[ÍTEM PRESUPUESTARIO]],Tabla2[#All],2,0)</f>
        <v>EDICIÓN, IMPRESIÓN, REPRODUCCIÓN, PUBLICACIONES, SUSCRIPCIONES, FOTOCOPIADO, TRADUCCIÓN, EMPASTADO, ENMARCACIÓN, SERIGRAFÍA, FOTOGRAFÍA, CARNETIZACIÓN, FILMACIÓN E IMÁGENES SATELITALES</v>
      </c>
      <c r="X1324" s="57">
        <v>4500</v>
      </c>
      <c r="Y1324" s="57">
        <f>4500-4500</f>
        <v>0</v>
      </c>
      <c r="Z1324" s="58">
        <v>0</v>
      </c>
      <c r="AA1324" s="58">
        <v>0</v>
      </c>
      <c r="AB1324" s="58">
        <v>0</v>
      </c>
      <c r="AC1324" s="58">
        <v>0</v>
      </c>
      <c r="AD1324" s="58">
        <v>0</v>
      </c>
      <c r="AE1324" s="58">
        <v>0</v>
      </c>
      <c r="AF1324" s="58">
        <v>0</v>
      </c>
      <c r="AG1324" s="58">
        <v>0</v>
      </c>
      <c r="AH1324" s="58">
        <v>0</v>
      </c>
      <c r="AI1324" s="58">
        <v>0</v>
      </c>
      <c r="AJ1324" s="58">
        <v>0</v>
      </c>
      <c r="AK1324" s="58">
        <v>0</v>
      </c>
      <c r="AL1324" s="75">
        <f>+SUBTOTAL(9,Tabla6[[#This Row],[ENE]:[DIC]])</f>
        <v>0</v>
      </c>
      <c r="AM1324" s="76" t="str">
        <f t="shared" si="50"/>
        <v>OK</v>
      </c>
      <c r="AN1324" s="60">
        <v>0</v>
      </c>
      <c r="AO1324" s="61">
        <f>+Tabla6[[#This Row],[PRESUPUESTO VIGENTE]]-Tabla6[[#This Row],[CERTIFICACIÓN PAPP]]</f>
        <v>0</v>
      </c>
      <c r="AP1324" s="59">
        <v>0</v>
      </c>
    </row>
    <row r="1325" spans="1:42" ht="93" customHeight="1" x14ac:dyDescent="0.25">
      <c r="A1325" s="62" t="s">
        <v>78</v>
      </c>
      <c r="B1325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325" s="64" t="s">
        <v>85</v>
      </c>
      <c r="D1325" s="64" t="s">
        <v>124</v>
      </c>
      <c r="E1325" s="64" t="s">
        <v>114</v>
      </c>
      <c r="F1325" s="64" t="s">
        <v>11</v>
      </c>
      <c r="G1325" s="64" t="s">
        <v>13</v>
      </c>
      <c r="H1325" s="65" t="str">
        <f>VLOOKUP(Tabla6[[#This Row],[DIRECCIÓN]],DIRECCIÓN[#All],2,0)</f>
        <v>COMUNICACIÓN SOCIAL</v>
      </c>
      <c r="I1325" s="66" t="s">
        <v>127</v>
      </c>
      <c r="J1325" s="67">
        <v>1</v>
      </c>
      <c r="K1325" s="68" t="str">
        <f>VLOOKUP(Tabla6[[#This Row],[DIRECCIÓN GENERAL / COORDINACIÓN / SUBDIRECCIÓN]],Tabla37[[#All],[Columna1]:[EOD]],2,0)</f>
        <v>266_9999</v>
      </c>
      <c r="L1325" s="69">
        <f>VLOOKUP(Tabla6[[#This Row],[OBJETIVOS PND]],Listas!$A$1:$C$3,3,0)</f>
        <v>1</v>
      </c>
      <c r="M1325" s="70">
        <f>VLOOKUP(Tabla6[[#This Row],[PG]],Listas2!$G$14:$K$16,5,0)</f>
        <v>0</v>
      </c>
      <c r="N1325" s="71">
        <v>1</v>
      </c>
      <c r="O1325" s="72">
        <v>1701</v>
      </c>
      <c r="P1325" s="73" t="str">
        <f>VLOOKUP(Tabla6[[#This Row],[GEO]],Listas!$A$48:$B$77,2,0)</f>
        <v>QUITO</v>
      </c>
      <c r="Q1325" s="70">
        <f>VLOOKUP(Tabla6[[#This Row],[PG]],Listas2!$G$14:$K$16,3,0)</f>
        <v>1</v>
      </c>
      <c r="R1325" s="73">
        <f>VLOOKUP(Tabla6[[#This Row],[PG]],Listas2!H63:'Listas2'!$G$14:$K$16,4,0)</f>
        <v>0</v>
      </c>
      <c r="S1325" s="73">
        <f>VLOOKUP(Tabla6[[#This Row],[PG]],Listas2!$G$14:$K$16,2,0)</f>
        <v>0</v>
      </c>
      <c r="T1325" s="66" t="s">
        <v>84</v>
      </c>
      <c r="U1325" s="74">
        <v>53</v>
      </c>
      <c r="V1325" s="66">
        <v>530204</v>
      </c>
      <c r="W1325" s="63" t="str">
        <f>VLOOKUP(Tabla6[[#This Row],[ÍTEM PRESUPUESTARIO]],Tabla2[#All],2,0)</f>
        <v>EDICIÓN, IMPRESIÓN, REPRODUCCIÓN, PUBLICACIONES, SUSCRIPCIONES, FOTOCOPIADO, TRADUCCIÓN, EMPASTADO, ENMARCACIÓN, SERIGRAFÍA, FOTOGRAFÍA, CARNETIZACIÓN, FILMACIÓN E IMÁGENES SATELITALES</v>
      </c>
      <c r="X1325" s="57">
        <v>3000</v>
      </c>
      <c r="Y1325" s="57">
        <f>3000+1000-1095.63-640.93-198.44</f>
        <v>2065</v>
      </c>
      <c r="Z1325" s="58">
        <v>0</v>
      </c>
      <c r="AA1325" s="58">
        <v>0</v>
      </c>
      <c r="AB1325" s="58">
        <v>2065</v>
      </c>
      <c r="AC1325" s="58">
        <v>0</v>
      </c>
      <c r="AD1325" s="58">
        <v>0</v>
      </c>
      <c r="AE1325" s="58">
        <v>0</v>
      </c>
      <c r="AF1325" s="58">
        <v>0</v>
      </c>
      <c r="AG1325" s="58">
        <v>0</v>
      </c>
      <c r="AH1325" s="58">
        <v>0</v>
      </c>
      <c r="AI1325" s="58">
        <v>0</v>
      </c>
      <c r="AJ1325" s="58">
        <v>0</v>
      </c>
      <c r="AK1325" s="58">
        <v>0</v>
      </c>
      <c r="AL1325" s="75">
        <f>+SUBTOTAL(9,Tabla6[[#This Row],[ENE]:[DIC]])</f>
        <v>2065</v>
      </c>
      <c r="AM1325" s="76" t="str">
        <f t="shared" si="50"/>
        <v>OK</v>
      </c>
      <c r="AN1325" s="60">
        <v>2065</v>
      </c>
      <c r="AO1325" s="61">
        <f>+Tabla6[[#This Row],[PRESUPUESTO VIGENTE]]-Tabla6[[#This Row],[CERTIFICACIÓN PAPP]]</f>
        <v>0</v>
      </c>
      <c r="AP1325" s="59">
        <v>0</v>
      </c>
    </row>
    <row r="1326" spans="1:42" ht="93" customHeight="1" x14ac:dyDescent="0.25">
      <c r="A1326" s="62" t="s">
        <v>78</v>
      </c>
      <c r="B1326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326" s="64" t="s">
        <v>79</v>
      </c>
      <c r="D1326" s="64" t="s">
        <v>115</v>
      </c>
      <c r="E1326" s="64" t="s">
        <v>114</v>
      </c>
      <c r="F1326" s="64" t="s">
        <v>4</v>
      </c>
      <c r="G1326" s="64" t="s">
        <v>5</v>
      </c>
      <c r="H1326" s="65" t="str">
        <f>VLOOKUP(Tabla6[[#This Row],[DIRECCIÓN]],DIRECCIÓN[#All],2,0)</f>
        <v>ADMINISTRACIÓN CENTRAL</v>
      </c>
      <c r="I1326" s="66" t="s">
        <v>97</v>
      </c>
      <c r="J1326" s="67">
        <v>3</v>
      </c>
      <c r="K1326" s="68" t="str">
        <f>VLOOKUP(Tabla6[[#This Row],[DIRECCIÓN GENERAL / COORDINACIÓN / SUBDIRECCIÓN]],Tabla37[[#All],[Columna1]:[EOD]],2,0)</f>
        <v>266_9999</v>
      </c>
      <c r="L1326" s="69">
        <f>VLOOKUP(Tabla6[[#This Row],[OBJETIVOS PND]],Listas!$A$1:$C$3,3,0)</f>
        <v>1</v>
      </c>
      <c r="M1326" s="70">
        <f>VLOOKUP(Tabla6[[#This Row],[PG]],Listas2!$G$14:$K$16,5,0)</f>
        <v>0</v>
      </c>
      <c r="N1326" s="71">
        <v>1</v>
      </c>
      <c r="O1326" s="72">
        <v>1701</v>
      </c>
      <c r="P1326" s="73" t="str">
        <f>VLOOKUP(Tabla6[[#This Row],[GEO]],Listas!$A$48:$B$77,2,0)</f>
        <v>QUITO</v>
      </c>
      <c r="Q1326" s="70">
        <f>VLOOKUP(Tabla6[[#This Row],[PG]],Listas2!$G$14:$K$16,3,0)</f>
        <v>1</v>
      </c>
      <c r="R1326" s="73">
        <f>VLOOKUP(Tabla6[[#This Row],[PG]],Listas2!H64:'Listas2'!$G$14:$K$16,4,0)</f>
        <v>0</v>
      </c>
      <c r="S1326" s="73">
        <f>VLOOKUP(Tabla6[[#This Row],[PG]],Listas2!$G$14:$K$16,2,0)</f>
        <v>0</v>
      </c>
      <c r="T1326" s="66" t="s">
        <v>84</v>
      </c>
      <c r="U1326" s="74">
        <v>53</v>
      </c>
      <c r="V1326" s="66">
        <v>530204</v>
      </c>
      <c r="W1326" s="63" t="str">
        <f>VLOOKUP(Tabla6[[#This Row],[ÍTEM PRESUPUESTARIO]],Tabla2[#All],2,0)</f>
        <v>EDICIÓN, IMPRESIÓN, REPRODUCCIÓN, PUBLICACIONES, SUSCRIPCIONES, FOTOCOPIADO, TRADUCCIÓN, EMPASTADO, ENMARCACIÓN, SERIGRAFÍA, FOTOGRAFÍA, CARNETIZACIÓN, FILMACIÓN E IMÁGENES SATELITALES</v>
      </c>
      <c r="X1326" s="57">
        <v>130</v>
      </c>
      <c r="Y1326" s="57">
        <f>130-90+60-26.7</f>
        <v>73.3</v>
      </c>
      <c r="Z1326" s="58">
        <v>0</v>
      </c>
      <c r="AA1326" s="58">
        <v>0</v>
      </c>
      <c r="AB1326" s="58">
        <v>0</v>
      </c>
      <c r="AC1326" s="58">
        <v>0</v>
      </c>
      <c r="AD1326" s="58">
        <v>0</v>
      </c>
      <c r="AE1326" s="58">
        <v>0</v>
      </c>
      <c r="AF1326" s="58">
        <v>0</v>
      </c>
      <c r="AG1326" s="58">
        <v>0</v>
      </c>
      <c r="AH1326" s="58">
        <v>60</v>
      </c>
      <c r="AI1326" s="58">
        <v>0</v>
      </c>
      <c r="AJ1326" s="58">
        <v>0</v>
      </c>
      <c r="AK1326" s="58">
        <v>13.3</v>
      </c>
      <c r="AL1326" s="75">
        <f>+SUBTOTAL(9,Tabla6[[#This Row],[ENE]:[DIC]])</f>
        <v>73.3</v>
      </c>
      <c r="AM1326" s="76" t="str">
        <f t="shared" si="50"/>
        <v>OK</v>
      </c>
      <c r="AN1326" s="60">
        <v>73.3</v>
      </c>
      <c r="AO1326" s="61">
        <f>+Tabla6[[#This Row],[PRESUPUESTO VIGENTE]]-Tabla6[[#This Row],[CERTIFICACIÓN PAPP]]</f>
        <v>0</v>
      </c>
      <c r="AP1326" s="59">
        <v>0</v>
      </c>
    </row>
    <row r="1327" spans="1:42" ht="93" customHeight="1" x14ac:dyDescent="0.25">
      <c r="A1327" s="62" t="s">
        <v>78</v>
      </c>
      <c r="B1327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327" s="64" t="s">
        <v>79</v>
      </c>
      <c r="D1327" s="64" t="s">
        <v>115</v>
      </c>
      <c r="E1327" s="64" t="s">
        <v>114</v>
      </c>
      <c r="F1327" s="64" t="s">
        <v>4</v>
      </c>
      <c r="G1327" s="64" t="s">
        <v>5</v>
      </c>
      <c r="H1327" s="65" t="str">
        <f>VLOOKUP(Tabla6[[#This Row],[DIRECCIÓN]],DIRECCIÓN[#All],2,0)</f>
        <v>ADMINISTRACIÓN CENTRAL</v>
      </c>
      <c r="I1327" s="66" t="s">
        <v>128</v>
      </c>
      <c r="J1327" s="67">
        <v>1</v>
      </c>
      <c r="K1327" s="68" t="str">
        <f>VLOOKUP(Tabla6[[#This Row],[DIRECCIÓN GENERAL / COORDINACIÓN / SUBDIRECCIÓN]],Tabla37[[#All],[Columna1]:[EOD]],2,0)</f>
        <v>266_9999</v>
      </c>
      <c r="L1327" s="69">
        <f>VLOOKUP(Tabla6[[#This Row],[OBJETIVOS PND]],Listas!$A$1:$C$3,3,0)</f>
        <v>1</v>
      </c>
      <c r="M1327" s="70">
        <f>VLOOKUP(Tabla6[[#This Row],[PG]],Listas2!$G$14:$K$16,5,0)</f>
        <v>0</v>
      </c>
      <c r="N1327" s="71">
        <v>1</v>
      </c>
      <c r="O1327" s="72">
        <v>1701</v>
      </c>
      <c r="P1327" s="73" t="str">
        <f>VLOOKUP(Tabla6[[#This Row],[GEO]],Listas!$A$48:$B$77,2,0)</f>
        <v>QUITO</v>
      </c>
      <c r="Q1327" s="70">
        <f>VLOOKUP(Tabla6[[#This Row],[PG]],Listas2!$G$14:$K$16,3,0)</f>
        <v>1</v>
      </c>
      <c r="R1327" s="73">
        <f>VLOOKUP(Tabla6[[#This Row],[PG]],Listas2!H1078:'Listas2'!$G$14:$K$16,4,0)</f>
        <v>0</v>
      </c>
      <c r="S1327" s="73">
        <f>VLOOKUP(Tabla6[[#This Row],[PG]],Listas2!$G$14:$K$16,2,0)</f>
        <v>0</v>
      </c>
      <c r="T1327" s="66" t="s">
        <v>84</v>
      </c>
      <c r="U1327" s="74">
        <v>53</v>
      </c>
      <c r="V1327" s="66">
        <v>530207</v>
      </c>
      <c r="W1327" s="63" t="str">
        <f>VLOOKUP(Tabla6[[#This Row],[ÍTEM PRESUPUESTARIO]],Tabla2[#All],2,0)</f>
        <v>DIFUSIÓN, INFORMACIÓN Y PUBLICIDAD</v>
      </c>
      <c r="X1327" s="57">
        <v>0</v>
      </c>
      <c r="Y1327" s="57">
        <f>400+200-202-398</f>
        <v>0</v>
      </c>
      <c r="Z1327" s="58">
        <v>0</v>
      </c>
      <c r="AA1327" s="58">
        <v>0</v>
      </c>
      <c r="AB1327" s="58">
        <v>0</v>
      </c>
      <c r="AC1327" s="58">
        <v>0</v>
      </c>
      <c r="AD1327" s="58">
        <v>0</v>
      </c>
      <c r="AE1327" s="58">
        <v>0</v>
      </c>
      <c r="AF1327" s="58">
        <v>0</v>
      </c>
      <c r="AG1327" s="58">
        <v>0</v>
      </c>
      <c r="AH1327" s="58">
        <v>0</v>
      </c>
      <c r="AI1327" s="58">
        <v>0</v>
      </c>
      <c r="AJ1327" s="58">
        <v>0</v>
      </c>
      <c r="AK1327" s="58">
        <v>0</v>
      </c>
      <c r="AL1327" s="75">
        <f>+SUBTOTAL(9,Tabla6[[#This Row],[ENE]:[DIC]])</f>
        <v>0</v>
      </c>
      <c r="AM1327" s="76" t="str">
        <f t="shared" si="50"/>
        <v>OK</v>
      </c>
      <c r="AN1327" s="60">
        <f>196-196</f>
        <v>0</v>
      </c>
      <c r="AO1327" s="61">
        <f>+Tabla6[[#This Row],[PRESUPUESTO VIGENTE]]-Tabla6[[#This Row],[CERTIFICACIÓN PAPP]]</f>
        <v>0</v>
      </c>
      <c r="AP1327" s="59">
        <v>0</v>
      </c>
    </row>
    <row r="1328" spans="1:42" ht="93" customHeight="1" x14ac:dyDescent="0.25">
      <c r="A1328" s="62" t="s">
        <v>78</v>
      </c>
      <c r="B1328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328" s="64" t="s">
        <v>79</v>
      </c>
      <c r="D1328" s="64" t="s">
        <v>115</v>
      </c>
      <c r="E1328" s="64" t="s">
        <v>114</v>
      </c>
      <c r="F1328" s="64" t="s">
        <v>4</v>
      </c>
      <c r="G1328" s="64" t="s">
        <v>5</v>
      </c>
      <c r="H1328" s="65" t="str">
        <f>VLOOKUP(Tabla6[[#This Row],[DIRECCIÓN]],DIRECCIÓN[#All],2,0)</f>
        <v>ADMINISTRACIÓN CENTRAL</v>
      </c>
      <c r="I1328" s="66" t="s">
        <v>129</v>
      </c>
      <c r="J1328" s="67">
        <v>1</v>
      </c>
      <c r="K1328" s="68" t="str">
        <f>VLOOKUP(Tabla6[[#This Row],[DIRECCIÓN GENERAL / COORDINACIÓN / SUBDIRECCIÓN]],Tabla37[[#All],[Columna1]:[EOD]],2,0)</f>
        <v>266_9999</v>
      </c>
      <c r="L1328" s="69">
        <f>VLOOKUP(Tabla6[[#This Row],[OBJETIVOS PND]],Listas!$A$1:$C$3,3,0)</f>
        <v>1</v>
      </c>
      <c r="M1328" s="70">
        <f>VLOOKUP(Tabla6[[#This Row],[PG]],Listas2!$G$14:$K$16,5,0)</f>
        <v>0</v>
      </c>
      <c r="N1328" s="71">
        <v>1</v>
      </c>
      <c r="O1328" s="72">
        <v>1701</v>
      </c>
      <c r="P1328" s="73" t="str">
        <f>VLOOKUP(Tabla6[[#This Row],[GEO]],Listas!$A$48:$B$77,2,0)</f>
        <v>QUITO</v>
      </c>
      <c r="Q1328" s="70">
        <f>VLOOKUP(Tabla6[[#This Row],[PG]],Listas2!$G$14:$K$16,3,0)</f>
        <v>1</v>
      </c>
      <c r="R1328" s="73">
        <f>VLOOKUP(Tabla6[[#This Row],[PG]],Listas2!H65:'Listas2'!$G$14:$K$16,4,0)</f>
        <v>0</v>
      </c>
      <c r="S1328" s="73">
        <f>VLOOKUP(Tabla6[[#This Row],[PG]],Listas2!$G$14:$K$16,2,0)</f>
        <v>0</v>
      </c>
      <c r="T1328" s="66" t="s">
        <v>84</v>
      </c>
      <c r="U1328" s="74">
        <v>53</v>
      </c>
      <c r="V1328" s="66">
        <v>530208</v>
      </c>
      <c r="W1328" s="63" t="str">
        <f>VLOOKUP(Tabla6[[#This Row],[ÍTEM PRESUPUESTARIO]],Tabla2[#All],2,0)</f>
        <v>SERVICIO DE SEGURIDAD Y VIGILANCIA</v>
      </c>
      <c r="X1328" s="57">
        <v>130000</v>
      </c>
      <c r="Y1328" s="57">
        <f>130000-109.72-399.74-399.76</f>
        <v>129090.78</v>
      </c>
      <c r="Z1328" s="58">
        <v>10824</v>
      </c>
      <c r="AA1328" s="58">
        <v>10824</v>
      </c>
      <c r="AB1328" s="58">
        <v>10824</v>
      </c>
      <c r="AC1328" s="58">
        <v>10824</v>
      </c>
      <c r="AD1328" s="58">
        <v>10824</v>
      </c>
      <c r="AE1328" s="58">
        <v>10824</v>
      </c>
      <c r="AF1328" s="58">
        <v>10824</v>
      </c>
      <c r="AG1328" s="58">
        <v>10824</v>
      </c>
      <c r="AH1328" s="58">
        <v>10724.64</v>
      </c>
      <c r="AI1328" s="58">
        <v>10724.64</v>
      </c>
      <c r="AJ1328" s="58">
        <v>10724.64</v>
      </c>
      <c r="AK1328" s="58">
        <v>10324.86</v>
      </c>
      <c r="AL1328" s="75">
        <f>+SUBTOTAL(9,Tabla6[[#This Row],[ENE]:[DIC]])</f>
        <v>129090.78</v>
      </c>
      <c r="AM1328" s="76" t="str">
        <f t="shared" si="50"/>
        <v>OK</v>
      </c>
      <c r="AN1328" s="60">
        <f>122428.6+6662.18</f>
        <v>129090.78</v>
      </c>
      <c r="AO1328" s="61">
        <f>+Tabla6[[#This Row],[PRESUPUESTO VIGENTE]]-Tabla6[[#This Row],[CERTIFICACIÓN PAPP]]</f>
        <v>0</v>
      </c>
      <c r="AP1328" s="59">
        <v>0</v>
      </c>
    </row>
    <row r="1329" spans="1:42" ht="93" customHeight="1" x14ac:dyDescent="0.25">
      <c r="A1329" s="62" t="s">
        <v>78</v>
      </c>
      <c r="B1329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329" s="64" t="s">
        <v>79</v>
      </c>
      <c r="D1329" s="64" t="s">
        <v>115</v>
      </c>
      <c r="E1329" s="64" t="s">
        <v>114</v>
      </c>
      <c r="F1329" s="64" t="s">
        <v>4</v>
      </c>
      <c r="G1329" s="64" t="s">
        <v>5</v>
      </c>
      <c r="H1329" s="65" t="str">
        <f>VLOOKUP(Tabla6[[#This Row],[DIRECCIÓN]],DIRECCIÓN[#All],2,0)</f>
        <v>ADMINISTRACIÓN CENTRAL</v>
      </c>
      <c r="I1329" s="66" t="s">
        <v>130</v>
      </c>
      <c r="J1329" s="67">
        <v>1</v>
      </c>
      <c r="K1329" s="68" t="str">
        <f>VLOOKUP(Tabla6[[#This Row],[DIRECCIÓN GENERAL / COORDINACIÓN / SUBDIRECCIÓN]],Tabla37[[#All],[Columna1]:[EOD]],2,0)</f>
        <v>266_9999</v>
      </c>
      <c r="L1329" s="69">
        <f>VLOOKUP(Tabla6[[#This Row],[OBJETIVOS PND]],Listas!$A$1:$C$3,3,0)</f>
        <v>1</v>
      </c>
      <c r="M1329" s="70">
        <f>VLOOKUP(Tabla6[[#This Row],[PG]],Listas2!$G$14:$K$16,5,0)</f>
        <v>0</v>
      </c>
      <c r="N1329" s="71">
        <v>1</v>
      </c>
      <c r="O1329" s="72">
        <v>1701</v>
      </c>
      <c r="P1329" s="73" t="str">
        <f>VLOOKUP(Tabla6[[#This Row],[GEO]],Listas!$A$48:$B$77,2,0)</f>
        <v>QUITO</v>
      </c>
      <c r="Q1329" s="70">
        <f>VLOOKUP(Tabla6[[#This Row],[PG]],Listas2!$G$14:$K$16,3,0)</f>
        <v>1</v>
      </c>
      <c r="R1329" s="73">
        <f>VLOOKUP(Tabla6[[#This Row],[PG]],Listas2!H66:'Listas2'!$G$14:$K$16,4,0)</f>
        <v>0</v>
      </c>
      <c r="S1329" s="73">
        <f>VLOOKUP(Tabla6[[#This Row],[PG]],Listas2!$G$14:$K$16,2,0)</f>
        <v>0</v>
      </c>
      <c r="T1329" s="66" t="s">
        <v>84</v>
      </c>
      <c r="U1329" s="74">
        <v>53</v>
      </c>
      <c r="V1329" s="66">
        <v>530209</v>
      </c>
      <c r="W1329" s="63" t="str">
        <f>VLOOKUP(Tabla6[[#This Row],[ÍTEM PRESUPUESTARIO]],Tabla2[#All],2,0)</f>
        <v>SERVICIOS DE ASEO, LAVADO DE VESTIMENTA DE TRABAJO, FUMIGACIÓN, DESINFECCIÓN, LIMPIEZA DE INSTALACIONES, MANEJO DE DESECHOS CONTAMINADOS, RECUPERACIÓN Y CLASIFICACIÓN DE MATERIALES RECICLABLES</v>
      </c>
      <c r="X1329" s="57">
        <v>126000</v>
      </c>
      <c r="Y1329" s="57">
        <f>126000-853.17-20.51-0.01-20.5</f>
        <v>125105.81000000001</v>
      </c>
      <c r="Z1329" s="58">
        <v>10428.9</v>
      </c>
      <c r="AA1329" s="58">
        <v>10428.9</v>
      </c>
      <c r="AB1329" s="58">
        <v>10428.9</v>
      </c>
      <c r="AC1329" s="58">
        <v>10428.9</v>
      </c>
      <c r="AD1329" s="58">
        <v>10428.9</v>
      </c>
      <c r="AE1329" s="58">
        <v>10428.9</v>
      </c>
      <c r="AF1329" s="58">
        <v>10428.9</v>
      </c>
      <c r="AG1329" s="58">
        <v>10428.9</v>
      </c>
      <c r="AH1329" s="58">
        <v>10423.780000000001</v>
      </c>
      <c r="AI1329" s="58">
        <v>10423.780000000001</v>
      </c>
      <c r="AJ1329" s="58">
        <v>10423.780000000001</v>
      </c>
      <c r="AK1329" s="58">
        <v>10403.27</v>
      </c>
      <c r="AL1329" s="75">
        <f>+SUBTOTAL(9,Tabla6[[#This Row],[ENE]:[DIC]])</f>
        <v>125105.81</v>
      </c>
      <c r="AM1329" s="76" t="str">
        <f t="shared" si="50"/>
        <v>OK</v>
      </c>
      <c r="AN1329" s="60">
        <f>124764+341.81</f>
        <v>125105.81</v>
      </c>
      <c r="AO1329" s="61">
        <f>+Tabla6[[#This Row],[PRESUPUESTO VIGENTE]]-Tabla6[[#This Row],[CERTIFICACIÓN PAPP]]</f>
        <v>0</v>
      </c>
      <c r="AP1329" s="59">
        <v>0</v>
      </c>
    </row>
    <row r="1330" spans="1:42" ht="93" customHeight="1" x14ac:dyDescent="0.25">
      <c r="A1330" s="62" t="s">
        <v>78</v>
      </c>
      <c r="B1330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330" s="64" t="s">
        <v>79</v>
      </c>
      <c r="D1330" s="64" t="s">
        <v>115</v>
      </c>
      <c r="E1330" s="64" t="s">
        <v>114</v>
      </c>
      <c r="F1330" s="64" t="s">
        <v>4</v>
      </c>
      <c r="G1330" s="64" t="s">
        <v>5</v>
      </c>
      <c r="H1330" s="65" t="str">
        <f>VLOOKUP(Tabla6[[#This Row],[DIRECCIÓN]],DIRECCIÓN[#All],2,0)</f>
        <v>ADMINISTRACIÓN CENTRAL</v>
      </c>
      <c r="I1330" s="66" t="s">
        <v>131</v>
      </c>
      <c r="J1330" s="67">
        <v>1</v>
      </c>
      <c r="K1330" s="68" t="str">
        <f>VLOOKUP(Tabla6[[#This Row],[DIRECCIÓN GENERAL / COORDINACIÓN / SUBDIRECCIÓN]],Tabla37[[#All],[Columna1]:[EOD]],2,0)</f>
        <v>266_9999</v>
      </c>
      <c r="L1330" s="69">
        <f>VLOOKUP(Tabla6[[#This Row],[OBJETIVOS PND]],Listas!$A$1:$C$3,3,0)</f>
        <v>1</v>
      </c>
      <c r="M1330" s="70">
        <f>VLOOKUP(Tabla6[[#This Row],[PG]],Listas2!$G$14:$K$16,5,0)</f>
        <v>0</v>
      </c>
      <c r="N1330" s="71">
        <v>1</v>
      </c>
      <c r="O1330" s="72">
        <v>1701</v>
      </c>
      <c r="P1330" s="73" t="str">
        <f>VLOOKUP(Tabla6[[#This Row],[GEO]],Listas!$A$48:$B$77,2,0)</f>
        <v>QUITO</v>
      </c>
      <c r="Q1330" s="70">
        <f>VLOOKUP(Tabla6[[#This Row],[PG]],Listas2!$G$14:$K$16,3,0)</f>
        <v>1</v>
      </c>
      <c r="R1330" s="73">
        <f>VLOOKUP(Tabla6[[#This Row],[PG]],Listas2!H67:'Listas2'!$G$14:$K$16,4,0)</f>
        <v>0</v>
      </c>
      <c r="S1330" s="73">
        <f>VLOOKUP(Tabla6[[#This Row],[PG]],Listas2!$G$14:$K$16,2,0)</f>
        <v>0</v>
      </c>
      <c r="T1330" s="66" t="s">
        <v>84</v>
      </c>
      <c r="U1330" s="74">
        <v>53</v>
      </c>
      <c r="V1330" s="66">
        <v>530209</v>
      </c>
      <c r="W1330" s="63" t="str">
        <f>VLOOKUP(Tabla6[[#This Row],[ÍTEM PRESUPUESTARIO]],Tabla2[#All],2,0)</f>
        <v>SERVICIOS DE ASEO, LAVADO DE VESTIMENTA DE TRABAJO, FUMIGACIÓN, DESINFECCIÓN, LIMPIEZA DE INSTALACIONES, MANEJO DE DESECHOS CONTAMINADOS, RECUPERACIÓN Y CLASIFICACIÓN DE MATERIALES RECICLABLES</v>
      </c>
      <c r="X1330" s="57">
        <v>4800</v>
      </c>
      <c r="Y1330" s="57">
        <f>4800-4800</f>
        <v>0</v>
      </c>
      <c r="Z1330" s="58">
        <v>0</v>
      </c>
      <c r="AA1330" s="58">
        <v>0</v>
      </c>
      <c r="AB1330" s="58">
        <v>0</v>
      </c>
      <c r="AC1330" s="58">
        <v>0</v>
      </c>
      <c r="AD1330" s="58">
        <v>0</v>
      </c>
      <c r="AE1330" s="58">
        <v>0</v>
      </c>
      <c r="AF1330" s="58">
        <v>0</v>
      </c>
      <c r="AG1330" s="58">
        <v>0</v>
      </c>
      <c r="AH1330" s="58">
        <v>0</v>
      </c>
      <c r="AI1330" s="58">
        <v>0</v>
      </c>
      <c r="AJ1330" s="58">
        <v>0</v>
      </c>
      <c r="AK1330" s="58">
        <v>0</v>
      </c>
      <c r="AL1330" s="75">
        <f>+SUBTOTAL(9,Tabla6[[#This Row],[ENE]:[DIC]])</f>
        <v>0</v>
      </c>
      <c r="AM1330" s="76" t="str">
        <f t="shared" si="50"/>
        <v>OK</v>
      </c>
      <c r="AN1330" s="60">
        <v>0</v>
      </c>
      <c r="AO1330" s="61">
        <f>+Tabla6[[#This Row],[PRESUPUESTO VIGENTE]]-Tabla6[[#This Row],[CERTIFICACIÓN PAPP]]</f>
        <v>0</v>
      </c>
      <c r="AP1330" s="59">
        <v>0</v>
      </c>
    </row>
    <row r="1331" spans="1:42" ht="93" customHeight="1" x14ac:dyDescent="0.25">
      <c r="A1331" s="62" t="s">
        <v>78</v>
      </c>
      <c r="B1331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331" s="64" t="s">
        <v>79</v>
      </c>
      <c r="D1331" s="64" t="s">
        <v>132</v>
      </c>
      <c r="E1331" s="64" t="s">
        <v>114</v>
      </c>
      <c r="F1331" s="64" t="s">
        <v>4</v>
      </c>
      <c r="G1331" s="64" t="s">
        <v>6</v>
      </c>
      <c r="H1331" s="65" t="str">
        <f>VLOOKUP(Tabla6[[#This Row],[DIRECCIÓN]],DIRECCIÓN[#All],2,0)</f>
        <v>ADMINISTRACIÓN CENTRAL</v>
      </c>
      <c r="I1331" s="66" t="s">
        <v>133</v>
      </c>
      <c r="J1331" s="67">
        <v>1</v>
      </c>
      <c r="K1331" s="68" t="str">
        <f>VLOOKUP(Tabla6[[#This Row],[DIRECCIÓN GENERAL / COORDINACIÓN / SUBDIRECCIÓN]],Tabla37[[#All],[Columna1]:[EOD]],2,0)</f>
        <v>266_9999</v>
      </c>
      <c r="L1331" s="69">
        <f>VLOOKUP(Tabla6[[#This Row],[OBJETIVOS PND]],Listas!$A$1:$C$3,3,0)</f>
        <v>1</v>
      </c>
      <c r="M1331" s="70">
        <f>VLOOKUP(Tabla6[[#This Row],[PG]],Listas2!$G$14:$K$16,5,0)</f>
        <v>0</v>
      </c>
      <c r="N1331" s="71">
        <v>1</v>
      </c>
      <c r="O1331" s="72">
        <v>1701</v>
      </c>
      <c r="P1331" s="73" t="str">
        <f>VLOOKUP(Tabla6[[#This Row],[GEO]],Listas!$A$48:$B$77,2,0)</f>
        <v>QUITO</v>
      </c>
      <c r="Q1331" s="70">
        <f>VLOOKUP(Tabla6[[#This Row],[PG]],Listas2!$G$14:$K$16,3,0)</f>
        <v>1</v>
      </c>
      <c r="R1331" s="73">
        <f>VLOOKUP(Tabla6[[#This Row],[PG]],Listas2!H1275:'Listas2'!$G$14:$K$16,4,0)</f>
        <v>0</v>
      </c>
      <c r="S1331" s="73">
        <f>VLOOKUP(Tabla6[[#This Row],[PG]],Listas2!$G$14:$K$16,2,0)</f>
        <v>0</v>
      </c>
      <c r="T1331" s="66" t="s">
        <v>84</v>
      </c>
      <c r="U1331" s="74">
        <v>53</v>
      </c>
      <c r="V1331" s="66">
        <v>530210</v>
      </c>
      <c r="W1331" s="63" t="str">
        <f>VLOOKUP(Tabla6[[#This Row],[ÍTEM PRESUPUESTARIO]],Tabla2[#All],2,0)</f>
        <v>SERVICIO DE GUARDERÍA</v>
      </c>
      <c r="X1331" s="57">
        <v>0</v>
      </c>
      <c r="Y1331" s="57">
        <f>4743-2604</f>
        <v>2139</v>
      </c>
      <c r="Z1331" s="58">
        <v>0</v>
      </c>
      <c r="AA1331" s="58">
        <v>0</v>
      </c>
      <c r="AB1331" s="58">
        <v>0</v>
      </c>
      <c r="AC1331" s="58">
        <v>0</v>
      </c>
      <c r="AD1331" s="58">
        <v>0</v>
      </c>
      <c r="AE1331" s="58">
        <v>0</v>
      </c>
      <c r="AF1331" s="58">
        <v>0</v>
      </c>
      <c r="AG1331" s="58">
        <v>0</v>
      </c>
      <c r="AH1331" s="58">
        <v>0</v>
      </c>
      <c r="AI1331" s="58">
        <v>0</v>
      </c>
      <c r="AJ1331" s="58">
        <v>2139</v>
      </c>
      <c r="AK1331" s="58">
        <v>0</v>
      </c>
      <c r="AL1331" s="75">
        <f>+SUBTOTAL(9,Tabla6[[#This Row],[ENE]:[DIC]])</f>
        <v>2139</v>
      </c>
      <c r="AM1331" s="76" t="str">
        <f t="shared" si="50"/>
        <v>OK</v>
      </c>
      <c r="AN1331" s="60">
        <f>4743-4743</f>
        <v>0</v>
      </c>
      <c r="AO1331" s="61">
        <f>+Tabla6[[#This Row],[PRESUPUESTO VIGENTE]]-Tabla6[[#This Row],[CERTIFICACIÓN PAPP]]</f>
        <v>2139</v>
      </c>
      <c r="AP1331" s="59">
        <v>0</v>
      </c>
    </row>
    <row r="1332" spans="1:42" ht="93" customHeight="1" x14ac:dyDescent="0.25">
      <c r="A1332" s="62" t="s">
        <v>78</v>
      </c>
      <c r="B1332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332" s="64" t="s">
        <v>85</v>
      </c>
      <c r="D1332" s="64" t="s">
        <v>124</v>
      </c>
      <c r="E1332" s="64" t="s">
        <v>114</v>
      </c>
      <c r="F1332" s="64" t="s">
        <v>11</v>
      </c>
      <c r="G1332" s="64" t="s">
        <v>13</v>
      </c>
      <c r="H1332" s="65" t="str">
        <f>VLOOKUP(Tabla6[[#This Row],[DIRECCIÓN]],DIRECCIÓN[#All],2,0)</f>
        <v>COMUNICACIÓN SOCIAL</v>
      </c>
      <c r="I1332" s="66" t="s">
        <v>134</v>
      </c>
      <c r="J1332" s="67">
        <v>1</v>
      </c>
      <c r="K1332" s="68" t="str">
        <f>VLOOKUP(Tabla6[[#This Row],[DIRECCIÓN GENERAL / COORDINACIÓN / SUBDIRECCIÓN]],Tabla37[[#All],[Columna1]:[EOD]],2,0)</f>
        <v>266_9999</v>
      </c>
      <c r="L1332" s="69">
        <f>VLOOKUP(Tabla6[[#This Row],[OBJETIVOS PND]],Listas!$A$1:$C$3,3,0)</f>
        <v>1</v>
      </c>
      <c r="M1332" s="70">
        <f>VLOOKUP(Tabla6[[#This Row],[PG]],Listas2!$G$14:$K$16,5,0)</f>
        <v>0</v>
      </c>
      <c r="N1332" s="71">
        <v>1</v>
      </c>
      <c r="O1332" s="72">
        <v>1701</v>
      </c>
      <c r="P1332" s="73" t="str">
        <f>VLOOKUP(Tabla6[[#This Row],[GEO]],Listas!$A$48:$B$77,2,0)</f>
        <v>QUITO</v>
      </c>
      <c r="Q1332" s="70">
        <f>VLOOKUP(Tabla6[[#This Row],[PG]],Listas2!$G$14:$K$16,3,0)</f>
        <v>1</v>
      </c>
      <c r="R1332" s="73">
        <f>VLOOKUP(Tabla6[[#This Row],[PG]],Listas2!H68:'Listas2'!$G$14:$K$16,4,0)</f>
        <v>0</v>
      </c>
      <c r="S1332" s="73">
        <f>VLOOKUP(Tabla6[[#This Row],[PG]],Listas2!$G$14:$K$16,2,0)</f>
        <v>0</v>
      </c>
      <c r="T1332" s="66" t="s">
        <v>84</v>
      </c>
      <c r="U1332" s="74">
        <v>53</v>
      </c>
      <c r="V1332" s="66">
        <v>530241</v>
      </c>
      <c r="W1332" s="63" t="str">
        <f>VLOOKUP(Tabla6[[#This Row],[ÍTEM PRESUPUESTARIO]],Tabla2[#All],2,0)</f>
        <v>SERVICIO DE MONITOREO DE LA INFORMACIÓN EN -TELEVISIÓN - RADIO- PRENSA - MEDIOS ON LINE Y OTROS</v>
      </c>
      <c r="X1332" s="57">
        <v>7000</v>
      </c>
      <c r="Y1332" s="57">
        <f>7000-5500-1000</f>
        <v>500</v>
      </c>
      <c r="Z1332" s="58">
        <v>500</v>
      </c>
      <c r="AA1332" s="58">
        <v>0</v>
      </c>
      <c r="AB1332" s="58">
        <v>0</v>
      </c>
      <c r="AC1332" s="58">
        <v>0</v>
      </c>
      <c r="AD1332" s="58">
        <v>0</v>
      </c>
      <c r="AE1332" s="58">
        <v>0</v>
      </c>
      <c r="AF1332" s="58">
        <v>0</v>
      </c>
      <c r="AG1332" s="58">
        <v>0</v>
      </c>
      <c r="AH1332" s="58">
        <v>0</v>
      </c>
      <c r="AI1332" s="58">
        <v>0</v>
      </c>
      <c r="AJ1332" s="58">
        <v>0</v>
      </c>
      <c r="AK1332" s="58">
        <v>0</v>
      </c>
      <c r="AL1332" s="75">
        <f>+SUBTOTAL(9,Tabla6[[#This Row],[ENE]:[DIC]])</f>
        <v>500</v>
      </c>
      <c r="AM1332" s="76" t="str">
        <f t="shared" si="50"/>
        <v>OK</v>
      </c>
      <c r="AN1332" s="60">
        <f>500+5500-5500</f>
        <v>500</v>
      </c>
      <c r="AO1332" s="61">
        <f>+Tabla6[[#This Row],[PRESUPUESTO VIGENTE]]-Tabla6[[#This Row],[CERTIFICACIÓN PAPP]]</f>
        <v>0</v>
      </c>
      <c r="AP1332" s="59">
        <v>0</v>
      </c>
    </row>
    <row r="1333" spans="1:42" ht="93" customHeight="1" x14ac:dyDescent="0.25">
      <c r="A1333" s="62" t="s">
        <v>78</v>
      </c>
      <c r="B1333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333" s="64" t="s">
        <v>85</v>
      </c>
      <c r="D1333" s="64" t="s">
        <v>124</v>
      </c>
      <c r="E1333" s="64" t="s">
        <v>114</v>
      </c>
      <c r="F1333" s="64" t="s">
        <v>11</v>
      </c>
      <c r="G1333" s="64" t="s">
        <v>13</v>
      </c>
      <c r="H1333" s="65" t="str">
        <f>VLOOKUP(Tabla6[[#This Row],[DIRECCIÓN]],DIRECCIÓN[#All],2,0)</f>
        <v>COMUNICACIÓN SOCIAL</v>
      </c>
      <c r="I1333" s="66" t="s">
        <v>135</v>
      </c>
      <c r="J1333" s="67">
        <v>1</v>
      </c>
      <c r="K1333" s="68" t="str">
        <f>VLOOKUP(Tabla6[[#This Row],[DIRECCIÓN GENERAL / COORDINACIÓN / SUBDIRECCIÓN]],Tabla37[[#All],[Columna1]:[EOD]],2,0)</f>
        <v>266_9999</v>
      </c>
      <c r="L1333" s="69">
        <f>VLOOKUP(Tabla6[[#This Row],[OBJETIVOS PND]],Listas!$A$1:$C$3,3,0)</f>
        <v>1</v>
      </c>
      <c r="M1333" s="70">
        <f>VLOOKUP(Tabla6[[#This Row],[PG]],Listas2!$G$14:$K$16,5,0)</f>
        <v>0</v>
      </c>
      <c r="N1333" s="71">
        <v>1</v>
      </c>
      <c r="O1333" s="72">
        <v>1701</v>
      </c>
      <c r="P1333" s="73" t="str">
        <f>VLOOKUP(Tabla6[[#This Row],[GEO]],Listas!$A$48:$B$77,2,0)</f>
        <v>QUITO</v>
      </c>
      <c r="Q1333" s="70">
        <f>VLOOKUP(Tabla6[[#This Row],[PG]],Listas2!$G$14:$K$16,3,0)</f>
        <v>1</v>
      </c>
      <c r="R1333" s="73">
        <f>VLOOKUP(Tabla6[[#This Row],[PG]],Listas2!H69:'Listas2'!$G$14:$K$16,4,0)</f>
        <v>0</v>
      </c>
      <c r="S1333" s="73">
        <f>VLOOKUP(Tabla6[[#This Row],[PG]],Listas2!$G$14:$K$16,2,0)</f>
        <v>0</v>
      </c>
      <c r="T1333" s="66" t="s">
        <v>84</v>
      </c>
      <c r="U1333" s="74">
        <v>53</v>
      </c>
      <c r="V1333" s="66">
        <v>530241</v>
      </c>
      <c r="W1333" s="63" t="str">
        <f>VLOOKUP(Tabla6[[#This Row],[ÍTEM PRESUPUESTARIO]],Tabla2[#All],2,0)</f>
        <v>SERVICIO DE MONITOREO DE LA INFORMACIÓN EN -TELEVISIÓN - RADIO- PRENSA - MEDIOS ON LINE Y OTROS</v>
      </c>
      <c r="X1333" s="57">
        <v>0</v>
      </c>
      <c r="Y1333" s="57">
        <v>5500</v>
      </c>
      <c r="Z1333" s="58">
        <v>0</v>
      </c>
      <c r="AA1333" s="58">
        <v>500</v>
      </c>
      <c r="AB1333" s="58">
        <v>500</v>
      </c>
      <c r="AC1333" s="58">
        <v>500</v>
      </c>
      <c r="AD1333" s="58">
        <v>500</v>
      </c>
      <c r="AE1333" s="58">
        <v>500</v>
      </c>
      <c r="AF1333" s="58">
        <v>500</v>
      </c>
      <c r="AG1333" s="58">
        <v>500</v>
      </c>
      <c r="AH1333" s="58">
        <v>500</v>
      </c>
      <c r="AI1333" s="58">
        <v>500</v>
      </c>
      <c r="AJ1333" s="58">
        <v>500</v>
      </c>
      <c r="AK1333" s="58">
        <v>500</v>
      </c>
      <c r="AL1333" s="75">
        <f>+SUBTOTAL(9,Tabla6[[#This Row],[ENE]:[DIC]])</f>
        <v>5500</v>
      </c>
      <c r="AM1333" s="76" t="str">
        <f t="shared" si="50"/>
        <v>OK</v>
      </c>
      <c r="AN1333" s="60">
        <v>5500</v>
      </c>
      <c r="AO1333" s="61">
        <f>+Tabla6[[#This Row],[PRESUPUESTO VIGENTE]]-Tabla6[[#This Row],[CERTIFICACIÓN PAPP]]</f>
        <v>0</v>
      </c>
      <c r="AP1333" s="59">
        <v>0</v>
      </c>
    </row>
    <row r="1334" spans="1:42" ht="93" customHeight="1" x14ac:dyDescent="0.25">
      <c r="A1334" s="62" t="s">
        <v>78</v>
      </c>
      <c r="B1334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334" s="64" t="s">
        <v>79</v>
      </c>
      <c r="D1334" s="64" t="s">
        <v>115</v>
      </c>
      <c r="E1334" s="64" t="s">
        <v>114</v>
      </c>
      <c r="F1334" s="64" t="s">
        <v>4</v>
      </c>
      <c r="G1334" s="64" t="s">
        <v>5</v>
      </c>
      <c r="H1334" s="65" t="str">
        <f>VLOOKUP(Tabla6[[#This Row],[DIRECCIÓN]],DIRECCIÓN[#All],2,0)</f>
        <v>ADMINISTRACIÓN CENTRAL</v>
      </c>
      <c r="I1334" s="66" t="s">
        <v>136</v>
      </c>
      <c r="J1334" s="67">
        <v>1</v>
      </c>
      <c r="K1334" s="68" t="str">
        <f>VLOOKUP(Tabla6[[#This Row],[DIRECCIÓN GENERAL / COORDINACIÓN / SUBDIRECCIÓN]],Tabla37[[#All],[Columna1]:[EOD]],2,0)</f>
        <v>266_9999</v>
      </c>
      <c r="L1334" s="69">
        <f>VLOOKUP(Tabla6[[#This Row],[OBJETIVOS PND]],Listas!$A$1:$C$3,3,0)</f>
        <v>1</v>
      </c>
      <c r="M1334" s="70">
        <f>VLOOKUP(Tabla6[[#This Row],[PG]],Listas2!$G$14:$K$16,5,0)</f>
        <v>0</v>
      </c>
      <c r="N1334" s="71">
        <v>1</v>
      </c>
      <c r="O1334" s="72">
        <v>1701</v>
      </c>
      <c r="P1334" s="73" t="str">
        <f>VLOOKUP(Tabla6[[#This Row],[GEO]],Listas!$A$48:$B$77,2,0)</f>
        <v>QUITO</v>
      </c>
      <c r="Q1334" s="70">
        <f>VLOOKUP(Tabla6[[#This Row],[PG]],Listas2!$G$14:$K$16,3,0)</f>
        <v>1</v>
      </c>
      <c r="R1334" s="73">
        <f>VLOOKUP(Tabla6[[#This Row],[PG]],Listas2!H1188:'Listas2'!$G$14:$K$16,4,0)</f>
        <v>0</v>
      </c>
      <c r="S1334" s="73">
        <f>VLOOKUP(Tabla6[[#This Row],[PG]],Listas2!$G$14:$K$16,2,0)</f>
        <v>0</v>
      </c>
      <c r="T1334" s="66" t="s">
        <v>84</v>
      </c>
      <c r="U1334" s="74">
        <v>53</v>
      </c>
      <c r="V1334" s="66">
        <v>530246</v>
      </c>
      <c r="W1334" s="63" t="str">
        <f>VLOOKUP(Tabla6[[#This Row],[ÍTEM PRESUPUESTARIO]],Tabla2[#All],2,0)</f>
        <v>SERVICIOS DE IDENTIFICACIÓN, MARCACIÓN, AUTENTIFICACIÓN, RASTREO, MONITOREO, SEGUIMIENTO Y/O TRAZABILIDAD</v>
      </c>
      <c r="X1334" s="57">
        <v>0</v>
      </c>
      <c r="Y1334" s="57">
        <f>1300-546.4-546.4</f>
        <v>207.20000000000005</v>
      </c>
      <c r="Z1334" s="58">
        <v>0</v>
      </c>
      <c r="AA1334" s="58">
        <v>0</v>
      </c>
      <c r="AB1334" s="58">
        <v>0</v>
      </c>
      <c r="AC1334" s="58">
        <v>0</v>
      </c>
      <c r="AD1334" s="58">
        <v>0</v>
      </c>
      <c r="AE1334" s="58">
        <v>0</v>
      </c>
      <c r="AF1334" s="58">
        <v>0</v>
      </c>
      <c r="AG1334" s="58">
        <v>0</v>
      </c>
      <c r="AH1334" s="58">
        <v>0</v>
      </c>
      <c r="AI1334" s="58">
        <v>207.2</v>
      </c>
      <c r="AJ1334" s="58">
        <v>0</v>
      </c>
      <c r="AK1334" s="58">
        <v>0</v>
      </c>
      <c r="AL1334" s="75">
        <f>+SUBTOTAL(9,Tabla6[[#This Row],[ENE]:[DIC]])</f>
        <v>207.2</v>
      </c>
      <c r="AM1334" s="76" t="str">
        <f t="shared" si="50"/>
        <v>OK</v>
      </c>
      <c r="AN1334" s="60">
        <v>207.2</v>
      </c>
      <c r="AO1334" s="61">
        <f>+Tabla6[[#This Row],[PRESUPUESTO VIGENTE]]-Tabla6[[#This Row],[CERTIFICACIÓN PAPP]]</f>
        <v>0</v>
      </c>
      <c r="AP1334" s="59">
        <v>0</v>
      </c>
    </row>
    <row r="1335" spans="1:42" ht="93" customHeight="1" x14ac:dyDescent="0.25">
      <c r="A1335" s="62" t="s">
        <v>78</v>
      </c>
      <c r="B1335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335" s="64" t="s">
        <v>79</v>
      </c>
      <c r="D1335" s="64" t="s">
        <v>115</v>
      </c>
      <c r="E1335" s="64" t="s">
        <v>114</v>
      </c>
      <c r="F1335" s="64" t="s">
        <v>4</v>
      </c>
      <c r="G1335" s="64" t="s">
        <v>5</v>
      </c>
      <c r="H1335" s="65" t="str">
        <f>VLOOKUP(Tabla6[[#This Row],[DIRECCIÓN]],DIRECCIÓN[#All],2,0)</f>
        <v>ADMINISTRACIÓN CENTRAL</v>
      </c>
      <c r="I1335" s="66" t="s">
        <v>137</v>
      </c>
      <c r="J1335" s="67">
        <v>1</v>
      </c>
      <c r="K1335" s="68" t="str">
        <f>VLOOKUP(Tabla6[[#This Row],[DIRECCIÓN GENERAL / COORDINACIÓN / SUBDIRECCIÓN]],Tabla37[[#All],[Columna1]:[EOD]],2,0)</f>
        <v>266_9999</v>
      </c>
      <c r="L1335" s="69">
        <f>VLOOKUP(Tabla6[[#This Row],[OBJETIVOS PND]],Listas!$A$1:$C$3,3,0)</f>
        <v>1</v>
      </c>
      <c r="M1335" s="70">
        <f>VLOOKUP(Tabla6[[#This Row],[PG]],Listas2!$G$14:$K$16,5,0)</f>
        <v>0</v>
      </c>
      <c r="N1335" s="71">
        <v>1</v>
      </c>
      <c r="O1335" s="72">
        <v>1701</v>
      </c>
      <c r="P1335" s="73" t="str">
        <f>VLOOKUP(Tabla6[[#This Row],[GEO]],Listas!$A$48:$B$77,2,0)</f>
        <v>QUITO</v>
      </c>
      <c r="Q1335" s="70">
        <f>VLOOKUP(Tabla6[[#This Row],[PG]],Listas2!$G$14:$K$16,3,0)</f>
        <v>1</v>
      </c>
      <c r="R1335" s="73">
        <f>VLOOKUP(Tabla6[[#This Row],[PG]],Listas2!H70:'Listas2'!$G$14:$K$16,4,0)</f>
        <v>0</v>
      </c>
      <c r="S1335" s="73">
        <f>VLOOKUP(Tabla6[[#This Row],[PG]],Listas2!$G$14:$K$16,2,0)</f>
        <v>0</v>
      </c>
      <c r="T1335" s="66" t="s">
        <v>84</v>
      </c>
      <c r="U1335" s="74">
        <v>53</v>
      </c>
      <c r="V1335" s="66">
        <v>530255</v>
      </c>
      <c r="W1335" s="63" t="str">
        <f>VLOOKUP(Tabla6[[#This Row],[ÍTEM PRESUPUESTARIO]],Tabla2[#All],2,0)</f>
        <v>COMBUSTIBLES</v>
      </c>
      <c r="X1335" s="57">
        <v>14400</v>
      </c>
      <c r="Y1335" s="57">
        <f>14400-166.57-382+755+4000-2002.38+1000-766.89-479.16</f>
        <v>16358</v>
      </c>
      <c r="Z1335" s="58">
        <v>1186.1199999999999</v>
      </c>
      <c r="AA1335" s="58">
        <v>1186.1199999999999</v>
      </c>
      <c r="AB1335" s="58">
        <f t="shared" ref="AB1335:AI1335" si="57">1186.12-38.2</f>
        <v>1147.9199999999998</v>
      </c>
      <c r="AC1335" s="58">
        <f t="shared" si="57"/>
        <v>1147.9199999999998</v>
      </c>
      <c r="AD1335" s="58">
        <f t="shared" si="57"/>
        <v>1147.9199999999998</v>
      </c>
      <c r="AE1335" s="58">
        <f t="shared" si="57"/>
        <v>1147.9199999999998</v>
      </c>
      <c r="AF1335" s="58">
        <f t="shared" si="57"/>
        <v>1147.9199999999998</v>
      </c>
      <c r="AG1335" s="58">
        <f t="shared" si="57"/>
        <v>1147.9199999999998</v>
      </c>
      <c r="AH1335" s="58">
        <f t="shared" si="57"/>
        <v>1147.9199999999998</v>
      </c>
      <c r="AI1335" s="58">
        <f t="shared" si="57"/>
        <v>1147.9199999999998</v>
      </c>
      <c r="AJ1335" s="58">
        <f>1186.12-38.2+2000-1001+500-383.44</f>
        <v>2263.48</v>
      </c>
      <c r="AK1335" s="58">
        <v>2538.92</v>
      </c>
      <c r="AL1335" s="75">
        <f>+SUBTOTAL(9,Tabla6[[#This Row],[ENE]:[DIC]])</f>
        <v>16358</v>
      </c>
      <c r="AM1335" s="76" t="str">
        <f t="shared" si="50"/>
        <v>OK</v>
      </c>
      <c r="AN1335" s="60">
        <f>6760.71+1450+90.96+6300+2235.49-479.16</f>
        <v>16357.999999999996</v>
      </c>
      <c r="AO1335" s="61">
        <f>+Tabla6[[#This Row],[PRESUPUESTO VIGENTE]]-Tabla6[[#This Row],[CERTIFICACIÓN PAPP]]</f>
        <v>0</v>
      </c>
      <c r="AP1335" s="59">
        <v>0</v>
      </c>
    </row>
    <row r="1336" spans="1:42" ht="93" customHeight="1" x14ac:dyDescent="0.25">
      <c r="A1336" s="62" t="s">
        <v>78</v>
      </c>
      <c r="B1336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336" s="64" t="s">
        <v>79</v>
      </c>
      <c r="D1336" s="64" t="s">
        <v>115</v>
      </c>
      <c r="E1336" s="64" t="s">
        <v>114</v>
      </c>
      <c r="F1336" s="64" t="s">
        <v>4</v>
      </c>
      <c r="G1336" s="64" t="s">
        <v>5</v>
      </c>
      <c r="H1336" s="65" t="str">
        <f>VLOOKUP(Tabla6[[#This Row],[DIRECCIÓN]],DIRECCIÓN[#All],2,0)</f>
        <v>ADMINISTRACIÓN CENTRAL</v>
      </c>
      <c r="I1336" s="66" t="s">
        <v>138</v>
      </c>
      <c r="J1336" s="67">
        <v>1</v>
      </c>
      <c r="K1336" s="68" t="str">
        <f>VLOOKUP(Tabla6[[#This Row],[DIRECCIÓN GENERAL / COORDINACIÓN / SUBDIRECCIÓN]],Tabla37[[#All],[Columna1]:[EOD]],2,0)</f>
        <v>266_9999</v>
      </c>
      <c r="L1336" s="69">
        <f>VLOOKUP(Tabla6[[#This Row],[OBJETIVOS PND]],Listas!$A$1:$C$3,3,0)</f>
        <v>1</v>
      </c>
      <c r="M1336" s="70">
        <f>VLOOKUP(Tabla6[[#This Row],[PG]],Listas2!$G$14:$K$16,5,0)</f>
        <v>0</v>
      </c>
      <c r="N1336" s="71">
        <v>1</v>
      </c>
      <c r="O1336" s="72">
        <v>1701</v>
      </c>
      <c r="P1336" s="73" t="str">
        <f>VLOOKUP(Tabla6[[#This Row],[GEO]],Listas!$A$48:$B$77,2,0)</f>
        <v>QUITO</v>
      </c>
      <c r="Q1336" s="70">
        <f>VLOOKUP(Tabla6[[#This Row],[PG]],Listas2!$G$14:$K$16,3,0)</f>
        <v>1</v>
      </c>
      <c r="R1336" s="73">
        <f>VLOOKUP(Tabla6[[#This Row],[PG]],Listas2!H71:'Listas2'!$G$14:$K$16,4,0)</f>
        <v>0</v>
      </c>
      <c r="S1336" s="73">
        <f>VLOOKUP(Tabla6[[#This Row],[PG]],Listas2!$G$14:$K$16,2,0)</f>
        <v>0</v>
      </c>
      <c r="T1336" s="66" t="s">
        <v>84</v>
      </c>
      <c r="U1336" s="74">
        <v>53</v>
      </c>
      <c r="V1336" s="66">
        <v>530255</v>
      </c>
      <c r="W1336" s="63" t="str">
        <f>VLOOKUP(Tabla6[[#This Row],[ÍTEM PRESUPUESTARIO]],Tabla2[#All],2,0)</f>
        <v>COMBUSTIBLES</v>
      </c>
      <c r="X1336" s="57">
        <v>0</v>
      </c>
      <c r="Y1336" s="57">
        <v>382</v>
      </c>
      <c r="Z1336" s="58">
        <v>0</v>
      </c>
      <c r="AA1336" s="58">
        <v>0</v>
      </c>
      <c r="AB1336" s="58">
        <v>0</v>
      </c>
      <c r="AC1336" s="58">
        <v>0</v>
      </c>
      <c r="AD1336" s="58">
        <v>0</v>
      </c>
      <c r="AE1336" s="58">
        <v>0</v>
      </c>
      <c r="AF1336" s="58">
        <v>0</v>
      </c>
      <c r="AG1336" s="58">
        <v>0</v>
      </c>
      <c r="AH1336" s="58">
        <v>0</v>
      </c>
      <c r="AI1336" s="58">
        <v>0</v>
      </c>
      <c r="AJ1336" s="58">
        <v>0</v>
      </c>
      <c r="AK1336" s="58">
        <v>382</v>
      </c>
      <c r="AL1336" s="75">
        <f>+SUBTOTAL(9,Tabla6[[#This Row],[ENE]:[DIC]])</f>
        <v>382</v>
      </c>
      <c r="AM1336" s="76" t="str">
        <f t="shared" si="50"/>
        <v>OK</v>
      </c>
      <c r="AN1336" s="60">
        <v>382</v>
      </c>
      <c r="AO1336" s="61">
        <f>+Tabla6[[#This Row],[PRESUPUESTO VIGENTE]]-Tabla6[[#This Row],[CERTIFICACIÓN PAPP]]</f>
        <v>0</v>
      </c>
      <c r="AP1336" s="59">
        <v>0</v>
      </c>
    </row>
    <row r="1337" spans="1:42" ht="93" customHeight="1" x14ac:dyDescent="0.25">
      <c r="A1337" s="62" t="s">
        <v>78</v>
      </c>
      <c r="B1337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337" s="64" t="s">
        <v>79</v>
      </c>
      <c r="D1337" s="64" t="s">
        <v>115</v>
      </c>
      <c r="E1337" s="64" t="s">
        <v>114</v>
      </c>
      <c r="F1337" s="64" t="s">
        <v>4</v>
      </c>
      <c r="G1337" s="64" t="s">
        <v>5</v>
      </c>
      <c r="H1337" s="65" t="str">
        <f>VLOOKUP(Tabla6[[#This Row],[DIRECCIÓN]],DIRECCIÓN[#All],2,0)</f>
        <v>ADMINISTRACIÓN CENTRAL</v>
      </c>
      <c r="I1337" s="66" t="s">
        <v>139</v>
      </c>
      <c r="J1337" s="67">
        <v>1</v>
      </c>
      <c r="K1337" s="68" t="str">
        <f>VLOOKUP(Tabla6[[#This Row],[DIRECCIÓN GENERAL / COORDINACIÓN / SUBDIRECCIÓN]],Tabla37[[#All],[Columna1]:[EOD]],2,0)</f>
        <v>266_9999</v>
      </c>
      <c r="L1337" s="69">
        <f>VLOOKUP(Tabla6[[#This Row],[OBJETIVOS PND]],Listas!$A$1:$C$3,3,0)</f>
        <v>1</v>
      </c>
      <c r="M1337" s="70">
        <f>VLOOKUP(Tabla6[[#This Row],[PG]],Listas2!$G$14:$K$16,5,0)</f>
        <v>0</v>
      </c>
      <c r="N1337" s="71">
        <v>1</v>
      </c>
      <c r="O1337" s="72">
        <v>1701</v>
      </c>
      <c r="P1337" s="73" t="str">
        <f>VLOOKUP(Tabla6[[#This Row],[GEO]],Listas!$A$48:$B$77,2,0)</f>
        <v>QUITO</v>
      </c>
      <c r="Q1337" s="70">
        <f>VLOOKUP(Tabla6[[#This Row],[PG]],Listas2!$G$14:$K$16,3,0)</f>
        <v>1</v>
      </c>
      <c r="R1337" s="73">
        <f>VLOOKUP(Tabla6[[#This Row],[PG]],Listas2!H72:'Listas2'!$G$14:$K$16,4,0)</f>
        <v>0</v>
      </c>
      <c r="S1337" s="73">
        <f>VLOOKUP(Tabla6[[#This Row],[PG]],Listas2!$G$14:$K$16,2,0)</f>
        <v>0</v>
      </c>
      <c r="T1337" s="66" t="s">
        <v>84</v>
      </c>
      <c r="U1337" s="74">
        <v>53</v>
      </c>
      <c r="V1337" s="66">
        <v>530255</v>
      </c>
      <c r="W1337" s="63" t="str">
        <f>VLOOKUP(Tabla6[[#This Row],[ÍTEM PRESUPUESTARIO]],Tabla2[#All],2,0)</f>
        <v>COMBUSTIBLES</v>
      </c>
      <c r="X1337" s="57">
        <v>382</v>
      </c>
      <c r="Y1337" s="57">
        <f>382-382+700-700</f>
        <v>0</v>
      </c>
      <c r="Z1337" s="58">
        <v>0</v>
      </c>
      <c r="AA1337" s="58">
        <v>0</v>
      </c>
      <c r="AB1337" s="58">
        <v>0</v>
      </c>
      <c r="AC1337" s="58">
        <v>0</v>
      </c>
      <c r="AD1337" s="58">
        <v>0</v>
      </c>
      <c r="AE1337" s="58">
        <v>0</v>
      </c>
      <c r="AF1337" s="58">
        <v>0</v>
      </c>
      <c r="AG1337" s="58">
        <v>0</v>
      </c>
      <c r="AH1337" s="58">
        <v>0</v>
      </c>
      <c r="AI1337" s="58">
        <v>0</v>
      </c>
      <c r="AJ1337" s="58">
        <v>0</v>
      </c>
      <c r="AK1337" s="58">
        <v>0</v>
      </c>
      <c r="AL1337" s="75">
        <f>+SUBTOTAL(9,Tabla6[[#This Row],[ENE]:[DIC]])</f>
        <v>0</v>
      </c>
      <c r="AM1337" s="76" t="str">
        <f t="shared" si="50"/>
        <v>OK</v>
      </c>
      <c r="AN1337" s="60">
        <v>0</v>
      </c>
      <c r="AO1337" s="61">
        <f>+Tabla6[[#This Row],[PRESUPUESTO VIGENTE]]-Tabla6[[#This Row],[CERTIFICACIÓN PAPP]]</f>
        <v>0</v>
      </c>
      <c r="AP1337" s="59">
        <v>0</v>
      </c>
    </row>
    <row r="1338" spans="1:42" ht="93" customHeight="1" x14ac:dyDescent="0.25">
      <c r="A1338" s="62" t="s">
        <v>78</v>
      </c>
      <c r="B1338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338" s="64" t="s">
        <v>79</v>
      </c>
      <c r="D1338" s="64" t="s">
        <v>115</v>
      </c>
      <c r="E1338" s="64" t="s">
        <v>114</v>
      </c>
      <c r="F1338" s="64" t="s">
        <v>4</v>
      </c>
      <c r="G1338" s="64" t="s">
        <v>5</v>
      </c>
      <c r="H1338" s="65" t="str">
        <f>VLOOKUP(Tabla6[[#This Row],[DIRECCIÓN]],DIRECCIÓN[#All],2,0)</f>
        <v>ADMINISTRACIÓN CENTRAL</v>
      </c>
      <c r="I1338" s="66" t="s">
        <v>122</v>
      </c>
      <c r="J1338" s="67">
        <v>1</v>
      </c>
      <c r="K1338" s="68" t="str">
        <f>VLOOKUP(Tabla6[[#This Row],[DIRECCIÓN GENERAL / COORDINACIÓN / SUBDIRECCIÓN]],Tabla37[[#All],[Columna1]:[EOD]],2,0)</f>
        <v>266_9999</v>
      </c>
      <c r="L1338" s="69">
        <f>VLOOKUP(Tabla6[[#This Row],[OBJETIVOS PND]],Listas!$A$1:$C$3,3,0)</f>
        <v>1</v>
      </c>
      <c r="M1338" s="70">
        <f>VLOOKUP(Tabla6[[#This Row],[PG]],Listas2!$G$14:$K$16,5,0)</f>
        <v>0</v>
      </c>
      <c r="N1338" s="71">
        <v>1</v>
      </c>
      <c r="O1338" s="72">
        <v>1701</v>
      </c>
      <c r="P1338" s="73" t="str">
        <f>VLOOKUP(Tabla6[[#This Row],[GEO]],Listas!$A$48:$B$77,2,0)</f>
        <v>QUITO</v>
      </c>
      <c r="Q1338" s="70">
        <f>VLOOKUP(Tabla6[[#This Row],[PG]],Listas2!$G$14:$K$16,3,0)</f>
        <v>1</v>
      </c>
      <c r="R1338" s="73">
        <f>VLOOKUP(Tabla6[[#This Row],[PG]],Listas2!H1329:'Listas2'!$G$14:$K$16,4,0)</f>
        <v>0</v>
      </c>
      <c r="S1338" s="73">
        <f>VLOOKUP(Tabla6[[#This Row],[PG]],Listas2!$G$14:$K$16,2,0)</f>
        <v>0</v>
      </c>
      <c r="T1338" s="66" t="s">
        <v>84</v>
      </c>
      <c r="U1338" s="74">
        <v>53</v>
      </c>
      <c r="V1338" s="66">
        <v>530255</v>
      </c>
      <c r="W1338" s="63" t="str">
        <f>VLOOKUP(Tabla6[[#This Row],[ÍTEM PRESUPUESTARIO]],Tabla2[#All],2,0)</f>
        <v>COMBUSTIBLES</v>
      </c>
      <c r="X1338" s="57">
        <v>0</v>
      </c>
      <c r="Y1338" s="57">
        <f>1466.89+187.59-1654.48</f>
        <v>0</v>
      </c>
      <c r="Z1338" s="58">
        <v>0</v>
      </c>
      <c r="AA1338" s="58">
        <v>0</v>
      </c>
      <c r="AB1338" s="58">
        <v>0</v>
      </c>
      <c r="AC1338" s="58">
        <v>0</v>
      </c>
      <c r="AD1338" s="58">
        <v>0</v>
      </c>
      <c r="AE1338" s="58">
        <v>0</v>
      </c>
      <c r="AF1338" s="58">
        <v>0</v>
      </c>
      <c r="AG1338" s="58">
        <v>0</v>
      </c>
      <c r="AH1338" s="58">
        <v>0</v>
      </c>
      <c r="AI1338" s="58">
        <v>0</v>
      </c>
      <c r="AJ1338" s="58">
        <v>0</v>
      </c>
      <c r="AK1338" s="58">
        <v>0</v>
      </c>
      <c r="AL1338" s="75">
        <f>+SUBTOTAL(9,Tabla6[[#This Row],[ENE]:[DIC]])</f>
        <v>0</v>
      </c>
      <c r="AM1338" s="76" t="str">
        <f>IF(AL1338=Y1338,"OK",Y1338-AL1338)</f>
        <v>OK</v>
      </c>
      <c r="AN1338" s="60">
        <v>0</v>
      </c>
      <c r="AO1338" s="61">
        <f>+Tabla6[[#This Row],[PRESUPUESTO VIGENTE]]-Tabla6[[#This Row],[CERTIFICACIÓN PAPP]]</f>
        <v>0</v>
      </c>
      <c r="AP1338" s="59">
        <v>0</v>
      </c>
    </row>
    <row r="1339" spans="1:42" ht="93" customHeight="1" x14ac:dyDescent="0.25">
      <c r="A1339" s="62" t="s">
        <v>78</v>
      </c>
      <c r="B1339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339" s="64" t="s">
        <v>79</v>
      </c>
      <c r="D1339" s="64" t="s">
        <v>115</v>
      </c>
      <c r="E1339" s="64" t="s">
        <v>114</v>
      </c>
      <c r="F1339" s="64" t="s">
        <v>4</v>
      </c>
      <c r="G1339" s="64" t="s">
        <v>5</v>
      </c>
      <c r="H1339" s="65" t="str">
        <f>VLOOKUP(Tabla6[[#This Row],[DIRECCIÓN]],DIRECCIÓN[#All],2,0)</f>
        <v>ADMINISTRACIÓN CENTRAL</v>
      </c>
      <c r="I1339" s="66" t="s">
        <v>97</v>
      </c>
      <c r="J1339" s="67">
        <v>3</v>
      </c>
      <c r="K1339" s="68" t="str">
        <f>VLOOKUP(Tabla6[[#This Row],[DIRECCIÓN GENERAL / COORDINACIÓN / SUBDIRECCIÓN]],Tabla37[[#All],[Columna1]:[EOD]],2,0)</f>
        <v>266_9999</v>
      </c>
      <c r="L1339" s="69">
        <f>VLOOKUP(Tabla6[[#This Row],[OBJETIVOS PND]],Listas!$A$1:$C$3,3,0)</f>
        <v>1</v>
      </c>
      <c r="M1339" s="70">
        <f>VLOOKUP(Tabla6[[#This Row],[PG]],Listas2!$G$14:$K$16,5,0)</f>
        <v>0</v>
      </c>
      <c r="N1339" s="71">
        <v>1</v>
      </c>
      <c r="O1339" s="72">
        <v>1701</v>
      </c>
      <c r="P1339" s="73" t="str">
        <f>VLOOKUP(Tabla6[[#This Row],[GEO]],Listas!$A$48:$B$77,2,0)</f>
        <v>QUITO</v>
      </c>
      <c r="Q1339" s="70">
        <f>VLOOKUP(Tabla6[[#This Row],[PG]],Listas2!$G$14:$K$16,3,0)</f>
        <v>1</v>
      </c>
      <c r="R1339" s="73">
        <f>VLOOKUP(Tabla6[[#This Row],[PG]],Listas2!H73:'Listas2'!$G$14:$K$16,4,0)</f>
        <v>0</v>
      </c>
      <c r="S1339" s="73">
        <f>VLOOKUP(Tabla6[[#This Row],[PG]],Listas2!$G$14:$K$16,2,0)</f>
        <v>0</v>
      </c>
      <c r="T1339" s="66" t="s">
        <v>84</v>
      </c>
      <c r="U1339" s="74">
        <v>53</v>
      </c>
      <c r="V1339" s="66">
        <v>530255</v>
      </c>
      <c r="W1339" s="63" t="str">
        <f>VLOOKUP(Tabla6[[#This Row],[ÍTEM PRESUPUESTARIO]],Tabla2[#All],2,0)</f>
        <v>COMBUSTIBLES</v>
      </c>
      <c r="X1339" s="57">
        <v>1400</v>
      </c>
      <c r="Y1339" s="57">
        <f>1400-1340-30-30</f>
        <v>0</v>
      </c>
      <c r="Z1339" s="58">
        <v>0</v>
      </c>
      <c r="AA1339" s="58">
        <v>0</v>
      </c>
      <c r="AB1339" s="58">
        <v>0</v>
      </c>
      <c r="AC1339" s="58">
        <v>0</v>
      </c>
      <c r="AD1339" s="58">
        <v>0</v>
      </c>
      <c r="AE1339" s="58">
        <v>0</v>
      </c>
      <c r="AF1339" s="58">
        <v>0</v>
      </c>
      <c r="AG1339" s="58">
        <v>0</v>
      </c>
      <c r="AH1339" s="58">
        <v>0</v>
      </c>
      <c r="AI1339" s="58">
        <v>0</v>
      </c>
      <c r="AJ1339" s="58">
        <v>0</v>
      </c>
      <c r="AK1339" s="58">
        <v>0</v>
      </c>
      <c r="AL1339" s="75">
        <f>+SUBTOTAL(9,Tabla6[[#This Row],[ENE]:[DIC]])</f>
        <v>0</v>
      </c>
      <c r="AM1339" s="76" t="str">
        <f t="shared" si="50"/>
        <v>OK</v>
      </c>
      <c r="AN1339" s="60">
        <v>0</v>
      </c>
      <c r="AO1339" s="61">
        <f>+Tabla6[[#This Row],[PRESUPUESTO VIGENTE]]-Tabla6[[#This Row],[CERTIFICACIÓN PAPP]]</f>
        <v>0</v>
      </c>
      <c r="AP1339" s="59">
        <v>0</v>
      </c>
    </row>
    <row r="1340" spans="1:42" ht="93" customHeight="1" x14ac:dyDescent="0.25">
      <c r="A1340" s="62" t="s">
        <v>78</v>
      </c>
      <c r="B1340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340" s="64" t="s">
        <v>79</v>
      </c>
      <c r="D1340" s="64" t="s">
        <v>115</v>
      </c>
      <c r="E1340" s="64" t="s">
        <v>114</v>
      </c>
      <c r="F1340" s="64" t="s">
        <v>4</v>
      </c>
      <c r="G1340" s="64" t="s">
        <v>5</v>
      </c>
      <c r="H1340" s="65" t="str">
        <f>VLOOKUP(Tabla6[[#This Row],[DIRECCIÓN]],DIRECCIÓN[#All],2,0)</f>
        <v>ADMINISTRACIÓN CENTRAL</v>
      </c>
      <c r="I1340" s="66" t="s">
        <v>140</v>
      </c>
      <c r="J1340" s="67">
        <v>1</v>
      </c>
      <c r="K1340" s="68" t="str">
        <f>VLOOKUP(Tabla6[[#This Row],[DIRECCIÓN GENERAL / COORDINACIÓN / SUBDIRECCIÓN]],Tabla37[[#All],[Columna1]:[EOD]],2,0)</f>
        <v>266_9999</v>
      </c>
      <c r="L1340" s="69">
        <f>VLOOKUP(Tabla6[[#This Row],[OBJETIVOS PND]],Listas!$A$1:$C$3,3,0)</f>
        <v>1</v>
      </c>
      <c r="M1340" s="70">
        <f>VLOOKUP(Tabla6[[#This Row],[PG]],Listas2!$G$14:$K$16,5,0)</f>
        <v>0</v>
      </c>
      <c r="N1340" s="71">
        <v>1</v>
      </c>
      <c r="O1340" s="72">
        <v>1701</v>
      </c>
      <c r="P1340" s="73" t="str">
        <f>VLOOKUP(Tabla6[[#This Row],[GEO]],Listas!$A$48:$B$77,2,0)</f>
        <v>QUITO</v>
      </c>
      <c r="Q1340" s="70">
        <f>VLOOKUP(Tabla6[[#This Row],[PG]],Listas2!$G$14:$K$16,3,0)</f>
        <v>1</v>
      </c>
      <c r="R1340" s="73">
        <f>VLOOKUP(Tabla6[[#This Row],[PG]],Listas2!H74:'Listas2'!$G$14:$K$16,4,0)</f>
        <v>0</v>
      </c>
      <c r="S1340" s="73">
        <f>VLOOKUP(Tabla6[[#This Row],[PG]],Listas2!$G$14:$K$16,2,0)</f>
        <v>0</v>
      </c>
      <c r="T1340" s="66" t="s">
        <v>84</v>
      </c>
      <c r="U1340" s="74">
        <v>53</v>
      </c>
      <c r="V1340" s="66">
        <v>530301</v>
      </c>
      <c r="W1340" s="63" t="str">
        <f>VLOOKUP(Tabla6[[#This Row],[ÍTEM PRESUPUESTARIO]],Tabla2[#All],2,0)</f>
        <v>PASAJES AL INTERIOR</v>
      </c>
      <c r="X1340" s="57">
        <v>42000</v>
      </c>
      <c r="Y1340" s="57">
        <f>42000+29174.19</f>
        <v>71174.19</v>
      </c>
      <c r="Z1340" s="58">
        <v>5931.18</v>
      </c>
      <c r="AA1340" s="58">
        <v>5931.18</v>
      </c>
      <c r="AB1340" s="58">
        <v>5931.18</v>
      </c>
      <c r="AC1340" s="58">
        <v>5931.18</v>
      </c>
      <c r="AD1340" s="58">
        <v>5931.18</v>
      </c>
      <c r="AE1340" s="58">
        <v>5931.18</v>
      </c>
      <c r="AF1340" s="58">
        <v>5931.18</v>
      </c>
      <c r="AG1340" s="58">
        <v>5931.18</v>
      </c>
      <c r="AH1340" s="58">
        <v>5931.18</v>
      </c>
      <c r="AI1340" s="58">
        <v>5931.18</v>
      </c>
      <c r="AJ1340" s="58">
        <v>5931.18</v>
      </c>
      <c r="AK1340" s="58">
        <v>5931.21</v>
      </c>
      <c r="AL1340" s="75">
        <f>+SUBTOTAL(9,Tabla6[[#This Row],[ENE]:[DIC]])</f>
        <v>71174.19</v>
      </c>
      <c r="AM1340" s="76" t="str">
        <f t="shared" si="50"/>
        <v>OK</v>
      </c>
      <c r="AN1340" s="60">
        <f>12187.4+58986.79</f>
        <v>71174.19</v>
      </c>
      <c r="AO1340" s="61">
        <f>+Tabla6[[#This Row],[PRESUPUESTO VIGENTE]]-Tabla6[[#This Row],[CERTIFICACIÓN PAPP]]</f>
        <v>0</v>
      </c>
      <c r="AP1340" s="59">
        <v>0</v>
      </c>
    </row>
    <row r="1341" spans="1:42" ht="93" customHeight="1" x14ac:dyDescent="0.25">
      <c r="A1341" s="62" t="s">
        <v>78</v>
      </c>
      <c r="B1341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341" s="64" t="s">
        <v>79</v>
      </c>
      <c r="D1341" s="64" t="s">
        <v>115</v>
      </c>
      <c r="E1341" s="64" t="s">
        <v>114</v>
      </c>
      <c r="F1341" s="64" t="s">
        <v>4</v>
      </c>
      <c r="G1341" s="64" t="s">
        <v>5</v>
      </c>
      <c r="H1341" s="65" t="str">
        <f>VLOOKUP(Tabla6[[#This Row],[DIRECCIÓN]],DIRECCIÓN[#All],2,0)</f>
        <v>ADMINISTRACIÓN CENTRAL</v>
      </c>
      <c r="I1341" s="66" t="s">
        <v>138</v>
      </c>
      <c r="J1341" s="67">
        <v>1</v>
      </c>
      <c r="K1341" s="68" t="str">
        <f>VLOOKUP(Tabla6[[#This Row],[DIRECCIÓN GENERAL / COORDINACIÓN / SUBDIRECCIÓN]],Tabla37[[#All],[Columna1]:[EOD]],2,0)</f>
        <v>266_9999</v>
      </c>
      <c r="L1341" s="69">
        <f>VLOOKUP(Tabla6[[#This Row],[OBJETIVOS PND]],Listas!$A$1:$C$3,3,0)</f>
        <v>1</v>
      </c>
      <c r="M1341" s="70">
        <f>VLOOKUP(Tabla6[[#This Row],[PG]],Listas2!$G$14:$K$16,5,0)</f>
        <v>0</v>
      </c>
      <c r="N1341" s="71">
        <v>1</v>
      </c>
      <c r="O1341" s="72">
        <v>1701</v>
      </c>
      <c r="P1341" s="73" t="str">
        <f>VLOOKUP(Tabla6[[#This Row],[GEO]],Listas!$A$48:$B$77,2,0)</f>
        <v>QUITO</v>
      </c>
      <c r="Q1341" s="70">
        <f>VLOOKUP(Tabla6[[#This Row],[PG]],Listas2!$G$14:$K$16,3,0)</f>
        <v>1</v>
      </c>
      <c r="R1341" s="73">
        <f>VLOOKUP(Tabla6[[#This Row],[PG]],Listas2!H75:'Listas2'!$G$14:$K$16,4,0)</f>
        <v>0</v>
      </c>
      <c r="S1341" s="73">
        <f>VLOOKUP(Tabla6[[#This Row],[PG]],Listas2!$G$14:$K$16,2,0)</f>
        <v>0</v>
      </c>
      <c r="T1341" s="66" t="s">
        <v>84</v>
      </c>
      <c r="U1341" s="74">
        <v>53</v>
      </c>
      <c r="V1341" s="66">
        <v>530301</v>
      </c>
      <c r="W1341" s="63" t="str">
        <f>VLOOKUP(Tabla6[[#This Row],[ÍTEM PRESUPUESTARIO]],Tabla2[#All],2,0)</f>
        <v>PASAJES AL INTERIOR</v>
      </c>
      <c r="X1341" s="57">
        <v>0</v>
      </c>
      <c r="Y1341" s="57">
        <f>200-58.39</f>
        <v>141.61000000000001</v>
      </c>
      <c r="Z1341" s="58">
        <v>16.670000000000002</v>
      </c>
      <c r="AA1341" s="58">
        <v>16.670000000000002</v>
      </c>
      <c r="AB1341" s="58">
        <v>16.670000000000002</v>
      </c>
      <c r="AC1341" s="58">
        <v>16.670000000000002</v>
      </c>
      <c r="AD1341" s="58">
        <v>16.670000000000002</v>
      </c>
      <c r="AE1341" s="58">
        <v>16.670000000000002</v>
      </c>
      <c r="AF1341" s="58">
        <v>16.670000000000002</v>
      </c>
      <c r="AG1341" s="58">
        <v>16.670000000000002</v>
      </c>
      <c r="AH1341" s="58">
        <v>8.25</v>
      </c>
      <c r="AI1341" s="58">
        <v>0</v>
      </c>
      <c r="AJ1341" s="58">
        <v>0</v>
      </c>
      <c r="AK1341" s="58">
        <v>0</v>
      </c>
      <c r="AL1341" s="75">
        <f>+SUBTOTAL(9,Tabla6[[#This Row],[ENE]:[DIC]])</f>
        <v>141.61000000000001</v>
      </c>
      <c r="AM1341" s="76" t="str">
        <f t="shared" si="50"/>
        <v>OK</v>
      </c>
      <c r="AN1341" s="60">
        <f>200-58.39</f>
        <v>141.61000000000001</v>
      </c>
      <c r="AO1341" s="61">
        <f>+Tabla6[[#This Row],[PRESUPUESTO VIGENTE]]-Tabla6[[#This Row],[CERTIFICACIÓN PAPP]]</f>
        <v>0</v>
      </c>
      <c r="AP1341" s="59">
        <v>0</v>
      </c>
    </row>
    <row r="1342" spans="1:42" ht="93" customHeight="1" x14ac:dyDescent="0.25">
      <c r="A1342" s="62" t="s">
        <v>78</v>
      </c>
      <c r="B1342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342" s="64" t="s">
        <v>79</v>
      </c>
      <c r="D1342" s="64" t="s">
        <v>115</v>
      </c>
      <c r="E1342" s="64" t="s">
        <v>114</v>
      </c>
      <c r="F1342" s="64" t="s">
        <v>4</v>
      </c>
      <c r="G1342" s="64" t="s">
        <v>5</v>
      </c>
      <c r="H1342" s="65" t="str">
        <f>VLOOKUP(Tabla6[[#This Row],[DIRECCIÓN]],DIRECCIÓN[#All],2,0)</f>
        <v>ADMINISTRACIÓN CENTRAL</v>
      </c>
      <c r="I1342" s="66" t="s">
        <v>141</v>
      </c>
      <c r="J1342" s="67">
        <v>1</v>
      </c>
      <c r="K1342" s="68" t="str">
        <f>VLOOKUP(Tabla6[[#This Row],[DIRECCIÓN GENERAL / COORDINACIÓN / SUBDIRECCIÓN]],Tabla37[[#All],[Columna1]:[EOD]],2,0)</f>
        <v>266_9999</v>
      </c>
      <c r="L1342" s="69">
        <f>VLOOKUP(Tabla6[[#This Row],[OBJETIVOS PND]],Listas!$A$1:$C$3,3,0)</f>
        <v>1</v>
      </c>
      <c r="M1342" s="70">
        <f>VLOOKUP(Tabla6[[#This Row],[PG]],Listas2!$G$14:$K$16,5,0)</f>
        <v>0</v>
      </c>
      <c r="N1342" s="71">
        <v>1</v>
      </c>
      <c r="O1342" s="72">
        <v>1701</v>
      </c>
      <c r="P1342" s="73" t="str">
        <f>VLOOKUP(Tabla6[[#This Row],[GEO]],Listas!$A$48:$B$77,2,0)</f>
        <v>QUITO</v>
      </c>
      <c r="Q1342" s="70">
        <f>VLOOKUP(Tabla6[[#This Row],[PG]],Listas2!$G$14:$K$16,3,0)</f>
        <v>1</v>
      </c>
      <c r="R1342" s="73">
        <f>VLOOKUP(Tabla6[[#This Row],[PG]],Listas2!H995:'Listas2'!$G$14:$K$16,4,0)</f>
        <v>0</v>
      </c>
      <c r="S1342" s="73">
        <f>VLOOKUP(Tabla6[[#This Row],[PG]],Listas2!$G$14:$K$16,2,0)</f>
        <v>0</v>
      </c>
      <c r="T1342" s="66" t="s">
        <v>84</v>
      </c>
      <c r="U1342" s="74">
        <v>53</v>
      </c>
      <c r="V1342" s="66">
        <v>530301</v>
      </c>
      <c r="W1342" s="63" t="str">
        <f>VLOOKUP(Tabla6[[#This Row],[ÍTEM PRESUPUESTARIO]],Tabla2[#All],2,0)</f>
        <v>PASAJES AL INTERIOR</v>
      </c>
      <c r="X1342" s="57">
        <v>0</v>
      </c>
      <c r="Y1342" s="57">
        <v>100.25</v>
      </c>
      <c r="Z1342" s="58">
        <v>0</v>
      </c>
      <c r="AA1342" s="58">
        <v>0</v>
      </c>
      <c r="AB1342" s="58">
        <v>0</v>
      </c>
      <c r="AC1342" s="58">
        <v>100.25</v>
      </c>
      <c r="AD1342" s="58">
        <v>0</v>
      </c>
      <c r="AE1342" s="58">
        <v>0</v>
      </c>
      <c r="AF1342" s="58">
        <v>0</v>
      </c>
      <c r="AG1342" s="58">
        <v>0</v>
      </c>
      <c r="AH1342" s="58">
        <v>0</v>
      </c>
      <c r="AI1342" s="58">
        <v>0</v>
      </c>
      <c r="AJ1342" s="58">
        <v>0</v>
      </c>
      <c r="AK1342" s="58">
        <v>0</v>
      </c>
      <c r="AL1342" s="75">
        <f>+SUBTOTAL(9,Tabla6[[#This Row],[ENE]:[DIC]])</f>
        <v>100.25</v>
      </c>
      <c r="AM1342" s="76" t="str">
        <f t="shared" si="50"/>
        <v>OK</v>
      </c>
      <c r="AN1342" s="60">
        <v>100.25</v>
      </c>
      <c r="AO1342" s="61">
        <f>+Tabla6[[#This Row],[PRESUPUESTO VIGENTE]]-Tabla6[[#This Row],[CERTIFICACIÓN PAPP]]</f>
        <v>0</v>
      </c>
      <c r="AP1342" s="59">
        <v>0</v>
      </c>
    </row>
    <row r="1343" spans="1:42" ht="93" customHeight="1" x14ac:dyDescent="0.25">
      <c r="A1343" s="62" t="s">
        <v>78</v>
      </c>
      <c r="B1343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343" s="64" t="s">
        <v>79</v>
      </c>
      <c r="D1343" s="64" t="s">
        <v>115</v>
      </c>
      <c r="E1343" s="64" t="s">
        <v>114</v>
      </c>
      <c r="F1343" s="64" t="s">
        <v>4</v>
      </c>
      <c r="G1343" s="64" t="s">
        <v>5</v>
      </c>
      <c r="H1343" s="65" t="str">
        <f>VLOOKUP(Tabla6[[#This Row],[DIRECCIÓN]],DIRECCIÓN[#All],2,0)</f>
        <v>ADMINISTRACIÓN CENTRAL</v>
      </c>
      <c r="I1343" s="66" t="s">
        <v>138</v>
      </c>
      <c r="J1343" s="67">
        <v>1</v>
      </c>
      <c r="K1343" s="68" t="str">
        <f>VLOOKUP(Tabla6[[#This Row],[DIRECCIÓN GENERAL / COORDINACIÓN / SUBDIRECCIÓN]],Tabla37[[#All],[Columna1]:[EOD]],2,0)</f>
        <v>266_9999</v>
      </c>
      <c r="L1343" s="69">
        <f>VLOOKUP(Tabla6[[#This Row],[OBJETIVOS PND]],Listas!$A$1:$C$3,3,0)</f>
        <v>1</v>
      </c>
      <c r="M1343" s="70">
        <f>VLOOKUP(Tabla6[[#This Row],[PG]],Listas2!$G$14:$K$16,5,0)</f>
        <v>0</v>
      </c>
      <c r="N1343" s="71">
        <v>1</v>
      </c>
      <c r="O1343" s="72">
        <v>1701</v>
      </c>
      <c r="P1343" s="73" t="str">
        <f>VLOOKUP(Tabla6[[#This Row],[GEO]],Listas!$A$48:$B$77,2,0)</f>
        <v>QUITO</v>
      </c>
      <c r="Q1343" s="70">
        <f>VLOOKUP(Tabla6[[#This Row],[PG]],Listas2!$G$14:$K$16,3,0)</f>
        <v>1</v>
      </c>
      <c r="R1343" s="73">
        <f>VLOOKUP(Tabla6[[#This Row],[PG]],Listas2!H76:'Listas2'!$G$14:$K$16,4,0)</f>
        <v>0</v>
      </c>
      <c r="S1343" s="73">
        <f>VLOOKUP(Tabla6[[#This Row],[PG]],Listas2!$G$14:$K$16,2,0)</f>
        <v>0</v>
      </c>
      <c r="T1343" s="66" t="s">
        <v>84</v>
      </c>
      <c r="U1343" s="74">
        <v>53</v>
      </c>
      <c r="V1343" s="66">
        <v>530303</v>
      </c>
      <c r="W1343" s="63" t="str">
        <f>VLOOKUP(Tabla6[[#This Row],[ÍTEM PRESUPUESTARIO]],Tabla2[#All],2,0)</f>
        <v>VIÁTICOS Y SUBSISTENCIAS EN EL INTERIOR</v>
      </c>
      <c r="X1343" s="57">
        <v>30000</v>
      </c>
      <c r="Y1343" s="57">
        <f>30000-20000+20000-917.98+10000+7000-3100-72.87</f>
        <v>42909.15</v>
      </c>
      <c r="Z1343" s="58">
        <v>4800</v>
      </c>
      <c r="AA1343" s="58">
        <v>4800</v>
      </c>
      <c r="AB1343" s="58">
        <v>2040</v>
      </c>
      <c r="AC1343" s="58">
        <v>2040</v>
      </c>
      <c r="AD1343" s="58">
        <v>2040</v>
      </c>
      <c r="AE1343" s="58">
        <v>2040</v>
      </c>
      <c r="AF1343" s="58">
        <v>2040</v>
      </c>
      <c r="AG1343" s="58">
        <v>2040</v>
      </c>
      <c r="AH1343" s="58">
        <v>1810.5</v>
      </c>
      <c r="AI1343" s="58">
        <v>7477.17</v>
      </c>
      <c r="AJ1343" s="58">
        <f>7477.17-1550</f>
        <v>5927.17</v>
      </c>
      <c r="AK1343" s="58">
        <v>5854.31</v>
      </c>
      <c r="AL1343" s="75">
        <f>+SUBTOTAL(9,Tabla6[[#This Row],[ENE]:[DIC]])</f>
        <v>42909.149999999994</v>
      </c>
      <c r="AM1343" s="76" t="str">
        <f t="shared" si="50"/>
        <v>OK</v>
      </c>
      <c r="AN1343" s="60">
        <f>10000+20000-1835.96</f>
        <v>28164.04</v>
      </c>
      <c r="AO1343" s="61">
        <f>+Tabla6[[#This Row],[PRESUPUESTO VIGENTE]]-Tabla6[[#This Row],[CERTIFICACIÓN PAPP]]</f>
        <v>14745.11</v>
      </c>
      <c r="AP1343" s="59">
        <v>0</v>
      </c>
    </row>
    <row r="1344" spans="1:42" ht="93" customHeight="1" x14ac:dyDescent="0.25">
      <c r="A1344" s="62" t="s">
        <v>78</v>
      </c>
      <c r="B1344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344" s="64" t="s">
        <v>79</v>
      </c>
      <c r="D1344" s="64" t="s">
        <v>115</v>
      </c>
      <c r="E1344" s="64" t="s">
        <v>114</v>
      </c>
      <c r="F1344" s="64" t="s">
        <v>4</v>
      </c>
      <c r="G1344" s="64" t="s">
        <v>5</v>
      </c>
      <c r="H1344" s="65" t="str">
        <f>VLOOKUP(Tabla6[[#This Row],[DIRECCIÓN]],DIRECCIÓN[#All],2,0)</f>
        <v>ADMINISTRACIÓN CENTRAL</v>
      </c>
      <c r="I1344" s="66" t="s">
        <v>142</v>
      </c>
      <c r="J1344" s="67">
        <v>1</v>
      </c>
      <c r="K1344" s="68" t="str">
        <f>VLOOKUP(Tabla6[[#This Row],[DIRECCIÓN GENERAL / COORDINACIÓN / SUBDIRECCIÓN]],Tabla37[[#All],[Columna1]:[EOD]],2,0)</f>
        <v>266_9999</v>
      </c>
      <c r="L1344" s="69">
        <f>VLOOKUP(Tabla6[[#This Row],[OBJETIVOS PND]],Listas!$A$1:$C$3,3,0)</f>
        <v>1</v>
      </c>
      <c r="M1344" s="70">
        <f>VLOOKUP(Tabla6[[#This Row],[PG]],Listas2!$G$14:$K$16,5,0)</f>
        <v>0</v>
      </c>
      <c r="N1344" s="71">
        <v>1</v>
      </c>
      <c r="O1344" s="72">
        <v>1701</v>
      </c>
      <c r="P1344" s="73" t="str">
        <f>VLOOKUP(Tabla6[[#This Row],[GEO]],Listas!$A$48:$B$77,2,0)</f>
        <v>QUITO</v>
      </c>
      <c r="Q1344" s="70">
        <f>VLOOKUP(Tabla6[[#This Row],[PG]],Listas2!$G$14:$K$16,3,0)</f>
        <v>1</v>
      </c>
      <c r="R1344" s="73">
        <f>VLOOKUP(Tabla6[[#This Row],[PG]],Listas2!H77:'Listas2'!$G$14:$K$16,4,0)</f>
        <v>0</v>
      </c>
      <c r="S1344" s="73">
        <f>VLOOKUP(Tabla6[[#This Row],[PG]],Listas2!$G$14:$K$16,2,0)</f>
        <v>0</v>
      </c>
      <c r="T1344" s="66" t="s">
        <v>84</v>
      </c>
      <c r="U1344" s="74">
        <v>53</v>
      </c>
      <c r="V1344" s="66">
        <v>530402</v>
      </c>
      <c r="W1344" s="63" t="str">
        <f>VLOOKUP(Tabla6[[#This Row],[ÍTEM PRESUPUESTARIO]],Tabla2[#All],2,0)</f>
        <v>EDIFICIOS, LOCALES, RESIDENCIAS Y CABLEADO ESTRUCTURADO (INSTALACIÓN, MANTENIMIENTO Y REPARACIÓN)</v>
      </c>
      <c r="X1344" s="57">
        <v>5520</v>
      </c>
      <c r="Y1344" s="57">
        <f>5520-152.27</f>
        <v>5367.73</v>
      </c>
      <c r="Z1344" s="58">
        <v>447.31</v>
      </c>
      <c r="AA1344" s="58">
        <v>447.31</v>
      </c>
      <c r="AB1344" s="58">
        <v>447.31</v>
      </c>
      <c r="AC1344" s="58">
        <v>447.31</v>
      </c>
      <c r="AD1344" s="58">
        <v>447.31</v>
      </c>
      <c r="AE1344" s="58">
        <v>447.31</v>
      </c>
      <c r="AF1344" s="58">
        <v>447.31</v>
      </c>
      <c r="AG1344" s="58">
        <v>447.31</v>
      </c>
      <c r="AH1344" s="58">
        <v>447.31</v>
      </c>
      <c r="AI1344" s="58">
        <v>447.31</v>
      </c>
      <c r="AJ1344" s="58">
        <v>447.31</v>
      </c>
      <c r="AK1344" s="58">
        <v>447.32</v>
      </c>
      <c r="AL1344" s="75">
        <f>+SUBTOTAL(9,Tabla6[[#This Row],[ENE]:[DIC]])</f>
        <v>5367.7300000000005</v>
      </c>
      <c r="AM1344" s="76" t="str">
        <f t="shared" si="50"/>
        <v>OK</v>
      </c>
      <c r="AN1344" s="60">
        <f>394.69+4973.04</f>
        <v>5367.73</v>
      </c>
      <c r="AO1344" s="61">
        <f>+Tabla6[[#This Row],[PRESUPUESTO VIGENTE]]-Tabla6[[#This Row],[CERTIFICACIÓN PAPP]]</f>
        <v>0</v>
      </c>
      <c r="AP1344" s="59">
        <v>0</v>
      </c>
    </row>
    <row r="1345" spans="1:42" ht="93" customHeight="1" x14ac:dyDescent="0.25">
      <c r="A1345" s="62" t="s">
        <v>78</v>
      </c>
      <c r="B1345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345" s="64" t="s">
        <v>79</v>
      </c>
      <c r="D1345" s="64" t="s">
        <v>115</v>
      </c>
      <c r="E1345" s="64" t="s">
        <v>114</v>
      </c>
      <c r="F1345" s="64" t="s">
        <v>4</v>
      </c>
      <c r="G1345" s="64" t="s">
        <v>5</v>
      </c>
      <c r="H1345" s="65" t="str">
        <f>VLOOKUP(Tabla6[[#This Row],[DIRECCIÓN]],DIRECCIÓN[#All],2,0)</f>
        <v>ADMINISTRACIÓN CENTRAL</v>
      </c>
      <c r="I1345" s="66" t="s">
        <v>143</v>
      </c>
      <c r="J1345" s="67">
        <v>1</v>
      </c>
      <c r="K1345" s="68" t="str">
        <f>VLOOKUP(Tabla6[[#This Row],[DIRECCIÓN GENERAL / COORDINACIÓN / SUBDIRECCIÓN]],Tabla37[[#All],[Columna1]:[EOD]],2,0)</f>
        <v>266_9999</v>
      </c>
      <c r="L1345" s="69">
        <f>VLOOKUP(Tabla6[[#This Row],[OBJETIVOS PND]],Listas!$A$1:$C$3,3,0)</f>
        <v>1</v>
      </c>
      <c r="M1345" s="70">
        <f>VLOOKUP(Tabla6[[#This Row],[PG]],Listas2!$G$14:$K$16,5,0)</f>
        <v>0</v>
      </c>
      <c r="N1345" s="71">
        <v>1</v>
      </c>
      <c r="O1345" s="72">
        <v>1701</v>
      </c>
      <c r="P1345" s="73" t="str">
        <f>VLOOKUP(Tabla6[[#This Row],[GEO]],Listas!$A$48:$B$77,2,0)</f>
        <v>QUITO</v>
      </c>
      <c r="Q1345" s="70">
        <f>VLOOKUP(Tabla6[[#This Row],[PG]],Listas2!$G$14:$K$16,3,0)</f>
        <v>1</v>
      </c>
      <c r="R1345" s="73">
        <f>VLOOKUP(Tabla6[[#This Row],[PG]],Listas2!H78:'Listas2'!$G$14:$K$16,4,0)</f>
        <v>0</v>
      </c>
      <c r="S1345" s="73">
        <f>VLOOKUP(Tabla6[[#This Row],[PG]],Listas2!$G$14:$K$16,2,0)</f>
        <v>0</v>
      </c>
      <c r="T1345" s="66" t="s">
        <v>84</v>
      </c>
      <c r="U1345" s="74">
        <v>53</v>
      </c>
      <c r="V1345" s="66">
        <v>530402</v>
      </c>
      <c r="W1345" s="63" t="str">
        <f>VLOOKUP(Tabla6[[#This Row],[ÍTEM PRESUPUESTARIO]],Tabla2[#All],2,0)</f>
        <v>EDIFICIOS, LOCALES, RESIDENCIAS Y CABLEADO ESTRUCTURADO (INSTALACIÓN, MANTENIMIENTO Y REPARACIÓN)</v>
      </c>
      <c r="X1345" s="57">
        <v>15000</v>
      </c>
      <c r="Y1345" s="57">
        <f>15000+1000+1912.18-5939.5+6300-4052.68-5806.22+4000-2278.78-2335</f>
        <v>7799.9999999999982</v>
      </c>
      <c r="Z1345" s="58">
        <v>0</v>
      </c>
      <c r="AA1345" s="58">
        <v>0</v>
      </c>
      <c r="AB1345" s="58">
        <v>0</v>
      </c>
      <c r="AC1345" s="58">
        <v>0</v>
      </c>
      <c r="AD1345" s="58">
        <v>0</v>
      </c>
      <c r="AE1345" s="58">
        <v>0</v>
      </c>
      <c r="AF1345" s="58">
        <v>0</v>
      </c>
      <c r="AG1345" s="58">
        <v>0</v>
      </c>
      <c r="AH1345" s="58">
        <v>0</v>
      </c>
      <c r="AI1345" s="58">
        <v>7800</v>
      </c>
      <c r="AJ1345" s="58">
        <v>0</v>
      </c>
      <c r="AK1345" s="58">
        <v>0</v>
      </c>
      <c r="AL1345" s="75">
        <f>+SUBTOTAL(9,Tabla6[[#This Row],[ENE]:[DIC]])</f>
        <v>7800</v>
      </c>
      <c r="AM1345" s="76" t="str">
        <f t="shared" si="50"/>
        <v>OK</v>
      </c>
      <c r="AN1345" s="60">
        <f>7920+2215-120</f>
        <v>10015</v>
      </c>
      <c r="AO1345" s="61">
        <f>+Tabla6[[#This Row],[PRESUPUESTO VIGENTE]]-Tabla6[[#This Row],[CERTIFICACIÓN PAPP]]</f>
        <v>-2215.0000000000018</v>
      </c>
      <c r="AP1345" s="59" t="s">
        <v>87</v>
      </c>
    </row>
    <row r="1346" spans="1:42" ht="93" customHeight="1" x14ac:dyDescent="0.25">
      <c r="A1346" s="62" t="s">
        <v>78</v>
      </c>
      <c r="B1346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346" s="64" t="s">
        <v>79</v>
      </c>
      <c r="D1346" s="64" t="s">
        <v>115</v>
      </c>
      <c r="E1346" s="64" t="s">
        <v>114</v>
      </c>
      <c r="F1346" s="64" t="s">
        <v>4</v>
      </c>
      <c r="G1346" s="64" t="s">
        <v>5</v>
      </c>
      <c r="H1346" s="65" t="str">
        <f>VLOOKUP(Tabla6[[#This Row],[DIRECCIÓN]],DIRECCIÓN[#All],2,0)</f>
        <v>ADMINISTRACIÓN CENTRAL</v>
      </c>
      <c r="I1346" s="66" t="s">
        <v>144</v>
      </c>
      <c r="J1346" s="67">
        <v>1</v>
      </c>
      <c r="K1346" s="68" t="str">
        <f>VLOOKUP(Tabla6[[#This Row],[DIRECCIÓN GENERAL / COORDINACIÓN / SUBDIRECCIÓN]],Tabla37[[#All],[Columna1]:[EOD]],2,0)</f>
        <v>266_9999</v>
      </c>
      <c r="L1346" s="69">
        <f>VLOOKUP(Tabla6[[#This Row],[OBJETIVOS PND]],Listas!$A$1:$C$3,3,0)</f>
        <v>1</v>
      </c>
      <c r="M1346" s="70">
        <f>VLOOKUP(Tabla6[[#This Row],[PG]],Listas2!$G$14:$K$16,5,0)</f>
        <v>0</v>
      </c>
      <c r="N1346" s="71">
        <v>1</v>
      </c>
      <c r="O1346" s="72">
        <v>1701</v>
      </c>
      <c r="P1346" s="73" t="str">
        <f>VLOOKUP(Tabla6[[#This Row],[GEO]],Listas!$A$48:$B$77,2,0)</f>
        <v>QUITO</v>
      </c>
      <c r="Q1346" s="70">
        <f>VLOOKUP(Tabla6[[#This Row],[PG]],Listas2!$G$14:$K$16,3,0)</f>
        <v>1</v>
      </c>
      <c r="R1346" s="73">
        <f>VLOOKUP(Tabla6[[#This Row],[PG]],Listas2!H79:'Listas2'!$G$14:$K$16,4,0)</f>
        <v>0</v>
      </c>
      <c r="S1346" s="73">
        <f>VLOOKUP(Tabla6[[#This Row],[PG]],Listas2!$G$14:$K$16,2,0)</f>
        <v>0</v>
      </c>
      <c r="T1346" s="66" t="s">
        <v>84</v>
      </c>
      <c r="U1346" s="74">
        <v>53</v>
      </c>
      <c r="V1346" s="66">
        <v>530402</v>
      </c>
      <c r="W1346" s="63" t="str">
        <f>VLOOKUP(Tabla6[[#This Row],[ÍTEM PRESUPUESTARIO]],Tabla2[#All],2,0)</f>
        <v>EDIFICIOS, LOCALES, RESIDENCIAS Y CABLEADO ESTRUCTURADO (INSTALACIÓN, MANTENIMIENTO Y REPARACIÓN)</v>
      </c>
      <c r="X1346" s="57">
        <v>100015.72</v>
      </c>
      <c r="Y1346" s="57">
        <f>100015.72-1000-65561.44-15454.28</f>
        <v>18000</v>
      </c>
      <c r="Z1346" s="58">
        <v>0</v>
      </c>
      <c r="AA1346" s="58">
        <v>0</v>
      </c>
      <c r="AB1346" s="58">
        <v>0</v>
      </c>
      <c r="AC1346" s="58">
        <v>0</v>
      </c>
      <c r="AD1346" s="58">
        <v>0</v>
      </c>
      <c r="AE1346" s="58">
        <v>0</v>
      </c>
      <c r="AF1346" s="58">
        <v>0</v>
      </c>
      <c r="AG1346" s="58">
        <v>0</v>
      </c>
      <c r="AH1346" s="58">
        <v>18000</v>
      </c>
      <c r="AI1346" s="58">
        <v>0</v>
      </c>
      <c r="AJ1346" s="58">
        <v>0</v>
      </c>
      <c r="AK1346" s="58">
        <v>0</v>
      </c>
      <c r="AL1346" s="75">
        <f>+SUBTOTAL(9,Tabla6[[#This Row],[ENE]:[DIC]])</f>
        <v>18000</v>
      </c>
      <c r="AM1346" s="76" t="str">
        <f t="shared" si="50"/>
        <v>OK</v>
      </c>
      <c r="AN1346" s="60">
        <v>18000</v>
      </c>
      <c r="AO1346" s="61">
        <f>+Tabla6[[#This Row],[PRESUPUESTO VIGENTE]]-Tabla6[[#This Row],[CERTIFICACIÓN PAPP]]</f>
        <v>0</v>
      </c>
      <c r="AP1346" s="59" t="s">
        <v>87</v>
      </c>
    </row>
    <row r="1347" spans="1:42" ht="93" customHeight="1" x14ac:dyDescent="0.25">
      <c r="A1347" s="62" t="s">
        <v>78</v>
      </c>
      <c r="B1347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347" s="64" t="s">
        <v>79</v>
      </c>
      <c r="D1347" s="64" t="s">
        <v>115</v>
      </c>
      <c r="E1347" s="64" t="s">
        <v>114</v>
      </c>
      <c r="F1347" s="64" t="s">
        <v>4</v>
      </c>
      <c r="G1347" s="64" t="s">
        <v>5</v>
      </c>
      <c r="H1347" s="65" t="str">
        <f>VLOOKUP(Tabla6[[#This Row],[DIRECCIÓN]],DIRECCIÓN[#All],2,0)</f>
        <v>ADMINISTRACIÓN CENTRAL</v>
      </c>
      <c r="I1347" s="66" t="s">
        <v>97</v>
      </c>
      <c r="J1347" s="67">
        <v>3</v>
      </c>
      <c r="K1347" s="68" t="str">
        <f>VLOOKUP(Tabla6[[#This Row],[DIRECCIÓN GENERAL / COORDINACIÓN / SUBDIRECCIÓN]],Tabla37[[#All],[Columna1]:[EOD]],2,0)</f>
        <v>266_9999</v>
      </c>
      <c r="L1347" s="69">
        <f>VLOOKUP(Tabla6[[#This Row],[OBJETIVOS PND]],Listas!$A$1:$C$3,3,0)</f>
        <v>1</v>
      </c>
      <c r="M1347" s="70">
        <f>VLOOKUP(Tabla6[[#This Row],[PG]],Listas2!$G$14:$K$16,5,0)</f>
        <v>0</v>
      </c>
      <c r="N1347" s="71">
        <v>1</v>
      </c>
      <c r="O1347" s="72">
        <v>1701</v>
      </c>
      <c r="P1347" s="73" t="str">
        <f>VLOOKUP(Tabla6[[#This Row],[GEO]],Listas!$A$48:$B$77,2,0)</f>
        <v>QUITO</v>
      </c>
      <c r="Q1347" s="70">
        <f>VLOOKUP(Tabla6[[#This Row],[PG]],Listas2!$G$14:$K$16,3,0)</f>
        <v>1</v>
      </c>
      <c r="R1347" s="73">
        <f>VLOOKUP(Tabla6[[#This Row],[PG]],Listas2!H80:'Listas2'!$G$14:$K$16,4,0)</f>
        <v>0</v>
      </c>
      <c r="S1347" s="73">
        <f>VLOOKUP(Tabla6[[#This Row],[PG]],Listas2!$G$14:$K$16,2,0)</f>
        <v>0</v>
      </c>
      <c r="T1347" s="66" t="s">
        <v>84</v>
      </c>
      <c r="U1347" s="74">
        <v>53</v>
      </c>
      <c r="V1347" s="66">
        <v>530402</v>
      </c>
      <c r="W1347" s="63" t="str">
        <f>VLOOKUP(Tabla6[[#This Row],[ÍTEM PRESUPUESTARIO]],Tabla2[#All],2,0)</f>
        <v>EDIFICIOS, LOCALES, RESIDENCIAS Y CABLEADO ESTRUCTURADO (INSTALACIÓN, MANTENIMIENTO Y REPARACIÓN)</v>
      </c>
      <c r="X1347" s="57">
        <v>350</v>
      </c>
      <c r="Y1347" s="57">
        <f>350-250-75.38</f>
        <v>24.620000000000005</v>
      </c>
      <c r="Z1347" s="58">
        <v>0</v>
      </c>
      <c r="AA1347" s="58">
        <v>0</v>
      </c>
      <c r="AB1347" s="58">
        <v>0</v>
      </c>
      <c r="AC1347" s="58">
        <v>0</v>
      </c>
      <c r="AD1347" s="58">
        <v>0</v>
      </c>
      <c r="AE1347" s="58">
        <v>0</v>
      </c>
      <c r="AF1347" s="58">
        <v>0</v>
      </c>
      <c r="AG1347" s="58">
        <v>0</v>
      </c>
      <c r="AH1347" s="58">
        <v>0</v>
      </c>
      <c r="AI1347" s="58">
        <v>0</v>
      </c>
      <c r="AJ1347" s="58">
        <v>0</v>
      </c>
      <c r="AK1347" s="58">
        <v>24.62</v>
      </c>
      <c r="AL1347" s="75">
        <f>+SUBTOTAL(9,Tabla6[[#This Row],[ENE]:[DIC]])</f>
        <v>24.62</v>
      </c>
      <c r="AM1347" s="76" t="str">
        <f t="shared" si="50"/>
        <v>OK</v>
      </c>
      <c r="AN1347" s="60">
        <v>24.62</v>
      </c>
      <c r="AO1347" s="61">
        <f>+Tabla6[[#This Row],[PRESUPUESTO VIGENTE]]-Tabla6[[#This Row],[CERTIFICACIÓN PAPP]]</f>
        <v>0</v>
      </c>
      <c r="AP1347" s="59">
        <v>0</v>
      </c>
    </row>
    <row r="1348" spans="1:42" ht="93" customHeight="1" x14ac:dyDescent="0.25">
      <c r="A1348" s="62" t="s">
        <v>78</v>
      </c>
      <c r="B1348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348" s="64" t="s">
        <v>79</v>
      </c>
      <c r="D1348" s="64" t="s">
        <v>115</v>
      </c>
      <c r="E1348" s="64" t="s">
        <v>114</v>
      </c>
      <c r="F1348" s="64" t="s">
        <v>4</v>
      </c>
      <c r="G1348" s="64" t="s">
        <v>5</v>
      </c>
      <c r="H1348" s="65" t="str">
        <f>VLOOKUP(Tabla6[[#This Row],[DIRECCIÓN]],DIRECCIÓN[#All],2,0)</f>
        <v>ADMINISTRACIÓN CENTRAL</v>
      </c>
      <c r="I1348" s="66" t="s">
        <v>145</v>
      </c>
      <c r="J1348" s="67">
        <v>1</v>
      </c>
      <c r="K1348" s="68" t="str">
        <f>VLOOKUP(Tabla6[[#This Row],[DIRECCIÓN GENERAL / COORDINACIÓN / SUBDIRECCIÓN]],Tabla37[[#All],[Columna1]:[EOD]],2,0)</f>
        <v>266_9999</v>
      </c>
      <c r="L1348" s="69">
        <f>VLOOKUP(Tabla6[[#This Row],[OBJETIVOS PND]],Listas!$A$1:$C$3,3,0)</f>
        <v>1</v>
      </c>
      <c r="M1348" s="70">
        <f>VLOOKUP(Tabla6[[#This Row],[PG]],Listas2!$G$14:$K$16,5,0)</f>
        <v>0</v>
      </c>
      <c r="N1348" s="71">
        <v>1</v>
      </c>
      <c r="O1348" s="72">
        <v>1701</v>
      </c>
      <c r="P1348" s="73" t="str">
        <f>VLOOKUP(Tabla6[[#This Row],[GEO]],Listas!$A$48:$B$77,2,0)</f>
        <v>QUITO</v>
      </c>
      <c r="Q1348" s="70">
        <f>VLOOKUP(Tabla6[[#This Row],[PG]],Listas2!$G$14:$K$16,3,0)</f>
        <v>1</v>
      </c>
      <c r="R1348" s="73">
        <f>VLOOKUP(Tabla6[[#This Row],[PG]],Listas2!H1201:'Listas2'!$G$14:$K$16,4,0)</f>
        <v>0</v>
      </c>
      <c r="S1348" s="73">
        <f>VLOOKUP(Tabla6[[#This Row],[PG]],Listas2!$G$14:$K$16,2,0)</f>
        <v>0</v>
      </c>
      <c r="T1348" s="66" t="s">
        <v>84</v>
      </c>
      <c r="U1348" s="74">
        <v>53</v>
      </c>
      <c r="V1348" s="66">
        <v>530402</v>
      </c>
      <c r="W1348" s="63" t="str">
        <f>VLOOKUP(Tabla6[[#This Row],[ÍTEM PRESUPUESTARIO]],Tabla2[#All],2,0)</f>
        <v>EDIFICIOS, LOCALES, RESIDENCIAS Y CABLEADO ESTRUCTURADO (INSTALACIÓN, MANTENIMIENTO Y REPARACIÓN)</v>
      </c>
      <c r="X1348" s="57">
        <v>0</v>
      </c>
      <c r="Y1348" s="57">
        <f>3000-2000</f>
        <v>1000</v>
      </c>
      <c r="Z1348" s="58">
        <v>0</v>
      </c>
      <c r="AA1348" s="58">
        <v>0</v>
      </c>
      <c r="AB1348" s="58">
        <v>0</v>
      </c>
      <c r="AC1348" s="58">
        <v>0</v>
      </c>
      <c r="AD1348" s="58">
        <v>0</v>
      </c>
      <c r="AE1348" s="58">
        <v>0</v>
      </c>
      <c r="AF1348" s="58">
        <v>0</v>
      </c>
      <c r="AG1348" s="58">
        <v>0</v>
      </c>
      <c r="AH1348" s="58">
        <v>0</v>
      </c>
      <c r="AI1348" s="58">
        <v>1000</v>
      </c>
      <c r="AJ1348" s="58">
        <v>0</v>
      </c>
      <c r="AK1348" s="58">
        <v>0</v>
      </c>
      <c r="AL1348" s="75">
        <f>+SUBTOTAL(9,Tabla6[[#This Row],[ENE]:[DIC]])</f>
        <v>1000</v>
      </c>
      <c r="AM1348" s="76" t="str">
        <f t="shared" si="50"/>
        <v>OK</v>
      </c>
      <c r="AN1348" s="60">
        <f>2463.81-2463.81+1000</f>
        <v>1000</v>
      </c>
      <c r="AO1348" s="61">
        <f>+Tabla6[[#This Row],[PRESUPUESTO VIGENTE]]-Tabla6[[#This Row],[CERTIFICACIÓN PAPP]]</f>
        <v>0</v>
      </c>
      <c r="AP1348" s="59">
        <v>0</v>
      </c>
    </row>
    <row r="1349" spans="1:42" ht="93" customHeight="1" x14ac:dyDescent="0.25">
      <c r="A1349" s="62" t="s">
        <v>78</v>
      </c>
      <c r="B1349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349" s="64" t="s">
        <v>79</v>
      </c>
      <c r="D1349" s="64" t="s">
        <v>115</v>
      </c>
      <c r="E1349" s="64" t="s">
        <v>114</v>
      </c>
      <c r="F1349" s="64" t="s">
        <v>4</v>
      </c>
      <c r="G1349" s="64" t="s">
        <v>5</v>
      </c>
      <c r="H1349" s="65" t="str">
        <f>VLOOKUP(Tabla6[[#This Row],[DIRECCIÓN]],DIRECCIÓN[#All],2,0)</f>
        <v>ADMINISTRACIÓN CENTRAL</v>
      </c>
      <c r="I1349" s="66" t="s">
        <v>146</v>
      </c>
      <c r="J1349" s="67">
        <v>1</v>
      </c>
      <c r="K1349" s="68" t="str">
        <f>VLOOKUP(Tabla6[[#This Row],[DIRECCIÓN GENERAL / COORDINACIÓN / SUBDIRECCIÓN]],Tabla37[[#All],[Columna1]:[EOD]],2,0)</f>
        <v>266_9999</v>
      </c>
      <c r="L1349" s="69">
        <f>VLOOKUP(Tabla6[[#This Row],[OBJETIVOS PND]],Listas!$A$1:$C$3,3,0)</f>
        <v>1</v>
      </c>
      <c r="M1349" s="70">
        <f>VLOOKUP(Tabla6[[#This Row],[PG]],Listas2!$G$14:$K$16,5,0)</f>
        <v>0</v>
      </c>
      <c r="N1349" s="71">
        <v>1</v>
      </c>
      <c r="O1349" s="72">
        <v>1701</v>
      </c>
      <c r="P1349" s="73" t="str">
        <f>VLOOKUP(Tabla6[[#This Row],[GEO]],Listas!$A$48:$B$77,2,0)</f>
        <v>QUITO</v>
      </c>
      <c r="Q1349" s="70">
        <f>VLOOKUP(Tabla6[[#This Row],[PG]],Listas2!$G$14:$K$16,3,0)</f>
        <v>1</v>
      </c>
      <c r="R1349" s="73">
        <f>VLOOKUP(Tabla6[[#This Row],[PG]],Listas2!H1202:'Listas2'!$G$14:$K$16,4,0)</f>
        <v>0</v>
      </c>
      <c r="S1349" s="73">
        <f>VLOOKUP(Tabla6[[#This Row],[PG]],Listas2!$G$14:$K$16,2,0)</f>
        <v>0</v>
      </c>
      <c r="T1349" s="66" t="s">
        <v>84</v>
      </c>
      <c r="U1349" s="74">
        <v>53</v>
      </c>
      <c r="V1349" s="66">
        <v>530402</v>
      </c>
      <c r="W1349" s="63" t="str">
        <f>VLOOKUP(Tabla6[[#This Row],[ÍTEM PRESUPUESTARIO]],Tabla2[#All],2,0)</f>
        <v>EDIFICIOS, LOCALES, RESIDENCIAS Y CABLEADO ESTRUCTURADO (INSTALACIÓN, MANTENIMIENTO Y REPARACIÓN)</v>
      </c>
      <c r="X1349" s="57">
        <v>0</v>
      </c>
      <c r="Y1349" s="57">
        <f>6300-5281.6-1018.4+6300-6300</f>
        <v>0</v>
      </c>
      <c r="Z1349" s="58">
        <v>0</v>
      </c>
      <c r="AA1349" s="58">
        <v>0</v>
      </c>
      <c r="AB1349" s="58">
        <v>0</v>
      </c>
      <c r="AC1349" s="58">
        <v>0</v>
      </c>
      <c r="AD1349" s="58">
        <v>0</v>
      </c>
      <c r="AE1349" s="58">
        <v>0</v>
      </c>
      <c r="AF1349" s="58">
        <v>0</v>
      </c>
      <c r="AG1349" s="58">
        <v>0</v>
      </c>
      <c r="AH1349" s="58">
        <v>0</v>
      </c>
      <c r="AI1349" s="58">
        <v>0</v>
      </c>
      <c r="AJ1349" s="58">
        <v>0</v>
      </c>
      <c r="AK1349" s="58">
        <v>0</v>
      </c>
      <c r="AL1349" s="75">
        <f>+SUBTOTAL(9,Tabla6[[#This Row],[ENE]:[DIC]])</f>
        <v>0</v>
      </c>
      <c r="AM1349" s="76" t="str">
        <f t="shared" si="50"/>
        <v>OK</v>
      </c>
      <c r="AN1349" s="60">
        <v>0</v>
      </c>
      <c r="AO1349" s="61">
        <f>+Tabla6[[#This Row],[PRESUPUESTO VIGENTE]]-Tabla6[[#This Row],[CERTIFICACIÓN PAPP]]</f>
        <v>0</v>
      </c>
      <c r="AP1349" s="59">
        <v>0</v>
      </c>
    </row>
    <row r="1350" spans="1:42" ht="93" customHeight="1" x14ac:dyDescent="0.25">
      <c r="A1350" s="62" t="s">
        <v>78</v>
      </c>
      <c r="B1350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350" s="64" t="s">
        <v>79</v>
      </c>
      <c r="D1350" s="64" t="s">
        <v>115</v>
      </c>
      <c r="E1350" s="64" t="s">
        <v>114</v>
      </c>
      <c r="F1350" s="64" t="s">
        <v>4</v>
      </c>
      <c r="G1350" s="64" t="s">
        <v>5</v>
      </c>
      <c r="H1350" s="65" t="str">
        <f>VLOOKUP(Tabla6[[#This Row],[DIRECCIÓN]],DIRECCIÓN[#All],2,0)</f>
        <v>ADMINISTRACIÓN CENTRAL</v>
      </c>
      <c r="I1350" s="66" t="s">
        <v>147</v>
      </c>
      <c r="J1350" s="67">
        <v>1</v>
      </c>
      <c r="K1350" s="68" t="str">
        <f>VLOOKUP(Tabla6[[#This Row],[DIRECCIÓN GENERAL / COORDINACIÓN / SUBDIRECCIÓN]],Tabla37[[#All],[Columna1]:[EOD]],2,0)</f>
        <v>266_9999</v>
      </c>
      <c r="L1350" s="69">
        <f>VLOOKUP(Tabla6[[#This Row],[OBJETIVOS PND]],Listas!$A$1:$C$3,3,0)</f>
        <v>1</v>
      </c>
      <c r="M1350" s="70">
        <f>VLOOKUP(Tabla6[[#This Row],[PG]],Listas2!$G$14:$K$16,5,0)</f>
        <v>0</v>
      </c>
      <c r="N1350" s="71">
        <v>1</v>
      </c>
      <c r="O1350" s="72">
        <v>1701</v>
      </c>
      <c r="P1350" s="73" t="str">
        <f>VLOOKUP(Tabla6[[#This Row],[GEO]],Listas!$A$48:$B$77,2,0)</f>
        <v>QUITO</v>
      </c>
      <c r="Q1350" s="70">
        <f>VLOOKUP(Tabla6[[#This Row],[PG]],Listas2!$G$14:$K$16,3,0)</f>
        <v>1</v>
      </c>
      <c r="R1350" s="73">
        <f>VLOOKUP(Tabla6[[#This Row],[PG]],Listas2!H1203:'Listas2'!$G$14:$K$16,4,0)</f>
        <v>0</v>
      </c>
      <c r="S1350" s="73">
        <f>VLOOKUP(Tabla6[[#This Row],[PG]],Listas2!$G$14:$K$16,2,0)</f>
        <v>0</v>
      </c>
      <c r="T1350" s="66" t="s">
        <v>84</v>
      </c>
      <c r="U1350" s="74">
        <v>53</v>
      </c>
      <c r="V1350" s="66">
        <v>530402</v>
      </c>
      <c r="W1350" s="63" t="str">
        <f>VLOOKUP(Tabla6[[#This Row],[ÍTEM PRESUPUESTARIO]],Tabla2[#All],2,0)</f>
        <v>EDIFICIOS, LOCALES, RESIDENCIAS Y CABLEADO ESTRUCTURADO (INSTALACIÓN, MANTENIMIENTO Y REPARACIÓN)</v>
      </c>
      <c r="X1350" s="57">
        <v>0</v>
      </c>
      <c r="Y1350" s="57">
        <f>6300-6300+5900-5900</f>
        <v>0</v>
      </c>
      <c r="Z1350" s="58">
        <v>0</v>
      </c>
      <c r="AA1350" s="58">
        <v>0</v>
      </c>
      <c r="AB1350" s="58">
        <v>0</v>
      </c>
      <c r="AC1350" s="58">
        <v>0</v>
      </c>
      <c r="AD1350" s="58">
        <v>0</v>
      </c>
      <c r="AE1350" s="58">
        <v>0</v>
      </c>
      <c r="AF1350" s="58">
        <v>0</v>
      </c>
      <c r="AG1350" s="58">
        <v>0</v>
      </c>
      <c r="AH1350" s="58">
        <v>0</v>
      </c>
      <c r="AI1350" s="58">
        <v>0</v>
      </c>
      <c r="AJ1350" s="58">
        <v>0</v>
      </c>
      <c r="AK1350" s="58">
        <v>0</v>
      </c>
      <c r="AL1350" s="75">
        <f>+SUBTOTAL(9,Tabla6[[#This Row],[ENE]:[DIC]])</f>
        <v>0</v>
      </c>
      <c r="AM1350" s="76" t="str">
        <f t="shared" si="50"/>
        <v>OK</v>
      </c>
      <c r="AN1350" s="60">
        <v>0</v>
      </c>
      <c r="AO1350" s="61">
        <f>+Tabla6[[#This Row],[PRESUPUESTO VIGENTE]]-Tabla6[[#This Row],[CERTIFICACIÓN PAPP]]</f>
        <v>0</v>
      </c>
      <c r="AP1350" s="59">
        <v>0</v>
      </c>
    </row>
    <row r="1351" spans="1:42" ht="93" customHeight="1" x14ac:dyDescent="0.25">
      <c r="A1351" s="62" t="s">
        <v>78</v>
      </c>
      <c r="B1351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351" s="64" t="s">
        <v>79</v>
      </c>
      <c r="D1351" s="64" t="s">
        <v>115</v>
      </c>
      <c r="E1351" s="64" t="s">
        <v>114</v>
      </c>
      <c r="F1351" s="64" t="s">
        <v>4</v>
      </c>
      <c r="G1351" s="64" t="s">
        <v>5</v>
      </c>
      <c r="H1351" s="65" t="str">
        <f>VLOOKUP(Tabla6[[#This Row],[DIRECCIÓN]],DIRECCIÓN[#All],2,0)</f>
        <v>ADMINISTRACIÓN CENTRAL</v>
      </c>
      <c r="I1351" s="66" t="s">
        <v>148</v>
      </c>
      <c r="J1351" s="67">
        <v>1</v>
      </c>
      <c r="K1351" s="68" t="str">
        <f>VLOOKUP(Tabla6[[#This Row],[DIRECCIÓN GENERAL / COORDINACIÓN / SUBDIRECCIÓN]],Tabla37[[#All],[Columna1]:[EOD]],2,0)</f>
        <v>266_9999</v>
      </c>
      <c r="L1351" s="69">
        <f>VLOOKUP(Tabla6[[#This Row],[OBJETIVOS PND]],Listas!$A$1:$C$3,3,0)</f>
        <v>1</v>
      </c>
      <c r="M1351" s="70">
        <f>VLOOKUP(Tabla6[[#This Row],[PG]],Listas2!$G$14:$K$16,5,0)</f>
        <v>0</v>
      </c>
      <c r="N1351" s="71">
        <v>1</v>
      </c>
      <c r="O1351" s="72">
        <v>1701</v>
      </c>
      <c r="P1351" s="73" t="str">
        <f>VLOOKUP(Tabla6[[#This Row],[GEO]],Listas!$A$48:$B$77,2,0)</f>
        <v>QUITO</v>
      </c>
      <c r="Q1351" s="70">
        <f>VLOOKUP(Tabla6[[#This Row],[PG]],Listas2!$G$14:$K$16,3,0)</f>
        <v>1</v>
      </c>
      <c r="R1351" s="73">
        <f>VLOOKUP(Tabla6[[#This Row],[PG]],Listas2!H1127:'Listas2'!$G$14:$K$16,4,0)</f>
        <v>0</v>
      </c>
      <c r="S1351" s="73">
        <f>VLOOKUP(Tabla6[[#This Row],[PG]],Listas2!$G$14:$K$16,2,0)</f>
        <v>0</v>
      </c>
      <c r="T1351" s="66" t="s">
        <v>84</v>
      </c>
      <c r="U1351" s="74">
        <v>53</v>
      </c>
      <c r="V1351" s="66">
        <v>530402</v>
      </c>
      <c r="W1351" s="63" t="str">
        <f>VLOOKUP(Tabla6[[#This Row],[ÍTEM PRESUPUESTARIO]],Tabla2[#All],2,0)</f>
        <v>EDIFICIOS, LOCALES, RESIDENCIAS Y CABLEADO ESTRUCTURADO (INSTALACIÓN, MANTENIMIENTO Y REPARACIÓN)</v>
      </c>
      <c r="X1351" s="57">
        <v>0</v>
      </c>
      <c r="Y1351" s="57">
        <f>5939.5+120-2359.5</f>
        <v>3700</v>
      </c>
      <c r="Z1351" s="58">
        <v>0</v>
      </c>
      <c r="AA1351" s="58">
        <v>0</v>
      </c>
      <c r="AB1351" s="58">
        <v>0</v>
      </c>
      <c r="AC1351" s="58">
        <v>0</v>
      </c>
      <c r="AD1351" s="58">
        <v>0</v>
      </c>
      <c r="AE1351" s="58">
        <v>0</v>
      </c>
      <c r="AF1351" s="58">
        <v>0</v>
      </c>
      <c r="AG1351" s="58">
        <v>3700</v>
      </c>
      <c r="AH1351" s="58">
        <v>0</v>
      </c>
      <c r="AI1351" s="58">
        <v>0</v>
      </c>
      <c r="AJ1351" s="58">
        <v>0</v>
      </c>
      <c r="AK1351" s="58">
        <v>0</v>
      </c>
      <c r="AL1351" s="75">
        <f>+SUBTOTAL(9,Tabla6[[#This Row],[ENE]:[DIC]])</f>
        <v>3700</v>
      </c>
      <c r="AM1351" s="76" t="str">
        <f t="shared" ref="AM1351:AM1415" si="58">IF(AL1351=Y1351,"OK",Y1351-AL1351)</f>
        <v>OK</v>
      </c>
      <c r="AN1351" s="60">
        <v>3700</v>
      </c>
      <c r="AO1351" s="61">
        <f>+Tabla6[[#This Row],[PRESUPUESTO VIGENTE]]-Tabla6[[#This Row],[CERTIFICACIÓN PAPP]]</f>
        <v>0</v>
      </c>
      <c r="AP1351" s="59">
        <v>0</v>
      </c>
    </row>
    <row r="1352" spans="1:42" ht="93" customHeight="1" x14ac:dyDescent="0.25">
      <c r="A1352" s="62" t="s">
        <v>78</v>
      </c>
      <c r="B1352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352" s="64" t="s">
        <v>79</v>
      </c>
      <c r="D1352" s="64" t="s">
        <v>115</v>
      </c>
      <c r="E1352" s="64" t="s">
        <v>114</v>
      </c>
      <c r="F1352" s="64" t="s">
        <v>4</v>
      </c>
      <c r="G1352" s="64" t="s">
        <v>5</v>
      </c>
      <c r="H1352" s="65" t="str">
        <f>VLOOKUP(Tabla6[[#This Row],[DIRECCIÓN]],DIRECCIÓN[#All],2,0)</f>
        <v>ADMINISTRACIÓN CENTRAL</v>
      </c>
      <c r="I1352" s="66" t="s">
        <v>149</v>
      </c>
      <c r="J1352" s="67">
        <v>1</v>
      </c>
      <c r="K1352" s="68" t="str">
        <f>VLOOKUP(Tabla6[[#This Row],[DIRECCIÓN GENERAL / COORDINACIÓN / SUBDIRECCIÓN]],Tabla37[[#All],[Columna1]:[EOD]],2,0)</f>
        <v>266_9999</v>
      </c>
      <c r="L1352" s="69">
        <f>VLOOKUP(Tabla6[[#This Row],[OBJETIVOS PND]],Listas!$A$1:$C$3,3,0)</f>
        <v>1</v>
      </c>
      <c r="M1352" s="70">
        <f>VLOOKUP(Tabla6[[#This Row],[PG]],Listas2!$G$14:$K$16,5,0)</f>
        <v>0</v>
      </c>
      <c r="N1352" s="71">
        <v>1</v>
      </c>
      <c r="O1352" s="72">
        <v>1701</v>
      </c>
      <c r="P1352" s="73" t="str">
        <f>VLOOKUP(Tabla6[[#This Row],[GEO]],Listas!$A$48:$B$77,2,0)</f>
        <v>QUITO</v>
      </c>
      <c r="Q1352" s="70">
        <f>VLOOKUP(Tabla6[[#This Row],[PG]],Listas2!$G$14:$K$16,3,0)</f>
        <v>1</v>
      </c>
      <c r="R1352" s="73">
        <f>VLOOKUP(Tabla6[[#This Row],[PG]],Listas2!H1236:'Listas2'!$G$14:$K$16,4,0)</f>
        <v>0</v>
      </c>
      <c r="S1352" s="73">
        <f>VLOOKUP(Tabla6[[#This Row],[PG]],Listas2!$G$14:$K$16,2,0)</f>
        <v>0</v>
      </c>
      <c r="T1352" s="66" t="s">
        <v>84</v>
      </c>
      <c r="U1352" s="74">
        <v>53</v>
      </c>
      <c r="V1352" s="66">
        <v>530402</v>
      </c>
      <c r="W1352" s="63" t="str">
        <f>VLOOKUP(Tabla6[[#This Row],[ÍTEM PRESUPUESTARIO]],Tabla2[#All],2,0)</f>
        <v>EDIFICIOS, LOCALES, RESIDENCIAS Y CABLEADO ESTRUCTURADO (INSTALACIÓN, MANTENIMIENTO Y REPARACIÓN)</v>
      </c>
      <c r="X1352" s="57">
        <v>0</v>
      </c>
      <c r="Y1352" s="57">
        <f>500-500</f>
        <v>0</v>
      </c>
      <c r="Z1352" s="58">
        <v>0</v>
      </c>
      <c r="AA1352" s="58">
        <v>0</v>
      </c>
      <c r="AB1352" s="58">
        <v>0</v>
      </c>
      <c r="AC1352" s="58">
        <v>0</v>
      </c>
      <c r="AD1352" s="58">
        <v>0</v>
      </c>
      <c r="AE1352" s="58">
        <v>0</v>
      </c>
      <c r="AF1352" s="58">
        <v>0</v>
      </c>
      <c r="AG1352" s="58">
        <v>0</v>
      </c>
      <c r="AH1352" s="58">
        <v>0</v>
      </c>
      <c r="AI1352" s="58">
        <v>0</v>
      </c>
      <c r="AJ1352" s="58">
        <v>0</v>
      </c>
      <c r="AK1352" s="58">
        <v>0</v>
      </c>
      <c r="AL1352" s="75">
        <f>+SUBTOTAL(9,Tabla6[[#This Row],[ENE]:[DIC]])</f>
        <v>0</v>
      </c>
      <c r="AM1352" s="76" t="str">
        <f t="shared" si="58"/>
        <v>OK</v>
      </c>
      <c r="AN1352" s="60">
        <v>0</v>
      </c>
      <c r="AO1352" s="61">
        <f>+Tabla6[[#This Row],[PRESUPUESTO VIGENTE]]-Tabla6[[#This Row],[CERTIFICACIÓN PAPP]]</f>
        <v>0</v>
      </c>
      <c r="AP1352" s="59">
        <v>0</v>
      </c>
    </row>
    <row r="1353" spans="1:42" ht="93" customHeight="1" x14ac:dyDescent="0.25">
      <c r="A1353" s="62" t="s">
        <v>78</v>
      </c>
      <c r="B1353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353" s="64" t="s">
        <v>79</v>
      </c>
      <c r="D1353" s="64" t="s">
        <v>115</v>
      </c>
      <c r="E1353" s="64" t="s">
        <v>114</v>
      </c>
      <c r="F1353" s="64" t="s">
        <v>4</v>
      </c>
      <c r="G1353" s="64" t="s">
        <v>5</v>
      </c>
      <c r="H1353" s="65" t="str">
        <f>VLOOKUP(Tabla6[[#This Row],[DIRECCIÓN]],DIRECCIÓN[#All],2,0)</f>
        <v>ADMINISTRACIÓN CENTRAL</v>
      </c>
      <c r="I1353" s="66" t="s">
        <v>150</v>
      </c>
      <c r="J1353" s="67">
        <v>1</v>
      </c>
      <c r="K1353" s="68" t="str">
        <f>VLOOKUP(Tabla6[[#This Row],[DIRECCIÓN GENERAL / COORDINACIÓN / SUBDIRECCIÓN]],Tabla37[[#All],[Columna1]:[EOD]],2,0)</f>
        <v>266_9999</v>
      </c>
      <c r="L1353" s="69">
        <f>VLOOKUP(Tabla6[[#This Row],[OBJETIVOS PND]],Listas!$A$1:$C$3,3,0)</f>
        <v>1</v>
      </c>
      <c r="M1353" s="70">
        <f>VLOOKUP(Tabla6[[#This Row],[PG]],Listas2!$G$14:$K$16,5,0)</f>
        <v>0</v>
      </c>
      <c r="N1353" s="71">
        <v>1</v>
      </c>
      <c r="O1353" s="72">
        <v>1701</v>
      </c>
      <c r="P1353" s="73" t="str">
        <f>VLOOKUP(Tabla6[[#This Row],[GEO]],Listas!$A$48:$B$77,2,0)</f>
        <v>QUITO</v>
      </c>
      <c r="Q1353" s="70">
        <f>VLOOKUP(Tabla6[[#This Row],[PG]],Listas2!$G$14:$K$16,3,0)</f>
        <v>1</v>
      </c>
      <c r="R1353" s="73">
        <f>VLOOKUP(Tabla6[[#This Row],[PG]],Listas2!H1236:'Listas2'!$G$14:$K$16,4,0)</f>
        <v>0</v>
      </c>
      <c r="S1353" s="73">
        <f>VLOOKUP(Tabla6[[#This Row],[PG]],Listas2!$G$14:$K$16,2,0)</f>
        <v>0</v>
      </c>
      <c r="T1353" s="66" t="s">
        <v>84</v>
      </c>
      <c r="U1353" s="74">
        <v>53</v>
      </c>
      <c r="V1353" s="66">
        <v>530402</v>
      </c>
      <c r="W1353" s="63" t="str">
        <f>VLOOKUP(Tabla6[[#This Row],[ÍTEM PRESUPUESTARIO]],Tabla2[#All],2,0)</f>
        <v>EDIFICIOS, LOCALES, RESIDENCIAS Y CABLEADO ESTRUCTURADO (INSTALACIÓN, MANTENIMIENTO Y REPARACIÓN)</v>
      </c>
      <c r="X1353" s="57">
        <v>0</v>
      </c>
      <c r="Y1353" s="57">
        <f>6300-6300</f>
        <v>0</v>
      </c>
      <c r="Z1353" s="58">
        <v>0</v>
      </c>
      <c r="AA1353" s="58">
        <v>0</v>
      </c>
      <c r="AB1353" s="58">
        <v>0</v>
      </c>
      <c r="AC1353" s="58">
        <v>0</v>
      </c>
      <c r="AD1353" s="58">
        <v>0</v>
      </c>
      <c r="AE1353" s="58">
        <v>0</v>
      </c>
      <c r="AF1353" s="58">
        <v>0</v>
      </c>
      <c r="AG1353" s="58">
        <v>0</v>
      </c>
      <c r="AH1353" s="58">
        <v>0</v>
      </c>
      <c r="AI1353" s="58">
        <v>0</v>
      </c>
      <c r="AJ1353" s="58">
        <v>0</v>
      </c>
      <c r="AK1353" s="58">
        <v>0</v>
      </c>
      <c r="AL1353" s="75">
        <f>+SUBTOTAL(9,Tabla6[[#This Row],[ENE]:[DIC]])</f>
        <v>0</v>
      </c>
      <c r="AM1353" s="76" t="str">
        <f t="shared" si="58"/>
        <v>OK</v>
      </c>
      <c r="AN1353" s="60">
        <v>0</v>
      </c>
      <c r="AO1353" s="61">
        <f>+Tabla6[[#This Row],[PRESUPUESTO VIGENTE]]-Tabla6[[#This Row],[CERTIFICACIÓN PAPP]]</f>
        <v>0</v>
      </c>
      <c r="AP1353" s="59">
        <v>0</v>
      </c>
    </row>
    <row r="1354" spans="1:42" ht="93" customHeight="1" x14ac:dyDescent="0.25">
      <c r="A1354" s="62" t="s">
        <v>78</v>
      </c>
      <c r="B1354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354" s="64" t="s">
        <v>79</v>
      </c>
      <c r="D1354" s="64" t="s">
        <v>115</v>
      </c>
      <c r="E1354" s="64" t="s">
        <v>114</v>
      </c>
      <c r="F1354" s="64" t="s">
        <v>4</v>
      </c>
      <c r="G1354" s="64" t="s">
        <v>5</v>
      </c>
      <c r="H1354" s="65" t="str">
        <f>VLOOKUP(Tabla6[[#This Row],[DIRECCIÓN]],DIRECCIÓN[#All],2,0)</f>
        <v>ADMINISTRACIÓN CENTRAL</v>
      </c>
      <c r="I1354" s="66" t="s">
        <v>97</v>
      </c>
      <c r="J1354" s="67">
        <v>3</v>
      </c>
      <c r="K1354" s="68" t="str">
        <f>VLOOKUP(Tabla6[[#This Row],[DIRECCIÓN GENERAL / COORDINACIÓN / SUBDIRECCIÓN]],Tabla37[[#All],[Columna1]:[EOD]],2,0)</f>
        <v>266_9999</v>
      </c>
      <c r="L1354" s="69">
        <f>VLOOKUP(Tabla6[[#This Row],[OBJETIVOS PND]],Listas!$A$1:$C$3,3,0)</f>
        <v>1</v>
      </c>
      <c r="M1354" s="70">
        <f>VLOOKUP(Tabla6[[#This Row],[PG]],Listas2!$G$14:$K$16,5,0)</f>
        <v>0</v>
      </c>
      <c r="N1354" s="71">
        <v>1</v>
      </c>
      <c r="O1354" s="72">
        <v>1701</v>
      </c>
      <c r="P1354" s="73" t="str">
        <f>VLOOKUP(Tabla6[[#This Row],[GEO]],Listas!$A$48:$B$77,2,0)</f>
        <v>QUITO</v>
      </c>
      <c r="Q1354" s="70">
        <f>VLOOKUP(Tabla6[[#This Row],[PG]],Listas2!$G$14:$K$16,3,0)</f>
        <v>1</v>
      </c>
      <c r="R1354" s="73">
        <f>VLOOKUP(Tabla6[[#This Row],[PG]],Listas2!H81:'Listas2'!$G$14:$K$16,4,0)</f>
        <v>0</v>
      </c>
      <c r="S1354" s="73">
        <f>VLOOKUP(Tabla6[[#This Row],[PG]],Listas2!$G$14:$K$16,2,0)</f>
        <v>0</v>
      </c>
      <c r="T1354" s="66" t="s">
        <v>84</v>
      </c>
      <c r="U1354" s="74">
        <v>53</v>
      </c>
      <c r="V1354" s="66">
        <v>530403</v>
      </c>
      <c r="W1354" s="63" t="str">
        <f>VLOOKUP(Tabla6[[#This Row],[ÍTEM PRESUPUESTARIO]],Tabla2[#All],2,0)</f>
        <v>MOBILIARIOS (INSTALACIÓN, MANTENIMIENTO Y REPARACIÓN)</v>
      </c>
      <c r="X1354" s="57">
        <v>100</v>
      </c>
      <c r="Y1354" s="57">
        <f>100-50-50</f>
        <v>0</v>
      </c>
      <c r="Z1354" s="58">
        <v>0</v>
      </c>
      <c r="AA1354" s="58">
        <v>0</v>
      </c>
      <c r="AB1354" s="58">
        <v>0</v>
      </c>
      <c r="AC1354" s="58">
        <v>0</v>
      </c>
      <c r="AD1354" s="58">
        <v>0</v>
      </c>
      <c r="AE1354" s="58">
        <v>0</v>
      </c>
      <c r="AF1354" s="58">
        <v>0</v>
      </c>
      <c r="AG1354" s="58">
        <v>0</v>
      </c>
      <c r="AH1354" s="58">
        <v>0</v>
      </c>
      <c r="AI1354" s="58">
        <v>0</v>
      </c>
      <c r="AJ1354" s="58">
        <v>0</v>
      </c>
      <c r="AK1354" s="58">
        <v>0</v>
      </c>
      <c r="AL1354" s="75">
        <f>+SUBTOTAL(9,Tabla6[[#This Row],[ENE]:[DIC]])</f>
        <v>0</v>
      </c>
      <c r="AM1354" s="76" t="str">
        <f t="shared" si="58"/>
        <v>OK</v>
      </c>
      <c r="AN1354" s="60">
        <v>0</v>
      </c>
      <c r="AO1354" s="61">
        <f>+Tabla6[[#This Row],[PRESUPUESTO VIGENTE]]-Tabla6[[#This Row],[CERTIFICACIÓN PAPP]]</f>
        <v>0</v>
      </c>
      <c r="AP1354" s="59">
        <v>0</v>
      </c>
    </row>
    <row r="1355" spans="1:42" ht="93" customHeight="1" x14ac:dyDescent="0.25">
      <c r="A1355" s="62" t="s">
        <v>78</v>
      </c>
      <c r="B1355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355" s="64" t="s">
        <v>79</v>
      </c>
      <c r="D1355" s="64" t="s">
        <v>115</v>
      </c>
      <c r="E1355" s="64" t="s">
        <v>114</v>
      </c>
      <c r="F1355" s="64" t="s">
        <v>4</v>
      </c>
      <c r="G1355" s="64" t="s">
        <v>5</v>
      </c>
      <c r="H1355" s="65" t="str">
        <f>VLOOKUP(Tabla6[[#This Row],[DIRECCIÓN]],DIRECCIÓN[#All],2,0)</f>
        <v>ADMINISTRACIÓN CENTRAL</v>
      </c>
      <c r="I1355" s="66" t="s">
        <v>151</v>
      </c>
      <c r="J1355" s="67">
        <v>1</v>
      </c>
      <c r="K1355" s="68" t="str">
        <f>VLOOKUP(Tabla6[[#This Row],[DIRECCIÓN GENERAL / COORDINACIÓN / SUBDIRECCIÓN]],Tabla37[[#All],[Columna1]:[EOD]],2,0)</f>
        <v>266_9999</v>
      </c>
      <c r="L1355" s="69">
        <f>VLOOKUP(Tabla6[[#This Row],[OBJETIVOS PND]],Listas!$A$1:$C$3,3,0)</f>
        <v>1</v>
      </c>
      <c r="M1355" s="70">
        <f>VLOOKUP(Tabla6[[#This Row],[PG]],Listas2!$G$14:$K$16,5,0)</f>
        <v>0</v>
      </c>
      <c r="N1355" s="71">
        <v>1</v>
      </c>
      <c r="O1355" s="72">
        <v>1701</v>
      </c>
      <c r="P1355" s="73" t="str">
        <f>VLOOKUP(Tabla6[[#This Row],[GEO]],Listas!$A$48:$B$77,2,0)</f>
        <v>QUITO</v>
      </c>
      <c r="Q1355" s="70">
        <f>VLOOKUP(Tabla6[[#This Row],[PG]],Listas2!$G$14:$K$16,3,0)</f>
        <v>1</v>
      </c>
      <c r="R1355" s="73">
        <f>VLOOKUP(Tabla6[[#This Row],[PG]],Listas2!H82:'Listas2'!$G$14:$K$16,4,0)</f>
        <v>0</v>
      </c>
      <c r="S1355" s="73">
        <f>VLOOKUP(Tabla6[[#This Row],[PG]],Listas2!$G$14:$K$16,2,0)</f>
        <v>0</v>
      </c>
      <c r="T1355" s="66" t="s">
        <v>84</v>
      </c>
      <c r="U1355" s="74">
        <v>53</v>
      </c>
      <c r="V1355" s="66">
        <v>530403</v>
      </c>
      <c r="W1355" s="63" t="str">
        <f>VLOOKUP(Tabla6[[#This Row],[ÍTEM PRESUPUESTARIO]],Tabla2[#All],2,0)</f>
        <v>MOBILIARIOS (INSTALACIÓN, MANTENIMIENTO Y REPARACIÓN)</v>
      </c>
      <c r="X1355" s="57">
        <v>0</v>
      </c>
      <c r="Y1355" s="57">
        <f>25754.28+12650.52-2082.4-2032.4-2228.85</f>
        <v>32061.15</v>
      </c>
      <c r="Z1355" s="58">
        <v>0</v>
      </c>
      <c r="AA1355" s="58">
        <v>0</v>
      </c>
      <c r="AB1355" s="58">
        <v>0</v>
      </c>
      <c r="AC1355" s="58">
        <v>0</v>
      </c>
      <c r="AD1355" s="58">
        <v>0</v>
      </c>
      <c r="AE1355" s="58">
        <v>0</v>
      </c>
      <c r="AF1355" s="58">
        <v>0</v>
      </c>
      <c r="AG1355" s="58">
        <v>0</v>
      </c>
      <c r="AH1355" s="58">
        <v>0</v>
      </c>
      <c r="AI1355" s="58">
        <v>23671.88</v>
      </c>
      <c r="AJ1355" s="58">
        <v>0</v>
      </c>
      <c r="AK1355" s="58">
        <v>8389.27</v>
      </c>
      <c r="AL1355" s="75">
        <f>+SUBTOTAL(9,Tabla6[[#This Row],[ENE]:[DIC]])</f>
        <v>32061.15</v>
      </c>
      <c r="AM1355" s="76" t="str">
        <f t="shared" si="58"/>
        <v>OK</v>
      </c>
      <c r="AN1355" s="60">
        <f>34290-2228.85</f>
        <v>32061.15</v>
      </c>
      <c r="AO1355" s="61">
        <f>+Tabla6[[#This Row],[PRESUPUESTO VIGENTE]]-Tabla6[[#This Row],[CERTIFICACIÓN PAPP]]</f>
        <v>0</v>
      </c>
      <c r="AP1355" s="59" t="s">
        <v>87</v>
      </c>
    </row>
    <row r="1356" spans="1:42" ht="93" customHeight="1" x14ac:dyDescent="0.25">
      <c r="A1356" s="62" t="s">
        <v>78</v>
      </c>
      <c r="B1356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356" s="64" t="s">
        <v>79</v>
      </c>
      <c r="D1356" s="64" t="s">
        <v>115</v>
      </c>
      <c r="E1356" s="64" t="s">
        <v>114</v>
      </c>
      <c r="F1356" s="64" t="s">
        <v>4</v>
      </c>
      <c r="G1356" s="64" t="s">
        <v>5</v>
      </c>
      <c r="H1356" s="65" t="str">
        <f>VLOOKUP(Tabla6[[#This Row],[DIRECCIÓN]],DIRECCIÓN[#All],2,0)</f>
        <v>ADMINISTRACIÓN CENTRAL</v>
      </c>
      <c r="I1356" s="66" t="s">
        <v>152</v>
      </c>
      <c r="J1356" s="67">
        <v>1</v>
      </c>
      <c r="K1356" s="68" t="str">
        <f>VLOOKUP(Tabla6[[#This Row],[DIRECCIÓN GENERAL / COORDINACIÓN / SUBDIRECCIÓN]],Tabla37[[#All],[Columna1]:[EOD]],2,0)</f>
        <v>266_9999</v>
      </c>
      <c r="L1356" s="69">
        <f>VLOOKUP(Tabla6[[#This Row],[OBJETIVOS PND]],Listas!$A$1:$C$3,3,0)</f>
        <v>1</v>
      </c>
      <c r="M1356" s="70">
        <f>VLOOKUP(Tabla6[[#This Row],[PG]],Listas2!$G$14:$K$16,5,0)</f>
        <v>0</v>
      </c>
      <c r="N1356" s="71">
        <v>1</v>
      </c>
      <c r="O1356" s="72">
        <v>1701</v>
      </c>
      <c r="P1356" s="73" t="str">
        <f>VLOOKUP(Tabla6[[#This Row],[GEO]],Listas!$A$48:$B$77,2,0)</f>
        <v>QUITO</v>
      </c>
      <c r="Q1356" s="70">
        <f>VLOOKUP(Tabla6[[#This Row],[PG]],Listas2!$G$14:$K$16,3,0)</f>
        <v>1</v>
      </c>
      <c r="R1356" s="73">
        <f>VLOOKUP(Tabla6[[#This Row],[PG]],Listas2!H83:'Listas2'!$G$14:$K$16,4,0)</f>
        <v>0</v>
      </c>
      <c r="S1356" s="73">
        <f>VLOOKUP(Tabla6[[#This Row],[PG]],Listas2!$G$14:$K$16,2,0)</f>
        <v>0</v>
      </c>
      <c r="T1356" s="66" t="s">
        <v>84</v>
      </c>
      <c r="U1356" s="74">
        <v>53</v>
      </c>
      <c r="V1356" s="66">
        <v>530405</v>
      </c>
      <c r="W1356" s="63" t="str">
        <f>VLOOKUP(Tabla6[[#This Row],[ÍTEM PRESUPUESTARIO]],Tabla2[#All],2,0)</f>
        <v>VEHÍCULOS (SERVICIO PARA MANTENIMIENTO Y REPARACIÓN)</v>
      </c>
      <c r="X1356" s="57">
        <v>51600</v>
      </c>
      <c r="Y1356" s="57">
        <f>51600-14495-8676</f>
        <v>28429</v>
      </c>
      <c r="Z1356" s="58">
        <v>3092.08</v>
      </c>
      <c r="AA1356" s="58">
        <v>3092.08</v>
      </c>
      <c r="AB1356" s="58">
        <v>3092.08</v>
      </c>
      <c r="AC1356" s="58">
        <v>3092.08</v>
      </c>
      <c r="AD1356" s="58">
        <v>3092.08</v>
      </c>
      <c r="AE1356" s="58">
        <v>3092.08</v>
      </c>
      <c r="AF1356" s="58">
        <v>3092.08</v>
      </c>
      <c r="AG1356" s="58">
        <v>3092.08</v>
      </c>
      <c r="AH1356" s="58">
        <v>3092.08</v>
      </c>
      <c r="AI1356" s="58">
        <v>600.28</v>
      </c>
      <c r="AJ1356" s="58">
        <v>0</v>
      </c>
      <c r="AK1356" s="58">
        <v>0</v>
      </c>
      <c r="AL1356" s="75">
        <f>+SUBTOTAL(9,Tabla6[[#This Row],[ENE]:[DIC]])</f>
        <v>28429</v>
      </c>
      <c r="AM1356" s="76" t="str">
        <f t="shared" si="58"/>
        <v>OK</v>
      </c>
      <c r="AN1356" s="60">
        <f>3929+33176-8676</f>
        <v>28429</v>
      </c>
      <c r="AO1356" s="61">
        <f>+Tabla6[[#This Row],[PRESUPUESTO VIGENTE]]-Tabla6[[#This Row],[CERTIFICACIÓN PAPP]]</f>
        <v>0</v>
      </c>
      <c r="AP1356" s="59">
        <v>0</v>
      </c>
    </row>
    <row r="1357" spans="1:42" ht="93" customHeight="1" x14ac:dyDescent="0.25">
      <c r="A1357" s="62" t="s">
        <v>78</v>
      </c>
      <c r="B1357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357" s="64" t="s">
        <v>79</v>
      </c>
      <c r="D1357" s="64" t="s">
        <v>115</v>
      </c>
      <c r="E1357" s="64" t="s">
        <v>114</v>
      </c>
      <c r="F1357" s="64" t="s">
        <v>4</v>
      </c>
      <c r="G1357" s="64" t="s">
        <v>5</v>
      </c>
      <c r="H1357" s="65" t="str">
        <f>VLOOKUP(Tabla6[[#This Row],[DIRECCIÓN]],DIRECCIÓN[#All],2,0)</f>
        <v>ADMINISTRACIÓN CENTRAL</v>
      </c>
      <c r="I1357" s="66" t="s">
        <v>153</v>
      </c>
      <c r="J1357" s="67">
        <v>1</v>
      </c>
      <c r="K1357" s="68" t="str">
        <f>VLOOKUP(Tabla6[[#This Row],[DIRECCIÓN GENERAL / COORDINACIÓN / SUBDIRECCIÓN]],Tabla37[[#All],[Columna1]:[EOD]],2,0)</f>
        <v>266_9999</v>
      </c>
      <c r="L1357" s="69">
        <f>VLOOKUP(Tabla6[[#This Row],[OBJETIVOS PND]],Listas!$A$1:$C$3,3,0)</f>
        <v>1</v>
      </c>
      <c r="M1357" s="70">
        <f>VLOOKUP(Tabla6[[#This Row],[PG]],Listas2!$G$14:$K$16,5,0)</f>
        <v>0</v>
      </c>
      <c r="N1357" s="71">
        <v>1</v>
      </c>
      <c r="O1357" s="72">
        <v>1701</v>
      </c>
      <c r="P1357" s="73" t="str">
        <f>VLOOKUP(Tabla6[[#This Row],[GEO]],Listas!$A$48:$B$77,2,0)</f>
        <v>QUITO</v>
      </c>
      <c r="Q1357" s="70">
        <f>VLOOKUP(Tabla6[[#This Row],[PG]],Listas2!$G$14:$K$16,3,0)</f>
        <v>1</v>
      </c>
      <c r="R1357" s="73">
        <f>VLOOKUP(Tabla6[[#This Row],[PG]],Listas2!H84:'Listas2'!$G$14:$K$16,4,0)</f>
        <v>0</v>
      </c>
      <c r="S1357" s="73">
        <f>VLOOKUP(Tabla6[[#This Row],[PG]],Listas2!$G$14:$K$16,2,0)</f>
        <v>0</v>
      </c>
      <c r="T1357" s="66" t="s">
        <v>84</v>
      </c>
      <c r="U1357" s="74">
        <v>53</v>
      </c>
      <c r="V1357" s="66">
        <v>530405</v>
      </c>
      <c r="W1357" s="63" t="str">
        <f>VLOOKUP(Tabla6[[#This Row],[ÍTEM PRESUPUESTARIO]],Tabla2[#All],2,0)</f>
        <v>VEHÍCULOS (SERVICIO PARA MANTENIMIENTO Y REPARACIÓN)</v>
      </c>
      <c r="X1357" s="57">
        <v>491</v>
      </c>
      <c r="Y1357" s="57">
        <f>491-491</f>
        <v>0</v>
      </c>
      <c r="Z1357" s="58">
        <v>0</v>
      </c>
      <c r="AA1357" s="58">
        <v>0</v>
      </c>
      <c r="AB1357" s="58">
        <v>0</v>
      </c>
      <c r="AC1357" s="58">
        <v>0</v>
      </c>
      <c r="AD1357" s="58">
        <v>0</v>
      </c>
      <c r="AE1357" s="58">
        <v>0</v>
      </c>
      <c r="AF1357" s="58">
        <v>0</v>
      </c>
      <c r="AG1357" s="58">
        <v>0</v>
      </c>
      <c r="AH1357" s="58">
        <v>0</v>
      </c>
      <c r="AI1357" s="58">
        <v>0</v>
      </c>
      <c r="AJ1357" s="58">
        <v>0</v>
      </c>
      <c r="AK1357" s="58">
        <v>0</v>
      </c>
      <c r="AL1357" s="75">
        <f>+SUBTOTAL(9,Tabla6[[#This Row],[ENE]:[DIC]])</f>
        <v>0</v>
      </c>
      <c r="AM1357" s="76" t="str">
        <f t="shared" si="58"/>
        <v>OK</v>
      </c>
      <c r="AN1357" s="60">
        <v>0</v>
      </c>
      <c r="AO1357" s="61">
        <f>+Tabla6[[#This Row],[PRESUPUESTO VIGENTE]]-Tabla6[[#This Row],[CERTIFICACIÓN PAPP]]</f>
        <v>0</v>
      </c>
      <c r="AP1357" s="59">
        <v>0</v>
      </c>
    </row>
    <row r="1358" spans="1:42" ht="93" customHeight="1" x14ac:dyDescent="0.25">
      <c r="A1358" s="62" t="s">
        <v>78</v>
      </c>
      <c r="B1358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358" s="64" t="s">
        <v>79</v>
      </c>
      <c r="D1358" s="64" t="s">
        <v>115</v>
      </c>
      <c r="E1358" s="64" t="s">
        <v>114</v>
      </c>
      <c r="F1358" s="64" t="s">
        <v>4</v>
      </c>
      <c r="G1358" s="64" t="s">
        <v>5</v>
      </c>
      <c r="H1358" s="65" t="str">
        <f>VLOOKUP(Tabla6[[#This Row],[DIRECCIÓN]],DIRECCIÓN[#All],2,0)</f>
        <v>ADMINISTRACIÓN CENTRAL</v>
      </c>
      <c r="I1358" s="66" t="s">
        <v>97</v>
      </c>
      <c r="J1358" s="67">
        <v>3</v>
      </c>
      <c r="K1358" s="68" t="str">
        <f>VLOOKUP(Tabla6[[#This Row],[DIRECCIÓN GENERAL / COORDINACIÓN / SUBDIRECCIÓN]],Tabla37[[#All],[Columna1]:[EOD]],2,0)</f>
        <v>266_9999</v>
      </c>
      <c r="L1358" s="69">
        <f>VLOOKUP(Tabla6[[#This Row],[OBJETIVOS PND]],Listas!$A$1:$C$3,3,0)</f>
        <v>1</v>
      </c>
      <c r="M1358" s="70">
        <f>VLOOKUP(Tabla6[[#This Row],[PG]],Listas2!$G$14:$K$16,5,0)</f>
        <v>0</v>
      </c>
      <c r="N1358" s="71">
        <v>1</v>
      </c>
      <c r="O1358" s="72">
        <v>1701</v>
      </c>
      <c r="P1358" s="73" t="str">
        <f>VLOOKUP(Tabla6[[#This Row],[GEO]],Listas!$A$48:$B$77,2,0)</f>
        <v>QUITO</v>
      </c>
      <c r="Q1358" s="70">
        <f>VLOOKUP(Tabla6[[#This Row],[PG]],Listas2!$G$14:$K$16,3,0)</f>
        <v>1</v>
      </c>
      <c r="R1358" s="73">
        <f>VLOOKUP(Tabla6[[#This Row],[PG]],Listas2!H85:'Listas2'!$G$14:$K$16,4,0)</f>
        <v>0</v>
      </c>
      <c r="S1358" s="73">
        <f>VLOOKUP(Tabla6[[#This Row],[PG]],Listas2!$G$14:$K$16,2,0)</f>
        <v>0</v>
      </c>
      <c r="T1358" s="66" t="s">
        <v>84</v>
      </c>
      <c r="U1358" s="74">
        <v>53</v>
      </c>
      <c r="V1358" s="66">
        <v>530405</v>
      </c>
      <c r="W1358" s="63" t="str">
        <f>VLOOKUP(Tabla6[[#This Row],[ÍTEM PRESUPUESTARIO]],Tabla2[#All],2,0)</f>
        <v>VEHÍCULOS (SERVICIO PARA MANTENIMIENTO Y REPARACIÓN)</v>
      </c>
      <c r="X1358" s="57">
        <v>1700</v>
      </c>
      <c r="Y1358" s="57">
        <f>1700-1400-51-51</f>
        <v>198</v>
      </c>
      <c r="Z1358" s="58">
        <v>0</v>
      </c>
      <c r="AA1358" s="58">
        <v>0</v>
      </c>
      <c r="AB1358" s="58">
        <v>0</v>
      </c>
      <c r="AC1358" s="58">
        <v>0</v>
      </c>
      <c r="AD1358" s="58">
        <v>0</v>
      </c>
      <c r="AE1358" s="58">
        <v>0</v>
      </c>
      <c r="AF1358" s="58">
        <v>0</v>
      </c>
      <c r="AG1358" s="58">
        <v>0</v>
      </c>
      <c r="AH1358" s="58">
        <v>0</v>
      </c>
      <c r="AI1358" s="58">
        <v>0</v>
      </c>
      <c r="AJ1358" s="58">
        <v>0</v>
      </c>
      <c r="AK1358" s="58">
        <v>198</v>
      </c>
      <c r="AL1358" s="75">
        <f>+SUBTOTAL(9,Tabla6[[#This Row],[ENE]:[DIC]])</f>
        <v>198</v>
      </c>
      <c r="AM1358" s="76" t="str">
        <f t="shared" si="58"/>
        <v>OK</v>
      </c>
      <c r="AN1358" s="60">
        <v>198</v>
      </c>
      <c r="AO1358" s="61">
        <f>+Tabla6[[#This Row],[PRESUPUESTO VIGENTE]]-Tabla6[[#This Row],[CERTIFICACIÓN PAPP]]</f>
        <v>0</v>
      </c>
      <c r="AP1358" s="59">
        <v>0</v>
      </c>
    </row>
    <row r="1359" spans="1:42" ht="93" customHeight="1" x14ac:dyDescent="0.25">
      <c r="A1359" s="62" t="s">
        <v>78</v>
      </c>
      <c r="B1359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359" s="64" t="s">
        <v>79</v>
      </c>
      <c r="D1359" s="64" t="s">
        <v>115</v>
      </c>
      <c r="E1359" s="64" t="s">
        <v>114</v>
      </c>
      <c r="F1359" s="64" t="s">
        <v>4</v>
      </c>
      <c r="G1359" s="64" t="s">
        <v>5</v>
      </c>
      <c r="H1359" s="65" t="str">
        <f>VLOOKUP(Tabla6[[#This Row],[DIRECCIÓN]],DIRECCIÓN[#All],2,0)</f>
        <v>ADMINISTRACIÓN CENTRAL</v>
      </c>
      <c r="I1359" s="66" t="s">
        <v>138</v>
      </c>
      <c r="J1359" s="67">
        <v>1</v>
      </c>
      <c r="K1359" s="68" t="str">
        <f>VLOOKUP(Tabla6[[#This Row],[DIRECCIÓN GENERAL / COORDINACIÓN / SUBDIRECCIÓN]],Tabla37[[#All],[Columna1]:[EOD]],2,0)</f>
        <v>266_9999</v>
      </c>
      <c r="L1359" s="69">
        <f>VLOOKUP(Tabla6[[#This Row],[OBJETIVOS PND]],Listas!$A$1:$C$3,3,0)</f>
        <v>1</v>
      </c>
      <c r="M1359" s="70">
        <f>VLOOKUP(Tabla6[[#This Row],[PG]],Listas2!$G$14:$K$16,5,0)</f>
        <v>0</v>
      </c>
      <c r="N1359" s="71">
        <v>1</v>
      </c>
      <c r="O1359" s="72">
        <v>1701</v>
      </c>
      <c r="P1359" s="73" t="str">
        <f>VLOOKUP(Tabla6[[#This Row],[GEO]],Listas!$A$48:$B$77,2,0)</f>
        <v>QUITO</v>
      </c>
      <c r="Q1359" s="70">
        <f>VLOOKUP(Tabla6[[#This Row],[PG]],Listas2!$G$14:$K$16,3,0)</f>
        <v>1</v>
      </c>
      <c r="R1359" s="73">
        <f>VLOOKUP(Tabla6[[#This Row],[PG]],Listas2!H86:'Listas2'!$G$14:$K$16,4,0)</f>
        <v>0</v>
      </c>
      <c r="S1359" s="73">
        <f>VLOOKUP(Tabla6[[#This Row],[PG]],Listas2!$G$14:$K$16,2,0)</f>
        <v>0</v>
      </c>
      <c r="T1359" s="66" t="s">
        <v>84</v>
      </c>
      <c r="U1359" s="74">
        <v>53</v>
      </c>
      <c r="V1359" s="66">
        <v>530502</v>
      </c>
      <c r="W1359" s="63" t="str">
        <f>VLOOKUP(Tabla6[[#This Row],[ÍTEM PRESUPUESTARIO]],Tabla2[#All],2,0)</f>
        <v>EDIFICIOS, LOCALES Y RESIDENCIAS, PARQUEADEROS, CASILLEROS JUDICIALES Y BANCARIOS (ARRENDAMIENTO)</v>
      </c>
      <c r="X1359" s="57">
        <v>0</v>
      </c>
      <c r="Y1359" s="57">
        <v>100</v>
      </c>
      <c r="Z1359" s="58">
        <v>8.33</v>
      </c>
      <c r="AA1359" s="58">
        <v>8.33</v>
      </c>
      <c r="AB1359" s="58">
        <v>8.33</v>
      </c>
      <c r="AC1359" s="58">
        <v>8.33</v>
      </c>
      <c r="AD1359" s="58">
        <v>8.33</v>
      </c>
      <c r="AE1359" s="58">
        <v>8.33</v>
      </c>
      <c r="AF1359" s="58">
        <v>8.33</v>
      </c>
      <c r="AG1359" s="58">
        <v>8.33</v>
      </c>
      <c r="AH1359" s="58">
        <v>8.33</v>
      </c>
      <c r="AI1359" s="58">
        <v>8.33</v>
      </c>
      <c r="AJ1359" s="58">
        <v>8.33</v>
      </c>
      <c r="AK1359" s="58">
        <v>8.3699999999999992</v>
      </c>
      <c r="AL1359" s="75">
        <f>+SUBTOTAL(9,Tabla6[[#This Row],[ENE]:[DIC]])</f>
        <v>100</v>
      </c>
      <c r="AM1359" s="76" t="str">
        <f t="shared" si="58"/>
        <v>OK</v>
      </c>
      <c r="AN1359" s="60">
        <f>100</f>
        <v>100</v>
      </c>
      <c r="AO1359" s="61">
        <f>+Tabla6[[#This Row],[PRESUPUESTO VIGENTE]]-Tabla6[[#This Row],[CERTIFICACIÓN PAPP]]</f>
        <v>0</v>
      </c>
      <c r="AP1359" s="59">
        <v>0</v>
      </c>
    </row>
    <row r="1360" spans="1:42" ht="93" customHeight="1" x14ac:dyDescent="0.25">
      <c r="A1360" s="62" t="s">
        <v>78</v>
      </c>
      <c r="B1360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360" s="64" t="s">
        <v>79</v>
      </c>
      <c r="D1360" s="64" t="s">
        <v>115</v>
      </c>
      <c r="E1360" s="64" t="s">
        <v>114</v>
      </c>
      <c r="F1360" s="64" t="s">
        <v>4</v>
      </c>
      <c r="G1360" s="64" t="s">
        <v>5</v>
      </c>
      <c r="H1360" s="65" t="str">
        <f>VLOOKUP(Tabla6[[#This Row],[DIRECCIÓN]],DIRECCIÓN[#All],2,0)</f>
        <v>ADMINISTRACIÓN CENTRAL</v>
      </c>
      <c r="I1360" s="66" t="s">
        <v>97</v>
      </c>
      <c r="J1360" s="67">
        <v>3</v>
      </c>
      <c r="K1360" s="68" t="str">
        <f>VLOOKUP(Tabla6[[#This Row],[DIRECCIÓN GENERAL / COORDINACIÓN / SUBDIRECCIÓN]],Tabla37[[#All],[Columna1]:[EOD]],2,0)</f>
        <v>266_9999</v>
      </c>
      <c r="L1360" s="69">
        <f>VLOOKUP(Tabla6[[#This Row],[OBJETIVOS PND]],Listas!$A$1:$C$3,3,0)</f>
        <v>1</v>
      </c>
      <c r="M1360" s="70">
        <f>VLOOKUP(Tabla6[[#This Row],[PG]],Listas2!$G$14:$K$16,5,0)</f>
        <v>0</v>
      </c>
      <c r="N1360" s="71">
        <v>1</v>
      </c>
      <c r="O1360" s="72">
        <v>1701</v>
      </c>
      <c r="P1360" s="73" t="str">
        <f>VLOOKUP(Tabla6[[#This Row],[GEO]],Listas!$A$48:$B$77,2,0)</f>
        <v>QUITO</v>
      </c>
      <c r="Q1360" s="70">
        <f>VLOOKUP(Tabla6[[#This Row],[PG]],Listas2!$G$14:$K$16,3,0)</f>
        <v>1</v>
      </c>
      <c r="R1360" s="73">
        <f>VLOOKUP(Tabla6[[#This Row],[PG]],Listas2!H87:'Listas2'!$G$14:$K$16,4,0)</f>
        <v>0</v>
      </c>
      <c r="S1360" s="73">
        <f>VLOOKUP(Tabla6[[#This Row],[PG]],Listas2!$G$14:$K$16,2,0)</f>
        <v>0</v>
      </c>
      <c r="T1360" s="66" t="s">
        <v>84</v>
      </c>
      <c r="U1360" s="74">
        <v>53</v>
      </c>
      <c r="V1360" s="66">
        <v>530502</v>
      </c>
      <c r="W1360" s="63" t="str">
        <f>VLOOKUP(Tabla6[[#This Row],[ÍTEM PRESUPUESTARIO]],Tabla2[#All],2,0)</f>
        <v>EDIFICIOS, LOCALES Y RESIDENCIAS, PARQUEADEROS, CASILLEROS JUDICIALES Y BANCARIOS (ARRENDAMIENTO)</v>
      </c>
      <c r="X1360" s="57">
        <v>100</v>
      </c>
      <c r="Y1360" s="57">
        <f>100-80-9.25-9.25</f>
        <v>1.5</v>
      </c>
      <c r="Z1360" s="58">
        <v>0</v>
      </c>
      <c r="AA1360" s="58">
        <v>0</v>
      </c>
      <c r="AB1360" s="58">
        <v>0</v>
      </c>
      <c r="AC1360" s="58">
        <v>0</v>
      </c>
      <c r="AD1360" s="58">
        <v>0</v>
      </c>
      <c r="AE1360" s="58">
        <v>0</v>
      </c>
      <c r="AF1360" s="58">
        <v>0</v>
      </c>
      <c r="AG1360" s="58">
        <v>0</v>
      </c>
      <c r="AH1360" s="58">
        <v>0</v>
      </c>
      <c r="AI1360" s="58">
        <v>0</v>
      </c>
      <c r="AJ1360" s="58">
        <v>0</v>
      </c>
      <c r="AK1360" s="58">
        <v>1.5</v>
      </c>
      <c r="AL1360" s="75">
        <f>+SUBTOTAL(9,Tabla6[[#This Row],[ENE]:[DIC]])</f>
        <v>1.5</v>
      </c>
      <c r="AM1360" s="76" t="str">
        <f t="shared" si="58"/>
        <v>OK</v>
      </c>
      <c r="AN1360" s="60">
        <v>1.5</v>
      </c>
      <c r="AO1360" s="61">
        <f>+Tabla6[[#This Row],[PRESUPUESTO VIGENTE]]-Tabla6[[#This Row],[CERTIFICACIÓN PAPP]]</f>
        <v>0</v>
      </c>
      <c r="AP1360" s="59">
        <v>0</v>
      </c>
    </row>
    <row r="1361" spans="1:42" ht="93" customHeight="1" x14ac:dyDescent="0.25">
      <c r="A1361" s="62" t="s">
        <v>78</v>
      </c>
      <c r="B1361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361" s="64" t="s">
        <v>79</v>
      </c>
      <c r="D1361" s="64" t="s">
        <v>154</v>
      </c>
      <c r="E1361" s="64" t="s">
        <v>114</v>
      </c>
      <c r="F1361" s="64" t="s">
        <v>11</v>
      </c>
      <c r="G1361" s="64" t="s">
        <v>12</v>
      </c>
      <c r="H1361" s="65" t="str">
        <f>VLOOKUP(Tabla6[[#This Row],[DIRECCIÓN]],DIRECCIÓN[#All],2,0)</f>
        <v>ADMINISTRACIÓN CENTRAL</v>
      </c>
      <c r="I1361" s="66" t="s">
        <v>155</v>
      </c>
      <c r="J1361" s="67">
        <v>1</v>
      </c>
      <c r="K1361" s="68" t="str">
        <f>VLOOKUP(Tabla6[[#This Row],[DIRECCIÓN GENERAL / COORDINACIÓN / SUBDIRECCIÓN]],Tabla37[[#All],[Columna1]:[EOD]],2,0)</f>
        <v>266_9999</v>
      </c>
      <c r="L1361" s="69">
        <f>VLOOKUP(Tabla6[[#This Row],[OBJETIVOS PND]],Listas!$A$1:$C$3,3,0)</f>
        <v>1</v>
      </c>
      <c r="M1361" s="70">
        <f>VLOOKUP(Tabla6[[#This Row],[PG]],Listas2!$G$14:$K$16,5,0)</f>
        <v>0</v>
      </c>
      <c r="N1361" s="71">
        <v>1</v>
      </c>
      <c r="O1361" s="72">
        <v>1701</v>
      </c>
      <c r="P1361" s="73" t="str">
        <f>VLOOKUP(Tabla6[[#This Row],[GEO]],Listas!$A$48:$B$77,2,0)</f>
        <v>QUITO</v>
      </c>
      <c r="Q1361" s="70">
        <f>VLOOKUP(Tabla6[[#This Row],[PG]],Listas2!$G$14:$K$16,3,0)</f>
        <v>1</v>
      </c>
      <c r="R1361" s="73">
        <f>VLOOKUP(Tabla6[[#This Row],[PG]],Listas2!H88:'Listas2'!$G$14:$K$16,4,0)</f>
        <v>0</v>
      </c>
      <c r="S1361" s="73">
        <f>VLOOKUP(Tabla6[[#This Row],[PG]],Listas2!$G$14:$K$16,2,0)</f>
        <v>0</v>
      </c>
      <c r="T1361" s="66" t="s">
        <v>84</v>
      </c>
      <c r="U1361" s="74">
        <v>53</v>
      </c>
      <c r="V1361" s="66">
        <v>530702</v>
      </c>
      <c r="W1361" s="63" t="str">
        <f>VLOOKUP(Tabla6[[#This Row],[ÍTEM PRESUPUESTARIO]],Tabla2[#All],2,0)</f>
        <v>ARRENDAMIENTO Y LICENCIAS DE USO DE PAQUETES INFORMÁTICOS</v>
      </c>
      <c r="X1361" s="57">
        <v>999</v>
      </c>
      <c r="Y1361" s="57">
        <f>999-374.4-74.4</f>
        <v>550.20000000000005</v>
      </c>
      <c r="Z1361" s="58">
        <v>0</v>
      </c>
      <c r="AA1361" s="58">
        <v>0</v>
      </c>
      <c r="AB1361" s="58">
        <v>0</v>
      </c>
      <c r="AC1361" s="58">
        <v>0</v>
      </c>
      <c r="AD1361" s="58">
        <v>0</v>
      </c>
      <c r="AE1361" s="58">
        <v>550.20000000000005</v>
      </c>
      <c r="AF1361" s="58">
        <v>0</v>
      </c>
      <c r="AG1361" s="58">
        <v>0</v>
      </c>
      <c r="AH1361" s="58">
        <v>0</v>
      </c>
      <c r="AI1361" s="58">
        <v>0</v>
      </c>
      <c r="AJ1361" s="58">
        <v>0</v>
      </c>
      <c r="AK1361" s="58">
        <v>0</v>
      </c>
      <c r="AL1361" s="75">
        <f>+SUBTOTAL(9,Tabla6[[#This Row],[ENE]:[DIC]])</f>
        <v>550.20000000000005</v>
      </c>
      <c r="AM1361" s="76" t="str">
        <f t="shared" si="58"/>
        <v>OK</v>
      </c>
      <c r="AN1361" s="60">
        <f>564.9-14.7</f>
        <v>550.19999999999993</v>
      </c>
      <c r="AO1361" s="61">
        <f>+Tabla6[[#This Row],[PRESUPUESTO VIGENTE]]-Tabla6[[#This Row],[CERTIFICACIÓN PAPP]]</f>
        <v>0</v>
      </c>
      <c r="AP1361" s="59">
        <v>0</v>
      </c>
    </row>
    <row r="1362" spans="1:42" ht="93" customHeight="1" x14ac:dyDescent="0.25">
      <c r="A1362" s="62" t="s">
        <v>78</v>
      </c>
      <c r="B1362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362" s="64" t="s">
        <v>79</v>
      </c>
      <c r="D1362" s="64" t="s">
        <v>154</v>
      </c>
      <c r="E1362" s="64" t="s">
        <v>114</v>
      </c>
      <c r="F1362" s="64" t="s">
        <v>4</v>
      </c>
      <c r="G1362" s="64" t="s">
        <v>5</v>
      </c>
      <c r="H1362" s="65" t="str">
        <f>VLOOKUP(Tabla6[[#This Row],[DIRECCIÓN]],DIRECCIÓN[#All],2,0)</f>
        <v>ADMINISTRACIÓN CENTRAL</v>
      </c>
      <c r="I1362" s="66" t="s">
        <v>97</v>
      </c>
      <c r="J1362" s="67">
        <v>1</v>
      </c>
      <c r="K1362" s="68" t="str">
        <f>VLOOKUP(Tabla6[[#This Row],[DIRECCIÓN GENERAL / COORDINACIÓN / SUBDIRECCIÓN]],Tabla37[[#All],[Columna1]:[EOD]],2,0)</f>
        <v>266_9999</v>
      </c>
      <c r="L1362" s="69">
        <f>VLOOKUP(Tabla6[[#This Row],[OBJETIVOS PND]],Listas!$A$1:$C$3,3,0)</f>
        <v>1</v>
      </c>
      <c r="M1362" s="70">
        <f>VLOOKUP(Tabla6[[#This Row],[PG]],Listas2!$G$14:$K$16,5,0)</f>
        <v>0</v>
      </c>
      <c r="N1362" s="71">
        <v>1</v>
      </c>
      <c r="O1362" s="72">
        <v>1701</v>
      </c>
      <c r="P1362" s="73" t="str">
        <f>VLOOKUP(Tabla6[[#This Row],[GEO]],Listas!$A$48:$B$77,2,0)</f>
        <v>QUITO</v>
      </c>
      <c r="Q1362" s="70">
        <f>VLOOKUP(Tabla6[[#This Row],[PG]],Listas2!$G$14:$K$16,3,0)</f>
        <v>1</v>
      </c>
      <c r="R1362" s="73">
        <f>VLOOKUP(Tabla6[[#This Row],[PG]],Listas2!H1213:'Listas2'!$G$14:$K$16,4,0)</f>
        <v>0</v>
      </c>
      <c r="S1362" s="73">
        <f>VLOOKUP(Tabla6[[#This Row],[PG]],Listas2!$G$14:$K$16,2,0)</f>
        <v>0</v>
      </c>
      <c r="T1362" s="66" t="s">
        <v>84</v>
      </c>
      <c r="U1362" s="74">
        <v>53</v>
      </c>
      <c r="V1362" s="66">
        <v>530702</v>
      </c>
      <c r="W1362" s="63" t="str">
        <f>VLOOKUP(Tabla6[[#This Row],[ÍTEM PRESUPUESTARIO]],Tabla2[#All],2,0)</f>
        <v>ARRENDAMIENTO Y LICENCIAS DE USO DE PAQUETES INFORMÁTICOS</v>
      </c>
      <c r="X1362" s="57">
        <v>0</v>
      </c>
      <c r="Y1362" s="57">
        <v>56</v>
      </c>
      <c r="Z1362" s="58">
        <v>0</v>
      </c>
      <c r="AA1362" s="58">
        <v>0</v>
      </c>
      <c r="AB1362" s="58">
        <v>0</v>
      </c>
      <c r="AC1362" s="58">
        <v>0</v>
      </c>
      <c r="AD1362" s="58">
        <v>0</v>
      </c>
      <c r="AE1362" s="58">
        <v>0</v>
      </c>
      <c r="AF1362" s="58">
        <v>0</v>
      </c>
      <c r="AG1362" s="58">
        <v>0</v>
      </c>
      <c r="AH1362" s="58">
        <v>56</v>
      </c>
      <c r="AI1362" s="58">
        <v>0</v>
      </c>
      <c r="AJ1362" s="58">
        <v>0</v>
      </c>
      <c r="AK1362" s="58">
        <v>0</v>
      </c>
      <c r="AL1362" s="75">
        <f>+SUBTOTAL(9,Tabla6[[#This Row],[ENE]:[DIC]])</f>
        <v>56</v>
      </c>
      <c r="AM1362" s="76" t="str">
        <f t="shared" si="58"/>
        <v>OK</v>
      </c>
      <c r="AN1362" s="60">
        <v>56</v>
      </c>
      <c r="AO1362" s="61">
        <f>+Tabla6[[#This Row],[PRESUPUESTO VIGENTE]]-Tabla6[[#This Row],[CERTIFICACIÓN PAPP]]</f>
        <v>0</v>
      </c>
      <c r="AP1362" s="59">
        <v>0</v>
      </c>
    </row>
    <row r="1363" spans="1:42" ht="93" customHeight="1" x14ac:dyDescent="0.25">
      <c r="A1363" s="62" t="s">
        <v>78</v>
      </c>
      <c r="B1363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363" s="64" t="s">
        <v>79</v>
      </c>
      <c r="D1363" s="64" t="s">
        <v>113</v>
      </c>
      <c r="E1363" s="64" t="s">
        <v>114</v>
      </c>
      <c r="F1363" s="64" t="s">
        <v>4</v>
      </c>
      <c r="G1363" s="64" t="s">
        <v>7</v>
      </c>
      <c r="H1363" s="65" t="str">
        <f>VLOOKUP(Tabla6[[#This Row],[DIRECCIÓN]],DIRECCIÓN[#All],2,0)</f>
        <v>ADMINISTRACIÓN CENTRAL</v>
      </c>
      <c r="I1363" s="66" t="s">
        <v>156</v>
      </c>
      <c r="J1363" s="67">
        <v>1</v>
      </c>
      <c r="K1363" s="68" t="str">
        <f>VLOOKUP(Tabla6[[#This Row],[DIRECCIÓN GENERAL / COORDINACIÓN / SUBDIRECCIÓN]],Tabla37[[#All],[Columna1]:[EOD]],2,0)</f>
        <v>266_9999</v>
      </c>
      <c r="L1363" s="69">
        <f>VLOOKUP(Tabla6[[#This Row],[OBJETIVOS PND]],Listas!$A$1:$C$3,3,0)</f>
        <v>1</v>
      </c>
      <c r="M1363" s="70">
        <f>VLOOKUP(Tabla6[[#This Row],[PG]],Listas2!$G$14:$K$16,5,0)</f>
        <v>0</v>
      </c>
      <c r="N1363" s="71">
        <v>1</v>
      </c>
      <c r="O1363" s="72">
        <v>1701</v>
      </c>
      <c r="P1363" s="73" t="str">
        <f>VLOOKUP(Tabla6[[#This Row],[GEO]],Listas!$A$48:$B$77,2,0)</f>
        <v>QUITO</v>
      </c>
      <c r="Q1363" s="70">
        <f>VLOOKUP(Tabla6[[#This Row],[PG]],Listas2!$G$14:$K$16,3,0)</f>
        <v>1</v>
      </c>
      <c r="R1363" s="73">
        <f>VLOOKUP(Tabla6[[#This Row],[PG]],Listas2!H89:'Listas2'!$G$14:$K$16,4,0)</f>
        <v>0</v>
      </c>
      <c r="S1363" s="73">
        <f>VLOOKUP(Tabla6[[#This Row],[PG]],Listas2!$G$14:$K$16,2,0)</f>
        <v>0</v>
      </c>
      <c r="T1363" s="66" t="s">
        <v>84</v>
      </c>
      <c r="U1363" s="74">
        <v>53</v>
      </c>
      <c r="V1363" s="66">
        <v>530702</v>
      </c>
      <c r="W1363" s="63" t="str">
        <f>VLOOKUP(Tabla6[[#This Row],[ÍTEM PRESUPUESTARIO]],Tabla2[#All],2,0)</f>
        <v>ARRENDAMIENTO Y LICENCIAS DE USO DE PAQUETES INFORMÁTICOS</v>
      </c>
      <c r="X1363" s="57">
        <v>300</v>
      </c>
      <c r="Y1363" s="57">
        <v>300</v>
      </c>
      <c r="Z1363" s="58">
        <v>0</v>
      </c>
      <c r="AA1363" s="58">
        <v>0</v>
      </c>
      <c r="AB1363" s="58">
        <v>0</v>
      </c>
      <c r="AC1363" s="58">
        <v>0</v>
      </c>
      <c r="AD1363" s="58">
        <v>0</v>
      </c>
      <c r="AE1363" s="58">
        <v>0</v>
      </c>
      <c r="AF1363" s="58">
        <v>0</v>
      </c>
      <c r="AG1363" s="58">
        <v>0</v>
      </c>
      <c r="AH1363" s="58">
        <v>300</v>
      </c>
      <c r="AI1363" s="58">
        <v>0</v>
      </c>
      <c r="AJ1363" s="58">
        <v>0</v>
      </c>
      <c r="AK1363" s="58">
        <v>0</v>
      </c>
      <c r="AL1363" s="75">
        <f>+SUBTOTAL(9,Tabla6[[#This Row],[ENE]:[DIC]])</f>
        <v>300</v>
      </c>
      <c r="AM1363" s="76" t="str">
        <f t="shared" si="58"/>
        <v>OK</v>
      </c>
      <c r="AN1363" s="60">
        <v>300</v>
      </c>
      <c r="AO1363" s="61">
        <f>+Tabla6[[#This Row],[PRESUPUESTO VIGENTE]]-Tabla6[[#This Row],[CERTIFICACIÓN PAPP]]</f>
        <v>0</v>
      </c>
      <c r="AP1363" s="59">
        <v>0</v>
      </c>
    </row>
    <row r="1364" spans="1:42" ht="93" customHeight="1" x14ac:dyDescent="0.25">
      <c r="A1364" s="62" t="s">
        <v>78</v>
      </c>
      <c r="B1364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364" s="64" t="s">
        <v>79</v>
      </c>
      <c r="D1364" s="64" t="s">
        <v>115</v>
      </c>
      <c r="E1364" s="64" t="s">
        <v>114</v>
      </c>
      <c r="F1364" s="64" t="s">
        <v>4</v>
      </c>
      <c r="G1364" s="64" t="s">
        <v>5</v>
      </c>
      <c r="H1364" s="65" t="str">
        <f>VLOOKUP(Tabla6[[#This Row],[DIRECCIÓN]],DIRECCIÓN[#All],2,0)</f>
        <v>ADMINISTRACIÓN CENTRAL</v>
      </c>
      <c r="I1364" s="66" t="s">
        <v>97</v>
      </c>
      <c r="J1364" s="67">
        <v>3</v>
      </c>
      <c r="K1364" s="68" t="str">
        <f>VLOOKUP(Tabla6[[#This Row],[DIRECCIÓN GENERAL / COORDINACIÓN / SUBDIRECCIÓN]],Tabla37[[#All],[Columna1]:[EOD]],2,0)</f>
        <v>266_9999</v>
      </c>
      <c r="L1364" s="69">
        <f>VLOOKUP(Tabla6[[#This Row],[OBJETIVOS PND]],Listas!$A$1:$C$3,3,0)</f>
        <v>1</v>
      </c>
      <c r="M1364" s="70">
        <f>VLOOKUP(Tabla6[[#This Row],[PG]],Listas2!$G$14:$K$16,5,0)</f>
        <v>0</v>
      </c>
      <c r="N1364" s="71">
        <v>1</v>
      </c>
      <c r="O1364" s="72">
        <v>1701</v>
      </c>
      <c r="P1364" s="73" t="str">
        <f>VLOOKUP(Tabla6[[#This Row],[GEO]],Listas!$A$48:$B$77,2,0)</f>
        <v>QUITO</v>
      </c>
      <c r="Q1364" s="70">
        <f>VLOOKUP(Tabla6[[#This Row],[PG]],Listas2!$G$14:$K$16,3,0)</f>
        <v>1</v>
      </c>
      <c r="R1364" s="73">
        <f>VLOOKUP(Tabla6[[#This Row],[PG]],Listas2!H90:'Listas2'!$G$14:$K$16,4,0)</f>
        <v>0</v>
      </c>
      <c r="S1364" s="73">
        <f>VLOOKUP(Tabla6[[#This Row],[PG]],Listas2!$G$14:$K$16,2,0)</f>
        <v>0</v>
      </c>
      <c r="T1364" s="66" t="s">
        <v>84</v>
      </c>
      <c r="U1364" s="74">
        <v>53</v>
      </c>
      <c r="V1364" s="66">
        <v>530801</v>
      </c>
      <c r="W1364" s="63" t="str">
        <f>VLOOKUP(Tabla6[[#This Row],[ÍTEM PRESUPUESTARIO]],Tabla2[#All],2,0)</f>
        <v>ALIMENTOS Y BEBIDAS</v>
      </c>
      <c r="X1364" s="57">
        <v>100</v>
      </c>
      <c r="Y1364" s="57">
        <f>100+400+500-310.98-226.85</f>
        <v>462.16999999999996</v>
      </c>
      <c r="Z1364" s="58">
        <v>0</v>
      </c>
      <c r="AA1364" s="58">
        <v>0</v>
      </c>
      <c r="AB1364" s="58">
        <v>0</v>
      </c>
      <c r="AC1364" s="58">
        <v>0</v>
      </c>
      <c r="AD1364" s="58">
        <v>0</v>
      </c>
      <c r="AE1364" s="58">
        <v>0</v>
      </c>
      <c r="AF1364" s="58">
        <v>0</v>
      </c>
      <c r="AG1364" s="58">
        <v>0</v>
      </c>
      <c r="AH1364" s="58">
        <v>0</v>
      </c>
      <c r="AI1364" s="58">
        <v>0</v>
      </c>
      <c r="AJ1364" s="58">
        <v>0</v>
      </c>
      <c r="AK1364" s="58">
        <v>462.17</v>
      </c>
      <c r="AL1364" s="75">
        <f>+SUBTOTAL(9,Tabla6[[#This Row],[ENE]:[DIC]])</f>
        <v>462.17</v>
      </c>
      <c r="AM1364" s="76" t="str">
        <f t="shared" si="58"/>
        <v>OK</v>
      </c>
      <c r="AN1364" s="60">
        <f>274.18+20+76.43+7.42+79.36+4.78</f>
        <v>462.17</v>
      </c>
      <c r="AO1364" s="61">
        <f>+Tabla6[[#This Row],[PRESUPUESTO VIGENTE]]-Tabla6[[#This Row],[CERTIFICACIÓN PAPP]]</f>
        <v>0</v>
      </c>
      <c r="AP1364" s="59">
        <v>0</v>
      </c>
    </row>
    <row r="1365" spans="1:42" ht="93" customHeight="1" x14ac:dyDescent="0.25">
      <c r="A1365" s="62" t="s">
        <v>78</v>
      </c>
      <c r="B1365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365" s="64" t="s">
        <v>79</v>
      </c>
      <c r="D1365" s="64" t="s">
        <v>115</v>
      </c>
      <c r="E1365" s="64" t="s">
        <v>114</v>
      </c>
      <c r="F1365" s="64" t="s">
        <v>4</v>
      </c>
      <c r="G1365" s="64" t="s">
        <v>5</v>
      </c>
      <c r="H1365" s="65" t="str">
        <f>VLOOKUP(Tabla6[[#This Row],[DIRECCIÓN]],DIRECCIÓN[#All],2,0)</f>
        <v>ADMINISTRACIÓN CENTRAL</v>
      </c>
      <c r="I1365" s="66" t="s">
        <v>138</v>
      </c>
      <c r="J1365" s="67">
        <v>1</v>
      </c>
      <c r="K1365" s="68" t="str">
        <f>VLOOKUP(Tabla6[[#This Row],[DIRECCIÓN GENERAL / COORDINACIÓN / SUBDIRECCIÓN]],Tabla37[[#All],[Columna1]:[EOD]],2,0)</f>
        <v>266_9999</v>
      </c>
      <c r="L1365" s="69">
        <f>VLOOKUP(Tabla6[[#This Row],[OBJETIVOS PND]],Listas!$A$1:$C$3,3,0)</f>
        <v>1</v>
      </c>
      <c r="M1365" s="70">
        <f>VLOOKUP(Tabla6[[#This Row],[PG]],Listas2!$G$14:$K$16,5,0)</f>
        <v>0</v>
      </c>
      <c r="N1365" s="71">
        <v>1</v>
      </c>
      <c r="O1365" s="72">
        <v>1701</v>
      </c>
      <c r="P1365" s="73" t="str">
        <f>VLOOKUP(Tabla6[[#This Row],[GEO]],Listas!$A$48:$B$77,2,0)</f>
        <v>QUITO</v>
      </c>
      <c r="Q1365" s="70">
        <f>VLOOKUP(Tabla6[[#This Row],[PG]],Listas2!$G$14:$K$16,3,0)</f>
        <v>1</v>
      </c>
      <c r="R1365" s="73">
        <f>VLOOKUP(Tabla6[[#This Row],[PG]],Listas2!H91:'Listas2'!$G$14:$K$16,4,0)</f>
        <v>0</v>
      </c>
      <c r="S1365" s="73">
        <f>VLOOKUP(Tabla6[[#This Row],[PG]],Listas2!$G$14:$K$16,2,0)</f>
        <v>0</v>
      </c>
      <c r="T1365" s="66" t="s">
        <v>84</v>
      </c>
      <c r="U1365" s="74">
        <v>53</v>
      </c>
      <c r="V1365" s="66">
        <v>530801</v>
      </c>
      <c r="W1365" s="63" t="str">
        <f>VLOOKUP(Tabla6[[#This Row],[ÍTEM PRESUPUESTARIO]],Tabla2[#All],2,0)</f>
        <v>ALIMENTOS Y BEBIDAS</v>
      </c>
      <c r="X1365" s="57">
        <v>0</v>
      </c>
      <c r="Y1365" s="57">
        <f>500-500</f>
        <v>0</v>
      </c>
      <c r="Z1365" s="58">
        <v>0</v>
      </c>
      <c r="AA1365" s="58">
        <v>0</v>
      </c>
      <c r="AB1365" s="58">
        <v>0</v>
      </c>
      <c r="AC1365" s="58">
        <v>0</v>
      </c>
      <c r="AD1365" s="58">
        <v>0</v>
      </c>
      <c r="AE1365" s="58">
        <v>0</v>
      </c>
      <c r="AF1365" s="58">
        <v>0</v>
      </c>
      <c r="AG1365" s="58">
        <v>0</v>
      </c>
      <c r="AH1365" s="58">
        <v>0</v>
      </c>
      <c r="AI1365" s="58">
        <v>0</v>
      </c>
      <c r="AJ1365" s="58">
        <v>0</v>
      </c>
      <c r="AK1365" s="58">
        <v>0</v>
      </c>
      <c r="AL1365" s="75">
        <f>+SUBTOTAL(9,Tabla6[[#This Row],[ENE]:[DIC]])</f>
        <v>0</v>
      </c>
      <c r="AM1365" s="76" t="str">
        <f t="shared" si="58"/>
        <v>OK</v>
      </c>
      <c r="AN1365" s="60">
        <f>500-500</f>
        <v>0</v>
      </c>
      <c r="AO1365" s="61">
        <f>+Tabla6[[#This Row],[PRESUPUESTO VIGENTE]]-Tabla6[[#This Row],[CERTIFICACIÓN PAPP]]</f>
        <v>0</v>
      </c>
      <c r="AP1365" s="59">
        <v>0</v>
      </c>
    </row>
    <row r="1366" spans="1:42" ht="93" customHeight="1" x14ac:dyDescent="0.25">
      <c r="A1366" s="62" t="s">
        <v>78</v>
      </c>
      <c r="B1366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366" s="64" t="s">
        <v>79</v>
      </c>
      <c r="D1366" s="64" t="s">
        <v>132</v>
      </c>
      <c r="E1366" s="64" t="s">
        <v>114</v>
      </c>
      <c r="F1366" s="64" t="s">
        <v>4</v>
      </c>
      <c r="G1366" s="64" t="s">
        <v>6</v>
      </c>
      <c r="H1366" s="65" t="str">
        <f>VLOOKUP(Tabla6[[#This Row],[DIRECCIÓN]],DIRECCIÓN[#All],2,0)</f>
        <v>ADMINISTRACIÓN CENTRAL</v>
      </c>
      <c r="I1366" s="66" t="s">
        <v>157</v>
      </c>
      <c r="J1366" s="67">
        <v>1</v>
      </c>
      <c r="K1366" s="68" t="str">
        <f>VLOOKUP(Tabla6[[#This Row],[DIRECCIÓN GENERAL / COORDINACIÓN / SUBDIRECCIÓN]],Tabla37[[#All],[Columna1]:[EOD]],2,0)</f>
        <v>266_9999</v>
      </c>
      <c r="L1366" s="69">
        <f>VLOOKUP(Tabla6[[#This Row],[OBJETIVOS PND]],Listas!$A$1:$C$3,3,0)</f>
        <v>1</v>
      </c>
      <c r="M1366" s="70">
        <f>VLOOKUP(Tabla6[[#This Row],[PG]],Listas2!$G$14:$K$16,5,0)</f>
        <v>0</v>
      </c>
      <c r="N1366" s="71">
        <v>1</v>
      </c>
      <c r="O1366" s="72">
        <v>1701</v>
      </c>
      <c r="P1366" s="73" t="str">
        <f>VLOOKUP(Tabla6[[#This Row],[GEO]],Listas!$A$48:$B$77,2,0)</f>
        <v>QUITO</v>
      </c>
      <c r="Q1366" s="70">
        <f>VLOOKUP(Tabla6[[#This Row],[PG]],Listas2!$G$14:$K$16,3,0)</f>
        <v>1</v>
      </c>
      <c r="R1366" s="73">
        <f>VLOOKUP(Tabla6[[#This Row],[PG]],Listas2!H92:'Listas2'!$G$14:$K$16,4,0)</f>
        <v>0</v>
      </c>
      <c r="S1366" s="73">
        <f>VLOOKUP(Tabla6[[#This Row],[PG]],Listas2!$G$14:$K$16,2,0)</f>
        <v>0</v>
      </c>
      <c r="T1366" s="66" t="s">
        <v>84</v>
      </c>
      <c r="U1366" s="74">
        <v>53</v>
      </c>
      <c r="V1366" s="66">
        <v>530802</v>
      </c>
      <c r="W1366" s="63" t="str">
        <f>VLOOKUP(Tabla6[[#This Row],[ÍTEM PRESUPUESTARIO]],Tabla2[#All],2,0)</f>
        <v>VESTUARIO, LENCERÍA, PRENDAS DE PROTECCIÓN Y ACCESORIOS PARA UNIFORMES DEL PERSONAL DE PROTECCIÓN, VIGILANCIA Y SEGURIDAD</v>
      </c>
      <c r="X1366" s="57">
        <v>2720</v>
      </c>
      <c r="Y1366" s="57">
        <f>2720-2720+2720-208.27</f>
        <v>2511.73</v>
      </c>
      <c r="Z1366" s="58">
        <v>0</v>
      </c>
      <c r="AA1366" s="58">
        <v>0</v>
      </c>
      <c r="AB1366" s="58">
        <v>0</v>
      </c>
      <c r="AC1366" s="58">
        <v>0</v>
      </c>
      <c r="AD1366" s="58">
        <v>0</v>
      </c>
      <c r="AE1366" s="58">
        <v>0</v>
      </c>
      <c r="AF1366" s="58">
        <v>0</v>
      </c>
      <c r="AG1366" s="58">
        <v>2511.73</v>
      </c>
      <c r="AH1366" s="58">
        <v>0</v>
      </c>
      <c r="AI1366" s="58">
        <v>0</v>
      </c>
      <c r="AJ1366" s="58">
        <v>0</v>
      </c>
      <c r="AK1366" s="58">
        <v>0</v>
      </c>
      <c r="AL1366" s="75">
        <f>+SUBTOTAL(9,Tabla6[[#This Row],[ENE]:[DIC]])</f>
        <v>2511.73</v>
      </c>
      <c r="AM1366" s="76" t="str">
        <f t="shared" si="58"/>
        <v>OK</v>
      </c>
      <c r="AN1366" s="60">
        <f>2516.91-5.18</f>
        <v>2511.73</v>
      </c>
      <c r="AO1366" s="61">
        <f>+Tabla6[[#This Row],[PRESUPUESTO VIGENTE]]-Tabla6[[#This Row],[CERTIFICACIÓN PAPP]]</f>
        <v>0</v>
      </c>
      <c r="AP1366" s="59">
        <v>0</v>
      </c>
    </row>
    <row r="1367" spans="1:42" ht="93" customHeight="1" x14ac:dyDescent="0.25">
      <c r="A1367" s="62" t="s">
        <v>78</v>
      </c>
      <c r="B1367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367" s="64" t="s">
        <v>79</v>
      </c>
      <c r="D1367" s="64" t="s">
        <v>115</v>
      </c>
      <c r="E1367" s="64" t="s">
        <v>114</v>
      </c>
      <c r="F1367" s="64" t="s">
        <v>4</v>
      </c>
      <c r="G1367" s="64" t="s">
        <v>5</v>
      </c>
      <c r="H1367" s="65" t="str">
        <f>VLOOKUP(Tabla6[[#This Row],[DIRECCIÓN]],DIRECCIÓN[#All],2,0)</f>
        <v>ADMINISTRACIÓN CENTRAL</v>
      </c>
      <c r="I1367" s="66" t="s">
        <v>158</v>
      </c>
      <c r="J1367" s="67">
        <v>1</v>
      </c>
      <c r="K1367" s="68" t="str">
        <f>VLOOKUP(Tabla6[[#This Row],[DIRECCIÓN GENERAL / COORDINACIÓN / SUBDIRECCIÓN]],Tabla37[[#All],[Columna1]:[EOD]],2,0)</f>
        <v>266_9999</v>
      </c>
      <c r="L1367" s="69">
        <f>VLOOKUP(Tabla6[[#This Row],[OBJETIVOS PND]],Listas!$A$1:$C$3,3,0)</f>
        <v>1</v>
      </c>
      <c r="M1367" s="70">
        <f>VLOOKUP(Tabla6[[#This Row],[PG]],Listas2!$G$14:$K$16,5,0)</f>
        <v>0</v>
      </c>
      <c r="N1367" s="71">
        <v>1</v>
      </c>
      <c r="O1367" s="72">
        <v>1701</v>
      </c>
      <c r="P1367" s="73" t="str">
        <f>VLOOKUP(Tabla6[[#This Row],[GEO]],Listas!$A$48:$B$77,2,0)</f>
        <v>QUITO</v>
      </c>
      <c r="Q1367" s="70">
        <f>VLOOKUP(Tabla6[[#This Row],[PG]],Listas2!$G$14:$K$16,3,0)</f>
        <v>1</v>
      </c>
      <c r="R1367" s="73">
        <f>VLOOKUP(Tabla6[[#This Row],[PG]],Listas2!H93:'Listas2'!$G$14:$K$16,4,0)</f>
        <v>0</v>
      </c>
      <c r="S1367" s="73">
        <f>VLOOKUP(Tabla6[[#This Row],[PG]],Listas2!$G$14:$K$16,2,0)</f>
        <v>0</v>
      </c>
      <c r="T1367" s="66" t="s">
        <v>84</v>
      </c>
      <c r="U1367" s="74">
        <v>53</v>
      </c>
      <c r="V1367" s="66">
        <v>530804</v>
      </c>
      <c r="W1367" s="63" t="str">
        <f>VLOOKUP(Tabla6[[#This Row],[ÍTEM PRESUPUESTARIO]],Tabla2[#All],2,0)</f>
        <v>MATERIALES DE OFICINA</v>
      </c>
      <c r="X1367" s="57">
        <v>9189</v>
      </c>
      <c r="Y1367" s="57">
        <f>9189-5189-4000+6000+800-1410.81-1399.97-1480.26</f>
        <v>2508.96</v>
      </c>
      <c r="Z1367" s="58">
        <v>0</v>
      </c>
      <c r="AA1367" s="58">
        <v>0</v>
      </c>
      <c r="AB1367" s="58">
        <v>0</v>
      </c>
      <c r="AC1367" s="58">
        <v>0</v>
      </c>
      <c r="AD1367" s="58">
        <v>0</v>
      </c>
      <c r="AE1367" s="58">
        <v>0</v>
      </c>
      <c r="AF1367" s="58">
        <v>0</v>
      </c>
      <c r="AG1367" s="58">
        <v>0</v>
      </c>
      <c r="AH1367" s="58">
        <v>0</v>
      </c>
      <c r="AI1367" s="58">
        <v>2508.96</v>
      </c>
      <c r="AJ1367" s="58">
        <v>0</v>
      </c>
      <c r="AK1367" s="58">
        <v>0</v>
      </c>
      <c r="AL1367" s="75">
        <f>+SUBTOTAL(9,Tabla6[[#This Row],[ENE]:[DIC]])</f>
        <v>2508.96</v>
      </c>
      <c r="AM1367" s="76" t="str">
        <f t="shared" si="58"/>
        <v>OK</v>
      </c>
      <c r="AN1367" s="60">
        <f>3732.72+256.5-1480.26</f>
        <v>2508.96</v>
      </c>
      <c r="AO1367" s="61">
        <f>+Tabla6[[#This Row],[PRESUPUESTO VIGENTE]]-Tabla6[[#This Row],[CERTIFICACIÓN PAPP]]</f>
        <v>0</v>
      </c>
      <c r="AP1367" s="59">
        <v>0</v>
      </c>
    </row>
    <row r="1368" spans="1:42" ht="93" customHeight="1" x14ac:dyDescent="0.25">
      <c r="A1368" s="62" t="s">
        <v>78</v>
      </c>
      <c r="B1368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368" s="64" t="s">
        <v>79</v>
      </c>
      <c r="D1368" s="64" t="s">
        <v>115</v>
      </c>
      <c r="E1368" s="64" t="s">
        <v>114</v>
      </c>
      <c r="F1368" s="64" t="s">
        <v>4</v>
      </c>
      <c r="G1368" s="64" t="s">
        <v>5</v>
      </c>
      <c r="H1368" s="65" t="str">
        <f>VLOOKUP(Tabla6[[#This Row],[DIRECCIÓN]],DIRECCIÓN[#All],2,0)</f>
        <v>ADMINISTRACIÓN CENTRAL</v>
      </c>
      <c r="I1368" s="66" t="s">
        <v>159</v>
      </c>
      <c r="J1368" s="67">
        <v>1</v>
      </c>
      <c r="K1368" s="68" t="str">
        <f>VLOOKUP(Tabla6[[#This Row],[DIRECCIÓN GENERAL / COORDINACIÓN / SUBDIRECCIÓN]],Tabla37[[#All],[Columna1]:[EOD]],2,0)</f>
        <v>266_9999</v>
      </c>
      <c r="L1368" s="69">
        <f>VLOOKUP(Tabla6[[#This Row],[OBJETIVOS PND]],Listas!$A$1:$C$3,3,0)</f>
        <v>1</v>
      </c>
      <c r="M1368" s="70">
        <f>VLOOKUP(Tabla6[[#This Row],[PG]],Listas2!$G$14:$K$16,5,0)</f>
        <v>0</v>
      </c>
      <c r="N1368" s="71">
        <v>1</v>
      </c>
      <c r="O1368" s="72">
        <v>1701</v>
      </c>
      <c r="P1368" s="73" t="str">
        <f>VLOOKUP(Tabla6[[#This Row],[GEO]],Listas!$A$48:$B$77,2,0)</f>
        <v>QUITO</v>
      </c>
      <c r="Q1368" s="70">
        <f>VLOOKUP(Tabla6[[#This Row],[PG]],Listas2!$G$14:$K$16,3,0)</f>
        <v>1</v>
      </c>
      <c r="R1368" s="73">
        <f>VLOOKUP(Tabla6[[#This Row],[PG]],Listas2!H1252:'Listas2'!$G$14:$K$16,4,0)</f>
        <v>0</v>
      </c>
      <c r="S1368" s="73">
        <f>VLOOKUP(Tabla6[[#This Row],[PG]],Listas2!$G$14:$K$16,2,0)</f>
        <v>0</v>
      </c>
      <c r="T1368" s="66" t="s">
        <v>84</v>
      </c>
      <c r="U1368" s="74">
        <v>53</v>
      </c>
      <c r="V1368" s="66">
        <v>530804</v>
      </c>
      <c r="W1368" s="63" t="str">
        <f>VLOOKUP(Tabla6[[#This Row],[ÍTEM PRESUPUESTARIO]],Tabla2[#All],2,0)</f>
        <v>MATERIALES DE OFICINA</v>
      </c>
      <c r="X1368" s="57">
        <v>0</v>
      </c>
      <c r="Y1368" s="57">
        <f>4000-4000</f>
        <v>0</v>
      </c>
      <c r="Z1368" s="58">
        <v>0</v>
      </c>
      <c r="AA1368" s="58">
        <v>0</v>
      </c>
      <c r="AB1368" s="58">
        <v>0</v>
      </c>
      <c r="AC1368" s="58">
        <v>0</v>
      </c>
      <c r="AD1368" s="58">
        <v>0</v>
      </c>
      <c r="AE1368" s="58">
        <v>0</v>
      </c>
      <c r="AF1368" s="58">
        <v>0</v>
      </c>
      <c r="AG1368" s="58">
        <v>0</v>
      </c>
      <c r="AH1368" s="58">
        <v>0</v>
      </c>
      <c r="AI1368" s="58">
        <v>0</v>
      </c>
      <c r="AJ1368" s="58">
        <v>0</v>
      </c>
      <c r="AK1368" s="58">
        <v>0</v>
      </c>
      <c r="AL1368" s="75">
        <f>+SUBTOTAL(9,Tabla6[[#This Row],[ENE]:[DIC]])</f>
        <v>0</v>
      </c>
      <c r="AM1368" s="76" t="str">
        <f t="shared" si="58"/>
        <v>OK</v>
      </c>
      <c r="AN1368" s="60">
        <v>0</v>
      </c>
      <c r="AO1368" s="61">
        <f>+Tabla6[[#This Row],[PRESUPUESTO VIGENTE]]-Tabla6[[#This Row],[CERTIFICACIÓN PAPP]]</f>
        <v>0</v>
      </c>
      <c r="AP1368" s="59">
        <v>0</v>
      </c>
    </row>
    <row r="1369" spans="1:42" ht="93" customHeight="1" x14ac:dyDescent="0.25">
      <c r="A1369" s="62" t="s">
        <v>78</v>
      </c>
      <c r="B1369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369" s="64" t="s">
        <v>79</v>
      </c>
      <c r="D1369" s="64" t="s">
        <v>115</v>
      </c>
      <c r="E1369" s="64" t="s">
        <v>114</v>
      </c>
      <c r="F1369" s="64" t="s">
        <v>4</v>
      </c>
      <c r="G1369" s="64" t="s">
        <v>5</v>
      </c>
      <c r="H1369" s="65" t="str">
        <f>VLOOKUP(Tabla6[[#This Row],[DIRECCIÓN]],DIRECCIÓN[#All],2,0)</f>
        <v>ADMINISTRACIÓN CENTRAL</v>
      </c>
      <c r="I1369" s="66" t="s">
        <v>97</v>
      </c>
      <c r="J1369" s="67">
        <v>3</v>
      </c>
      <c r="K1369" s="68" t="str">
        <f>VLOOKUP(Tabla6[[#This Row],[DIRECCIÓN GENERAL / COORDINACIÓN / SUBDIRECCIÓN]],Tabla37[[#All],[Columna1]:[EOD]],2,0)</f>
        <v>266_9999</v>
      </c>
      <c r="L1369" s="69">
        <f>VLOOKUP(Tabla6[[#This Row],[OBJETIVOS PND]],Listas!$A$1:$C$3,3,0)</f>
        <v>1</v>
      </c>
      <c r="M1369" s="70">
        <f>VLOOKUP(Tabla6[[#This Row],[PG]],Listas2!$G$14:$K$16,5,0)</f>
        <v>0</v>
      </c>
      <c r="N1369" s="71">
        <v>1</v>
      </c>
      <c r="O1369" s="72">
        <v>1701</v>
      </c>
      <c r="P1369" s="73" t="str">
        <f>VLOOKUP(Tabla6[[#This Row],[GEO]],Listas!$A$48:$B$77,2,0)</f>
        <v>QUITO</v>
      </c>
      <c r="Q1369" s="70">
        <f>VLOOKUP(Tabla6[[#This Row],[PG]],Listas2!$G$14:$K$16,3,0)</f>
        <v>1</v>
      </c>
      <c r="R1369" s="73">
        <f>VLOOKUP(Tabla6[[#This Row],[PG]],Listas2!H94:'Listas2'!$G$14:$K$16,4,0)</f>
        <v>0</v>
      </c>
      <c r="S1369" s="73">
        <f>VLOOKUP(Tabla6[[#This Row],[PG]],Listas2!$G$14:$K$16,2,0)</f>
        <v>0</v>
      </c>
      <c r="T1369" s="66" t="s">
        <v>84</v>
      </c>
      <c r="U1369" s="74">
        <v>53</v>
      </c>
      <c r="V1369" s="66">
        <v>530804</v>
      </c>
      <c r="W1369" s="63" t="str">
        <f>VLOOKUP(Tabla6[[#This Row],[ÍTEM PRESUPUESTARIO]],Tabla2[#All],2,0)</f>
        <v>MATERIALES DE OFICINA</v>
      </c>
      <c r="X1369" s="57">
        <v>100</v>
      </c>
      <c r="Y1369" s="57">
        <f>100-70-0.03-10.82</f>
        <v>19.149999999999999</v>
      </c>
      <c r="Z1369" s="58">
        <v>0</v>
      </c>
      <c r="AA1369" s="58">
        <v>0</v>
      </c>
      <c r="AB1369" s="58">
        <v>0</v>
      </c>
      <c r="AC1369" s="58">
        <v>0</v>
      </c>
      <c r="AD1369" s="58">
        <v>0</v>
      </c>
      <c r="AE1369" s="58">
        <v>0</v>
      </c>
      <c r="AF1369" s="58">
        <v>0</v>
      </c>
      <c r="AG1369" s="58">
        <v>0</v>
      </c>
      <c r="AH1369" s="58">
        <v>0</v>
      </c>
      <c r="AI1369" s="58">
        <v>0</v>
      </c>
      <c r="AJ1369" s="58">
        <v>0</v>
      </c>
      <c r="AK1369" s="58">
        <v>19.149999999999999</v>
      </c>
      <c r="AL1369" s="75">
        <f>+SUBTOTAL(9,Tabla6[[#This Row],[ENE]:[DIC]])</f>
        <v>19.149999999999999</v>
      </c>
      <c r="AM1369" s="76" t="str">
        <f t="shared" si="58"/>
        <v>OK</v>
      </c>
      <c r="AN1369" s="60">
        <v>19.149999999999999</v>
      </c>
      <c r="AO1369" s="61">
        <f>+Tabla6[[#This Row],[PRESUPUESTO VIGENTE]]-Tabla6[[#This Row],[CERTIFICACIÓN PAPP]]</f>
        <v>0</v>
      </c>
      <c r="AP1369" s="59">
        <v>0</v>
      </c>
    </row>
    <row r="1370" spans="1:42" ht="93" customHeight="1" x14ac:dyDescent="0.25">
      <c r="A1370" s="62" t="s">
        <v>78</v>
      </c>
      <c r="B1370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370" s="64" t="s">
        <v>79</v>
      </c>
      <c r="D1370" s="64" t="s">
        <v>115</v>
      </c>
      <c r="E1370" s="64" t="s">
        <v>114</v>
      </c>
      <c r="F1370" s="64" t="s">
        <v>4</v>
      </c>
      <c r="G1370" s="64" t="s">
        <v>5</v>
      </c>
      <c r="H1370" s="65" t="str">
        <f>VLOOKUP(Tabla6[[#This Row],[DIRECCIÓN]],DIRECCIÓN[#All],2,0)</f>
        <v>ADMINISTRACIÓN CENTRAL</v>
      </c>
      <c r="I1370" s="66" t="s">
        <v>160</v>
      </c>
      <c r="J1370" s="67">
        <v>1</v>
      </c>
      <c r="K1370" s="68" t="str">
        <f>VLOOKUP(Tabla6[[#This Row],[DIRECCIÓN GENERAL / COORDINACIÓN / SUBDIRECCIÓN]],Tabla37[[#All],[Columna1]:[EOD]],2,0)</f>
        <v>266_9999</v>
      </c>
      <c r="L1370" s="69">
        <f>VLOOKUP(Tabla6[[#This Row],[OBJETIVOS PND]],Listas!$A$1:$C$3,3,0)</f>
        <v>1</v>
      </c>
      <c r="M1370" s="70">
        <f>VLOOKUP(Tabla6[[#This Row],[PG]],Listas2!$G$14:$K$16,5,0)</f>
        <v>0</v>
      </c>
      <c r="N1370" s="71">
        <v>1</v>
      </c>
      <c r="O1370" s="72">
        <v>1701</v>
      </c>
      <c r="P1370" s="73" t="str">
        <f>VLOOKUP(Tabla6[[#This Row],[GEO]],Listas!$A$48:$B$77,2,0)</f>
        <v>QUITO</v>
      </c>
      <c r="Q1370" s="70">
        <f>VLOOKUP(Tabla6[[#This Row],[PG]],Listas2!$G$14:$K$16,3,0)</f>
        <v>1</v>
      </c>
      <c r="R1370" s="73">
        <f>VLOOKUP(Tabla6[[#This Row],[PG]],Listas2!H95:'Listas2'!$G$14:$K$16,4,0)</f>
        <v>0</v>
      </c>
      <c r="S1370" s="73">
        <f>VLOOKUP(Tabla6[[#This Row],[PG]],Listas2!$G$14:$K$16,2,0)</f>
        <v>0</v>
      </c>
      <c r="T1370" s="66" t="s">
        <v>84</v>
      </c>
      <c r="U1370" s="74">
        <v>53</v>
      </c>
      <c r="V1370" s="66">
        <v>530805</v>
      </c>
      <c r="W1370" s="63" t="str">
        <f>VLOOKUP(Tabla6[[#This Row],[ÍTEM PRESUPUESTARIO]],Tabla2[#All],2,0)</f>
        <v>MATERIALES DE ASEO</v>
      </c>
      <c r="X1370" s="57">
        <v>2000</v>
      </c>
      <c r="Y1370" s="57">
        <f>2000-2000+2000+4000-3001.65-1199.19</f>
        <v>1799.1599999999999</v>
      </c>
      <c r="Z1370" s="58">
        <v>0</v>
      </c>
      <c r="AA1370" s="58">
        <v>0</v>
      </c>
      <c r="AB1370" s="58">
        <v>0</v>
      </c>
      <c r="AC1370" s="58">
        <v>0</v>
      </c>
      <c r="AD1370" s="58">
        <v>0</v>
      </c>
      <c r="AE1370" s="58">
        <v>0</v>
      </c>
      <c r="AF1370" s="58">
        <v>0</v>
      </c>
      <c r="AG1370" s="58">
        <v>0</v>
      </c>
      <c r="AH1370" s="58">
        <v>0</v>
      </c>
      <c r="AI1370" s="58">
        <v>1799.16</v>
      </c>
      <c r="AJ1370" s="58">
        <v>0</v>
      </c>
      <c r="AK1370" s="58">
        <v>0</v>
      </c>
      <c r="AL1370" s="75">
        <f>+SUBTOTAL(9,Tabla6[[#This Row],[ENE]:[DIC]])</f>
        <v>1799.16</v>
      </c>
      <c r="AM1370" s="76" t="str">
        <f t="shared" si="58"/>
        <v>OK</v>
      </c>
      <c r="AN1370" s="60">
        <v>1799.16</v>
      </c>
      <c r="AO1370" s="61">
        <f>+Tabla6[[#This Row],[PRESUPUESTO VIGENTE]]-Tabla6[[#This Row],[CERTIFICACIÓN PAPP]]</f>
        <v>0</v>
      </c>
      <c r="AP1370" s="59">
        <v>0</v>
      </c>
    </row>
    <row r="1371" spans="1:42" ht="93" customHeight="1" x14ac:dyDescent="0.25">
      <c r="A1371" s="62" t="s">
        <v>78</v>
      </c>
      <c r="B1371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371" s="64" t="s">
        <v>79</v>
      </c>
      <c r="D1371" s="64" t="s">
        <v>115</v>
      </c>
      <c r="E1371" s="64" t="s">
        <v>114</v>
      </c>
      <c r="F1371" s="64" t="s">
        <v>4</v>
      </c>
      <c r="G1371" s="64" t="s">
        <v>5</v>
      </c>
      <c r="H1371" s="65" t="str">
        <f>VLOOKUP(Tabla6[[#This Row],[DIRECCIÓN]],DIRECCIÓN[#All],2,0)</f>
        <v>ADMINISTRACIÓN CENTRAL</v>
      </c>
      <c r="I1371" s="66" t="s">
        <v>97</v>
      </c>
      <c r="J1371" s="67">
        <v>3</v>
      </c>
      <c r="K1371" s="68" t="str">
        <f>VLOOKUP(Tabla6[[#This Row],[DIRECCIÓN GENERAL / COORDINACIÓN / SUBDIRECCIÓN]],Tabla37[[#All],[Columna1]:[EOD]],2,0)</f>
        <v>266_9999</v>
      </c>
      <c r="L1371" s="69">
        <f>VLOOKUP(Tabla6[[#This Row],[OBJETIVOS PND]],Listas!$A$1:$C$3,3,0)</f>
        <v>1</v>
      </c>
      <c r="M1371" s="70">
        <f>VLOOKUP(Tabla6[[#This Row],[PG]],Listas2!$G$14:$K$16,5,0)</f>
        <v>0</v>
      </c>
      <c r="N1371" s="71">
        <v>1</v>
      </c>
      <c r="O1371" s="72">
        <v>1701</v>
      </c>
      <c r="P1371" s="73" t="str">
        <f>VLOOKUP(Tabla6[[#This Row],[GEO]],Listas!$A$48:$B$77,2,0)</f>
        <v>QUITO</v>
      </c>
      <c r="Q1371" s="70">
        <f>VLOOKUP(Tabla6[[#This Row],[PG]],Listas2!$G$14:$K$16,3,0)</f>
        <v>1</v>
      </c>
      <c r="R1371" s="73">
        <f>VLOOKUP(Tabla6[[#This Row],[PG]],Listas2!H96:'Listas2'!$G$14:$K$16,4,0)</f>
        <v>0</v>
      </c>
      <c r="S1371" s="73">
        <f>VLOOKUP(Tabla6[[#This Row],[PG]],Listas2!$G$14:$K$16,2,0)</f>
        <v>0</v>
      </c>
      <c r="T1371" s="66" t="s">
        <v>84</v>
      </c>
      <c r="U1371" s="74">
        <v>53</v>
      </c>
      <c r="V1371" s="66">
        <v>530805</v>
      </c>
      <c r="W1371" s="63" t="str">
        <f>VLOOKUP(Tabla6[[#This Row],[ÍTEM PRESUPUESTARIO]],Tabla2[#All],2,0)</f>
        <v>MATERIALES DE ASEO</v>
      </c>
      <c r="X1371" s="57">
        <v>101</v>
      </c>
      <c r="Y1371" s="57">
        <f>101-41+70-54.7</f>
        <v>75.3</v>
      </c>
      <c r="Z1371" s="58">
        <v>0</v>
      </c>
      <c r="AA1371" s="58">
        <v>0</v>
      </c>
      <c r="AB1371" s="58">
        <v>0</v>
      </c>
      <c r="AC1371" s="58">
        <v>0</v>
      </c>
      <c r="AD1371" s="58">
        <v>0</v>
      </c>
      <c r="AE1371" s="58">
        <v>0</v>
      </c>
      <c r="AF1371" s="58">
        <v>0</v>
      </c>
      <c r="AG1371" s="58">
        <v>0</v>
      </c>
      <c r="AH1371" s="58">
        <v>0</v>
      </c>
      <c r="AI1371" s="58">
        <v>0</v>
      </c>
      <c r="AJ1371" s="58">
        <v>0</v>
      </c>
      <c r="AK1371" s="58">
        <v>75.3</v>
      </c>
      <c r="AL1371" s="75">
        <f>+SUBTOTAL(9,Tabla6[[#This Row],[ENE]:[DIC]])</f>
        <v>75.3</v>
      </c>
      <c r="AM1371" s="76" t="str">
        <f t="shared" si="58"/>
        <v>OK</v>
      </c>
      <c r="AN1371" s="60">
        <f>40.06+4.8+10.56+1.27+16.61+2</f>
        <v>75.300000000000011</v>
      </c>
      <c r="AO1371" s="61">
        <f>+Tabla6[[#This Row],[PRESUPUESTO VIGENTE]]-Tabla6[[#This Row],[CERTIFICACIÓN PAPP]]</f>
        <v>0</v>
      </c>
      <c r="AP1371" s="59">
        <v>0</v>
      </c>
    </row>
    <row r="1372" spans="1:42" ht="93" customHeight="1" x14ac:dyDescent="0.25">
      <c r="A1372" s="62" t="s">
        <v>78</v>
      </c>
      <c r="B1372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372" s="64" t="s">
        <v>79</v>
      </c>
      <c r="D1372" s="64" t="s">
        <v>115</v>
      </c>
      <c r="E1372" s="64" t="s">
        <v>114</v>
      </c>
      <c r="F1372" s="64" t="s">
        <v>4</v>
      </c>
      <c r="G1372" s="64" t="s">
        <v>5</v>
      </c>
      <c r="H1372" s="65" t="str">
        <f>VLOOKUP(Tabla6[[#This Row],[DIRECCIÓN]],DIRECCIÓN[#All],2,0)</f>
        <v>ADMINISTRACIÓN CENTRAL</v>
      </c>
      <c r="I1372" s="66" t="s">
        <v>161</v>
      </c>
      <c r="J1372" s="67">
        <v>1</v>
      </c>
      <c r="K1372" s="68" t="str">
        <f>VLOOKUP(Tabla6[[#This Row],[DIRECCIÓN GENERAL / COORDINACIÓN / SUBDIRECCIÓN]],Tabla37[[#All],[Columna1]:[EOD]],2,0)</f>
        <v>266_9999</v>
      </c>
      <c r="L1372" s="69">
        <f>VLOOKUP(Tabla6[[#This Row],[OBJETIVOS PND]],Listas!$A$1:$C$3,3,0)</f>
        <v>1</v>
      </c>
      <c r="M1372" s="70">
        <f>VLOOKUP(Tabla6[[#This Row],[PG]],Listas2!$G$14:$K$16,5,0)</f>
        <v>0</v>
      </c>
      <c r="N1372" s="71">
        <v>1</v>
      </c>
      <c r="O1372" s="72">
        <v>1701</v>
      </c>
      <c r="P1372" s="73" t="str">
        <f>VLOOKUP(Tabla6[[#This Row],[GEO]],Listas!$A$48:$B$77,2,0)</f>
        <v>QUITO</v>
      </c>
      <c r="Q1372" s="70">
        <f>VLOOKUP(Tabla6[[#This Row],[PG]],Listas2!$G$14:$K$16,3,0)</f>
        <v>1</v>
      </c>
      <c r="R1372" s="73">
        <f>VLOOKUP(Tabla6[[#This Row],[PG]],Listas2!H97:'Listas2'!$G$14:$K$16,4,0)</f>
        <v>0</v>
      </c>
      <c r="S1372" s="73">
        <f>VLOOKUP(Tabla6[[#This Row],[PG]],Listas2!$G$14:$K$16,2,0)</f>
        <v>0</v>
      </c>
      <c r="T1372" s="66" t="s">
        <v>84</v>
      </c>
      <c r="U1372" s="74">
        <v>53</v>
      </c>
      <c r="V1372" s="66">
        <v>530807</v>
      </c>
      <c r="W1372" s="63" t="str">
        <f>VLOOKUP(Tabla6[[#This Row],[ÍTEM PRESUPUESTARIO]],Tabla2[#All],2,0)</f>
        <v>MATERIALES DE IMPRESIÓN, FOTOGRAFÍA, REPRODUCCIÓN Y PUBLICACIONES</v>
      </c>
      <c r="X1372" s="57">
        <v>45000</v>
      </c>
      <c r="Y1372" s="57">
        <f>45000-10848.2+3500-2092.05-897.59-1194.46</f>
        <v>33467.700000000004</v>
      </c>
      <c r="Z1372" s="58">
        <v>0</v>
      </c>
      <c r="AA1372" s="58">
        <v>0</v>
      </c>
      <c r="AB1372" s="58">
        <v>0</v>
      </c>
      <c r="AC1372" s="58">
        <v>0</v>
      </c>
      <c r="AD1372" s="58">
        <v>0</v>
      </c>
      <c r="AE1372" s="58">
        <v>0</v>
      </c>
      <c r="AF1372" s="58">
        <v>0</v>
      </c>
      <c r="AG1372" s="58">
        <v>33467.699999999997</v>
      </c>
      <c r="AH1372" s="58">
        <v>0</v>
      </c>
      <c r="AI1372" s="58">
        <v>0</v>
      </c>
      <c r="AJ1372" s="58">
        <v>0</v>
      </c>
      <c r="AK1372" s="58">
        <v>0</v>
      </c>
      <c r="AL1372" s="75">
        <f>+SUBTOTAL(9,Tabla6[[#This Row],[ENE]:[DIC]])</f>
        <v>33467.699999999997</v>
      </c>
      <c r="AM1372" s="76" t="str">
        <f t="shared" si="58"/>
        <v>OK</v>
      </c>
      <c r="AN1372" s="60">
        <f>34151.8-684.1</f>
        <v>33467.700000000004</v>
      </c>
      <c r="AO1372" s="61">
        <f>+Tabla6[[#This Row],[PRESUPUESTO VIGENTE]]-Tabla6[[#This Row],[CERTIFICACIÓN PAPP]]</f>
        <v>0</v>
      </c>
      <c r="AP1372" s="59">
        <v>0</v>
      </c>
    </row>
    <row r="1373" spans="1:42" ht="93" customHeight="1" x14ac:dyDescent="0.25">
      <c r="A1373" s="62" t="s">
        <v>78</v>
      </c>
      <c r="B1373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373" s="64" t="s">
        <v>79</v>
      </c>
      <c r="D1373" s="64" t="s">
        <v>132</v>
      </c>
      <c r="E1373" s="64" t="s">
        <v>114</v>
      </c>
      <c r="F1373" s="64" t="s">
        <v>4</v>
      </c>
      <c r="G1373" s="64" t="s">
        <v>6</v>
      </c>
      <c r="H1373" s="65" t="str">
        <f>VLOOKUP(Tabla6[[#This Row],[DIRECCIÓN]],DIRECCIÓN[#All],2,0)</f>
        <v>ADMINISTRACIÓN CENTRAL</v>
      </c>
      <c r="I1373" s="66" t="s">
        <v>162</v>
      </c>
      <c r="J1373" s="67">
        <v>1</v>
      </c>
      <c r="K1373" s="68" t="str">
        <f>VLOOKUP(Tabla6[[#This Row],[DIRECCIÓN GENERAL / COORDINACIÓN / SUBDIRECCIÓN]],Tabla37[[#All],[Columna1]:[EOD]],2,0)</f>
        <v>266_9999</v>
      </c>
      <c r="L1373" s="69">
        <f>VLOOKUP(Tabla6[[#This Row],[OBJETIVOS PND]],Listas!$A$1:$C$3,3,0)</f>
        <v>1</v>
      </c>
      <c r="M1373" s="70">
        <f>VLOOKUP(Tabla6[[#This Row],[PG]],Listas2!$G$14:$K$16,5,0)</f>
        <v>0</v>
      </c>
      <c r="N1373" s="71">
        <v>1</v>
      </c>
      <c r="O1373" s="72">
        <v>1701</v>
      </c>
      <c r="P1373" s="73" t="str">
        <f>VLOOKUP(Tabla6[[#This Row],[GEO]],Listas!$A$48:$B$77,2,0)</f>
        <v>QUITO</v>
      </c>
      <c r="Q1373" s="70">
        <f>VLOOKUP(Tabla6[[#This Row],[PG]],Listas2!$G$14:$K$16,3,0)</f>
        <v>1</v>
      </c>
      <c r="R1373" s="73">
        <f>VLOOKUP(Tabla6[[#This Row],[PG]],Listas2!H98:'Listas2'!$G$14:$K$16,4,0)</f>
        <v>0</v>
      </c>
      <c r="S1373" s="73">
        <f>VLOOKUP(Tabla6[[#This Row],[PG]],Listas2!$G$14:$K$16,2,0)</f>
        <v>0</v>
      </c>
      <c r="T1373" s="66" t="s">
        <v>84</v>
      </c>
      <c r="U1373" s="74">
        <v>53</v>
      </c>
      <c r="V1373" s="66">
        <v>530809</v>
      </c>
      <c r="W1373" s="63" t="str">
        <f>VLOOKUP(Tabla6[[#This Row],[ÍTEM PRESUPUESTARIO]],Tabla2[#All],2,0)</f>
        <v>MEDICAMENTOS</v>
      </c>
      <c r="X1373" s="57">
        <v>1500</v>
      </c>
      <c r="Y1373" s="57">
        <f>1500-750+750-146.15</f>
        <v>1353.85</v>
      </c>
      <c r="Z1373" s="58">
        <v>0</v>
      </c>
      <c r="AA1373" s="58">
        <v>0</v>
      </c>
      <c r="AB1373" s="58">
        <v>0</v>
      </c>
      <c r="AC1373" s="58">
        <v>0</v>
      </c>
      <c r="AD1373" s="58">
        <v>0</v>
      </c>
      <c r="AE1373" s="58">
        <v>0</v>
      </c>
      <c r="AF1373" s="58">
        <v>0</v>
      </c>
      <c r="AG1373" s="58">
        <v>750</v>
      </c>
      <c r="AH1373" s="58">
        <v>0</v>
      </c>
      <c r="AI1373" s="58">
        <v>0</v>
      </c>
      <c r="AJ1373" s="58">
        <v>0</v>
      </c>
      <c r="AK1373" s="58">
        <v>603.85</v>
      </c>
      <c r="AL1373" s="75">
        <f>+SUBTOTAL(9,Tabla6[[#This Row],[ENE]:[DIC]])</f>
        <v>1353.85</v>
      </c>
      <c r="AM1373" s="76" t="str">
        <f t="shared" si="58"/>
        <v>OK</v>
      </c>
      <c r="AN1373" s="60">
        <v>1353.85</v>
      </c>
      <c r="AO1373" s="61">
        <f>+Tabla6[[#This Row],[PRESUPUESTO VIGENTE]]-Tabla6[[#This Row],[CERTIFICACIÓN PAPP]]</f>
        <v>0</v>
      </c>
      <c r="AP1373" s="59">
        <v>0</v>
      </c>
    </row>
    <row r="1374" spans="1:42" ht="93" customHeight="1" x14ac:dyDescent="0.25">
      <c r="A1374" s="62" t="s">
        <v>78</v>
      </c>
      <c r="B1374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374" s="64" t="s">
        <v>79</v>
      </c>
      <c r="D1374" s="64" t="s">
        <v>115</v>
      </c>
      <c r="E1374" s="64" t="s">
        <v>114</v>
      </c>
      <c r="F1374" s="64" t="s">
        <v>4</v>
      </c>
      <c r="G1374" s="64" t="s">
        <v>5</v>
      </c>
      <c r="H1374" s="65" t="str">
        <f>VLOOKUP(Tabla6[[#This Row],[DIRECCIÓN]],DIRECCIÓN[#All],2,0)</f>
        <v>ADMINISTRACIÓN CENTRAL</v>
      </c>
      <c r="I1374" s="66" t="s">
        <v>97</v>
      </c>
      <c r="J1374" s="67">
        <v>3</v>
      </c>
      <c r="K1374" s="68" t="str">
        <f>VLOOKUP(Tabla6[[#This Row],[DIRECCIÓN GENERAL / COORDINACIÓN / SUBDIRECCIÓN]],Tabla37[[#All],[Columna1]:[EOD]],2,0)</f>
        <v>266_9999</v>
      </c>
      <c r="L1374" s="69">
        <f>VLOOKUP(Tabla6[[#This Row],[OBJETIVOS PND]],Listas!$A$1:$C$3,3,0)</f>
        <v>1</v>
      </c>
      <c r="M1374" s="70">
        <f>VLOOKUP(Tabla6[[#This Row],[PG]],Listas2!$G$14:$K$16,5,0)</f>
        <v>0</v>
      </c>
      <c r="N1374" s="71">
        <v>1</v>
      </c>
      <c r="O1374" s="72">
        <v>1701</v>
      </c>
      <c r="P1374" s="73" t="str">
        <f>VLOOKUP(Tabla6[[#This Row],[GEO]],Listas!$A$48:$B$77,2,0)</f>
        <v>QUITO</v>
      </c>
      <c r="Q1374" s="70">
        <f>VLOOKUP(Tabla6[[#This Row],[PG]],Listas2!$G$14:$K$16,3,0)</f>
        <v>1</v>
      </c>
      <c r="R1374" s="73">
        <f>VLOOKUP(Tabla6[[#This Row],[PG]],Listas2!H99:'Listas2'!$G$14:$K$16,4,0)</f>
        <v>0</v>
      </c>
      <c r="S1374" s="73">
        <f>VLOOKUP(Tabla6[[#This Row],[PG]],Listas2!$G$14:$K$16,2,0)</f>
        <v>0</v>
      </c>
      <c r="T1374" s="66" t="s">
        <v>84</v>
      </c>
      <c r="U1374" s="74">
        <v>53</v>
      </c>
      <c r="V1374" s="66">
        <v>530811</v>
      </c>
      <c r="W1374" s="63" t="str">
        <f>VLOOKUP(Tabla6[[#This Row],[ÍTEM PRESUPUESTARIO]],Tabla2[#All],2,0)</f>
        <v>INSUMOS, MATERIALES Y SUMINISTROS PARA CONSTRUCCIÓN, ELECTRICIDAD, PLOMERÍA, CARPINTERÍA, SEÑALIZACIÓN VIAL, NAVEGACIÓN, CONTRA INCENDIOS Y PLACAS</v>
      </c>
      <c r="X1374" s="57">
        <v>1034</v>
      </c>
      <c r="Y1374" s="57">
        <f>1034-744.39</f>
        <v>289.61</v>
      </c>
      <c r="Z1374" s="58">
        <v>0</v>
      </c>
      <c r="AA1374" s="58">
        <v>0</v>
      </c>
      <c r="AB1374" s="58">
        <v>0</v>
      </c>
      <c r="AC1374" s="58">
        <v>0</v>
      </c>
      <c r="AD1374" s="58">
        <v>0</v>
      </c>
      <c r="AE1374" s="58">
        <v>0</v>
      </c>
      <c r="AF1374" s="58">
        <v>0</v>
      </c>
      <c r="AG1374" s="58">
        <v>0</v>
      </c>
      <c r="AH1374" s="58">
        <v>0</v>
      </c>
      <c r="AI1374" s="58">
        <v>0</v>
      </c>
      <c r="AJ1374" s="58">
        <v>0</v>
      </c>
      <c r="AK1374" s="58">
        <v>289.61</v>
      </c>
      <c r="AL1374" s="75">
        <f>+SUBTOTAL(9,Tabla6[[#This Row],[ENE]:[DIC]])</f>
        <v>289.61</v>
      </c>
      <c r="AM1374" s="76" t="str">
        <f t="shared" si="58"/>
        <v>OK</v>
      </c>
      <c r="AN1374" s="60">
        <f>289.85-0.24</f>
        <v>289.61</v>
      </c>
      <c r="AO1374" s="61">
        <f>+Tabla6[[#This Row],[PRESUPUESTO VIGENTE]]-Tabla6[[#This Row],[CERTIFICACIÓN PAPP]]</f>
        <v>0</v>
      </c>
      <c r="AP1374" s="59">
        <v>0</v>
      </c>
    </row>
    <row r="1375" spans="1:42" ht="93" customHeight="1" x14ac:dyDescent="0.25">
      <c r="A1375" s="62" t="s">
        <v>78</v>
      </c>
      <c r="B1375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375" s="64" t="s">
        <v>79</v>
      </c>
      <c r="D1375" s="64" t="s">
        <v>115</v>
      </c>
      <c r="E1375" s="64" t="s">
        <v>114</v>
      </c>
      <c r="F1375" s="64" t="s">
        <v>4</v>
      </c>
      <c r="G1375" s="64" t="s">
        <v>5</v>
      </c>
      <c r="H1375" s="65" t="str">
        <f>VLOOKUP(Tabla6[[#This Row],[DIRECCIÓN]],DIRECCIÓN[#All],2,0)</f>
        <v>ADMINISTRACIÓN CENTRAL</v>
      </c>
      <c r="I1375" s="66" t="s">
        <v>163</v>
      </c>
      <c r="J1375" s="67">
        <v>1</v>
      </c>
      <c r="K1375" s="68" t="str">
        <f>VLOOKUP(Tabla6[[#This Row],[DIRECCIÓN GENERAL / COORDINACIÓN / SUBDIRECCIÓN]],Tabla37[[#All],[Columna1]:[EOD]],2,0)</f>
        <v>266_9999</v>
      </c>
      <c r="L1375" s="69">
        <f>VLOOKUP(Tabla6[[#This Row],[OBJETIVOS PND]],Listas!$A$1:$C$3,3,0)</f>
        <v>1</v>
      </c>
      <c r="M1375" s="70">
        <f>VLOOKUP(Tabla6[[#This Row],[PG]],Listas2!$G$14:$K$16,5,0)</f>
        <v>0</v>
      </c>
      <c r="N1375" s="71">
        <v>1</v>
      </c>
      <c r="O1375" s="72">
        <v>1701</v>
      </c>
      <c r="P1375" s="73" t="str">
        <f>VLOOKUP(Tabla6[[#This Row],[GEO]],Listas!$A$48:$B$77,2,0)</f>
        <v>QUITO</v>
      </c>
      <c r="Q1375" s="70">
        <f>VLOOKUP(Tabla6[[#This Row],[PG]],Listas2!$G$14:$K$16,3,0)</f>
        <v>1</v>
      </c>
      <c r="R1375" s="73">
        <f>VLOOKUP(Tabla6[[#This Row],[PG]],Listas2!H100:'Listas2'!$G$14:$K$16,4,0)</f>
        <v>0</v>
      </c>
      <c r="S1375" s="73">
        <f>VLOOKUP(Tabla6[[#This Row],[PG]],Listas2!$G$14:$K$16,2,0)</f>
        <v>0</v>
      </c>
      <c r="T1375" s="66" t="s">
        <v>84</v>
      </c>
      <c r="U1375" s="74">
        <v>53</v>
      </c>
      <c r="V1375" s="66">
        <v>530811</v>
      </c>
      <c r="W1375" s="63" t="str">
        <f>VLOOKUP(Tabla6[[#This Row],[ÍTEM PRESUPUESTARIO]],Tabla2[#All],2,0)</f>
        <v>INSUMOS, MATERIALES Y SUMINISTROS PARA CONSTRUCCIÓN, ELECTRICIDAD, PLOMERÍA, CARPINTERÍA, SEÑALIZACIÓN VIAL, NAVEGACIÓN, CONTRA INCENDIOS Y PLACAS</v>
      </c>
      <c r="X1375" s="57">
        <v>10000</v>
      </c>
      <c r="Y1375" s="57">
        <f>10000-3600+5600-12000+27000-2712.95-1968.81</f>
        <v>22318.239999999998</v>
      </c>
      <c r="Z1375" s="58">
        <v>0</v>
      </c>
      <c r="AA1375" s="58">
        <v>0</v>
      </c>
      <c r="AB1375" s="58">
        <v>0</v>
      </c>
      <c r="AC1375" s="58">
        <v>0</v>
      </c>
      <c r="AD1375" s="58">
        <v>0</v>
      </c>
      <c r="AE1375" s="58">
        <v>0</v>
      </c>
      <c r="AF1375" s="58">
        <v>0</v>
      </c>
      <c r="AG1375" s="58">
        <v>0</v>
      </c>
      <c r="AH1375" s="58">
        <v>0</v>
      </c>
      <c r="AI1375" s="58">
        <v>0</v>
      </c>
      <c r="AJ1375" s="58">
        <v>22318.240000000002</v>
      </c>
      <c r="AK1375" s="58">
        <v>0</v>
      </c>
      <c r="AL1375" s="75">
        <f>+SUBTOTAL(9,Tabla6[[#This Row],[ENE]:[DIC]])</f>
        <v>22318.240000000002</v>
      </c>
      <c r="AM1375" s="76" t="str">
        <f t="shared" si="58"/>
        <v>OK</v>
      </c>
      <c r="AN1375" s="60">
        <v>22318.240000000002</v>
      </c>
      <c r="AO1375" s="61">
        <f>+Tabla6[[#This Row],[PRESUPUESTO VIGENTE]]-Tabla6[[#This Row],[CERTIFICACIÓN PAPP]]</f>
        <v>0</v>
      </c>
      <c r="AP1375" s="59" t="s">
        <v>87</v>
      </c>
    </row>
    <row r="1376" spans="1:42" ht="93" customHeight="1" x14ac:dyDescent="0.25">
      <c r="A1376" s="62" t="s">
        <v>78</v>
      </c>
      <c r="B1376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376" s="64" t="s">
        <v>79</v>
      </c>
      <c r="D1376" s="64" t="s">
        <v>115</v>
      </c>
      <c r="E1376" s="64" t="s">
        <v>114</v>
      </c>
      <c r="F1376" s="64" t="s">
        <v>4</v>
      </c>
      <c r="G1376" s="64" t="s">
        <v>5</v>
      </c>
      <c r="H1376" s="65" t="str">
        <f>VLOOKUP(Tabla6[[#This Row],[DIRECCIÓN]],DIRECCIÓN[#All],2,0)</f>
        <v>ADMINISTRACIÓN CENTRAL</v>
      </c>
      <c r="I1376" s="66" t="s">
        <v>97</v>
      </c>
      <c r="J1376" s="67">
        <v>3</v>
      </c>
      <c r="K1376" s="68" t="str">
        <f>VLOOKUP(Tabla6[[#This Row],[DIRECCIÓN GENERAL / COORDINACIÓN / SUBDIRECCIÓN]],Tabla37[[#All],[Columna1]:[EOD]],2,0)</f>
        <v>266_9999</v>
      </c>
      <c r="L1376" s="69">
        <f>VLOOKUP(Tabla6[[#This Row],[OBJETIVOS PND]],Listas!$A$1:$C$3,3,0)</f>
        <v>1</v>
      </c>
      <c r="M1376" s="70">
        <f>VLOOKUP(Tabla6[[#This Row],[PG]],Listas2!$G$14:$K$16,5,0)</f>
        <v>0</v>
      </c>
      <c r="N1376" s="71">
        <v>1</v>
      </c>
      <c r="O1376" s="72">
        <v>1701</v>
      </c>
      <c r="P1376" s="73" t="str">
        <f>VLOOKUP(Tabla6[[#This Row],[GEO]],Listas!$A$48:$B$77,2,0)</f>
        <v>QUITO</v>
      </c>
      <c r="Q1376" s="70">
        <f>VLOOKUP(Tabla6[[#This Row],[PG]],Listas2!$G$14:$K$16,3,0)</f>
        <v>1</v>
      </c>
      <c r="R1376" s="73">
        <f>VLOOKUP(Tabla6[[#This Row],[PG]],Listas2!H101:'Listas2'!$G$14:$K$16,4,0)</f>
        <v>0</v>
      </c>
      <c r="S1376" s="73">
        <f>VLOOKUP(Tabla6[[#This Row],[PG]],Listas2!$G$14:$K$16,2,0)</f>
        <v>0</v>
      </c>
      <c r="T1376" s="66" t="s">
        <v>84</v>
      </c>
      <c r="U1376" s="74">
        <v>53</v>
      </c>
      <c r="V1376" s="66">
        <v>530813</v>
      </c>
      <c r="W1376" s="63" t="str">
        <f>VLOOKUP(Tabla6[[#This Row],[ÍTEM PRESUPUESTARIO]],Tabla2[#All],2,0)</f>
        <v>REPUESTOS Y ACCESORIOS</v>
      </c>
      <c r="X1376" s="57">
        <v>115</v>
      </c>
      <c r="Y1376" s="57">
        <f>115+50-49.48</f>
        <v>115.52000000000001</v>
      </c>
      <c r="Z1376" s="58">
        <v>0</v>
      </c>
      <c r="AA1376" s="58">
        <v>0</v>
      </c>
      <c r="AB1376" s="58">
        <v>0</v>
      </c>
      <c r="AC1376" s="58">
        <v>0</v>
      </c>
      <c r="AD1376" s="58">
        <v>0</v>
      </c>
      <c r="AE1376" s="58">
        <v>0</v>
      </c>
      <c r="AF1376" s="58">
        <v>0</v>
      </c>
      <c r="AG1376" s="58">
        <v>0</v>
      </c>
      <c r="AH1376" s="58">
        <v>0</v>
      </c>
      <c r="AI1376" s="58">
        <v>0</v>
      </c>
      <c r="AJ1376" s="58">
        <v>0</v>
      </c>
      <c r="AK1376" s="58">
        <v>115.52</v>
      </c>
      <c r="AL1376" s="75">
        <f>+SUBTOTAL(9,Tabla6[[#This Row],[ENE]:[DIC]])</f>
        <v>115.52</v>
      </c>
      <c r="AM1376" s="76" t="str">
        <f t="shared" si="58"/>
        <v>OK</v>
      </c>
      <c r="AN1376" s="60">
        <v>115.52</v>
      </c>
      <c r="AO1376" s="61">
        <f>+Tabla6[[#This Row],[PRESUPUESTO VIGENTE]]-Tabla6[[#This Row],[CERTIFICACIÓN PAPP]]</f>
        <v>0</v>
      </c>
      <c r="AP1376" s="59">
        <v>0</v>
      </c>
    </row>
    <row r="1377" spans="1:42" ht="93" customHeight="1" x14ac:dyDescent="0.25">
      <c r="A1377" s="62" t="s">
        <v>78</v>
      </c>
      <c r="B1377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377" s="64" t="s">
        <v>79</v>
      </c>
      <c r="D1377" s="64" t="s">
        <v>115</v>
      </c>
      <c r="E1377" s="64" t="s">
        <v>114</v>
      </c>
      <c r="F1377" s="64" t="s">
        <v>4</v>
      </c>
      <c r="G1377" s="64" t="s">
        <v>5</v>
      </c>
      <c r="H1377" s="65" t="str">
        <f>VLOOKUP(Tabla6[[#This Row],[DIRECCIÓN]],DIRECCIÓN[#All],2,0)</f>
        <v>ADMINISTRACIÓN CENTRAL</v>
      </c>
      <c r="I1377" s="66" t="s">
        <v>138</v>
      </c>
      <c r="J1377" s="67">
        <v>1</v>
      </c>
      <c r="K1377" s="68" t="str">
        <f>VLOOKUP(Tabla6[[#This Row],[DIRECCIÓN GENERAL / COORDINACIÓN / SUBDIRECCIÓN]],Tabla37[[#All],[Columna1]:[EOD]],2,0)</f>
        <v>266_9999</v>
      </c>
      <c r="L1377" s="69">
        <f>VLOOKUP(Tabla6[[#This Row],[OBJETIVOS PND]],Listas!$A$1:$C$3,3,0)</f>
        <v>1</v>
      </c>
      <c r="M1377" s="70">
        <f>VLOOKUP(Tabla6[[#This Row],[PG]],Listas2!$G$14:$K$16,5,0)</f>
        <v>0</v>
      </c>
      <c r="N1377" s="71">
        <v>1</v>
      </c>
      <c r="O1377" s="72">
        <v>1701</v>
      </c>
      <c r="P1377" s="73" t="str">
        <f>VLOOKUP(Tabla6[[#This Row],[GEO]],Listas!$A$48:$B$77,2,0)</f>
        <v>QUITO</v>
      </c>
      <c r="Q1377" s="70">
        <f>VLOOKUP(Tabla6[[#This Row],[PG]],Listas2!$G$14:$K$16,3,0)</f>
        <v>1</v>
      </c>
      <c r="R1377" s="73">
        <f>VLOOKUP(Tabla6[[#This Row],[PG]],Listas2!H102:'Listas2'!$G$14:$K$16,4,0)</f>
        <v>0</v>
      </c>
      <c r="S1377" s="73">
        <f>VLOOKUP(Tabla6[[#This Row],[PG]],Listas2!$G$14:$K$16,2,0)</f>
        <v>0</v>
      </c>
      <c r="T1377" s="66" t="s">
        <v>84</v>
      </c>
      <c r="U1377" s="74">
        <v>53</v>
      </c>
      <c r="V1377" s="66">
        <v>530813</v>
      </c>
      <c r="W1377" s="63" t="str">
        <f>VLOOKUP(Tabla6[[#This Row],[ÍTEM PRESUPUESTARIO]],Tabla2[#All],2,0)</f>
        <v>REPUESTOS Y ACCESORIOS</v>
      </c>
      <c r="X1377" s="57">
        <v>0</v>
      </c>
      <c r="Y1377" s="57">
        <f>200-200</f>
        <v>0</v>
      </c>
      <c r="Z1377" s="58">
        <v>0</v>
      </c>
      <c r="AA1377" s="58">
        <v>0</v>
      </c>
      <c r="AB1377" s="58">
        <v>0</v>
      </c>
      <c r="AC1377" s="58">
        <v>0</v>
      </c>
      <c r="AD1377" s="58">
        <v>0</v>
      </c>
      <c r="AE1377" s="58">
        <v>0</v>
      </c>
      <c r="AF1377" s="58">
        <v>0</v>
      </c>
      <c r="AG1377" s="58">
        <v>0</v>
      </c>
      <c r="AH1377" s="58">
        <v>0</v>
      </c>
      <c r="AI1377" s="58">
        <v>0</v>
      </c>
      <c r="AJ1377" s="58">
        <v>0</v>
      </c>
      <c r="AK1377" s="58">
        <v>0</v>
      </c>
      <c r="AL1377" s="75">
        <f>+SUBTOTAL(9,Tabla6[[#This Row],[ENE]:[DIC]])</f>
        <v>0</v>
      </c>
      <c r="AM1377" s="76" t="str">
        <f t="shared" si="58"/>
        <v>OK</v>
      </c>
      <c r="AN1377" s="60">
        <v>0</v>
      </c>
      <c r="AO1377" s="61">
        <f>+Tabla6[[#This Row],[PRESUPUESTO VIGENTE]]-Tabla6[[#This Row],[CERTIFICACIÓN PAPP]]</f>
        <v>0</v>
      </c>
      <c r="AP1377" s="59">
        <v>0</v>
      </c>
    </row>
    <row r="1378" spans="1:42" ht="93" customHeight="1" x14ac:dyDescent="0.25">
      <c r="A1378" s="62" t="s">
        <v>78</v>
      </c>
      <c r="B1378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378" s="64" t="s">
        <v>79</v>
      </c>
      <c r="D1378" s="64" t="s">
        <v>115</v>
      </c>
      <c r="E1378" s="64" t="s">
        <v>114</v>
      </c>
      <c r="F1378" s="64" t="s">
        <v>4</v>
      </c>
      <c r="G1378" s="64" t="s">
        <v>5</v>
      </c>
      <c r="H1378" s="65" t="str">
        <f>VLOOKUP(Tabla6[[#This Row],[DIRECCIÓN]],DIRECCIÓN[#All],2,0)</f>
        <v>ADMINISTRACIÓN CENTRAL</v>
      </c>
      <c r="I1378" s="66" t="s">
        <v>164</v>
      </c>
      <c r="J1378" s="67">
        <v>1</v>
      </c>
      <c r="K1378" s="68" t="str">
        <f>VLOOKUP(Tabla6[[#This Row],[DIRECCIÓN GENERAL / COORDINACIÓN / SUBDIRECCIÓN]],Tabla37[[#All],[Columna1]:[EOD]],2,0)</f>
        <v>266_9999</v>
      </c>
      <c r="L1378" s="69">
        <f>VLOOKUP(Tabla6[[#This Row],[OBJETIVOS PND]],Listas!$A$1:$C$3,3,0)</f>
        <v>1</v>
      </c>
      <c r="M1378" s="70">
        <f>VLOOKUP(Tabla6[[#This Row],[PG]],Listas2!$G$14:$K$16,5,0)</f>
        <v>0</v>
      </c>
      <c r="N1378" s="71">
        <v>1</v>
      </c>
      <c r="O1378" s="72">
        <v>1701</v>
      </c>
      <c r="P1378" s="73" t="str">
        <f>VLOOKUP(Tabla6[[#This Row],[GEO]],Listas!$A$48:$B$77,2,0)</f>
        <v>QUITO</v>
      </c>
      <c r="Q1378" s="70">
        <f>VLOOKUP(Tabla6[[#This Row],[PG]],Listas2!$G$14:$K$16,3,0)</f>
        <v>1</v>
      </c>
      <c r="R1378" s="73">
        <f>VLOOKUP(Tabla6[[#This Row],[PG]],Listas2!H103:'Listas2'!$G$14:$K$16,4,0)</f>
        <v>0</v>
      </c>
      <c r="S1378" s="73">
        <f>VLOOKUP(Tabla6[[#This Row],[PG]],Listas2!$G$14:$K$16,2,0)</f>
        <v>0</v>
      </c>
      <c r="T1378" s="66" t="s">
        <v>84</v>
      </c>
      <c r="U1378" s="74">
        <v>53</v>
      </c>
      <c r="V1378" s="66">
        <v>530813</v>
      </c>
      <c r="W1378" s="63" t="str">
        <f>VLOOKUP(Tabla6[[#This Row],[ÍTEM PRESUPUESTARIO]],Tabla2[#All],2,0)</f>
        <v>REPUESTOS Y ACCESORIOS</v>
      </c>
      <c r="X1378" s="57">
        <v>0</v>
      </c>
      <c r="Y1378" s="57">
        <f>20000-3000-5300</f>
        <v>11700</v>
      </c>
      <c r="Z1378" s="58">
        <v>0</v>
      </c>
      <c r="AA1378" s="58">
        <v>0</v>
      </c>
      <c r="AB1378" s="58">
        <v>0</v>
      </c>
      <c r="AC1378" s="58">
        <v>0</v>
      </c>
      <c r="AD1378" s="58">
        <v>0</v>
      </c>
      <c r="AE1378" s="58">
        <v>0</v>
      </c>
      <c r="AF1378" s="58">
        <v>0</v>
      </c>
      <c r="AG1378" s="58">
        <v>0</v>
      </c>
      <c r="AH1378" s="58">
        <v>11700</v>
      </c>
      <c r="AI1378" s="58">
        <v>0</v>
      </c>
      <c r="AJ1378" s="58">
        <v>0</v>
      </c>
      <c r="AK1378" s="58">
        <v>0</v>
      </c>
      <c r="AL1378" s="75">
        <f>+SUBTOTAL(9,Tabla6[[#This Row],[ENE]:[DIC]])</f>
        <v>11700</v>
      </c>
      <c r="AM1378" s="76" t="str">
        <f t="shared" si="58"/>
        <v>OK</v>
      </c>
      <c r="AN1378" s="60">
        <f>16984.8-5284.8</f>
        <v>11700</v>
      </c>
      <c r="AO1378" s="61">
        <f>+Tabla6[[#This Row],[PRESUPUESTO VIGENTE]]-Tabla6[[#This Row],[CERTIFICACIÓN PAPP]]</f>
        <v>0</v>
      </c>
      <c r="AP1378" s="59" t="s">
        <v>87</v>
      </c>
    </row>
    <row r="1379" spans="1:42" ht="93" customHeight="1" x14ac:dyDescent="0.25">
      <c r="A1379" s="62" t="s">
        <v>78</v>
      </c>
      <c r="B1379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379" s="64" t="s">
        <v>79</v>
      </c>
      <c r="D1379" s="64" t="s">
        <v>115</v>
      </c>
      <c r="E1379" s="64" t="s">
        <v>114</v>
      </c>
      <c r="F1379" s="64" t="s">
        <v>4</v>
      </c>
      <c r="G1379" s="64" t="s">
        <v>5</v>
      </c>
      <c r="H1379" s="65" t="str">
        <f>VLOOKUP(Tabla6[[#This Row],[DIRECCIÓN]],DIRECCIÓN[#All],2,0)</f>
        <v>ADMINISTRACIÓN CENTRAL</v>
      </c>
      <c r="I1379" s="66" t="s">
        <v>165</v>
      </c>
      <c r="J1379" s="67">
        <v>1</v>
      </c>
      <c r="K1379" s="68" t="str">
        <f>VLOOKUP(Tabla6[[#This Row],[DIRECCIÓN GENERAL / COORDINACIÓN / SUBDIRECCIÓN]],Tabla37[[#All],[Columna1]:[EOD]],2,0)</f>
        <v>266_9999</v>
      </c>
      <c r="L1379" s="69">
        <f>VLOOKUP(Tabla6[[#This Row],[OBJETIVOS PND]],Listas!$A$1:$C$3,3,0)</f>
        <v>1</v>
      </c>
      <c r="M1379" s="70">
        <f>VLOOKUP(Tabla6[[#This Row],[PG]],Listas2!$G$14:$K$16,5,0)</f>
        <v>0</v>
      </c>
      <c r="N1379" s="71">
        <v>1</v>
      </c>
      <c r="O1379" s="72">
        <v>1701</v>
      </c>
      <c r="P1379" s="73" t="str">
        <f>VLOOKUP(Tabla6[[#This Row],[GEO]],Listas!$A$48:$B$77,2,0)</f>
        <v>QUITO</v>
      </c>
      <c r="Q1379" s="70">
        <f>VLOOKUP(Tabla6[[#This Row],[PG]],Listas2!$G$14:$K$16,3,0)</f>
        <v>1</v>
      </c>
      <c r="R1379" s="73">
        <f>VLOOKUP(Tabla6[[#This Row],[PG]],Listas2!H1078:'Listas2'!$G$14:$K$16,4,0)</f>
        <v>0</v>
      </c>
      <c r="S1379" s="73">
        <f>VLOOKUP(Tabla6[[#This Row],[PG]],Listas2!$G$14:$K$16,2,0)</f>
        <v>0</v>
      </c>
      <c r="T1379" s="66" t="s">
        <v>84</v>
      </c>
      <c r="U1379" s="74">
        <v>53</v>
      </c>
      <c r="V1379" s="66">
        <v>530813</v>
      </c>
      <c r="W1379" s="63" t="str">
        <f>VLOOKUP(Tabla6[[#This Row],[ÍTEM PRESUPUESTARIO]],Tabla2[#All],2,0)</f>
        <v>REPUESTOS Y ACCESORIOS</v>
      </c>
      <c r="X1379" s="57">
        <v>0</v>
      </c>
      <c r="Y1379" s="57">
        <f>3000-3000</f>
        <v>0</v>
      </c>
      <c r="Z1379" s="58">
        <v>0</v>
      </c>
      <c r="AA1379" s="58">
        <v>0</v>
      </c>
      <c r="AB1379" s="58">
        <v>0</v>
      </c>
      <c r="AC1379" s="58">
        <v>0</v>
      </c>
      <c r="AD1379" s="58">
        <v>0</v>
      </c>
      <c r="AE1379" s="58">
        <v>0</v>
      </c>
      <c r="AF1379" s="58">
        <v>0</v>
      </c>
      <c r="AG1379" s="58">
        <v>0</v>
      </c>
      <c r="AH1379" s="58">
        <v>0</v>
      </c>
      <c r="AI1379" s="58">
        <v>0</v>
      </c>
      <c r="AJ1379" s="58">
        <v>0</v>
      </c>
      <c r="AK1379" s="58">
        <v>0</v>
      </c>
      <c r="AL1379" s="75">
        <f>+SUBTOTAL(9,Tabla6[[#This Row],[ENE]:[DIC]])</f>
        <v>0</v>
      </c>
      <c r="AM1379" s="76" t="str">
        <f t="shared" si="58"/>
        <v>OK</v>
      </c>
      <c r="AN1379" s="60">
        <v>0</v>
      </c>
      <c r="AO1379" s="61">
        <f>+Tabla6[[#This Row],[PRESUPUESTO VIGENTE]]-Tabla6[[#This Row],[CERTIFICACIÓN PAPP]]</f>
        <v>0</v>
      </c>
      <c r="AP1379" s="59">
        <v>0</v>
      </c>
    </row>
    <row r="1380" spans="1:42" ht="93" customHeight="1" x14ac:dyDescent="0.25">
      <c r="A1380" s="62" t="s">
        <v>78</v>
      </c>
      <c r="B1380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380" s="64" t="s">
        <v>79</v>
      </c>
      <c r="D1380" s="64" t="s">
        <v>115</v>
      </c>
      <c r="E1380" s="64" t="s">
        <v>114</v>
      </c>
      <c r="F1380" s="64" t="s">
        <v>4</v>
      </c>
      <c r="G1380" s="64" t="s">
        <v>5</v>
      </c>
      <c r="H1380" s="65" t="str">
        <f>VLOOKUP(Tabla6[[#This Row],[DIRECCIÓN]],DIRECCIÓN[#All],2,0)</f>
        <v>ADMINISTRACIÓN CENTRAL</v>
      </c>
      <c r="I1380" s="66" t="s">
        <v>166</v>
      </c>
      <c r="J1380" s="67">
        <v>1</v>
      </c>
      <c r="K1380" s="68" t="str">
        <f>VLOOKUP(Tabla6[[#This Row],[DIRECCIÓN GENERAL / COORDINACIÓN / SUBDIRECCIÓN]],Tabla37[[#All],[Columna1]:[EOD]],2,0)</f>
        <v>266_9999</v>
      </c>
      <c r="L1380" s="69">
        <f>VLOOKUP(Tabla6[[#This Row],[OBJETIVOS PND]],Listas!$A$1:$C$3,3,0)</f>
        <v>1</v>
      </c>
      <c r="M1380" s="70">
        <f>VLOOKUP(Tabla6[[#This Row],[PG]],Listas2!$G$14:$K$16,5,0)</f>
        <v>0</v>
      </c>
      <c r="N1380" s="71">
        <v>1</v>
      </c>
      <c r="O1380" s="72">
        <v>1701</v>
      </c>
      <c r="P1380" s="73" t="str">
        <f>VLOOKUP(Tabla6[[#This Row],[GEO]],Listas!$A$48:$B$77,2,0)</f>
        <v>QUITO</v>
      </c>
      <c r="Q1380" s="70">
        <f>VLOOKUP(Tabla6[[#This Row],[PG]],Listas2!$G$14:$K$16,3,0)</f>
        <v>1</v>
      </c>
      <c r="R1380" s="73">
        <f>VLOOKUP(Tabla6[[#This Row],[PG]],Listas2!H104:'Listas2'!$G$14:$K$16,4,0)</f>
        <v>0</v>
      </c>
      <c r="S1380" s="73">
        <f>VLOOKUP(Tabla6[[#This Row],[PG]],Listas2!$G$14:$K$16,2,0)</f>
        <v>0</v>
      </c>
      <c r="T1380" s="66" t="s">
        <v>84</v>
      </c>
      <c r="U1380" s="74">
        <v>53</v>
      </c>
      <c r="V1380" s="66">
        <v>530813</v>
      </c>
      <c r="W1380" s="63" t="str">
        <f>VLOOKUP(Tabla6[[#This Row],[ÍTEM PRESUPUESTARIO]],Tabla2[#All],2,0)</f>
        <v>REPUESTOS Y ACCESORIOS</v>
      </c>
      <c r="X1380" s="57">
        <v>0</v>
      </c>
      <c r="Y1380" s="57">
        <f>6300-6300</f>
        <v>0</v>
      </c>
      <c r="Z1380" s="58">
        <v>0</v>
      </c>
      <c r="AA1380" s="58">
        <v>0</v>
      </c>
      <c r="AB1380" s="58">
        <v>0</v>
      </c>
      <c r="AC1380" s="58">
        <v>0</v>
      </c>
      <c r="AD1380" s="58">
        <v>0</v>
      </c>
      <c r="AE1380" s="58">
        <v>0</v>
      </c>
      <c r="AF1380" s="58">
        <v>0</v>
      </c>
      <c r="AG1380" s="58">
        <v>0</v>
      </c>
      <c r="AH1380" s="58">
        <v>0</v>
      </c>
      <c r="AI1380" s="58">
        <v>0</v>
      </c>
      <c r="AJ1380" s="58">
        <v>0</v>
      </c>
      <c r="AK1380" s="58">
        <v>0</v>
      </c>
      <c r="AL1380" s="75">
        <f>+SUBTOTAL(9,Tabla6[[#This Row],[ENE]:[DIC]])</f>
        <v>0</v>
      </c>
      <c r="AM1380" s="76" t="str">
        <f t="shared" si="58"/>
        <v>OK</v>
      </c>
      <c r="AN1380" s="60">
        <v>0</v>
      </c>
      <c r="AO1380" s="61">
        <f>+Tabla6[[#This Row],[PRESUPUESTO VIGENTE]]-Tabla6[[#This Row],[CERTIFICACIÓN PAPP]]</f>
        <v>0</v>
      </c>
      <c r="AP1380" s="59">
        <v>0</v>
      </c>
    </row>
    <row r="1381" spans="1:42" ht="93" customHeight="1" x14ac:dyDescent="0.25">
      <c r="A1381" s="62" t="s">
        <v>78</v>
      </c>
      <c r="B1381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381" s="64" t="s">
        <v>79</v>
      </c>
      <c r="D1381" s="64" t="s">
        <v>115</v>
      </c>
      <c r="E1381" s="64" t="s">
        <v>114</v>
      </c>
      <c r="F1381" s="64" t="s">
        <v>4</v>
      </c>
      <c r="G1381" s="64" t="s">
        <v>5</v>
      </c>
      <c r="H1381" s="65" t="str">
        <f>VLOOKUP(Tabla6[[#This Row],[DIRECCIÓN]],DIRECCIÓN[#All],2,0)</f>
        <v>ADMINISTRACIÓN CENTRAL</v>
      </c>
      <c r="I1381" s="66" t="s">
        <v>167</v>
      </c>
      <c r="J1381" s="67">
        <v>1</v>
      </c>
      <c r="K1381" s="68" t="str">
        <f>VLOOKUP(Tabla6[[#This Row],[DIRECCIÓN GENERAL / COORDINACIÓN / SUBDIRECCIÓN]],Tabla37[[#All],[Columna1]:[EOD]],2,0)</f>
        <v>266_9999</v>
      </c>
      <c r="L1381" s="69">
        <f>VLOOKUP(Tabla6[[#This Row],[OBJETIVOS PND]],Listas!$A$1:$C$3,3,0)</f>
        <v>1</v>
      </c>
      <c r="M1381" s="70">
        <f>VLOOKUP(Tabla6[[#This Row],[PG]],Listas2!$G$14:$K$16,5,0)</f>
        <v>0</v>
      </c>
      <c r="N1381" s="71">
        <v>1</v>
      </c>
      <c r="O1381" s="72">
        <v>1701</v>
      </c>
      <c r="P1381" s="73" t="str">
        <f>VLOOKUP(Tabla6[[#This Row],[GEO]],Listas!$A$48:$B$77,2,0)</f>
        <v>QUITO</v>
      </c>
      <c r="Q1381" s="70">
        <f>VLOOKUP(Tabla6[[#This Row],[PG]],Listas2!$G$14:$K$16,3,0)</f>
        <v>1</v>
      </c>
      <c r="R1381" s="73">
        <f>VLOOKUP(Tabla6[[#This Row],[PG]],Listas2!H105:'Listas2'!$G$14:$K$16,4,0)</f>
        <v>0</v>
      </c>
      <c r="S1381" s="73">
        <f>VLOOKUP(Tabla6[[#This Row],[PG]],Listas2!$G$14:$K$16,2,0)</f>
        <v>0</v>
      </c>
      <c r="T1381" s="66" t="s">
        <v>84</v>
      </c>
      <c r="U1381" s="74">
        <v>53</v>
      </c>
      <c r="V1381" s="66">
        <v>530813</v>
      </c>
      <c r="W1381" s="63" t="str">
        <f>VLOOKUP(Tabla6[[#This Row],[ÍTEM PRESUPUESTARIO]],Tabla2[#All],2,0)</f>
        <v>REPUESTOS Y ACCESORIOS</v>
      </c>
      <c r="X1381" s="57">
        <v>0</v>
      </c>
      <c r="Y1381" s="57">
        <f>17000-10765</f>
        <v>6235</v>
      </c>
      <c r="Z1381" s="58">
        <v>0</v>
      </c>
      <c r="AA1381" s="58">
        <v>0</v>
      </c>
      <c r="AB1381" s="58">
        <v>0</v>
      </c>
      <c r="AC1381" s="58">
        <v>0</v>
      </c>
      <c r="AD1381" s="58">
        <v>0</v>
      </c>
      <c r="AE1381" s="58">
        <v>0</v>
      </c>
      <c r="AF1381" s="58">
        <v>0</v>
      </c>
      <c r="AG1381" s="58">
        <v>0</v>
      </c>
      <c r="AH1381" s="58">
        <v>0</v>
      </c>
      <c r="AI1381" s="58">
        <v>6235</v>
      </c>
      <c r="AJ1381" s="58">
        <v>0</v>
      </c>
      <c r="AK1381" s="58">
        <v>0</v>
      </c>
      <c r="AL1381" s="75">
        <f>+SUBTOTAL(9,Tabla6[[#This Row],[ENE]:[DIC]])</f>
        <v>6235</v>
      </c>
      <c r="AM1381" s="76" t="str">
        <f t="shared" si="58"/>
        <v>OK</v>
      </c>
      <c r="AN1381" s="60">
        <v>6235</v>
      </c>
      <c r="AO1381" s="61">
        <f>+Tabla6[[#This Row],[PRESUPUESTO VIGENTE]]-Tabla6[[#This Row],[CERTIFICACIÓN PAPP]]</f>
        <v>0</v>
      </c>
      <c r="AP1381" s="59" t="s">
        <v>87</v>
      </c>
    </row>
    <row r="1382" spans="1:42" ht="93" customHeight="1" x14ac:dyDescent="0.25">
      <c r="A1382" s="62" t="s">
        <v>78</v>
      </c>
      <c r="B1382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382" s="64" t="s">
        <v>79</v>
      </c>
      <c r="D1382" s="64" t="s">
        <v>115</v>
      </c>
      <c r="E1382" s="64" t="s">
        <v>114</v>
      </c>
      <c r="F1382" s="64" t="s">
        <v>4</v>
      </c>
      <c r="G1382" s="64" t="s">
        <v>5</v>
      </c>
      <c r="H1382" s="65" t="str">
        <f>VLOOKUP(Tabla6[[#This Row],[DIRECCIÓN]],DIRECCIÓN[#All],2,0)</f>
        <v>ADMINISTRACIÓN CENTRAL</v>
      </c>
      <c r="I1382" s="66" t="s">
        <v>168</v>
      </c>
      <c r="J1382" s="67">
        <v>1</v>
      </c>
      <c r="K1382" s="68" t="str">
        <f>VLOOKUP(Tabla6[[#This Row],[DIRECCIÓN GENERAL / COORDINACIÓN / SUBDIRECCIÓN]],Tabla37[[#All],[Columna1]:[EOD]],2,0)</f>
        <v>266_9999</v>
      </c>
      <c r="L1382" s="69">
        <f>VLOOKUP(Tabla6[[#This Row],[OBJETIVOS PND]],Listas!$A$1:$C$3,3,0)</f>
        <v>1</v>
      </c>
      <c r="M1382" s="70">
        <f>VLOOKUP(Tabla6[[#This Row],[PG]],Listas2!$G$14:$K$16,5,0)</f>
        <v>0</v>
      </c>
      <c r="N1382" s="71">
        <v>1</v>
      </c>
      <c r="O1382" s="72">
        <v>1701</v>
      </c>
      <c r="P1382" s="73" t="str">
        <f>VLOOKUP(Tabla6[[#This Row],[GEO]],Listas!$A$48:$B$77,2,0)</f>
        <v>QUITO</v>
      </c>
      <c r="Q1382" s="70">
        <f>VLOOKUP(Tabla6[[#This Row],[PG]],Listas2!$G$14:$K$16,3,0)</f>
        <v>1</v>
      </c>
      <c r="R1382" s="73">
        <f>VLOOKUP(Tabla6[[#This Row],[PG]],Listas2!H1121:'Listas2'!$G$14:$K$16,4,0)</f>
        <v>0</v>
      </c>
      <c r="S1382" s="73">
        <f>VLOOKUP(Tabla6[[#This Row],[PG]],Listas2!$G$14:$K$16,2,0)</f>
        <v>0</v>
      </c>
      <c r="T1382" s="66" t="s">
        <v>84</v>
      </c>
      <c r="U1382" s="74">
        <v>53</v>
      </c>
      <c r="V1382" s="66">
        <v>530813</v>
      </c>
      <c r="W1382" s="63" t="str">
        <f>VLOOKUP(Tabla6[[#This Row],[ÍTEM PRESUPUESTARIO]],Tabla2[#All],2,0)</f>
        <v>REPUESTOS Y ACCESORIOS</v>
      </c>
      <c r="X1382" s="57">
        <v>0</v>
      </c>
      <c r="Y1382" s="57">
        <f>1200+1300-347.02-1387.74</f>
        <v>765.24</v>
      </c>
      <c r="Z1382" s="58">
        <v>0</v>
      </c>
      <c r="AA1382" s="58">
        <v>0</v>
      </c>
      <c r="AB1382" s="58">
        <v>0</v>
      </c>
      <c r="AC1382" s="58">
        <v>0</v>
      </c>
      <c r="AD1382" s="58">
        <v>0</v>
      </c>
      <c r="AE1382" s="58">
        <v>0</v>
      </c>
      <c r="AF1382" s="58">
        <v>765.24</v>
      </c>
      <c r="AG1382" s="58">
        <v>0</v>
      </c>
      <c r="AH1382" s="58">
        <v>0</v>
      </c>
      <c r="AI1382" s="58">
        <v>0</v>
      </c>
      <c r="AJ1382" s="58">
        <v>0</v>
      </c>
      <c r="AK1382" s="58">
        <v>0</v>
      </c>
      <c r="AL1382" s="75">
        <f>+SUBTOTAL(9,Tabla6[[#This Row],[ENE]:[DIC]])</f>
        <v>765.24</v>
      </c>
      <c r="AM1382" s="76" t="str">
        <f t="shared" si="58"/>
        <v>OK</v>
      </c>
      <c r="AN1382" s="60">
        <v>765.24</v>
      </c>
      <c r="AO1382" s="61">
        <f>+Tabla6[[#This Row],[PRESUPUESTO VIGENTE]]-Tabla6[[#This Row],[CERTIFICACIÓN PAPP]]</f>
        <v>0</v>
      </c>
      <c r="AP1382" s="59">
        <v>0</v>
      </c>
    </row>
    <row r="1383" spans="1:42" ht="93" customHeight="1" x14ac:dyDescent="0.25">
      <c r="A1383" s="62" t="s">
        <v>78</v>
      </c>
      <c r="B1383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383" s="64" t="s">
        <v>79</v>
      </c>
      <c r="D1383" s="64" t="s">
        <v>115</v>
      </c>
      <c r="E1383" s="64" t="s">
        <v>114</v>
      </c>
      <c r="F1383" s="64" t="s">
        <v>4</v>
      </c>
      <c r="G1383" s="64" t="s">
        <v>5</v>
      </c>
      <c r="H1383" s="65" t="str">
        <f>VLOOKUP(Tabla6[[#This Row],[DIRECCIÓN]],DIRECCIÓN[#All],2,0)</f>
        <v>ADMINISTRACIÓN CENTRAL</v>
      </c>
      <c r="I1383" s="66" t="s">
        <v>169</v>
      </c>
      <c r="J1383" s="67">
        <v>1</v>
      </c>
      <c r="K1383" s="68" t="str">
        <f>VLOOKUP(Tabla6[[#This Row],[DIRECCIÓN GENERAL / COORDINACIÓN / SUBDIRECCIÓN]],Tabla37[[#All],[Columna1]:[EOD]],2,0)</f>
        <v>266_9999</v>
      </c>
      <c r="L1383" s="69">
        <f>VLOOKUP(Tabla6[[#This Row],[OBJETIVOS PND]],Listas!$A$1:$C$3,3,0)</f>
        <v>1</v>
      </c>
      <c r="M1383" s="70">
        <f>VLOOKUP(Tabla6[[#This Row],[PG]],Listas2!$G$14:$K$16,5,0)</f>
        <v>0</v>
      </c>
      <c r="N1383" s="71">
        <v>1</v>
      </c>
      <c r="O1383" s="72">
        <v>1701</v>
      </c>
      <c r="P1383" s="73" t="str">
        <f>VLOOKUP(Tabla6[[#This Row],[GEO]],Listas!$A$48:$B$77,2,0)</f>
        <v>QUITO</v>
      </c>
      <c r="Q1383" s="70">
        <f>VLOOKUP(Tabla6[[#This Row],[PG]],Listas2!$G$14:$K$16,3,0)</f>
        <v>1</v>
      </c>
      <c r="R1383" s="73">
        <f>VLOOKUP(Tabla6[[#This Row],[PG]],Listas2!H1122:'Listas2'!$G$14:$K$16,4,0)</f>
        <v>0</v>
      </c>
      <c r="S1383" s="73">
        <f>VLOOKUP(Tabla6[[#This Row],[PG]],Listas2!$G$14:$K$16,2,0)</f>
        <v>0</v>
      </c>
      <c r="T1383" s="66" t="s">
        <v>84</v>
      </c>
      <c r="U1383" s="74">
        <v>53</v>
      </c>
      <c r="V1383" s="66">
        <v>530813</v>
      </c>
      <c r="W1383" s="63" t="str">
        <f>VLOOKUP(Tabla6[[#This Row],[ÍTEM PRESUPUESTARIO]],Tabla2[#All],2,0)</f>
        <v>REPUESTOS Y ACCESORIOS</v>
      </c>
      <c r="X1383" s="57">
        <v>0</v>
      </c>
      <c r="Y1383" s="57">
        <f>9565+2491-6000-1032.39-2326.59-197.02</f>
        <v>2499.9999999999995</v>
      </c>
      <c r="Z1383" s="58">
        <v>0</v>
      </c>
      <c r="AA1383" s="58">
        <v>0</v>
      </c>
      <c r="AB1383" s="58">
        <v>0</v>
      </c>
      <c r="AC1383" s="58">
        <v>0</v>
      </c>
      <c r="AD1383" s="58">
        <v>0</v>
      </c>
      <c r="AE1383" s="58">
        <v>0</v>
      </c>
      <c r="AF1383" s="58">
        <v>0</v>
      </c>
      <c r="AG1383" s="58">
        <v>2491</v>
      </c>
      <c r="AH1383" s="58">
        <v>9</v>
      </c>
      <c r="AI1383" s="58">
        <v>0</v>
      </c>
      <c r="AJ1383" s="58">
        <v>0</v>
      </c>
      <c r="AK1383" s="58">
        <v>0</v>
      </c>
      <c r="AL1383" s="75">
        <f>+SUBTOTAL(9,Tabla6[[#This Row],[ENE]:[DIC]])</f>
        <v>2500</v>
      </c>
      <c r="AM1383" s="76" t="str">
        <f t="shared" si="58"/>
        <v>OK</v>
      </c>
      <c r="AN1383" s="60">
        <v>2500</v>
      </c>
      <c r="AO1383" s="61">
        <f>+Tabla6[[#This Row],[PRESUPUESTO VIGENTE]]-Tabla6[[#This Row],[CERTIFICACIÓN PAPP]]</f>
        <v>0</v>
      </c>
      <c r="AP1383" s="59">
        <v>0</v>
      </c>
    </row>
    <row r="1384" spans="1:42" ht="93" customHeight="1" x14ac:dyDescent="0.25">
      <c r="A1384" s="62" t="s">
        <v>78</v>
      </c>
      <c r="B1384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384" s="64" t="s">
        <v>79</v>
      </c>
      <c r="D1384" s="64" t="s">
        <v>115</v>
      </c>
      <c r="E1384" s="64" t="s">
        <v>114</v>
      </c>
      <c r="F1384" s="64" t="s">
        <v>4</v>
      </c>
      <c r="G1384" s="64" t="s">
        <v>5</v>
      </c>
      <c r="H1384" s="65" t="str">
        <f>VLOOKUP(Tabla6[[#This Row],[DIRECCIÓN]],DIRECCIÓN[#All],2,0)</f>
        <v>ADMINISTRACIÓN CENTRAL</v>
      </c>
      <c r="I1384" s="66" t="s">
        <v>170</v>
      </c>
      <c r="J1384" s="67">
        <v>1</v>
      </c>
      <c r="K1384" s="68" t="str">
        <f>VLOOKUP(Tabla6[[#This Row],[DIRECCIÓN GENERAL / COORDINACIÓN / SUBDIRECCIÓN]],Tabla37[[#All],[Columna1]:[EOD]],2,0)</f>
        <v>266_9999</v>
      </c>
      <c r="L1384" s="69">
        <f>VLOOKUP(Tabla6[[#This Row],[OBJETIVOS PND]],Listas!$A$1:$C$3,3,0)</f>
        <v>1</v>
      </c>
      <c r="M1384" s="70">
        <f>VLOOKUP(Tabla6[[#This Row],[PG]],Listas2!$G$14:$K$16,5,0)</f>
        <v>0</v>
      </c>
      <c r="N1384" s="71">
        <v>1</v>
      </c>
      <c r="O1384" s="72">
        <v>1701</v>
      </c>
      <c r="P1384" s="73" t="str">
        <f>VLOOKUP(Tabla6[[#This Row],[GEO]],Listas!$A$48:$B$77,2,0)</f>
        <v>QUITO</v>
      </c>
      <c r="Q1384" s="70">
        <f>VLOOKUP(Tabla6[[#This Row],[PG]],Listas2!$G$14:$K$16,3,0)</f>
        <v>1</v>
      </c>
      <c r="R1384" s="73">
        <f>VLOOKUP(Tabla6[[#This Row],[PG]],Listas2!H1229:'Listas2'!$G$14:$K$16,4,0)</f>
        <v>0</v>
      </c>
      <c r="S1384" s="73">
        <f>VLOOKUP(Tabla6[[#This Row],[PG]],Listas2!$G$14:$K$16,2,0)</f>
        <v>0</v>
      </c>
      <c r="T1384" s="66" t="s">
        <v>84</v>
      </c>
      <c r="U1384" s="74">
        <v>53</v>
      </c>
      <c r="V1384" s="66">
        <v>530813</v>
      </c>
      <c r="W1384" s="63" t="str">
        <f>VLOOKUP(Tabla6[[#This Row],[ÍTEM PRESUPUESTARIO]],Tabla2[#All],2,0)</f>
        <v>REPUESTOS Y ACCESORIOS</v>
      </c>
      <c r="X1384" s="57">
        <v>0</v>
      </c>
      <c r="Y1384" s="57">
        <f>3000-1536.19</f>
        <v>1463.81</v>
      </c>
      <c r="Z1384" s="58">
        <v>0</v>
      </c>
      <c r="AA1384" s="58">
        <v>0</v>
      </c>
      <c r="AB1384" s="58">
        <v>0</v>
      </c>
      <c r="AC1384" s="58">
        <v>0</v>
      </c>
      <c r="AD1384" s="58">
        <v>0</v>
      </c>
      <c r="AE1384" s="58">
        <v>0</v>
      </c>
      <c r="AF1384" s="58">
        <v>0</v>
      </c>
      <c r="AG1384" s="58">
        <v>0</v>
      </c>
      <c r="AH1384" s="58">
        <v>0</v>
      </c>
      <c r="AI1384" s="58">
        <v>0</v>
      </c>
      <c r="AJ1384" s="58">
        <v>1463.81</v>
      </c>
      <c r="AK1384" s="58">
        <v>0</v>
      </c>
      <c r="AL1384" s="75">
        <f>+SUBTOTAL(9,Tabla6[[#This Row],[ENE]:[DIC]])</f>
        <v>1463.81</v>
      </c>
      <c r="AM1384" s="76" t="str">
        <f t="shared" si="58"/>
        <v>OK</v>
      </c>
      <c r="AN1384" s="60">
        <f>0+1463.81</f>
        <v>1463.81</v>
      </c>
      <c r="AO1384" s="61">
        <f>+Tabla6[[#This Row],[PRESUPUESTO VIGENTE]]-Tabla6[[#This Row],[CERTIFICACIÓN PAPP]]</f>
        <v>0</v>
      </c>
      <c r="AP1384" s="59">
        <v>0</v>
      </c>
    </row>
    <row r="1385" spans="1:42" ht="93" customHeight="1" x14ac:dyDescent="0.25">
      <c r="A1385" s="62" t="s">
        <v>78</v>
      </c>
      <c r="B1385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385" s="64" t="s">
        <v>79</v>
      </c>
      <c r="D1385" s="64" t="s">
        <v>115</v>
      </c>
      <c r="E1385" s="64" t="s">
        <v>114</v>
      </c>
      <c r="F1385" s="64" t="s">
        <v>4</v>
      </c>
      <c r="G1385" s="64" t="s">
        <v>5</v>
      </c>
      <c r="H1385" s="65" t="str">
        <f>VLOOKUP(Tabla6[[#This Row],[DIRECCIÓN]],DIRECCIÓN[#All],2,0)</f>
        <v>ADMINISTRACIÓN CENTRAL</v>
      </c>
      <c r="I1385" s="66" t="s">
        <v>143</v>
      </c>
      <c r="J1385" s="67">
        <v>1</v>
      </c>
      <c r="K1385" s="68" t="str">
        <f>VLOOKUP(Tabla6[[#This Row],[DIRECCIÓN GENERAL / COORDINACIÓN / SUBDIRECCIÓN]],Tabla37[[#All],[Columna1]:[EOD]],2,0)</f>
        <v>266_9999</v>
      </c>
      <c r="L1385" s="69">
        <f>VLOOKUP(Tabla6[[#This Row],[OBJETIVOS PND]],Listas!$A$1:$C$3,3,0)</f>
        <v>1</v>
      </c>
      <c r="M1385" s="70">
        <f>VLOOKUP(Tabla6[[#This Row],[PG]],Listas2!$G$14:$K$16,5,0)</f>
        <v>0</v>
      </c>
      <c r="N1385" s="71">
        <v>1</v>
      </c>
      <c r="O1385" s="72">
        <v>1701</v>
      </c>
      <c r="P1385" s="73" t="str">
        <f>VLOOKUP(Tabla6[[#This Row],[GEO]],Listas!$A$48:$B$77,2,0)</f>
        <v>QUITO</v>
      </c>
      <c r="Q1385" s="70">
        <f>VLOOKUP(Tabla6[[#This Row],[PG]],Listas2!$G$14:$K$16,3,0)</f>
        <v>1</v>
      </c>
      <c r="R1385" s="73">
        <f>VLOOKUP(Tabla6[[#This Row],[PG]],Listas2!H1389:'Listas2'!$G$14:$K$16,4,0)</f>
        <v>0</v>
      </c>
      <c r="S1385" s="73">
        <f>VLOOKUP(Tabla6[[#This Row],[PG]],Listas2!$G$14:$K$16,2,0)</f>
        <v>0</v>
      </c>
      <c r="T1385" s="66" t="s">
        <v>84</v>
      </c>
      <c r="U1385" s="74">
        <v>53</v>
      </c>
      <c r="V1385" s="66">
        <v>530813</v>
      </c>
      <c r="W1385" s="63" t="str">
        <f>VLOOKUP(Tabla6[[#This Row],[ÍTEM PRESUPUESTARIO]],Tabla2[#All],2,0)</f>
        <v>REPUESTOS Y ACCESORIOS</v>
      </c>
      <c r="X1385" s="57">
        <v>0</v>
      </c>
      <c r="Y1385" s="57">
        <f>3725-3725</f>
        <v>0</v>
      </c>
      <c r="Z1385" s="58">
        <v>0</v>
      </c>
      <c r="AA1385" s="58">
        <v>0</v>
      </c>
      <c r="AB1385" s="58">
        <v>0</v>
      </c>
      <c r="AC1385" s="58">
        <v>0</v>
      </c>
      <c r="AD1385" s="58">
        <v>0</v>
      </c>
      <c r="AE1385" s="58">
        <v>0</v>
      </c>
      <c r="AF1385" s="58">
        <v>0</v>
      </c>
      <c r="AG1385" s="58">
        <v>0</v>
      </c>
      <c r="AH1385" s="58">
        <v>0</v>
      </c>
      <c r="AI1385" s="58">
        <v>0</v>
      </c>
      <c r="AJ1385" s="58">
        <v>0</v>
      </c>
      <c r="AK1385" s="58">
        <v>0</v>
      </c>
      <c r="AL1385" s="75">
        <f>+SUBTOTAL(9,Tabla6[[#This Row],[ENE]:[DIC]])</f>
        <v>0</v>
      </c>
      <c r="AM1385" s="76" t="str">
        <f>IF(AL1385=Y1385,"OK",Y1385-AL1385)</f>
        <v>OK</v>
      </c>
      <c r="AN1385" s="60">
        <v>3725</v>
      </c>
      <c r="AO1385" s="61">
        <f>+Tabla6[[#This Row],[PRESUPUESTO VIGENTE]]-Tabla6[[#This Row],[CERTIFICACIÓN PAPP]]</f>
        <v>-3725</v>
      </c>
      <c r="AP1385" s="59">
        <v>0</v>
      </c>
    </row>
    <row r="1386" spans="1:42" ht="93" customHeight="1" x14ac:dyDescent="0.25">
      <c r="A1386" s="62" t="s">
        <v>78</v>
      </c>
      <c r="B1386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386" s="64" t="s">
        <v>79</v>
      </c>
      <c r="D1386" s="64" t="s">
        <v>115</v>
      </c>
      <c r="E1386" s="64" t="s">
        <v>114</v>
      </c>
      <c r="F1386" s="64" t="s">
        <v>4</v>
      </c>
      <c r="G1386" s="64" t="s">
        <v>5</v>
      </c>
      <c r="H1386" s="65" t="str">
        <f>VLOOKUP(Tabla6[[#This Row],[DIRECCIÓN]],DIRECCIÓN[#All],2,0)</f>
        <v>ADMINISTRACIÓN CENTRAL</v>
      </c>
      <c r="I1386" s="66" t="s">
        <v>97</v>
      </c>
      <c r="J1386" s="67">
        <v>3</v>
      </c>
      <c r="K1386" s="68" t="str">
        <f>VLOOKUP(Tabla6[[#This Row],[DIRECCIÓN GENERAL / COORDINACIÓN / SUBDIRECCIÓN]],Tabla37[[#All],[Columna1]:[EOD]],2,0)</f>
        <v>266_9999</v>
      </c>
      <c r="L1386" s="69">
        <f>VLOOKUP(Tabla6[[#This Row],[OBJETIVOS PND]],Listas!$A$1:$C$3,3,0)</f>
        <v>1</v>
      </c>
      <c r="M1386" s="70">
        <f>VLOOKUP(Tabla6[[#This Row],[PG]],Listas2!$G$14:$K$16,5,0)</f>
        <v>0</v>
      </c>
      <c r="N1386" s="71">
        <v>1</v>
      </c>
      <c r="O1386" s="72">
        <v>1701</v>
      </c>
      <c r="P1386" s="73" t="str">
        <f>VLOOKUP(Tabla6[[#This Row],[GEO]],Listas!$A$48:$B$77,2,0)</f>
        <v>QUITO</v>
      </c>
      <c r="Q1386" s="70">
        <f>VLOOKUP(Tabla6[[#This Row],[PG]],Listas2!$G$14:$K$16,3,0)</f>
        <v>1</v>
      </c>
      <c r="R1386" s="73">
        <f>VLOOKUP(Tabla6[[#This Row],[PG]],Listas2!H106:'Listas2'!$G$14:$K$16,4,0)</f>
        <v>0</v>
      </c>
      <c r="S1386" s="73">
        <f>VLOOKUP(Tabla6[[#This Row],[PG]],Listas2!$G$14:$K$16,2,0)</f>
        <v>0</v>
      </c>
      <c r="T1386" s="66" t="s">
        <v>84</v>
      </c>
      <c r="U1386" s="74">
        <v>53</v>
      </c>
      <c r="V1386" s="66">
        <v>530820</v>
      </c>
      <c r="W1386" s="63" t="str">
        <f>VLOOKUP(Tabla6[[#This Row],[ÍTEM PRESUPUESTARIO]],Tabla2[#All],2,0)</f>
        <v>MENAJE Y ACCESORIOS DESCARTABLES</v>
      </c>
      <c r="X1386" s="57">
        <v>100</v>
      </c>
      <c r="Y1386" s="57">
        <f>100-70-3.54-1.69</f>
        <v>24.77</v>
      </c>
      <c r="Z1386" s="58">
        <v>0</v>
      </c>
      <c r="AA1386" s="58">
        <v>0</v>
      </c>
      <c r="AB1386" s="58">
        <v>0</v>
      </c>
      <c r="AC1386" s="58">
        <v>0</v>
      </c>
      <c r="AD1386" s="58">
        <v>0</v>
      </c>
      <c r="AE1386" s="58">
        <v>0</v>
      </c>
      <c r="AF1386" s="58">
        <v>0</v>
      </c>
      <c r="AG1386" s="58">
        <v>0</v>
      </c>
      <c r="AH1386" s="58">
        <v>0</v>
      </c>
      <c r="AI1386" s="58">
        <v>0</v>
      </c>
      <c r="AJ1386" s="58">
        <v>0</v>
      </c>
      <c r="AK1386" s="58">
        <v>24.77</v>
      </c>
      <c r="AL1386" s="75">
        <f>+SUBTOTAL(9,Tabla6[[#This Row],[ENE]:[DIC]])</f>
        <v>24.77</v>
      </c>
      <c r="AM1386" s="76" t="str">
        <f t="shared" si="58"/>
        <v>OK</v>
      </c>
      <c r="AN1386" s="60">
        <f>18.1+2.17+2.36+0.28+1.66+0.2</f>
        <v>24.770000000000003</v>
      </c>
      <c r="AO1386" s="61">
        <f>+Tabla6[[#This Row],[PRESUPUESTO VIGENTE]]-Tabla6[[#This Row],[CERTIFICACIÓN PAPP]]</f>
        <v>0</v>
      </c>
      <c r="AP1386" s="59">
        <v>0</v>
      </c>
    </row>
    <row r="1387" spans="1:42" ht="93" customHeight="1" x14ac:dyDescent="0.25">
      <c r="A1387" s="62" t="s">
        <v>78</v>
      </c>
      <c r="B1387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387" s="64" t="s">
        <v>85</v>
      </c>
      <c r="D1387" s="64" t="s">
        <v>124</v>
      </c>
      <c r="E1387" s="64" t="s">
        <v>114</v>
      </c>
      <c r="F1387" s="64" t="s">
        <v>11</v>
      </c>
      <c r="G1387" s="64" t="s">
        <v>13</v>
      </c>
      <c r="H1387" s="65" t="str">
        <f>VLOOKUP(Tabla6[[#This Row],[DIRECCIÓN]],DIRECCIÓN[#All],2,0)</f>
        <v>COMUNICACIÓN SOCIAL</v>
      </c>
      <c r="I1387" s="66" t="s">
        <v>171</v>
      </c>
      <c r="J1387" s="67">
        <v>1</v>
      </c>
      <c r="K1387" s="68" t="str">
        <f>VLOOKUP(Tabla6[[#This Row],[DIRECCIÓN GENERAL / COORDINACIÓN / SUBDIRECCIÓN]],Tabla37[[#All],[Columna1]:[EOD]],2,0)</f>
        <v>266_9999</v>
      </c>
      <c r="L1387" s="69">
        <f>VLOOKUP(Tabla6[[#This Row],[OBJETIVOS PND]],Listas!$A$1:$C$3,3,0)</f>
        <v>1</v>
      </c>
      <c r="M1387" s="70">
        <f>VLOOKUP(Tabla6[[#This Row],[PG]],Listas2!$G$14:$K$16,5,0)</f>
        <v>0</v>
      </c>
      <c r="N1387" s="71">
        <v>1</v>
      </c>
      <c r="O1387" s="72">
        <v>1701</v>
      </c>
      <c r="P1387" s="73" t="str">
        <f>VLOOKUP(Tabla6[[#This Row],[GEO]],Listas!$A$48:$B$77,2,0)</f>
        <v>QUITO</v>
      </c>
      <c r="Q1387" s="70">
        <f>VLOOKUP(Tabla6[[#This Row],[PG]],Listas2!$G$14:$K$16,3,0)</f>
        <v>1</v>
      </c>
      <c r="R1387" s="73">
        <f>VLOOKUP(Tabla6[[#This Row],[PG]],Listas2!H107:'Listas2'!$G$14:$K$16,4,0)</f>
        <v>0</v>
      </c>
      <c r="S1387" s="73">
        <f>VLOOKUP(Tabla6[[#This Row],[PG]],Listas2!$G$14:$K$16,2,0)</f>
        <v>0</v>
      </c>
      <c r="T1387" s="66" t="s">
        <v>84</v>
      </c>
      <c r="U1387" s="74">
        <v>53</v>
      </c>
      <c r="V1387" s="66">
        <v>530824</v>
      </c>
      <c r="W1387" s="63" t="str">
        <f>VLOOKUP(Tabla6[[#This Row],[ÍTEM PRESUPUESTARIO]],Tabla2[#All],2,0)</f>
        <v>INSUMOS, BIENES Y MATERIALES PARA PRODUCCIÓN DE PROGRAMAS DE RADIO, TELEVISIÓN, EVENTOS CULTURALES, ARTÍSTICOS Y ENTRETENIMIENTO EN GENERAL</v>
      </c>
      <c r="X1387" s="57">
        <v>3000</v>
      </c>
      <c r="Y1387" s="57">
        <f>3000-1049.27</f>
        <v>1950.73</v>
      </c>
      <c r="Z1387" s="58">
        <v>0</v>
      </c>
      <c r="AA1387" s="58">
        <v>0</v>
      </c>
      <c r="AB1387" s="58">
        <v>1950.73</v>
      </c>
      <c r="AC1387" s="58">
        <v>0</v>
      </c>
      <c r="AD1387" s="58">
        <v>0</v>
      </c>
      <c r="AE1387" s="58">
        <v>0</v>
      </c>
      <c r="AF1387" s="58">
        <v>0</v>
      </c>
      <c r="AG1387" s="58">
        <v>0</v>
      </c>
      <c r="AH1387" s="58">
        <v>0</v>
      </c>
      <c r="AI1387" s="58">
        <v>0</v>
      </c>
      <c r="AJ1387" s="58">
        <v>0</v>
      </c>
      <c r="AK1387" s="58">
        <v>0</v>
      </c>
      <c r="AL1387" s="75">
        <f>+SUBTOTAL(9,Tabla6[[#This Row],[ENE]:[DIC]])</f>
        <v>1950.73</v>
      </c>
      <c r="AM1387" s="76" t="str">
        <f t="shared" si="58"/>
        <v>OK</v>
      </c>
      <c r="AN1387" s="60">
        <v>1950.73</v>
      </c>
      <c r="AO1387" s="61">
        <f>+Tabla6[[#This Row],[PRESUPUESTO VIGENTE]]-Tabla6[[#This Row],[CERTIFICACIÓN PAPP]]</f>
        <v>0</v>
      </c>
      <c r="AP1387" s="59">
        <v>0</v>
      </c>
    </row>
    <row r="1388" spans="1:42" ht="93" customHeight="1" x14ac:dyDescent="0.25">
      <c r="A1388" s="62" t="s">
        <v>78</v>
      </c>
      <c r="B1388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388" s="64" t="s">
        <v>85</v>
      </c>
      <c r="D1388" s="64" t="s">
        <v>124</v>
      </c>
      <c r="E1388" s="64" t="s">
        <v>114</v>
      </c>
      <c r="F1388" s="64" t="s">
        <v>11</v>
      </c>
      <c r="G1388" s="64" t="s">
        <v>13</v>
      </c>
      <c r="H1388" s="65" t="str">
        <f>VLOOKUP(Tabla6[[#This Row],[DIRECCIÓN]],DIRECCIÓN[#All],2,0)</f>
        <v>COMUNICACIÓN SOCIAL</v>
      </c>
      <c r="I1388" s="66" t="s">
        <v>172</v>
      </c>
      <c r="J1388" s="67">
        <v>1</v>
      </c>
      <c r="K1388" s="68" t="str">
        <f>VLOOKUP(Tabla6[[#This Row],[DIRECCIÓN GENERAL / COORDINACIÓN / SUBDIRECCIÓN]],Tabla37[[#All],[Columna1]:[EOD]],2,0)</f>
        <v>266_9999</v>
      </c>
      <c r="L1388" s="69">
        <f>VLOOKUP(Tabla6[[#This Row],[OBJETIVOS PND]],Listas!$A$1:$C$3,3,0)</f>
        <v>1</v>
      </c>
      <c r="M1388" s="70">
        <f>VLOOKUP(Tabla6[[#This Row],[PG]],Listas2!$G$14:$K$16,5,0)</f>
        <v>0</v>
      </c>
      <c r="N1388" s="71">
        <v>1</v>
      </c>
      <c r="O1388" s="72">
        <v>1701</v>
      </c>
      <c r="P1388" s="73" t="str">
        <f>VLOOKUP(Tabla6[[#This Row],[GEO]],Listas!$A$48:$B$77,2,0)</f>
        <v>QUITO</v>
      </c>
      <c r="Q1388" s="70">
        <f>VLOOKUP(Tabla6[[#This Row],[PG]],Listas2!$G$14:$K$16,3,0)</f>
        <v>1</v>
      </c>
      <c r="R1388" s="73">
        <f>VLOOKUP(Tabla6[[#This Row],[PG]],Listas2!H108:'Listas2'!$G$14:$K$16,4,0)</f>
        <v>0</v>
      </c>
      <c r="S1388" s="73">
        <f>VLOOKUP(Tabla6[[#This Row],[PG]],Listas2!$G$14:$K$16,2,0)</f>
        <v>0</v>
      </c>
      <c r="T1388" s="66" t="s">
        <v>84</v>
      </c>
      <c r="U1388" s="74">
        <v>53</v>
      </c>
      <c r="V1388" s="66">
        <v>530824</v>
      </c>
      <c r="W1388" s="63" t="str">
        <f>VLOOKUP(Tabla6[[#This Row],[ÍTEM PRESUPUESTARIO]],Tabla2[#All],2,0)</f>
        <v>INSUMOS, BIENES Y MATERIALES PARA PRODUCCIÓN DE PROGRAMAS DE RADIO, TELEVISIÓN, EVENTOS CULTURALES, ARTÍSTICOS Y ENTRETENIMIENTO EN GENERAL</v>
      </c>
      <c r="X1388" s="57">
        <v>5770</v>
      </c>
      <c r="Y1388" s="57">
        <f>5770+4500-4610.36+640.93-113.07</f>
        <v>6187.5000000000009</v>
      </c>
      <c r="Z1388" s="58">
        <v>0</v>
      </c>
      <c r="AA1388" s="58">
        <v>0</v>
      </c>
      <c r="AB1388" s="58">
        <v>0</v>
      </c>
      <c r="AC1388" s="58">
        <v>0</v>
      </c>
      <c r="AD1388" s="58">
        <v>0</v>
      </c>
      <c r="AE1388" s="58">
        <v>5659.64</v>
      </c>
      <c r="AF1388" s="58">
        <v>0</v>
      </c>
      <c r="AG1388" s="58">
        <v>0</v>
      </c>
      <c r="AH1388" s="58">
        <v>0</v>
      </c>
      <c r="AI1388" s="58">
        <v>0</v>
      </c>
      <c r="AJ1388" s="58">
        <v>0</v>
      </c>
      <c r="AK1388" s="58">
        <v>527.86</v>
      </c>
      <c r="AL1388" s="75">
        <f>+SUBTOTAL(9,Tabla6[[#This Row],[ENE]:[DIC]])</f>
        <v>6187.5</v>
      </c>
      <c r="AM1388" s="76" t="str">
        <f t="shared" si="58"/>
        <v>OK</v>
      </c>
      <c r="AN1388" s="60">
        <v>6187.5</v>
      </c>
      <c r="AO1388" s="61">
        <f>+Tabla6[[#This Row],[PRESUPUESTO VIGENTE]]-Tabla6[[#This Row],[CERTIFICACIÓN PAPP]]</f>
        <v>0</v>
      </c>
      <c r="AP1388" s="59">
        <v>0</v>
      </c>
    </row>
    <row r="1389" spans="1:42" ht="93" customHeight="1" x14ac:dyDescent="0.25">
      <c r="A1389" s="62" t="s">
        <v>78</v>
      </c>
      <c r="B1389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389" s="64" t="s">
        <v>79</v>
      </c>
      <c r="D1389" s="64" t="s">
        <v>132</v>
      </c>
      <c r="E1389" s="64" t="s">
        <v>114</v>
      </c>
      <c r="F1389" s="64" t="s">
        <v>4</v>
      </c>
      <c r="G1389" s="64" t="s">
        <v>6</v>
      </c>
      <c r="H1389" s="65" t="str">
        <f>VLOOKUP(Tabla6[[#This Row],[DIRECCIÓN]],DIRECCIÓN[#All],2,0)</f>
        <v>ADMINISTRACIÓN CENTRAL</v>
      </c>
      <c r="I1389" s="66" t="s">
        <v>173</v>
      </c>
      <c r="J1389" s="67">
        <v>1</v>
      </c>
      <c r="K1389" s="68" t="str">
        <f>VLOOKUP(Tabla6[[#This Row],[DIRECCIÓN GENERAL / COORDINACIÓN / SUBDIRECCIÓN]],Tabla37[[#All],[Columna1]:[EOD]],2,0)</f>
        <v>266_9999</v>
      </c>
      <c r="L1389" s="69">
        <f>VLOOKUP(Tabla6[[#This Row],[OBJETIVOS PND]],Listas!$A$1:$C$3,3,0)</f>
        <v>1</v>
      </c>
      <c r="M1389" s="70">
        <f>VLOOKUP(Tabla6[[#This Row],[PG]],Listas2!$G$14:$K$16,5,0)</f>
        <v>0</v>
      </c>
      <c r="N1389" s="71">
        <v>1</v>
      </c>
      <c r="O1389" s="72">
        <v>1701</v>
      </c>
      <c r="P1389" s="73" t="str">
        <f>VLOOKUP(Tabla6[[#This Row],[GEO]],Listas!$A$48:$B$77,2,0)</f>
        <v>QUITO</v>
      </c>
      <c r="Q1389" s="70">
        <f>VLOOKUP(Tabla6[[#This Row],[PG]],Listas2!$G$14:$K$16,3,0)</f>
        <v>1</v>
      </c>
      <c r="R1389" s="73">
        <f>VLOOKUP(Tabla6[[#This Row],[PG]],Listas2!H109:'Listas2'!$G$14:$K$16,4,0)</f>
        <v>0</v>
      </c>
      <c r="S1389" s="73">
        <f>VLOOKUP(Tabla6[[#This Row],[PG]],Listas2!$G$14:$K$16,2,0)</f>
        <v>0</v>
      </c>
      <c r="T1389" s="66" t="s">
        <v>84</v>
      </c>
      <c r="U1389" s="74">
        <v>53</v>
      </c>
      <c r="V1389" s="66">
        <v>530826</v>
      </c>
      <c r="W1389" s="63" t="str">
        <f>VLOOKUP(Tabla6[[#This Row],[ÍTEM PRESUPUESTARIO]],Tabla2[#All],2,0)</f>
        <v>DISPOSITIVOS MÉDICOS DE USO GENERAL</v>
      </c>
      <c r="X1389" s="57">
        <v>1000</v>
      </c>
      <c r="Y1389" s="57">
        <f>1000-500+500-1000</f>
        <v>0</v>
      </c>
      <c r="Z1389" s="58">
        <v>0</v>
      </c>
      <c r="AA1389" s="58">
        <v>0</v>
      </c>
      <c r="AB1389" s="58">
        <v>0</v>
      </c>
      <c r="AC1389" s="58">
        <v>0</v>
      </c>
      <c r="AD1389" s="58">
        <v>0</v>
      </c>
      <c r="AE1389" s="58">
        <v>0</v>
      </c>
      <c r="AF1389" s="58">
        <v>0</v>
      </c>
      <c r="AG1389" s="58">
        <v>0</v>
      </c>
      <c r="AH1389" s="58">
        <v>0</v>
      </c>
      <c r="AI1389" s="58">
        <v>0</v>
      </c>
      <c r="AJ1389" s="58">
        <v>0</v>
      </c>
      <c r="AK1389" s="58">
        <v>0</v>
      </c>
      <c r="AL1389" s="75">
        <f>+SUBTOTAL(9,Tabla6[[#This Row],[ENE]:[DIC]])</f>
        <v>0</v>
      </c>
      <c r="AM1389" s="76" t="str">
        <f t="shared" si="58"/>
        <v>OK</v>
      </c>
      <c r="AN1389" s="60">
        <f>497.05-497.05</f>
        <v>0</v>
      </c>
      <c r="AO1389" s="61">
        <f>+Tabla6[[#This Row],[PRESUPUESTO VIGENTE]]-Tabla6[[#This Row],[CERTIFICACIÓN PAPP]]</f>
        <v>0</v>
      </c>
      <c r="AP1389" s="59">
        <v>0</v>
      </c>
    </row>
    <row r="1390" spans="1:42" ht="93" customHeight="1" x14ac:dyDescent="0.25">
      <c r="A1390" s="62" t="s">
        <v>78</v>
      </c>
      <c r="B1390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390" s="64" t="s">
        <v>79</v>
      </c>
      <c r="D1390" s="64" t="s">
        <v>115</v>
      </c>
      <c r="E1390" s="64" t="s">
        <v>114</v>
      </c>
      <c r="F1390" s="64" t="s">
        <v>4</v>
      </c>
      <c r="G1390" s="64" t="s">
        <v>5</v>
      </c>
      <c r="H1390" s="65" t="str">
        <f>VLOOKUP(Tabla6[[#This Row],[DIRECCIÓN]],DIRECCIÓN[#All],2,0)</f>
        <v>ADMINISTRACIÓN CENTRAL</v>
      </c>
      <c r="I1390" s="66" t="s">
        <v>174</v>
      </c>
      <c r="J1390" s="67">
        <v>1</v>
      </c>
      <c r="K1390" s="68" t="str">
        <f>VLOOKUP(Tabla6[[#This Row],[DIRECCIÓN GENERAL / COORDINACIÓN / SUBDIRECCIÓN]],Tabla37[[#All],[Columna1]:[EOD]],2,0)</f>
        <v>266_9999</v>
      </c>
      <c r="L1390" s="69">
        <f>VLOOKUP(Tabla6[[#This Row],[OBJETIVOS PND]],Listas!$A$1:$C$3,3,0)</f>
        <v>1</v>
      </c>
      <c r="M1390" s="70">
        <f>VLOOKUP(Tabla6[[#This Row],[PG]],Listas2!$G$14:$K$16,5,0)</f>
        <v>0</v>
      </c>
      <c r="N1390" s="71">
        <v>1</v>
      </c>
      <c r="O1390" s="72">
        <v>1701</v>
      </c>
      <c r="P1390" s="73" t="str">
        <f>VLOOKUP(Tabla6[[#This Row],[GEO]],Listas!$A$48:$B$77,2,0)</f>
        <v>QUITO</v>
      </c>
      <c r="Q1390" s="70">
        <f>VLOOKUP(Tabla6[[#This Row],[PG]],Listas2!$G$14:$K$16,3,0)</f>
        <v>1</v>
      </c>
      <c r="R1390" s="73">
        <f>VLOOKUP(Tabla6[[#This Row],[PG]],Listas2!H110:'Listas2'!$G$14:$K$16,4,0)</f>
        <v>0</v>
      </c>
      <c r="S1390" s="73">
        <f>VLOOKUP(Tabla6[[#This Row],[PG]],Listas2!$G$14:$K$16,2,0)</f>
        <v>0</v>
      </c>
      <c r="T1390" s="66" t="s">
        <v>84</v>
      </c>
      <c r="U1390" s="74">
        <v>57</v>
      </c>
      <c r="V1390" s="66">
        <v>570102</v>
      </c>
      <c r="W1390" s="63" t="str">
        <f>VLOOKUP(Tabla6[[#This Row],[ÍTEM PRESUPUESTARIO]],Tabla2[#All],2,0)</f>
        <v>TASAS GENERALES, IMPUESTOS, CONTRIBUCIONES, PERMISOS, LICENCIAS Y PATENTES</v>
      </c>
      <c r="X1390" s="57">
        <v>1000</v>
      </c>
      <c r="Y1390" s="57">
        <f>1000-500-500</f>
        <v>0</v>
      </c>
      <c r="Z1390" s="58">
        <v>0</v>
      </c>
      <c r="AA1390" s="58">
        <v>0</v>
      </c>
      <c r="AB1390" s="58">
        <v>0</v>
      </c>
      <c r="AC1390" s="58">
        <v>0</v>
      </c>
      <c r="AD1390" s="58">
        <v>0</v>
      </c>
      <c r="AE1390" s="58">
        <v>0</v>
      </c>
      <c r="AF1390" s="58">
        <v>0</v>
      </c>
      <c r="AG1390" s="58">
        <v>0</v>
      </c>
      <c r="AH1390" s="58">
        <v>0</v>
      </c>
      <c r="AI1390" s="58">
        <v>0</v>
      </c>
      <c r="AJ1390" s="58">
        <v>0</v>
      </c>
      <c r="AK1390" s="58">
        <v>0</v>
      </c>
      <c r="AL1390" s="75">
        <f>+SUBTOTAL(9,Tabla6[[#This Row],[ENE]:[DIC]])</f>
        <v>0</v>
      </c>
      <c r="AM1390" s="76" t="str">
        <f t="shared" si="58"/>
        <v>OK</v>
      </c>
      <c r="AN1390" s="60">
        <v>0</v>
      </c>
      <c r="AO1390" s="61">
        <f>+Tabla6[[#This Row],[PRESUPUESTO VIGENTE]]-Tabla6[[#This Row],[CERTIFICACIÓN PAPP]]</f>
        <v>0</v>
      </c>
      <c r="AP1390" s="59">
        <v>0</v>
      </c>
    </row>
    <row r="1391" spans="1:42" ht="93" customHeight="1" x14ac:dyDescent="0.25">
      <c r="A1391" s="62" t="s">
        <v>78</v>
      </c>
      <c r="B1391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391" s="64" t="s">
        <v>79</v>
      </c>
      <c r="D1391" s="64" t="s">
        <v>115</v>
      </c>
      <c r="E1391" s="64" t="s">
        <v>114</v>
      </c>
      <c r="F1391" s="64" t="s">
        <v>4</v>
      </c>
      <c r="G1391" s="64" t="s">
        <v>5</v>
      </c>
      <c r="H1391" s="65" t="str">
        <f>VLOOKUP(Tabla6[[#This Row],[DIRECCIÓN]],DIRECCIÓN[#All],2,0)</f>
        <v>ADMINISTRACIÓN CENTRAL</v>
      </c>
      <c r="I1391" s="66" t="s">
        <v>138</v>
      </c>
      <c r="J1391" s="67">
        <v>1</v>
      </c>
      <c r="K1391" s="68" t="str">
        <f>VLOOKUP(Tabla6[[#This Row],[DIRECCIÓN GENERAL / COORDINACIÓN / SUBDIRECCIÓN]],Tabla37[[#All],[Columna1]:[EOD]],2,0)</f>
        <v>266_9999</v>
      </c>
      <c r="L1391" s="69">
        <f>VLOOKUP(Tabla6[[#This Row],[OBJETIVOS PND]],Listas!$A$1:$C$3,3,0)</f>
        <v>1</v>
      </c>
      <c r="M1391" s="70">
        <f>VLOOKUP(Tabla6[[#This Row],[PG]],Listas2!$G$14:$K$16,5,0)</f>
        <v>0</v>
      </c>
      <c r="N1391" s="71">
        <v>1</v>
      </c>
      <c r="O1391" s="72">
        <v>1701</v>
      </c>
      <c r="P1391" s="73" t="str">
        <f>VLOOKUP(Tabla6[[#This Row],[GEO]],Listas!$A$48:$B$77,2,0)</f>
        <v>QUITO</v>
      </c>
      <c r="Q1391" s="70">
        <f>VLOOKUP(Tabla6[[#This Row],[PG]],Listas2!$G$14:$K$16,3,0)</f>
        <v>1</v>
      </c>
      <c r="R1391" s="73">
        <f>VLOOKUP(Tabla6[[#This Row],[PG]],Listas2!H111:'Listas2'!$G$14:$K$16,4,0)</f>
        <v>0</v>
      </c>
      <c r="S1391" s="73">
        <f>VLOOKUP(Tabla6[[#This Row],[PG]],Listas2!$G$14:$K$16,2,0)</f>
        <v>0</v>
      </c>
      <c r="T1391" s="66" t="s">
        <v>84</v>
      </c>
      <c r="U1391" s="74">
        <v>57</v>
      </c>
      <c r="V1391" s="66">
        <v>570102</v>
      </c>
      <c r="W1391" s="63" t="str">
        <f>VLOOKUP(Tabla6[[#This Row],[ÍTEM PRESUPUESTARIO]],Tabla2[#All],2,0)</f>
        <v>TASAS GENERALES, IMPUESTOS, CONTRIBUCIONES, PERMISOS, LICENCIAS Y PATENTES</v>
      </c>
      <c r="X1391" s="57">
        <v>0</v>
      </c>
      <c r="Y1391" s="57">
        <v>500</v>
      </c>
      <c r="Z1391" s="58">
        <v>0</v>
      </c>
      <c r="AA1391" s="58">
        <v>0</v>
      </c>
      <c r="AB1391" s="58">
        <v>0</v>
      </c>
      <c r="AC1391" s="58">
        <v>0</v>
      </c>
      <c r="AD1391" s="58">
        <v>0</v>
      </c>
      <c r="AE1391" s="58">
        <v>0</v>
      </c>
      <c r="AF1391" s="58">
        <v>0</v>
      </c>
      <c r="AG1391" s="58">
        <v>0</v>
      </c>
      <c r="AH1391" s="58">
        <v>0</v>
      </c>
      <c r="AI1391" s="58">
        <v>0</v>
      </c>
      <c r="AJ1391" s="58">
        <v>0</v>
      </c>
      <c r="AK1391" s="58">
        <v>500</v>
      </c>
      <c r="AL1391" s="75">
        <f>+SUBTOTAL(9,Tabla6[[#This Row],[ENE]:[DIC]])</f>
        <v>500</v>
      </c>
      <c r="AM1391" s="76" t="str">
        <f t="shared" si="58"/>
        <v>OK</v>
      </c>
      <c r="AN1391" s="60">
        <v>500</v>
      </c>
      <c r="AO1391" s="61">
        <f>+Tabla6[[#This Row],[PRESUPUESTO VIGENTE]]-Tabla6[[#This Row],[CERTIFICACIÓN PAPP]]</f>
        <v>0</v>
      </c>
      <c r="AP1391" s="59">
        <v>0</v>
      </c>
    </row>
    <row r="1392" spans="1:42" ht="93" customHeight="1" x14ac:dyDescent="0.25">
      <c r="A1392" s="62" t="s">
        <v>78</v>
      </c>
      <c r="B1392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392" s="64" t="s">
        <v>79</v>
      </c>
      <c r="D1392" s="64" t="s">
        <v>115</v>
      </c>
      <c r="E1392" s="64" t="s">
        <v>114</v>
      </c>
      <c r="F1392" s="64" t="s">
        <v>4</v>
      </c>
      <c r="G1392" s="64" t="s">
        <v>5</v>
      </c>
      <c r="H1392" s="65" t="str">
        <f>VLOOKUP(Tabla6[[#This Row],[DIRECCIÓN]],DIRECCIÓN[#All],2,0)</f>
        <v>ADMINISTRACIÓN CENTRAL</v>
      </c>
      <c r="I1392" s="66" t="s">
        <v>175</v>
      </c>
      <c r="J1392" s="67">
        <v>1</v>
      </c>
      <c r="K1392" s="68" t="str">
        <f>VLOOKUP(Tabla6[[#This Row],[DIRECCIÓN GENERAL / COORDINACIÓN / SUBDIRECCIÓN]],Tabla37[[#All],[Columna1]:[EOD]],2,0)</f>
        <v>266_9999</v>
      </c>
      <c r="L1392" s="69">
        <f>VLOOKUP(Tabla6[[#This Row],[OBJETIVOS PND]],Listas!$A$1:$C$3,3,0)</f>
        <v>1</v>
      </c>
      <c r="M1392" s="70">
        <f>VLOOKUP(Tabla6[[#This Row],[PG]],Listas2!$G$14:$K$16,5,0)</f>
        <v>0</v>
      </c>
      <c r="N1392" s="71">
        <v>1</v>
      </c>
      <c r="O1392" s="72">
        <v>1701</v>
      </c>
      <c r="P1392" s="73" t="str">
        <f>VLOOKUP(Tabla6[[#This Row],[GEO]],Listas!$A$48:$B$77,2,0)</f>
        <v>QUITO</v>
      </c>
      <c r="Q1392" s="70">
        <f>VLOOKUP(Tabla6[[#This Row],[PG]],Listas2!$G$14:$K$16,3,0)</f>
        <v>1</v>
      </c>
      <c r="R1392" s="73">
        <f>VLOOKUP(Tabla6[[#This Row],[PG]],Listas2!H112:'Listas2'!$G$14:$K$16,4,0)</f>
        <v>0</v>
      </c>
      <c r="S1392" s="73">
        <f>VLOOKUP(Tabla6[[#This Row],[PG]],Listas2!$G$14:$K$16,2,0)</f>
        <v>0</v>
      </c>
      <c r="T1392" s="66" t="s">
        <v>84</v>
      </c>
      <c r="U1392" s="74">
        <v>57</v>
      </c>
      <c r="V1392" s="66">
        <v>570102</v>
      </c>
      <c r="W1392" s="63" t="str">
        <f>VLOOKUP(Tabla6[[#This Row],[ÍTEM PRESUPUESTARIO]],Tabla2[#All],2,0)</f>
        <v>TASAS GENERALES, IMPUESTOS, CONTRIBUCIONES, PERMISOS, LICENCIAS Y PATENTES</v>
      </c>
      <c r="X1392" s="57">
        <v>0</v>
      </c>
      <c r="Y1392" s="57">
        <f>400+7744.42</f>
        <v>8144.42</v>
      </c>
      <c r="Z1392" s="58">
        <v>0</v>
      </c>
      <c r="AA1392" s="58">
        <v>8144.42</v>
      </c>
      <c r="AB1392" s="58">
        <v>0</v>
      </c>
      <c r="AC1392" s="58">
        <v>0</v>
      </c>
      <c r="AD1392" s="58">
        <v>0</v>
      </c>
      <c r="AE1392" s="58">
        <v>0</v>
      </c>
      <c r="AF1392" s="58">
        <v>0</v>
      </c>
      <c r="AG1392" s="58">
        <v>0</v>
      </c>
      <c r="AH1392" s="58">
        <v>0</v>
      </c>
      <c r="AI1392" s="58">
        <v>0</v>
      </c>
      <c r="AJ1392" s="58">
        <v>0</v>
      </c>
      <c r="AK1392" s="58">
        <v>0</v>
      </c>
      <c r="AL1392" s="75">
        <f>+SUBTOTAL(9,Tabla6[[#This Row],[ENE]:[DIC]])</f>
        <v>8144.42</v>
      </c>
      <c r="AM1392" s="76" t="str">
        <f t="shared" si="58"/>
        <v>OK</v>
      </c>
      <c r="AN1392" s="60">
        <f>8144.42</f>
        <v>8144.42</v>
      </c>
      <c r="AO1392" s="61">
        <f>+Tabla6[[#This Row],[PRESUPUESTO VIGENTE]]-Tabla6[[#This Row],[CERTIFICACIÓN PAPP]]</f>
        <v>0</v>
      </c>
      <c r="AP1392" s="59">
        <v>0</v>
      </c>
    </row>
    <row r="1393" spans="1:45" ht="93" customHeight="1" x14ac:dyDescent="0.25">
      <c r="A1393" s="62" t="s">
        <v>78</v>
      </c>
      <c r="B1393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393" s="64" t="s">
        <v>79</v>
      </c>
      <c r="D1393" s="64" t="s">
        <v>115</v>
      </c>
      <c r="E1393" s="64" t="s">
        <v>114</v>
      </c>
      <c r="F1393" s="64" t="s">
        <v>4</v>
      </c>
      <c r="G1393" s="64" t="s">
        <v>5</v>
      </c>
      <c r="H1393" s="65" t="str">
        <f>VLOOKUP(Tabla6[[#This Row],[DIRECCIÓN]],DIRECCIÓN[#All],2,0)</f>
        <v>ADMINISTRACIÓN CENTRAL</v>
      </c>
      <c r="I1393" s="66" t="s">
        <v>97</v>
      </c>
      <c r="J1393" s="67">
        <v>3</v>
      </c>
      <c r="K1393" s="68" t="str">
        <f>VLOOKUP(Tabla6[[#This Row],[DIRECCIÓN GENERAL / COORDINACIÓN / SUBDIRECCIÓN]],Tabla37[[#All],[Columna1]:[EOD]],2,0)</f>
        <v>266_9999</v>
      </c>
      <c r="L1393" s="69">
        <f>VLOOKUP(Tabla6[[#This Row],[OBJETIVOS PND]],Listas!$A$1:$C$3,3,0)</f>
        <v>1</v>
      </c>
      <c r="M1393" s="70">
        <f>VLOOKUP(Tabla6[[#This Row],[PG]],Listas2!$G$14:$K$16,5,0)</f>
        <v>0</v>
      </c>
      <c r="N1393" s="71">
        <v>1</v>
      </c>
      <c r="O1393" s="72">
        <v>1701</v>
      </c>
      <c r="P1393" s="73" t="str">
        <f>VLOOKUP(Tabla6[[#This Row],[GEO]],Listas!$A$48:$B$77,2,0)</f>
        <v>QUITO</v>
      </c>
      <c r="Q1393" s="70">
        <f>VLOOKUP(Tabla6[[#This Row],[PG]],Listas2!$G$14:$K$16,3,0)</f>
        <v>1</v>
      </c>
      <c r="R1393" s="73">
        <f>VLOOKUP(Tabla6[[#This Row],[PG]],Listas2!H113:'Listas2'!$G$14:$K$16,4,0)</f>
        <v>0</v>
      </c>
      <c r="S1393" s="73">
        <f>VLOOKUP(Tabla6[[#This Row],[PG]],Listas2!$G$14:$K$16,2,0)</f>
        <v>0</v>
      </c>
      <c r="T1393" s="66" t="s">
        <v>84</v>
      </c>
      <c r="U1393" s="74">
        <v>57</v>
      </c>
      <c r="V1393" s="66">
        <v>570102</v>
      </c>
      <c r="W1393" s="63" t="str">
        <f>VLOOKUP(Tabla6[[#This Row],[ÍTEM PRESUPUESTARIO]],Tabla2[#All],2,0)</f>
        <v>TASAS GENERALES, IMPUESTOS, CONTRIBUCIONES, PERMISOS, LICENCIAS Y PATENTES</v>
      </c>
      <c r="X1393" s="57">
        <v>1500</v>
      </c>
      <c r="Y1393" s="57">
        <f>1500-400-200-367.03</f>
        <v>532.97</v>
      </c>
      <c r="Z1393" s="58">
        <v>0</v>
      </c>
      <c r="AA1393" s="58">
        <v>0</v>
      </c>
      <c r="AB1393" s="58">
        <v>0</v>
      </c>
      <c r="AC1393" s="58">
        <v>0</v>
      </c>
      <c r="AD1393" s="58">
        <v>0</v>
      </c>
      <c r="AE1393" s="58">
        <v>0</v>
      </c>
      <c r="AF1393" s="58">
        <v>0</v>
      </c>
      <c r="AG1393" s="58">
        <v>0</v>
      </c>
      <c r="AH1393" s="58">
        <v>0</v>
      </c>
      <c r="AI1393" s="58">
        <v>0</v>
      </c>
      <c r="AJ1393" s="58">
        <v>0</v>
      </c>
      <c r="AK1393" s="58">
        <v>532.97</v>
      </c>
      <c r="AL1393" s="75">
        <f>+SUBTOTAL(9,Tabla6[[#This Row],[ENE]:[DIC]])</f>
        <v>532.97</v>
      </c>
      <c r="AM1393" s="76" t="str">
        <f t="shared" si="58"/>
        <v>OK</v>
      </c>
      <c r="AN1393" s="60">
        <v>532.97</v>
      </c>
      <c r="AO1393" s="61">
        <f>+Tabla6[[#This Row],[PRESUPUESTO VIGENTE]]-Tabla6[[#This Row],[CERTIFICACIÓN PAPP]]</f>
        <v>0</v>
      </c>
      <c r="AP1393" s="59">
        <v>0</v>
      </c>
    </row>
    <row r="1394" spans="1:45" ht="93" customHeight="1" x14ac:dyDescent="0.25">
      <c r="A1394" s="62" t="s">
        <v>78</v>
      </c>
      <c r="B1394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394" s="64" t="s">
        <v>79</v>
      </c>
      <c r="D1394" s="64" t="s">
        <v>115</v>
      </c>
      <c r="E1394" s="64" t="s">
        <v>114</v>
      </c>
      <c r="F1394" s="64" t="s">
        <v>4</v>
      </c>
      <c r="G1394" s="64" t="s">
        <v>5</v>
      </c>
      <c r="H1394" s="65" t="str">
        <f>VLOOKUP(Tabla6[[#This Row],[DIRECCIÓN]],DIRECCIÓN[#All],2,0)</f>
        <v>ADMINISTRACIÓN CENTRAL</v>
      </c>
      <c r="I1394" s="66" t="s">
        <v>176</v>
      </c>
      <c r="J1394" s="67">
        <v>1</v>
      </c>
      <c r="K1394" s="68" t="str">
        <f>VLOOKUP(Tabla6[[#This Row],[DIRECCIÓN GENERAL / COORDINACIÓN / SUBDIRECCIÓN]],Tabla37[[#All],[Columna1]:[EOD]],2,0)</f>
        <v>266_9999</v>
      </c>
      <c r="L1394" s="69">
        <f>VLOOKUP(Tabla6[[#This Row],[OBJETIVOS PND]],Listas!$A$1:$C$3,3,0)</f>
        <v>1</v>
      </c>
      <c r="M1394" s="70">
        <f>VLOOKUP(Tabla6[[#This Row],[PG]],Listas2!$G$14:$K$16,5,0)</f>
        <v>0</v>
      </c>
      <c r="N1394" s="71">
        <v>1</v>
      </c>
      <c r="O1394" s="72">
        <v>1701</v>
      </c>
      <c r="P1394" s="73" t="str">
        <f>VLOOKUP(Tabla6[[#This Row],[GEO]],Listas!$A$48:$B$77,2,0)</f>
        <v>QUITO</v>
      </c>
      <c r="Q1394" s="70">
        <f>VLOOKUP(Tabla6[[#This Row],[PG]],Listas2!$G$14:$K$16,3,0)</f>
        <v>1</v>
      </c>
      <c r="R1394" s="73">
        <f>VLOOKUP(Tabla6[[#This Row],[PG]],Listas2!H114:'Listas2'!$G$14:$K$16,4,0)</f>
        <v>0</v>
      </c>
      <c r="S1394" s="73">
        <f>VLOOKUP(Tabla6[[#This Row],[PG]],Listas2!$G$14:$K$16,2,0)</f>
        <v>0</v>
      </c>
      <c r="T1394" s="66" t="s">
        <v>84</v>
      </c>
      <c r="U1394" s="74">
        <v>57</v>
      </c>
      <c r="V1394" s="66">
        <v>570102</v>
      </c>
      <c r="W1394" s="63" t="str">
        <f>VLOOKUP(Tabla6[[#This Row],[ÍTEM PRESUPUESTARIO]],Tabla2[#All],2,0)</f>
        <v>TASAS GENERALES, IMPUESTOS, CONTRIBUCIONES, PERMISOS, LICENCIAS Y PATENTES</v>
      </c>
      <c r="X1394" s="57">
        <v>3000</v>
      </c>
      <c r="Y1394" s="57">
        <f>3000-855.25-579.45</f>
        <v>1565.3</v>
      </c>
      <c r="Z1394" s="58">
        <v>0</v>
      </c>
      <c r="AA1394" s="58">
        <v>0</v>
      </c>
      <c r="AB1394" s="58">
        <v>0</v>
      </c>
      <c r="AC1394" s="58">
        <v>0</v>
      </c>
      <c r="AD1394" s="58">
        <v>0</v>
      </c>
      <c r="AE1394" s="58">
        <v>0</v>
      </c>
      <c r="AF1394" s="58">
        <v>0</v>
      </c>
      <c r="AG1394" s="58">
        <v>0</v>
      </c>
      <c r="AH1394" s="58">
        <v>0</v>
      </c>
      <c r="AI1394" s="58">
        <v>0</v>
      </c>
      <c r="AJ1394" s="58">
        <v>0</v>
      </c>
      <c r="AK1394" s="58">
        <v>1565.3</v>
      </c>
      <c r="AL1394" s="75">
        <f>+SUBTOTAL(9,Tabla6[[#This Row],[ENE]:[DIC]])</f>
        <v>1565.3</v>
      </c>
      <c r="AM1394" s="76" t="str">
        <f t="shared" si="58"/>
        <v>OK</v>
      </c>
      <c r="AN1394" s="60">
        <f>1547.4+17.9</f>
        <v>1565.3000000000002</v>
      </c>
      <c r="AO1394" s="61">
        <f>+Tabla6[[#This Row],[PRESUPUESTO VIGENTE]]-Tabla6[[#This Row],[CERTIFICACIÓN PAPP]]</f>
        <v>0</v>
      </c>
      <c r="AP1394" s="59">
        <v>0</v>
      </c>
    </row>
    <row r="1395" spans="1:45" ht="93" customHeight="1" x14ac:dyDescent="0.25">
      <c r="A1395" s="62" t="s">
        <v>78</v>
      </c>
      <c r="B1395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395" s="64" t="s">
        <v>79</v>
      </c>
      <c r="D1395" s="64" t="s">
        <v>115</v>
      </c>
      <c r="E1395" s="64" t="s">
        <v>114</v>
      </c>
      <c r="F1395" s="64" t="s">
        <v>4</v>
      </c>
      <c r="G1395" s="64" t="s">
        <v>5</v>
      </c>
      <c r="H1395" s="65" t="str">
        <f>VLOOKUP(Tabla6[[#This Row],[DIRECCIÓN]],DIRECCIÓN[#All],2,0)</f>
        <v>ADMINISTRACIÓN CENTRAL</v>
      </c>
      <c r="I1395" s="66" t="s">
        <v>177</v>
      </c>
      <c r="J1395" s="67">
        <v>1</v>
      </c>
      <c r="K1395" s="68" t="str">
        <f>VLOOKUP(Tabla6[[#This Row],[DIRECCIÓN GENERAL / COORDINACIÓN / SUBDIRECCIÓN]],Tabla37[[#All],[Columna1]:[EOD]],2,0)</f>
        <v>266_9999</v>
      </c>
      <c r="L1395" s="69">
        <f>VLOOKUP(Tabla6[[#This Row],[OBJETIVOS PND]],Listas!$A$1:$C$3,3,0)</f>
        <v>1</v>
      </c>
      <c r="M1395" s="70">
        <f>VLOOKUP(Tabla6[[#This Row],[PG]],Listas2!$G$14:$K$16,5,0)</f>
        <v>0</v>
      </c>
      <c r="N1395" s="71">
        <v>1</v>
      </c>
      <c r="O1395" s="72">
        <v>1701</v>
      </c>
      <c r="P1395" s="73" t="str">
        <f>VLOOKUP(Tabla6[[#This Row],[GEO]],Listas!$A$48:$B$77,2,0)</f>
        <v>QUITO</v>
      </c>
      <c r="Q1395" s="70">
        <f>VLOOKUP(Tabla6[[#This Row],[PG]],Listas2!$G$14:$K$16,3,0)</f>
        <v>1</v>
      </c>
      <c r="R1395" s="73">
        <f>VLOOKUP(Tabla6[[#This Row],[PG]],Listas2!H1089:'Listas2'!$G$14:$K$16,4,0)</f>
        <v>0</v>
      </c>
      <c r="S1395" s="73">
        <f>VLOOKUP(Tabla6[[#This Row],[PG]],Listas2!$G$14:$K$16,2,0)</f>
        <v>0</v>
      </c>
      <c r="T1395" s="66" t="s">
        <v>84</v>
      </c>
      <c r="U1395" s="74">
        <v>57</v>
      </c>
      <c r="V1395" s="66">
        <v>570102</v>
      </c>
      <c r="W1395" s="63" t="str">
        <f>VLOOKUP(Tabla6[[#This Row],[ÍTEM PRESUPUESTARIO]],Tabla2[#All],2,0)</f>
        <v>TASAS GENERALES, IMPUESTOS, CONTRIBUCIONES, PERMISOS, LICENCIAS Y PATENTES</v>
      </c>
      <c r="X1395" s="57">
        <v>0</v>
      </c>
      <c r="Y1395" s="57">
        <f>200-122.17</f>
        <v>77.83</v>
      </c>
      <c r="Z1395" s="58">
        <v>0</v>
      </c>
      <c r="AA1395" s="58">
        <v>0</v>
      </c>
      <c r="AB1395" s="58">
        <v>0</v>
      </c>
      <c r="AC1395" s="58">
        <v>0</v>
      </c>
      <c r="AD1395" s="58">
        <v>0</v>
      </c>
      <c r="AE1395" s="58">
        <v>0</v>
      </c>
      <c r="AF1395" s="58">
        <v>0</v>
      </c>
      <c r="AG1395" s="58">
        <v>0</v>
      </c>
      <c r="AH1395" s="58">
        <v>0</v>
      </c>
      <c r="AI1395" s="58">
        <v>0</v>
      </c>
      <c r="AJ1395" s="58">
        <v>0</v>
      </c>
      <c r="AK1395" s="58">
        <v>77.83</v>
      </c>
      <c r="AL1395" s="75">
        <f>+SUBTOTAL(9,Tabla6[[#This Row],[ENE]:[DIC]])</f>
        <v>77.83</v>
      </c>
      <c r="AM1395" s="76" t="str">
        <f t="shared" si="58"/>
        <v>OK</v>
      </c>
      <c r="AN1395" s="60">
        <f>80.84-80.84</f>
        <v>0</v>
      </c>
      <c r="AO1395" s="61">
        <f>+Tabla6[[#This Row],[PRESUPUESTO VIGENTE]]-Tabla6[[#This Row],[CERTIFICACIÓN PAPP]]</f>
        <v>77.83</v>
      </c>
      <c r="AP1395" s="59">
        <v>0</v>
      </c>
    </row>
    <row r="1396" spans="1:45" ht="93" customHeight="1" x14ac:dyDescent="0.25">
      <c r="A1396" s="62" t="s">
        <v>78</v>
      </c>
      <c r="B1396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396" s="64" t="s">
        <v>79</v>
      </c>
      <c r="D1396" s="64" t="s">
        <v>115</v>
      </c>
      <c r="E1396" s="64" t="s">
        <v>114</v>
      </c>
      <c r="F1396" s="64" t="s">
        <v>4</v>
      </c>
      <c r="G1396" s="64" t="s">
        <v>5</v>
      </c>
      <c r="H1396" s="65" t="str">
        <f>VLOOKUP(Tabla6[[#This Row],[DIRECCIÓN]],DIRECCIÓN[#All],2,0)</f>
        <v>ADMINISTRACIÓN CENTRAL</v>
      </c>
      <c r="I1396" s="66" t="s">
        <v>178</v>
      </c>
      <c r="J1396" s="67">
        <v>1</v>
      </c>
      <c r="K1396" s="68" t="str">
        <f>VLOOKUP(Tabla6[[#This Row],[DIRECCIÓN GENERAL / COORDINACIÓN / SUBDIRECCIÓN]],Tabla37[[#All],[Columna1]:[EOD]],2,0)</f>
        <v>266_9999</v>
      </c>
      <c r="L1396" s="69">
        <f>VLOOKUP(Tabla6[[#This Row],[OBJETIVOS PND]],Listas!$A$1:$C$3,3,0)</f>
        <v>1</v>
      </c>
      <c r="M1396" s="70">
        <f>VLOOKUP(Tabla6[[#This Row],[PG]],Listas2!$G$14:$K$16,5,0)</f>
        <v>0</v>
      </c>
      <c r="N1396" s="71">
        <v>1</v>
      </c>
      <c r="O1396" s="72">
        <v>1701</v>
      </c>
      <c r="P1396" s="73" t="str">
        <f>VLOOKUP(Tabla6[[#This Row],[GEO]],Listas!$A$48:$B$77,2,0)</f>
        <v>QUITO</v>
      </c>
      <c r="Q1396" s="70">
        <f>VLOOKUP(Tabla6[[#This Row],[PG]],Listas2!$G$14:$K$16,3,0)</f>
        <v>1</v>
      </c>
      <c r="R1396" s="73">
        <f>VLOOKUP(Tabla6[[#This Row],[PG]],Listas2!H115:'Listas2'!$G$14:$K$16,4,0)</f>
        <v>0</v>
      </c>
      <c r="S1396" s="73">
        <f>VLOOKUP(Tabla6[[#This Row],[PG]],Listas2!$G$14:$K$16,2,0)</f>
        <v>0</v>
      </c>
      <c r="T1396" s="66" t="s">
        <v>84</v>
      </c>
      <c r="U1396" s="74">
        <v>57</v>
      </c>
      <c r="V1396" s="66">
        <v>570201</v>
      </c>
      <c r="W1396" s="63" t="str">
        <f>VLOOKUP(Tabla6[[#This Row],[ÍTEM PRESUPUESTARIO]],Tabla2[#All],2,0)</f>
        <v>SEGUROS</v>
      </c>
      <c r="X1396" s="57">
        <v>449068.28</v>
      </c>
      <c r="Y1396" s="57">
        <f>449068.28+55407.26+489010.86+100000-12000-2000-98314.99-24342-27112.84-30288.97-87548.08-7120-14729.33-45004.39</f>
        <v>745025.8</v>
      </c>
      <c r="Z1396" s="58">
        <v>0</v>
      </c>
      <c r="AA1396" s="58">
        <v>0</v>
      </c>
      <c r="AB1396" s="58">
        <v>0</v>
      </c>
      <c r="AC1396" s="58">
        <v>504475.54</v>
      </c>
      <c r="AD1396" s="58">
        <v>0</v>
      </c>
      <c r="AE1396" s="58">
        <v>0</v>
      </c>
      <c r="AF1396" s="58">
        <v>240550.26</v>
      </c>
      <c r="AG1396" s="58">
        <v>0</v>
      </c>
      <c r="AH1396" s="58">
        <v>0</v>
      </c>
      <c r="AI1396" s="58">
        <v>0</v>
      </c>
      <c r="AJ1396" s="58">
        <v>0</v>
      </c>
      <c r="AK1396" s="58">
        <v>0</v>
      </c>
      <c r="AL1396" s="75">
        <f>+SUBTOTAL(9,Tabla6[[#This Row],[ENE]:[DIC]])</f>
        <v>745025.8</v>
      </c>
      <c r="AM1396" s="76" t="str">
        <f t="shared" si="58"/>
        <v>OK</v>
      </c>
      <c r="AN1396" s="60">
        <f>95260.53-95260.53+99106.95+590595.31+3000-3000+513.22+87548.08+20000+34810.32-87548.08</f>
        <v>745025.79999999993</v>
      </c>
      <c r="AO1396" s="61">
        <f>+Tabla6[[#This Row],[PRESUPUESTO VIGENTE]]-Tabla6[[#This Row],[CERTIFICACIÓN PAPP]]</f>
        <v>0</v>
      </c>
      <c r="AP1396" s="59" t="s">
        <v>87</v>
      </c>
    </row>
    <row r="1397" spans="1:45" ht="93" customHeight="1" x14ac:dyDescent="0.25">
      <c r="A1397" s="62" t="s">
        <v>78</v>
      </c>
      <c r="B1397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397" s="64" t="s">
        <v>79</v>
      </c>
      <c r="D1397" s="64" t="s">
        <v>115</v>
      </c>
      <c r="E1397" s="64" t="s">
        <v>114</v>
      </c>
      <c r="F1397" s="64" t="s">
        <v>4</v>
      </c>
      <c r="G1397" s="64" t="s">
        <v>5</v>
      </c>
      <c r="H1397" s="65" t="str">
        <f>VLOOKUP(Tabla6[[#This Row],[DIRECCIÓN]],DIRECCIÓN[#All],2,0)</f>
        <v>ADMINISTRACIÓN CENTRAL</v>
      </c>
      <c r="I1397" s="66" t="s">
        <v>179</v>
      </c>
      <c r="J1397" s="67">
        <v>1</v>
      </c>
      <c r="K1397" s="68" t="str">
        <f>VLOOKUP(Tabla6[[#This Row],[DIRECCIÓN GENERAL / COORDINACIÓN / SUBDIRECCIÓN]],Tabla37[[#All],[Columna1]:[EOD]],2,0)</f>
        <v>266_9999</v>
      </c>
      <c r="L1397" s="69">
        <f>VLOOKUP(Tabla6[[#This Row],[OBJETIVOS PND]],Listas!$A$1:$C$3,3,0)</f>
        <v>1</v>
      </c>
      <c r="M1397" s="70">
        <f>VLOOKUP(Tabla6[[#This Row],[PG]],Listas2!$G$14:$K$16,5,0)</f>
        <v>0</v>
      </c>
      <c r="N1397" s="71">
        <v>1</v>
      </c>
      <c r="O1397" s="72">
        <v>1701</v>
      </c>
      <c r="P1397" s="73" t="str">
        <f>VLOOKUP(Tabla6[[#This Row],[GEO]],Listas!$A$48:$B$77,2,0)</f>
        <v>QUITO</v>
      </c>
      <c r="Q1397" s="70">
        <f>VLOOKUP(Tabla6[[#This Row],[PG]],Listas2!$G$14:$K$16,3,0)</f>
        <v>1</v>
      </c>
      <c r="R1397" s="73">
        <f>VLOOKUP(Tabla6[[#This Row],[PG]],Listas2!H1339:'Listas2'!$G$14:$K$16,4,0)</f>
        <v>0</v>
      </c>
      <c r="S1397" s="73">
        <f>VLOOKUP(Tabla6[[#This Row],[PG]],Listas2!$G$14:$K$16,2,0)</f>
        <v>0</v>
      </c>
      <c r="T1397" s="66" t="s">
        <v>84</v>
      </c>
      <c r="U1397" s="74">
        <v>57</v>
      </c>
      <c r="V1397" s="66">
        <v>570201</v>
      </c>
      <c r="W1397" s="63" t="str">
        <f>VLOOKUP(Tabla6[[#This Row],[ÍTEM PRESUPUESTARIO]],Tabla2[#All],2,0)</f>
        <v>SEGUROS</v>
      </c>
      <c r="X1397" s="57">
        <v>0</v>
      </c>
      <c r="Y1397" s="57">
        <f>87548.08-54965.57</f>
        <v>32582.510000000002</v>
      </c>
      <c r="Z1397" s="58">
        <v>0</v>
      </c>
      <c r="AA1397" s="58">
        <v>0</v>
      </c>
      <c r="AB1397" s="58">
        <v>0</v>
      </c>
      <c r="AC1397" s="58">
        <v>0</v>
      </c>
      <c r="AD1397" s="58">
        <v>0</v>
      </c>
      <c r="AE1397" s="58">
        <v>0</v>
      </c>
      <c r="AF1397" s="58">
        <v>0</v>
      </c>
      <c r="AG1397" s="58">
        <v>0</v>
      </c>
      <c r="AH1397" s="58">
        <v>0</v>
      </c>
      <c r="AI1397" s="58">
        <v>0</v>
      </c>
      <c r="AJ1397" s="58">
        <v>32582.51</v>
      </c>
      <c r="AK1397" s="58">
        <v>0</v>
      </c>
      <c r="AL1397" s="75">
        <f>+SUBTOTAL(9,Tabla6[[#This Row],[ENE]:[DIC]])</f>
        <v>32582.51</v>
      </c>
      <c r="AM1397" s="76" t="str">
        <f t="shared" si="58"/>
        <v>OK</v>
      </c>
      <c r="AN1397" s="60">
        <f>87548.08-34810.32-20000-155.25</f>
        <v>32582.510000000002</v>
      </c>
      <c r="AO1397" s="61">
        <f>+Tabla6[[#This Row],[PRESUPUESTO VIGENTE]]-Tabla6[[#This Row],[CERTIFICACIÓN PAPP]]</f>
        <v>0</v>
      </c>
      <c r="AP1397" s="59">
        <v>0</v>
      </c>
    </row>
    <row r="1398" spans="1:45" ht="93" customHeight="1" x14ac:dyDescent="0.25">
      <c r="A1398" s="62" t="s">
        <v>78</v>
      </c>
      <c r="B1398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398" s="64" t="s">
        <v>79</v>
      </c>
      <c r="D1398" s="64" t="s">
        <v>132</v>
      </c>
      <c r="E1398" s="64" t="s">
        <v>114</v>
      </c>
      <c r="F1398" s="64" t="s">
        <v>4</v>
      </c>
      <c r="G1398" s="64" t="s">
        <v>6</v>
      </c>
      <c r="H1398" s="65" t="str">
        <f>VLOOKUP(Tabla6[[#This Row],[DIRECCIÓN]],DIRECCIÓN[#All],2,0)</f>
        <v>ADMINISTRACIÓN CENTRAL</v>
      </c>
      <c r="I1398" s="66" t="s">
        <v>180</v>
      </c>
      <c r="J1398" s="67">
        <v>1</v>
      </c>
      <c r="K1398" s="68" t="str">
        <f>VLOOKUP(Tabla6[[#This Row],[DIRECCIÓN GENERAL / COORDINACIÓN / SUBDIRECCIÓN]],Tabla37[[#All],[Columna1]:[EOD]],2,0)</f>
        <v>266_9999</v>
      </c>
      <c r="L1398" s="69">
        <f>VLOOKUP(Tabla6[[#This Row],[OBJETIVOS PND]],Listas!$A$1:$C$3,3,0)</f>
        <v>1</v>
      </c>
      <c r="M1398" s="70">
        <f>VLOOKUP(Tabla6[[#This Row],[PG]],Listas2!$G$14:$K$16,5,0)</f>
        <v>0</v>
      </c>
      <c r="N1398" s="71">
        <v>1</v>
      </c>
      <c r="O1398" s="72">
        <v>1701</v>
      </c>
      <c r="P1398" s="73" t="str">
        <f>VLOOKUP(Tabla6[[#This Row],[GEO]],Listas!$A$48:$B$77,2,0)</f>
        <v>QUITO</v>
      </c>
      <c r="Q1398" s="70">
        <f>VLOOKUP(Tabla6[[#This Row],[PG]],Listas2!$G$14:$K$16,3,0)</f>
        <v>1</v>
      </c>
      <c r="R1398" s="73">
        <f>VLOOKUP(Tabla6[[#This Row],[PG]],Listas2!H116:'Listas2'!$G$14:$K$16,4,0)</f>
        <v>0</v>
      </c>
      <c r="S1398" s="73">
        <f>VLOOKUP(Tabla6[[#This Row],[PG]],Listas2!$G$14:$K$16,2,0)</f>
        <v>0</v>
      </c>
      <c r="T1398" s="66" t="s">
        <v>84</v>
      </c>
      <c r="U1398" s="74">
        <v>57</v>
      </c>
      <c r="V1398" s="66">
        <v>570201</v>
      </c>
      <c r="W1398" s="63" t="str">
        <f>VLOOKUP(Tabla6[[#This Row],[ÍTEM PRESUPUESTARIO]],Tabla2[#All],2,0)</f>
        <v>SEGUROS</v>
      </c>
      <c r="X1398" s="57">
        <v>2000</v>
      </c>
      <c r="Y1398" s="57">
        <f>2000-1121.01</f>
        <v>878.99</v>
      </c>
      <c r="Z1398" s="58">
        <v>0</v>
      </c>
      <c r="AA1398" s="58">
        <v>0</v>
      </c>
      <c r="AB1398" s="58">
        <v>0</v>
      </c>
      <c r="AC1398" s="58">
        <v>0</v>
      </c>
      <c r="AD1398" s="58">
        <v>0</v>
      </c>
      <c r="AE1398" s="58">
        <v>0</v>
      </c>
      <c r="AF1398" s="58">
        <v>0</v>
      </c>
      <c r="AG1398" s="58">
        <f>2000-1121.01</f>
        <v>878.99</v>
      </c>
      <c r="AH1398" s="58">
        <v>0</v>
      </c>
      <c r="AI1398" s="58">
        <v>0</v>
      </c>
      <c r="AJ1398" s="58">
        <v>0</v>
      </c>
      <c r="AK1398" s="58">
        <v>0</v>
      </c>
      <c r="AL1398" s="75">
        <f>+SUBTOTAL(9,Tabla6[[#This Row],[ENE]:[DIC]])</f>
        <v>878.99</v>
      </c>
      <c r="AM1398" s="76" t="str">
        <f t="shared" si="58"/>
        <v>OK</v>
      </c>
      <c r="AN1398" s="60">
        <v>878.99</v>
      </c>
      <c r="AO1398" s="61">
        <f>+Tabla6[[#This Row],[PRESUPUESTO VIGENTE]]-Tabla6[[#This Row],[CERTIFICACIÓN PAPP]]</f>
        <v>0</v>
      </c>
      <c r="AP1398" s="59">
        <v>0</v>
      </c>
    </row>
    <row r="1399" spans="1:45" ht="93" customHeight="1" x14ac:dyDescent="0.25">
      <c r="A1399" s="62" t="s">
        <v>78</v>
      </c>
      <c r="B1399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399" s="64" t="s">
        <v>79</v>
      </c>
      <c r="D1399" s="64" t="s">
        <v>132</v>
      </c>
      <c r="E1399" s="64" t="s">
        <v>114</v>
      </c>
      <c r="F1399" s="64" t="s">
        <v>4</v>
      </c>
      <c r="G1399" s="64" t="s">
        <v>5</v>
      </c>
      <c r="H1399" s="65" t="str">
        <f>VLOOKUP(Tabla6[[#This Row],[DIRECCIÓN]],DIRECCIÓN[#All],2,0)</f>
        <v>ADMINISTRACIÓN CENTRAL</v>
      </c>
      <c r="I1399" s="66" t="s">
        <v>97</v>
      </c>
      <c r="J1399" s="67">
        <v>1</v>
      </c>
      <c r="K1399" s="68" t="str">
        <f>VLOOKUP(Tabla6[[#This Row],[DIRECCIÓN GENERAL / COORDINACIÓN / SUBDIRECCIÓN]],Tabla37[[#All],[Columna1]:[EOD]],2,0)</f>
        <v>266_9999</v>
      </c>
      <c r="L1399" s="69">
        <f>VLOOKUP(Tabla6[[#This Row],[OBJETIVOS PND]],Listas!$A$1:$C$3,3,0)</f>
        <v>1</v>
      </c>
      <c r="M1399" s="70">
        <f>VLOOKUP(Tabla6[[#This Row],[PG]],Listas2!$G$14:$K$16,5,0)</f>
        <v>0</v>
      </c>
      <c r="N1399" s="71">
        <v>1</v>
      </c>
      <c r="O1399" s="72">
        <v>1701</v>
      </c>
      <c r="P1399" s="73" t="str">
        <f>VLOOKUP(Tabla6[[#This Row],[GEO]],Listas!$A$48:$B$77,2,0)</f>
        <v>QUITO</v>
      </c>
      <c r="Q1399" s="70">
        <f>VLOOKUP(Tabla6[[#This Row],[PG]],Listas2!$G$14:$K$16,3,0)</f>
        <v>1</v>
      </c>
      <c r="R1399" s="73">
        <f>VLOOKUP(Tabla6[[#This Row],[PG]],Listas2!H1191:'Listas2'!$G$14:$K$16,4,0)</f>
        <v>0</v>
      </c>
      <c r="S1399" s="73">
        <f>VLOOKUP(Tabla6[[#This Row],[PG]],Listas2!$G$14:$K$16,2,0)</f>
        <v>0</v>
      </c>
      <c r="T1399" s="66" t="s">
        <v>84</v>
      </c>
      <c r="U1399" s="74">
        <v>57</v>
      </c>
      <c r="V1399" s="66">
        <v>570206</v>
      </c>
      <c r="W1399" s="63" t="str">
        <f>VLOOKUP(Tabla6[[#This Row],[ÍTEM PRESUPUESTARIO]],Tabla2[#All],2,0)</f>
        <v>COSTAS JUDICIALES, TRÁMITES NOTARIALES,  LEGALIZACIÓN DE DOCUMENTOS Y ARREGLOS EXTRAJUDICIALES</v>
      </c>
      <c r="X1399" s="57">
        <v>0</v>
      </c>
      <c r="Y1399" s="57">
        <f>261.87+150-79.74</f>
        <v>332.13</v>
      </c>
      <c r="Z1399" s="58">
        <v>0</v>
      </c>
      <c r="AA1399" s="58">
        <v>0</v>
      </c>
      <c r="AB1399" s="58">
        <v>0</v>
      </c>
      <c r="AC1399" s="58">
        <v>0</v>
      </c>
      <c r="AD1399" s="58">
        <v>0</v>
      </c>
      <c r="AE1399" s="58">
        <v>0</v>
      </c>
      <c r="AF1399" s="58">
        <v>0</v>
      </c>
      <c r="AG1399" s="58">
        <v>261.87</v>
      </c>
      <c r="AH1399" s="58">
        <v>0</v>
      </c>
      <c r="AI1399" s="58">
        <v>50</v>
      </c>
      <c r="AJ1399" s="58">
        <v>20.260000000000002</v>
      </c>
      <c r="AK1399" s="58">
        <v>0</v>
      </c>
      <c r="AL1399" s="75">
        <f>+SUBTOTAL(9,Tabla6[[#This Row],[ENE]:[DIC]])</f>
        <v>332.13</v>
      </c>
      <c r="AM1399" s="76" t="str">
        <f t="shared" si="58"/>
        <v>OK</v>
      </c>
      <c r="AN1399" s="60">
        <v>332.13</v>
      </c>
      <c r="AO1399" s="61">
        <f>+Tabla6[[#This Row],[PRESUPUESTO VIGENTE]]-Tabla6[[#This Row],[CERTIFICACIÓN PAPP]]</f>
        <v>0</v>
      </c>
      <c r="AP1399" s="59">
        <v>0</v>
      </c>
    </row>
    <row r="1400" spans="1:45" ht="93" customHeight="1" x14ac:dyDescent="0.25">
      <c r="A1400" s="62" t="s">
        <v>78</v>
      </c>
      <c r="B1400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400" s="64" t="s">
        <v>79</v>
      </c>
      <c r="D1400" s="64" t="s">
        <v>115</v>
      </c>
      <c r="E1400" s="64" t="s">
        <v>114</v>
      </c>
      <c r="F1400" s="64" t="s">
        <v>4</v>
      </c>
      <c r="G1400" s="64" t="s">
        <v>5</v>
      </c>
      <c r="H1400" s="65" t="str">
        <f>VLOOKUP(Tabla6[[#This Row],[DIRECCIÓN]],DIRECCIÓN[#All],2,0)</f>
        <v>ADMINISTRACIÓN CENTRAL</v>
      </c>
      <c r="I1400" s="66" t="s">
        <v>181</v>
      </c>
      <c r="J1400" s="67">
        <v>1</v>
      </c>
      <c r="K1400" s="68" t="str">
        <f>VLOOKUP(Tabla6[[#This Row],[DIRECCIÓN GENERAL / COORDINACIÓN / SUBDIRECCIÓN]],Tabla37[[#All],[Columna1]:[EOD]],2,0)</f>
        <v>266_9999</v>
      </c>
      <c r="L1400" s="69">
        <f>VLOOKUP(Tabla6[[#This Row],[OBJETIVOS PND]],Listas!$A$1:$C$3,3,0)</f>
        <v>1</v>
      </c>
      <c r="M1400" s="70">
        <f>VLOOKUP(Tabla6[[#This Row],[PG]],Listas2!$G$14:$K$16,5,0)</f>
        <v>0</v>
      </c>
      <c r="N1400" s="71">
        <v>1</v>
      </c>
      <c r="O1400" s="72">
        <v>1701</v>
      </c>
      <c r="P1400" s="73" t="str">
        <f>VLOOKUP(Tabla6[[#This Row],[GEO]],Listas!$A$48:$B$77,2,0)</f>
        <v>QUITO</v>
      </c>
      <c r="Q1400" s="70">
        <f>VLOOKUP(Tabla6[[#This Row],[PG]],Listas2!$G$14:$K$16,3,0)</f>
        <v>1</v>
      </c>
      <c r="R1400" s="73">
        <f>VLOOKUP(Tabla6[[#This Row],[PG]],Listas2!H1236:'Listas2'!$G$14:$K$16,4,0)</f>
        <v>0</v>
      </c>
      <c r="S1400" s="73">
        <f>VLOOKUP(Tabla6[[#This Row],[PG]],Listas2!$G$14:$K$16,2,0)</f>
        <v>0</v>
      </c>
      <c r="T1400" s="66" t="s">
        <v>95</v>
      </c>
      <c r="U1400" s="74">
        <v>84</v>
      </c>
      <c r="V1400" s="66">
        <v>840103</v>
      </c>
      <c r="W1400" s="63" t="str">
        <f>VLOOKUP(Tabla6[[#This Row],[ÍTEM PRESUPUESTARIO]],Tabla2[#All],2,0)</f>
        <v>MOBILIARIOS</v>
      </c>
      <c r="X1400" s="57">
        <v>0</v>
      </c>
      <c r="Y1400" s="57">
        <f>252680-45803.05</f>
        <v>206876.95</v>
      </c>
      <c r="Z1400" s="58">
        <v>0</v>
      </c>
      <c r="AA1400" s="58">
        <v>0</v>
      </c>
      <c r="AB1400" s="58">
        <v>0</v>
      </c>
      <c r="AC1400" s="58">
        <v>0</v>
      </c>
      <c r="AD1400" s="58">
        <v>0</v>
      </c>
      <c r="AE1400" s="58">
        <v>0</v>
      </c>
      <c r="AF1400" s="58">
        <v>0</v>
      </c>
      <c r="AG1400" s="58">
        <v>0</v>
      </c>
      <c r="AH1400" s="58">
        <v>0</v>
      </c>
      <c r="AI1400" s="58">
        <v>0</v>
      </c>
      <c r="AJ1400" s="58">
        <v>0</v>
      </c>
      <c r="AK1400" s="58">
        <v>206876.95</v>
      </c>
      <c r="AL1400" s="75">
        <f>+SUBTOTAL(9,Tabla6[[#This Row],[ENE]:[DIC]])</f>
        <v>206876.95</v>
      </c>
      <c r="AM1400" s="76" t="str">
        <f t="shared" si="58"/>
        <v>OK</v>
      </c>
      <c r="AN1400" s="60">
        <v>206876.95</v>
      </c>
      <c r="AO1400" s="61">
        <f>+Tabla6[[#This Row],[PRESUPUESTO VIGENTE]]-Tabla6[[#This Row],[CERTIFICACIÓN PAPP]]</f>
        <v>0</v>
      </c>
      <c r="AP1400" s="59">
        <v>0</v>
      </c>
      <c r="AR1400" s="5">
        <v>188314.25</v>
      </c>
      <c r="AS1400" s="5">
        <f>+Tabla6[[#This Row],[CERTIFICACIÓN PAPP]]-AR1400</f>
        <v>18562.700000000012</v>
      </c>
    </row>
    <row r="1401" spans="1:45" ht="93" customHeight="1" x14ac:dyDescent="0.25">
      <c r="A1401" s="62" t="s">
        <v>78</v>
      </c>
      <c r="B1401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401" s="64" t="s">
        <v>79</v>
      </c>
      <c r="D1401" s="64" t="s">
        <v>115</v>
      </c>
      <c r="E1401" s="64" t="s">
        <v>114</v>
      </c>
      <c r="F1401" s="64" t="s">
        <v>4</v>
      </c>
      <c r="G1401" s="64" t="s">
        <v>5</v>
      </c>
      <c r="H1401" s="65" t="str">
        <f>VLOOKUP(Tabla6[[#This Row],[DIRECCIÓN]],DIRECCIÓN[#All],2,0)</f>
        <v>ADMINISTRACIÓN CENTRAL</v>
      </c>
      <c r="I1401" s="66" t="s">
        <v>182</v>
      </c>
      <c r="J1401" s="67">
        <v>1</v>
      </c>
      <c r="K1401" s="68" t="str">
        <f>VLOOKUP(Tabla6[[#This Row],[DIRECCIÓN GENERAL / COORDINACIÓN / SUBDIRECCIÓN]],Tabla37[[#All],[Columna1]:[EOD]],2,0)</f>
        <v>266_9999</v>
      </c>
      <c r="L1401" s="69">
        <f>VLOOKUP(Tabla6[[#This Row],[OBJETIVOS PND]],Listas!$A$1:$C$3,3,0)</f>
        <v>1</v>
      </c>
      <c r="M1401" s="70">
        <f>VLOOKUP(Tabla6[[#This Row],[PG]],Listas2!$G$14:$K$16,5,0)</f>
        <v>0</v>
      </c>
      <c r="N1401" s="71">
        <v>1</v>
      </c>
      <c r="O1401" s="72">
        <v>1701</v>
      </c>
      <c r="P1401" s="73" t="str">
        <f>VLOOKUP(Tabla6[[#This Row],[GEO]],Listas!$A$48:$B$77,2,0)</f>
        <v>QUITO</v>
      </c>
      <c r="Q1401" s="70">
        <f>VLOOKUP(Tabla6[[#This Row],[PG]],Listas2!$G$14:$K$16,3,0)</f>
        <v>1</v>
      </c>
      <c r="R1401" s="73">
        <f>VLOOKUP(Tabla6[[#This Row],[PG]],Listas2!H1280:'Listas2'!$G$14:$K$16,4,0)</f>
        <v>0</v>
      </c>
      <c r="S1401" s="73">
        <f>VLOOKUP(Tabla6[[#This Row],[PG]],Listas2!$G$14:$K$16,2,0)</f>
        <v>0</v>
      </c>
      <c r="T1401" s="66" t="s">
        <v>95</v>
      </c>
      <c r="U1401" s="74">
        <v>84</v>
      </c>
      <c r="V1401" s="66">
        <v>840103</v>
      </c>
      <c r="W1401" s="63" t="str">
        <f>VLOOKUP(Tabla6[[#This Row],[ÍTEM PRESUPUESTARIO]],Tabla2[#All],2,0)</f>
        <v>MOBILIARIOS</v>
      </c>
      <c r="X1401" s="57">
        <v>0</v>
      </c>
      <c r="Y1401" s="57">
        <f>45803.05-45803.05</f>
        <v>0</v>
      </c>
      <c r="Z1401" s="58">
        <v>0</v>
      </c>
      <c r="AA1401" s="58">
        <v>0</v>
      </c>
      <c r="AB1401" s="58">
        <v>0</v>
      </c>
      <c r="AC1401" s="58">
        <v>0</v>
      </c>
      <c r="AD1401" s="58">
        <v>0</v>
      </c>
      <c r="AE1401" s="58">
        <v>0</v>
      </c>
      <c r="AF1401" s="58">
        <v>0</v>
      </c>
      <c r="AG1401" s="58">
        <v>0</v>
      </c>
      <c r="AH1401" s="58">
        <v>0</v>
      </c>
      <c r="AI1401" s="58">
        <v>0</v>
      </c>
      <c r="AJ1401" s="58">
        <v>0</v>
      </c>
      <c r="AK1401" s="58">
        <v>0</v>
      </c>
      <c r="AL1401" s="75">
        <f>+SUBTOTAL(9,Tabla6[[#This Row],[ENE]:[DIC]])</f>
        <v>0</v>
      </c>
      <c r="AM1401" s="76" t="str">
        <f t="shared" si="58"/>
        <v>OK</v>
      </c>
      <c r="AN1401" s="60">
        <v>0</v>
      </c>
      <c r="AO1401" s="61">
        <f>+Tabla6[[#This Row],[PRESUPUESTO VIGENTE]]-Tabla6[[#This Row],[CERTIFICACIÓN PAPP]]</f>
        <v>0</v>
      </c>
      <c r="AP1401" s="59">
        <v>0</v>
      </c>
    </row>
    <row r="1402" spans="1:45" ht="93" customHeight="1" x14ac:dyDescent="0.25">
      <c r="A1402" s="62" t="s">
        <v>78</v>
      </c>
      <c r="B1402" s="63" t="str">
        <f>VLOOKUP(Tabla6[[#This Row],[OBJETIVOS PND]],Listas!$A$1:$B$3,2,0)</f>
        <v>14.2 POTENCIAR LAS CAPACIDADES DE LOS DISTINTOS NIVELES DE GOBIERNO PARA EL CUMPLIMIENTO DE LOS OBJETIVOS NACIONALES Y LA PRESTACIÓN DE SERVICIOS CON CALIDAD</v>
      </c>
      <c r="C1402" s="64" t="s">
        <v>79</v>
      </c>
      <c r="D1402" s="64" t="s">
        <v>132</v>
      </c>
      <c r="E1402" s="64" t="s">
        <v>114</v>
      </c>
      <c r="F1402" s="64" t="s">
        <v>4</v>
      </c>
      <c r="G1402" s="64" t="s">
        <v>5</v>
      </c>
      <c r="H1402" s="65" t="str">
        <f>VLOOKUP(Tabla6[[#This Row],[DIRECCIÓN]],DIRECCIÓN[#All],2,0)</f>
        <v>ADMINISTRACIÓN CENTRAL</v>
      </c>
      <c r="I1402" s="66" t="s">
        <v>183</v>
      </c>
      <c r="J1402" s="67">
        <v>1</v>
      </c>
      <c r="K1402" s="68" t="str">
        <f>VLOOKUP(Tabla6[[#This Row],[DIRECCIÓN GENERAL / COORDINACIÓN / SUBDIRECCIÓN]],Tabla37[[#All],[Columna1]:[EOD]],2,0)</f>
        <v>266_9999</v>
      </c>
      <c r="L1402" s="69">
        <f>VLOOKUP(Tabla6[[#This Row],[OBJETIVOS PND]],Listas!$A$1:$C$3,3,0)</f>
        <v>1</v>
      </c>
      <c r="M1402" s="70">
        <f>VLOOKUP(Tabla6[[#This Row],[PG]],Listas2!$G$14:$K$16,5,0)</f>
        <v>0</v>
      </c>
      <c r="N1402" s="71">
        <v>1</v>
      </c>
      <c r="O1402" s="72">
        <v>1701</v>
      </c>
      <c r="P1402" s="73" t="str">
        <f>VLOOKUP(Tabla6[[#This Row],[GEO]],Listas!$A$48:$B$77,2,0)</f>
        <v>QUITO</v>
      </c>
      <c r="Q1402" s="70">
        <f>VLOOKUP(Tabla6[[#This Row],[PG]],Listas2!$G$14:$K$16,3,0)</f>
        <v>1</v>
      </c>
      <c r="R1402" s="73">
        <f>VLOOKUP(Tabla6[[#This Row],[PG]],Listas2!H1136:'Listas2'!$G$14:$K$16,4,0)</f>
        <v>0</v>
      </c>
      <c r="S1402" s="73">
        <f>VLOOKUP(Tabla6[[#This Row],[PG]],Listas2!$G$14:$K$16,2,0)</f>
        <v>0</v>
      </c>
      <c r="T1402" s="66" t="s">
        <v>84</v>
      </c>
      <c r="U1402" s="74">
        <v>99</v>
      </c>
      <c r="V1402" s="66">
        <v>990102</v>
      </c>
      <c r="W1402" s="63" t="str">
        <f>VLOOKUP(Tabla6[[#This Row],[ÍTEM PRESUPUESTARIO]],Tabla2[#All],2,0)</f>
        <v>OBLIGACIONES DE EJERCICIOS ANTERIORES POR EGRESOS EN SERVICIOS</v>
      </c>
      <c r="X1402" s="57">
        <v>0</v>
      </c>
      <c r="Y1402" s="57">
        <f>4087.82-620.47</f>
        <v>3467.3500000000004</v>
      </c>
      <c r="Z1402" s="58">
        <v>0</v>
      </c>
      <c r="AA1402" s="58">
        <v>0</v>
      </c>
      <c r="AB1402" s="58">
        <v>0</v>
      </c>
      <c r="AC1402" s="58">
        <v>0</v>
      </c>
      <c r="AD1402" s="58">
        <v>0</v>
      </c>
      <c r="AE1402" s="58">
        <v>0</v>
      </c>
      <c r="AF1402" s="58">
        <v>3467.35</v>
      </c>
      <c r="AG1402" s="58">
        <v>0</v>
      </c>
      <c r="AH1402" s="58">
        <v>0</v>
      </c>
      <c r="AI1402" s="58">
        <v>0</v>
      </c>
      <c r="AJ1402" s="58">
        <v>0</v>
      </c>
      <c r="AK1402" s="58">
        <v>0</v>
      </c>
      <c r="AL1402" s="75">
        <f>+SUBTOTAL(9,Tabla6[[#This Row],[ENE]:[DIC]])</f>
        <v>3467.35</v>
      </c>
      <c r="AM1402" s="76" t="str">
        <f t="shared" si="58"/>
        <v>OK</v>
      </c>
      <c r="AN1402" s="60">
        <v>3467.35</v>
      </c>
      <c r="AO1402" s="61">
        <f>+Tabla6[[#This Row],[PRESUPUESTO VIGENTE]]-Tabla6[[#This Row],[CERTIFICACIÓN PAPP]]</f>
        <v>0</v>
      </c>
      <c r="AP1402" s="59">
        <v>0</v>
      </c>
    </row>
    <row r="1403" spans="1:45" ht="93" customHeight="1" x14ac:dyDescent="0.25">
      <c r="A1403" s="62" t="s">
        <v>88</v>
      </c>
      <c r="B1403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403" s="64" t="s">
        <v>100</v>
      </c>
      <c r="D1403" s="64" t="s">
        <v>184</v>
      </c>
      <c r="E1403" s="64" t="s">
        <v>114</v>
      </c>
      <c r="F1403" s="64" t="s">
        <v>15</v>
      </c>
      <c r="G1403" s="64" t="s">
        <v>17</v>
      </c>
      <c r="H1403" s="65" t="str">
        <f>VLOOKUP(Tabla6[[#This Row],[DIRECCIÓN]],DIRECCIÓN[#All],2,0)</f>
        <v>DOCTRINA</v>
      </c>
      <c r="I1403" s="66" t="s">
        <v>185</v>
      </c>
      <c r="J1403" s="67">
        <v>1</v>
      </c>
      <c r="K1403" s="68" t="str">
        <f>VLOOKUP(Tabla6[[#This Row],[DIRECCIÓN GENERAL / COORDINACIÓN / SUBDIRECCIÓN]],Tabla37[[#All],[Columna1]:[EOD]],2,0)</f>
        <v>266_9999</v>
      </c>
      <c r="L1403" s="69">
        <f>VLOOKUP(Tabla6[[#This Row],[OBJETIVOS PND]],Listas!$A$1:$C$3,3,0)</f>
        <v>55</v>
      </c>
      <c r="M1403" s="70">
        <f>VLOOKUP(Tabla6[[#This Row],[PG]],Listas2!$G$14:$K$16,5,0)</f>
        <v>0</v>
      </c>
      <c r="N1403" s="71">
        <v>1</v>
      </c>
      <c r="O1403" s="72">
        <v>1701</v>
      </c>
      <c r="P1403" s="73" t="str">
        <f>VLOOKUP(Tabla6[[#This Row],[GEO]],Listas!$A$48:$B$77,2,0)</f>
        <v>QUITO</v>
      </c>
      <c r="Q1403" s="70">
        <f>VLOOKUP(Tabla6[[#This Row],[PG]],Listas2!$G$14:$K$16,3,0)</f>
        <v>1</v>
      </c>
      <c r="R1403" s="73">
        <f>VLOOKUP(Tabla6[[#This Row],[PG]],Listas2!H1135:'Listas2'!$G$14:$K$16,4,0)</f>
        <v>0</v>
      </c>
      <c r="S1403" s="73">
        <f>VLOOKUP(Tabla6[[#This Row],[PG]],Listas2!$G$14:$K$16,2,0)</f>
        <v>0</v>
      </c>
      <c r="T1403" s="66" t="s">
        <v>84</v>
      </c>
      <c r="U1403" s="74">
        <v>53</v>
      </c>
      <c r="V1403" s="66">
        <v>530105</v>
      </c>
      <c r="W1403" s="63" t="str">
        <f>VLOOKUP(Tabla6[[#This Row],[ÍTEM PRESUPUESTARIO]],Tabla2[#All],2,0)</f>
        <v>TELECOMUNICACIONES</v>
      </c>
      <c r="X1403" s="57">
        <v>0</v>
      </c>
      <c r="Y1403" s="57">
        <f>6300.57-4608.57</f>
        <v>1692</v>
      </c>
      <c r="Z1403" s="58">
        <v>0</v>
      </c>
      <c r="AA1403" s="58">
        <v>0</v>
      </c>
      <c r="AB1403" s="58">
        <v>0</v>
      </c>
      <c r="AC1403" s="58">
        <v>0</v>
      </c>
      <c r="AD1403" s="58">
        <v>0</v>
      </c>
      <c r="AE1403" s="58">
        <v>0</v>
      </c>
      <c r="AF1403" s="58">
        <v>282</v>
      </c>
      <c r="AG1403" s="58">
        <v>282</v>
      </c>
      <c r="AH1403" s="58">
        <v>282</v>
      </c>
      <c r="AI1403" s="58">
        <v>282</v>
      </c>
      <c r="AJ1403" s="58">
        <v>282</v>
      </c>
      <c r="AK1403" s="58">
        <v>282</v>
      </c>
      <c r="AL1403" s="75">
        <f>+SUBTOTAL(9,Tabla6[[#This Row],[ENE]:[DIC]])</f>
        <v>1692</v>
      </c>
      <c r="AM1403" s="76" t="str">
        <f t="shared" si="58"/>
        <v>OK</v>
      </c>
      <c r="AN1403" s="60">
        <v>1692</v>
      </c>
      <c r="AO1403" s="61">
        <f>+Tabla6[[#This Row],[PRESUPUESTO VIGENTE]]-Tabla6[[#This Row],[CERTIFICACIÓN PAPP]]</f>
        <v>0</v>
      </c>
      <c r="AP1403" s="59">
        <v>0</v>
      </c>
    </row>
    <row r="1404" spans="1:45" ht="93" customHeight="1" x14ac:dyDescent="0.25">
      <c r="A1404" s="62" t="s">
        <v>88</v>
      </c>
      <c r="B1404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404" s="64" t="s">
        <v>100</v>
      </c>
      <c r="D1404" s="64" t="s">
        <v>186</v>
      </c>
      <c r="E1404" s="64" t="s">
        <v>114</v>
      </c>
      <c r="F1404" s="64" t="s">
        <v>15</v>
      </c>
      <c r="G1404" s="64" t="s">
        <v>16</v>
      </c>
      <c r="H1404" s="65" t="str">
        <f>VLOOKUP(Tabla6[[#This Row],[DIRECCIÓN]],DIRECCIÓN[#All],2,0)</f>
        <v>DOCTRINA</v>
      </c>
      <c r="I1404" s="66" t="s">
        <v>187</v>
      </c>
      <c r="J1404" s="67">
        <v>1</v>
      </c>
      <c r="K1404" s="68" t="str">
        <f>VLOOKUP(Tabla6[[#This Row],[DIRECCIÓN GENERAL / COORDINACIÓN / SUBDIRECCIÓN]],Tabla37[[#All],[Columna1]:[EOD]],2,0)</f>
        <v>266_9999</v>
      </c>
      <c r="L1404" s="69">
        <f>VLOOKUP(Tabla6[[#This Row],[OBJETIVOS PND]],Listas!$A$1:$C$3,3,0)</f>
        <v>55</v>
      </c>
      <c r="M1404" s="70">
        <f>VLOOKUP(Tabla6[[#This Row],[PG]],Listas2!$G$14:$K$16,5,0)</f>
        <v>0</v>
      </c>
      <c r="N1404" s="71">
        <v>1</v>
      </c>
      <c r="O1404" s="72">
        <v>1701</v>
      </c>
      <c r="P1404" s="73" t="str">
        <f>VLOOKUP(Tabla6[[#This Row],[GEO]],Listas!$A$48:$B$77,2,0)</f>
        <v>QUITO</v>
      </c>
      <c r="Q1404" s="70">
        <f>VLOOKUP(Tabla6[[#This Row],[PG]],Listas2!$G$14:$K$16,3,0)</f>
        <v>1</v>
      </c>
      <c r="R1404" s="73">
        <f>VLOOKUP(Tabla6[[#This Row],[PG]],Listas2!H117:'Listas2'!$G$14:$K$16,4,0)</f>
        <v>0</v>
      </c>
      <c r="S1404" s="73">
        <f>VLOOKUP(Tabla6[[#This Row],[PG]],Listas2!$G$14:$K$16,2,0)</f>
        <v>0</v>
      </c>
      <c r="T1404" s="66" t="s">
        <v>84</v>
      </c>
      <c r="U1404" s="74">
        <v>53</v>
      </c>
      <c r="V1404" s="66">
        <v>530204</v>
      </c>
      <c r="W1404" s="63" t="str">
        <f>VLOOKUP(Tabla6[[#This Row],[ÍTEM PRESUPUESTARIO]],Tabla2[#All],2,0)</f>
        <v>EDICIÓN, IMPRESIÓN, REPRODUCCIÓN, PUBLICACIONES, SUSCRIPCIONES, FOTOCOPIADO, TRADUCCIÓN, EMPASTADO, ENMARCACIÓN, SERIGRAFÍA, FOTOGRAFÍA, CARNETIZACIÓN, FILMACIÓN E IMÁGENES SATELITALES</v>
      </c>
      <c r="X1404" s="57">
        <v>6500</v>
      </c>
      <c r="Y1404" s="57">
        <f>6500-1274.6</f>
        <v>5225.3999999999996</v>
      </c>
      <c r="Z1404" s="58">
        <v>0</v>
      </c>
      <c r="AA1404" s="58">
        <v>0</v>
      </c>
      <c r="AB1404" s="58">
        <v>0</v>
      </c>
      <c r="AC1404" s="58">
        <v>0</v>
      </c>
      <c r="AD1404" s="58">
        <v>813</v>
      </c>
      <c r="AE1404" s="58">
        <v>813</v>
      </c>
      <c r="AF1404" s="58">
        <v>599.9</v>
      </c>
      <c r="AG1404" s="58">
        <v>599.9</v>
      </c>
      <c r="AH1404" s="58">
        <v>599.9</v>
      </c>
      <c r="AI1404" s="58">
        <v>599.9</v>
      </c>
      <c r="AJ1404" s="58">
        <v>599.9</v>
      </c>
      <c r="AK1404" s="58">
        <v>599.9</v>
      </c>
      <c r="AL1404" s="75">
        <f>+SUBTOTAL(9,Tabla6[[#This Row],[ENE]:[DIC]])</f>
        <v>5225.3999999999996</v>
      </c>
      <c r="AM1404" s="76" t="str">
        <f t="shared" si="58"/>
        <v>OK</v>
      </c>
      <c r="AN1404" s="60">
        <v>5225.3999999999996</v>
      </c>
      <c r="AO1404" s="61">
        <f>+Tabla6[[#This Row],[PRESUPUESTO VIGENTE]]-Tabla6[[#This Row],[CERTIFICACIÓN PAPP]]</f>
        <v>0</v>
      </c>
      <c r="AP1404" s="59">
        <v>0</v>
      </c>
    </row>
    <row r="1405" spans="1:45" ht="93" customHeight="1" x14ac:dyDescent="0.25">
      <c r="A1405" s="62" t="s">
        <v>88</v>
      </c>
      <c r="B1405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405" s="64" t="s">
        <v>100</v>
      </c>
      <c r="D1405" s="64" t="s">
        <v>186</v>
      </c>
      <c r="E1405" s="64" t="s">
        <v>114</v>
      </c>
      <c r="F1405" s="64" t="s">
        <v>15</v>
      </c>
      <c r="G1405" s="64" t="s">
        <v>16</v>
      </c>
      <c r="H1405" s="65" t="str">
        <f>VLOOKUP(Tabla6[[#This Row],[DIRECCIÓN]],DIRECCIÓN[#All],2,0)</f>
        <v>DOCTRINA</v>
      </c>
      <c r="I1405" s="66" t="s">
        <v>188</v>
      </c>
      <c r="J1405" s="67">
        <v>1</v>
      </c>
      <c r="K1405" s="68" t="str">
        <f>VLOOKUP(Tabla6[[#This Row],[DIRECCIÓN GENERAL / COORDINACIÓN / SUBDIRECCIÓN]],Tabla37[[#All],[Columna1]:[EOD]],2,0)</f>
        <v>266_9999</v>
      </c>
      <c r="L1405" s="69">
        <f>VLOOKUP(Tabla6[[#This Row],[OBJETIVOS PND]],Listas!$A$1:$C$3,3,0)</f>
        <v>55</v>
      </c>
      <c r="M1405" s="70">
        <f>VLOOKUP(Tabla6[[#This Row],[PG]],Listas2!$G$14:$K$16,5,0)</f>
        <v>0</v>
      </c>
      <c r="N1405" s="71">
        <v>1</v>
      </c>
      <c r="O1405" s="72">
        <v>1701</v>
      </c>
      <c r="P1405" s="73" t="str">
        <f>VLOOKUP(Tabla6[[#This Row],[GEO]],Listas!$A$48:$B$77,2,0)</f>
        <v>QUITO</v>
      </c>
      <c r="Q1405" s="70">
        <f>VLOOKUP(Tabla6[[#This Row],[PG]],Listas2!$G$14:$K$16,3,0)</f>
        <v>1</v>
      </c>
      <c r="R1405" s="73">
        <f>VLOOKUP(Tabla6[[#This Row],[PG]],Listas2!H1284:'Listas2'!$G$14:$K$16,4,0)</f>
        <v>0</v>
      </c>
      <c r="S1405" s="73">
        <f>VLOOKUP(Tabla6[[#This Row],[PG]],Listas2!$G$14:$K$16,2,0)</f>
        <v>0</v>
      </c>
      <c r="T1405" s="66" t="s">
        <v>84</v>
      </c>
      <c r="U1405" s="74">
        <v>53</v>
      </c>
      <c r="V1405" s="66">
        <v>530248</v>
      </c>
      <c r="W1405" s="63" t="str">
        <f>VLOOKUP(Tabla6[[#This Row],[ÍTEM PRESUPUESTARIO]],Tabla2[#All],2,0)</f>
        <v>EVENTOS OFICIALES</v>
      </c>
      <c r="X1405" s="57">
        <v>0</v>
      </c>
      <c r="Y1405" s="57">
        <f>4608.57+1692+1691.93-1692</f>
        <v>6300.5</v>
      </c>
      <c r="Z1405" s="58">
        <v>0</v>
      </c>
      <c r="AA1405" s="58">
        <v>0</v>
      </c>
      <c r="AB1405" s="58">
        <v>0</v>
      </c>
      <c r="AC1405" s="58">
        <v>0</v>
      </c>
      <c r="AD1405" s="58">
        <v>0</v>
      </c>
      <c r="AE1405" s="58">
        <v>0</v>
      </c>
      <c r="AF1405" s="58">
        <v>0</v>
      </c>
      <c r="AG1405" s="58">
        <v>0</v>
      </c>
      <c r="AH1405" s="58">
        <v>0</v>
      </c>
      <c r="AI1405" s="58">
        <v>0</v>
      </c>
      <c r="AJ1405" s="58">
        <v>6300.5</v>
      </c>
      <c r="AK1405" s="58">
        <v>0</v>
      </c>
      <c r="AL1405" s="75">
        <f>+SUBTOTAL(9,Tabla6[[#This Row],[ENE]:[DIC]])</f>
        <v>6300.5</v>
      </c>
      <c r="AM1405" s="76" t="str">
        <f t="shared" si="58"/>
        <v>OK</v>
      </c>
      <c r="AN1405" s="60">
        <v>6300.5</v>
      </c>
      <c r="AO1405" s="61">
        <f>+Tabla6[[#This Row],[PRESUPUESTO VIGENTE]]-Tabla6[[#This Row],[CERTIFICACIÓN PAPP]]</f>
        <v>0</v>
      </c>
      <c r="AP1405" s="59">
        <v>0</v>
      </c>
    </row>
    <row r="1406" spans="1:45" ht="93" customHeight="1" x14ac:dyDescent="0.25">
      <c r="A1406" s="62" t="s">
        <v>88</v>
      </c>
      <c r="B1406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406" s="64" t="s">
        <v>100</v>
      </c>
      <c r="D1406" s="64" t="s">
        <v>186</v>
      </c>
      <c r="E1406" s="64" t="s">
        <v>114</v>
      </c>
      <c r="F1406" s="64" t="s">
        <v>15</v>
      </c>
      <c r="G1406" s="64" t="s">
        <v>16</v>
      </c>
      <c r="H1406" s="65" t="str">
        <f>VLOOKUP(Tabla6[[#This Row],[DIRECCIÓN]],DIRECCIÓN[#All],2,0)</f>
        <v>DOCTRINA</v>
      </c>
      <c r="I1406" s="66" t="s">
        <v>189</v>
      </c>
      <c r="J1406" s="67">
        <v>1</v>
      </c>
      <c r="K1406" s="68" t="str">
        <f>VLOOKUP(Tabla6[[#This Row],[DIRECCIÓN GENERAL / COORDINACIÓN / SUBDIRECCIÓN]],Tabla37[[#All],[Columna1]:[EOD]],2,0)</f>
        <v>266_9999</v>
      </c>
      <c r="L1406" s="69">
        <f>VLOOKUP(Tabla6[[#This Row],[OBJETIVOS PND]],Listas!$A$1:$C$3,3,0)</f>
        <v>55</v>
      </c>
      <c r="M1406" s="70">
        <f>VLOOKUP(Tabla6[[#This Row],[PG]],Listas2!$G$14:$K$16,5,0)</f>
        <v>0</v>
      </c>
      <c r="N1406" s="71">
        <v>1</v>
      </c>
      <c r="O1406" s="72">
        <v>1701</v>
      </c>
      <c r="P1406" s="73" t="str">
        <f>VLOOKUP(Tabla6[[#This Row],[GEO]],Listas!$A$48:$B$77,2,0)</f>
        <v>QUITO</v>
      </c>
      <c r="Q1406" s="70">
        <f>VLOOKUP(Tabla6[[#This Row],[PG]],Listas2!$G$14:$K$16,3,0)</f>
        <v>1</v>
      </c>
      <c r="R1406" s="73">
        <f>VLOOKUP(Tabla6[[#This Row],[PG]],Listas2!H118:'Listas2'!$G$14:$K$16,4,0)</f>
        <v>0</v>
      </c>
      <c r="S1406" s="73">
        <f>VLOOKUP(Tabla6[[#This Row],[PG]],Listas2!$G$14:$K$16,2,0)</f>
        <v>0</v>
      </c>
      <c r="T1406" s="66" t="s">
        <v>84</v>
      </c>
      <c r="U1406" s="74">
        <v>53</v>
      </c>
      <c r="V1406" s="66">
        <v>530701</v>
      </c>
      <c r="W1406" s="63" t="str">
        <f>VLOOKUP(Tabla6[[#This Row],[ÍTEM PRESUPUESTARIO]],Tabla2[#All],2,0)</f>
        <v>DESARROLLO, ACTUALIZACIÓN, ASISTENCIA TÉCNICA Y SOPORTE DE SISTEMAS INFORMÁTICOS</v>
      </c>
      <c r="X1406" s="57">
        <v>6500</v>
      </c>
      <c r="Y1406" s="57">
        <f>6500-1330</f>
        <v>5170</v>
      </c>
      <c r="Z1406" s="58">
        <v>0</v>
      </c>
      <c r="AA1406" s="58">
        <v>0</v>
      </c>
      <c r="AB1406" s="58">
        <v>0</v>
      </c>
      <c r="AC1406" s="58">
        <v>0</v>
      </c>
      <c r="AD1406" s="58">
        <v>4136</v>
      </c>
      <c r="AE1406" s="58">
        <v>0</v>
      </c>
      <c r="AF1406" s="58">
        <v>0</v>
      </c>
      <c r="AG1406" s="58">
        <v>0</v>
      </c>
      <c r="AH1406" s="58">
        <v>0</v>
      </c>
      <c r="AI1406" s="58">
        <v>0</v>
      </c>
      <c r="AJ1406" s="58">
        <v>0</v>
      </c>
      <c r="AK1406" s="58">
        <v>1034</v>
      </c>
      <c r="AL1406" s="75">
        <f>+SUBTOTAL(9,Tabla6[[#This Row],[ENE]:[DIC]])</f>
        <v>5170</v>
      </c>
      <c r="AM1406" s="76" t="str">
        <f t="shared" si="58"/>
        <v>OK</v>
      </c>
      <c r="AN1406" s="60">
        <v>5170</v>
      </c>
      <c r="AO1406" s="61">
        <f>+Tabla6[[#This Row],[PRESUPUESTO VIGENTE]]-Tabla6[[#This Row],[CERTIFICACIÓN PAPP]]</f>
        <v>0</v>
      </c>
      <c r="AP1406" s="59" t="s">
        <v>87</v>
      </c>
    </row>
    <row r="1407" spans="1:45" ht="93" customHeight="1" x14ac:dyDescent="0.25">
      <c r="A1407" s="62" t="s">
        <v>88</v>
      </c>
      <c r="B1407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407" s="64" t="s">
        <v>100</v>
      </c>
      <c r="D1407" s="64" t="s">
        <v>186</v>
      </c>
      <c r="E1407" s="64" t="s">
        <v>114</v>
      </c>
      <c r="F1407" s="64" t="s">
        <v>15</v>
      </c>
      <c r="G1407" s="64" t="s">
        <v>16</v>
      </c>
      <c r="H1407" s="65" t="str">
        <f>VLOOKUP(Tabla6[[#This Row],[DIRECCIÓN]],DIRECCIÓN[#All],2,0)</f>
        <v>DOCTRINA</v>
      </c>
      <c r="I1407" s="66" t="s">
        <v>190</v>
      </c>
      <c r="J1407" s="67">
        <v>1</v>
      </c>
      <c r="K1407" s="68" t="str">
        <f>VLOOKUP(Tabla6[[#This Row],[DIRECCIÓN GENERAL / COORDINACIÓN / SUBDIRECCIÓN]],Tabla37[[#All],[Columna1]:[EOD]],2,0)</f>
        <v>266_9999</v>
      </c>
      <c r="L1407" s="69">
        <f>VLOOKUP(Tabla6[[#This Row],[OBJETIVOS PND]],Listas!$A$1:$C$3,3,0)</f>
        <v>55</v>
      </c>
      <c r="M1407" s="70">
        <f>VLOOKUP(Tabla6[[#This Row],[PG]],Listas2!$G$14:$K$16,5,0)</f>
        <v>0</v>
      </c>
      <c r="N1407" s="71">
        <v>1</v>
      </c>
      <c r="O1407" s="72">
        <v>1701</v>
      </c>
      <c r="P1407" s="73" t="str">
        <f>VLOOKUP(Tabla6[[#This Row],[GEO]],Listas!$A$48:$B$77,2,0)</f>
        <v>QUITO</v>
      </c>
      <c r="Q1407" s="70">
        <f>VLOOKUP(Tabla6[[#This Row],[PG]],Listas2!$G$14:$K$16,3,0)</f>
        <v>1</v>
      </c>
      <c r="R1407" s="73">
        <f>VLOOKUP(Tabla6[[#This Row],[PG]],Listas2!H1138:'Listas2'!$G$14:$K$16,4,0)</f>
        <v>0</v>
      </c>
      <c r="S1407" s="73">
        <f>VLOOKUP(Tabla6[[#This Row],[PG]],Listas2!$G$14:$K$16,2,0)</f>
        <v>0</v>
      </c>
      <c r="T1407" s="66" t="s">
        <v>84</v>
      </c>
      <c r="U1407" s="74">
        <v>53</v>
      </c>
      <c r="V1407" s="66">
        <v>530812</v>
      </c>
      <c r="W1407" s="63" t="str">
        <f>VLOOKUP(Tabla6[[#This Row],[ÍTEM PRESUPUESTARIO]],Tabla2[#All],2,0)</f>
        <v>MATERIALES DIDÁCTICOS</v>
      </c>
      <c r="X1407" s="57">
        <v>0</v>
      </c>
      <c r="Y1407" s="57">
        <f>1902.43+2604.6-2253.51+1458.07+1692-5403.59</f>
        <v>0</v>
      </c>
      <c r="Z1407" s="58">
        <v>0</v>
      </c>
      <c r="AA1407" s="58">
        <v>0</v>
      </c>
      <c r="AB1407" s="58">
        <v>0</v>
      </c>
      <c r="AC1407" s="58">
        <v>0</v>
      </c>
      <c r="AD1407" s="58">
        <v>0</v>
      </c>
      <c r="AE1407" s="58">
        <v>0</v>
      </c>
      <c r="AF1407" s="58">
        <v>0</v>
      </c>
      <c r="AG1407" s="58">
        <v>0</v>
      </c>
      <c r="AH1407" s="58">
        <v>0</v>
      </c>
      <c r="AI1407" s="58">
        <v>0</v>
      </c>
      <c r="AJ1407" s="58">
        <v>0</v>
      </c>
      <c r="AK1407" s="58">
        <v>0</v>
      </c>
      <c r="AL1407" s="75">
        <f>+SUBTOTAL(9,Tabla6[[#This Row],[ENE]:[DIC]])</f>
        <v>0</v>
      </c>
      <c r="AM1407" s="76" t="str">
        <f t="shared" si="58"/>
        <v>OK</v>
      </c>
      <c r="AN1407" s="60">
        <f>5338-5338</f>
        <v>0</v>
      </c>
      <c r="AO1407" s="61">
        <f>+Tabla6[[#This Row],[PRESUPUESTO VIGENTE]]-Tabla6[[#This Row],[CERTIFICACIÓN PAPP]]</f>
        <v>0</v>
      </c>
      <c r="AP1407" s="59">
        <v>0</v>
      </c>
    </row>
    <row r="1408" spans="1:45" ht="93" customHeight="1" x14ac:dyDescent="0.25">
      <c r="A1408" s="62" t="s">
        <v>88</v>
      </c>
      <c r="B1408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408" s="64" t="s">
        <v>100</v>
      </c>
      <c r="D1408" s="64" t="s">
        <v>184</v>
      </c>
      <c r="E1408" s="64" t="s">
        <v>114</v>
      </c>
      <c r="F1408" s="64" t="s">
        <v>15</v>
      </c>
      <c r="G1408" s="64" t="s">
        <v>17</v>
      </c>
      <c r="H1408" s="65" t="str">
        <f>VLOOKUP(Tabla6[[#This Row],[DIRECCIÓN]],DIRECCIÓN[#All],2,0)</f>
        <v>DOCTRINA</v>
      </c>
      <c r="I1408" s="66" t="s">
        <v>191</v>
      </c>
      <c r="J1408" s="67">
        <v>1</v>
      </c>
      <c r="K1408" s="68" t="str">
        <f>VLOOKUP(Tabla6[[#This Row],[DIRECCIÓN GENERAL / COORDINACIÓN / SUBDIRECCIÓN]],Tabla37[[#All],[Columna1]:[EOD]],2,0)</f>
        <v>266_9999</v>
      </c>
      <c r="L1408" s="69">
        <f>VLOOKUP(Tabla6[[#This Row],[OBJETIVOS PND]],Listas!$A$1:$C$3,3,0)</f>
        <v>55</v>
      </c>
      <c r="M1408" s="70">
        <f>VLOOKUP(Tabla6[[#This Row],[PG]],Listas2!$G$14:$K$16,5,0)</f>
        <v>0</v>
      </c>
      <c r="N1408" s="71">
        <v>1</v>
      </c>
      <c r="O1408" s="72">
        <v>1701</v>
      </c>
      <c r="P1408" s="73" t="str">
        <f>VLOOKUP(Tabla6[[#This Row],[GEO]],Listas!$A$48:$B$77,2,0)</f>
        <v>QUITO</v>
      </c>
      <c r="Q1408" s="70">
        <f>VLOOKUP(Tabla6[[#This Row],[PG]],Listas2!$G$14:$K$16,3,0)</f>
        <v>1</v>
      </c>
      <c r="R1408" s="73">
        <f>VLOOKUP(Tabla6[[#This Row],[PG]],Listas2!H119:'Listas2'!$G$14:$K$16,4,0)</f>
        <v>0</v>
      </c>
      <c r="S1408" s="73">
        <f>VLOOKUP(Tabla6[[#This Row],[PG]],Listas2!$G$14:$K$16,2,0)</f>
        <v>0</v>
      </c>
      <c r="T1408" s="66" t="s">
        <v>84</v>
      </c>
      <c r="U1408" s="74">
        <v>53</v>
      </c>
      <c r="V1408" s="66">
        <v>531407</v>
      </c>
      <c r="W1408" s="63" t="str">
        <f>VLOOKUP(Tabla6[[#This Row],[ÍTEM PRESUPUESTARIO]],Tabla2[#All],2,0)</f>
        <v>EQUIPOS, SISTEMAS Y PAQUETES INFORMÁTICOS</v>
      </c>
      <c r="X1408" s="57">
        <v>8203</v>
      </c>
      <c r="Y1408" s="57">
        <f>8203-8203</f>
        <v>0</v>
      </c>
      <c r="Z1408" s="58">
        <v>0</v>
      </c>
      <c r="AA1408" s="58">
        <v>0</v>
      </c>
      <c r="AB1408" s="58">
        <v>0</v>
      </c>
      <c r="AC1408" s="58">
        <v>0</v>
      </c>
      <c r="AD1408" s="58">
        <v>0</v>
      </c>
      <c r="AE1408" s="58">
        <v>0</v>
      </c>
      <c r="AF1408" s="58">
        <v>0</v>
      </c>
      <c r="AG1408" s="58">
        <v>0</v>
      </c>
      <c r="AH1408" s="58">
        <v>0</v>
      </c>
      <c r="AI1408" s="58">
        <v>0</v>
      </c>
      <c r="AJ1408" s="58">
        <v>0</v>
      </c>
      <c r="AK1408" s="58">
        <v>0</v>
      </c>
      <c r="AL1408" s="75">
        <f>+SUBTOTAL(9,Tabla6[[#This Row],[ENE]:[DIC]])</f>
        <v>0</v>
      </c>
      <c r="AM1408" s="76" t="str">
        <f t="shared" si="58"/>
        <v>OK</v>
      </c>
      <c r="AN1408" s="60">
        <v>0</v>
      </c>
      <c r="AO1408" s="61">
        <f>+Tabla6[[#This Row],[PRESUPUESTO VIGENTE]]-Tabla6[[#This Row],[CERTIFICACIÓN PAPP]]</f>
        <v>0</v>
      </c>
      <c r="AP1408" s="59">
        <v>0</v>
      </c>
    </row>
    <row r="1409" spans="1:42" ht="93" customHeight="1" x14ac:dyDescent="0.25">
      <c r="A1409" s="62" t="s">
        <v>88</v>
      </c>
      <c r="B1409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409" s="64" t="s">
        <v>100</v>
      </c>
      <c r="D1409" s="64" t="s">
        <v>184</v>
      </c>
      <c r="E1409" s="64" t="s">
        <v>114</v>
      </c>
      <c r="F1409" s="64" t="s">
        <v>15</v>
      </c>
      <c r="G1409" s="64" t="s">
        <v>17</v>
      </c>
      <c r="H1409" s="65" t="str">
        <f>VLOOKUP(Tabla6[[#This Row],[DIRECCIÓN]],DIRECCIÓN[#All],2,0)</f>
        <v>DOCTRINA</v>
      </c>
      <c r="I1409" s="66" t="s">
        <v>192</v>
      </c>
      <c r="J1409" s="67">
        <v>1</v>
      </c>
      <c r="K1409" s="68" t="str">
        <f>VLOOKUP(Tabla6[[#This Row],[DIRECCIÓN GENERAL / COORDINACIÓN / SUBDIRECCIÓN]],Tabla37[[#All],[Columna1]:[EOD]],2,0)</f>
        <v>266_9999</v>
      </c>
      <c r="L1409" s="69">
        <f>VLOOKUP(Tabla6[[#This Row],[OBJETIVOS PND]],Listas!$A$1:$C$3,3,0)</f>
        <v>55</v>
      </c>
      <c r="M1409" s="70">
        <f>VLOOKUP(Tabla6[[#This Row],[PG]],Listas2!$G$14:$K$16,5,0)</f>
        <v>0</v>
      </c>
      <c r="N1409" s="71">
        <v>1</v>
      </c>
      <c r="O1409" s="72">
        <v>1701</v>
      </c>
      <c r="P1409" s="73" t="str">
        <f>VLOOKUP(Tabla6[[#This Row],[GEO]],Listas!$A$48:$B$77,2,0)</f>
        <v>QUITO</v>
      </c>
      <c r="Q1409" s="70">
        <f>VLOOKUP(Tabla6[[#This Row],[PG]],Listas2!$G$14:$K$16,3,0)</f>
        <v>1</v>
      </c>
      <c r="R1409" s="73">
        <f>VLOOKUP(Tabla6[[#This Row],[PG]],Listas2!H120:'Listas2'!$G$14:$K$16,4,0)</f>
        <v>0</v>
      </c>
      <c r="S1409" s="73">
        <f>VLOOKUP(Tabla6[[#This Row],[PG]],Listas2!$G$14:$K$16,2,0)</f>
        <v>0</v>
      </c>
      <c r="T1409" s="66" t="s">
        <v>84</v>
      </c>
      <c r="U1409" s="74">
        <v>57</v>
      </c>
      <c r="V1409" s="66">
        <v>570102</v>
      </c>
      <c r="W1409" s="63" t="str">
        <f>VLOOKUP(Tabla6[[#This Row],[ÍTEM PRESUPUESTARIO]],Tabla2[#All],2,0)</f>
        <v>TASAS GENERALES, IMPUESTOS, CONTRIBUCIONES, PERMISOS, LICENCIAS Y PATENTES</v>
      </c>
      <c r="X1409" s="57">
        <v>100</v>
      </c>
      <c r="Y1409" s="57">
        <f>100-12</f>
        <v>88</v>
      </c>
      <c r="Z1409" s="58">
        <v>0</v>
      </c>
      <c r="AA1409" s="58">
        <v>0</v>
      </c>
      <c r="AB1409" s="58">
        <v>0</v>
      </c>
      <c r="AC1409" s="58">
        <v>0</v>
      </c>
      <c r="AD1409" s="58">
        <v>0</v>
      </c>
      <c r="AE1409" s="58">
        <v>88</v>
      </c>
      <c r="AF1409" s="58">
        <v>0</v>
      </c>
      <c r="AG1409" s="58">
        <v>0</v>
      </c>
      <c r="AH1409" s="58">
        <v>0</v>
      </c>
      <c r="AI1409" s="58">
        <v>0</v>
      </c>
      <c r="AJ1409" s="58">
        <v>0</v>
      </c>
      <c r="AK1409" s="58">
        <v>0</v>
      </c>
      <c r="AL1409" s="75">
        <f>+SUBTOTAL(9,Tabla6[[#This Row],[ENE]:[DIC]])</f>
        <v>88</v>
      </c>
      <c r="AM1409" s="76" t="str">
        <f t="shared" si="58"/>
        <v>OK</v>
      </c>
      <c r="AN1409" s="60">
        <f>42+18-18+10+36</f>
        <v>88</v>
      </c>
      <c r="AO1409" s="61">
        <f>+Tabla6[[#This Row],[PRESUPUESTO VIGENTE]]-Tabla6[[#This Row],[CERTIFICACIÓN PAPP]]</f>
        <v>0</v>
      </c>
      <c r="AP1409" s="59">
        <v>0</v>
      </c>
    </row>
    <row r="1410" spans="1:42" ht="93" customHeight="1" x14ac:dyDescent="0.25">
      <c r="A1410" s="62" t="s">
        <v>88</v>
      </c>
      <c r="B1410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410" s="64" t="s">
        <v>100</v>
      </c>
      <c r="D1410" s="64" t="s">
        <v>193</v>
      </c>
      <c r="E1410" s="64" t="s">
        <v>81</v>
      </c>
      <c r="F1410" s="64" t="s">
        <v>8</v>
      </c>
      <c r="G1410" s="64" t="s">
        <v>9</v>
      </c>
      <c r="H1410" s="65" t="str">
        <f>VLOOKUP(Tabla6[[#This Row],[DIRECCIÓN]],DIRECCIÓN[#All],2,0)</f>
        <v>OPERACIONES</v>
      </c>
      <c r="I1410" s="66" t="s">
        <v>194</v>
      </c>
      <c r="J1410" s="67">
        <v>1</v>
      </c>
      <c r="K1410" s="68" t="str">
        <f>VLOOKUP(Tabla6[[#This Row],[DIRECCIÓN GENERAL / COORDINACIÓN / SUBDIRECCIÓN]],Tabla37[[#All],[Columna1]:[EOD]],2,0)</f>
        <v>266_9999</v>
      </c>
      <c r="L1410" s="69">
        <f>VLOOKUP(Tabla6[[#This Row],[OBJETIVOS PND]],Listas!$A$1:$C$3,3,0)</f>
        <v>55</v>
      </c>
      <c r="M1410" s="70">
        <f>VLOOKUP(Tabla6[[#This Row],[PG]],Listas2!$G$14:$K$16,5,0)</f>
        <v>0</v>
      </c>
      <c r="N1410" s="71">
        <v>2</v>
      </c>
      <c r="O1410" s="72">
        <v>1701</v>
      </c>
      <c r="P1410" s="73" t="str">
        <f>VLOOKUP(Tabla6[[#This Row],[GEO]],Listas!$A$48:$B$77,2,0)</f>
        <v>QUITO</v>
      </c>
      <c r="Q1410" s="70">
        <f>VLOOKUP(Tabla6[[#This Row],[PG]],Listas2!$G$14:$K$16,3,0)</f>
        <v>1</v>
      </c>
      <c r="R1410" s="73">
        <f>VLOOKUP(Tabla6[[#This Row],[PG]],Listas2!H1257:'Listas2'!$G$14:$K$16,4,0)</f>
        <v>0</v>
      </c>
      <c r="S1410" s="73">
        <f>VLOOKUP(Tabla6[[#This Row],[PG]],Listas2!$G$14:$K$16,2,0)</f>
        <v>0</v>
      </c>
      <c r="T1410" s="66" t="s">
        <v>84</v>
      </c>
      <c r="U1410" s="74">
        <v>53</v>
      </c>
      <c r="V1410" s="66">
        <v>530204</v>
      </c>
      <c r="W1410" s="63" t="str">
        <f>VLOOKUP(Tabla6[[#This Row],[ÍTEM PRESUPUESTARIO]],Tabla2[#All],2,0)</f>
        <v>EDICIÓN, IMPRESIÓN, REPRODUCCIÓN, PUBLICACIONES, SUSCRIPCIONES, FOTOCOPIADO, TRADUCCIÓN, EMPASTADO, ENMARCACIÓN, SERIGRAFÍA, FOTOGRAFÍA, CARNETIZACIÓN, FILMACIÓN E IMÁGENES SATELITALES</v>
      </c>
      <c r="X1410" s="57">
        <v>0</v>
      </c>
      <c r="Y1410" s="57">
        <f>6300-3150-3150</f>
        <v>0</v>
      </c>
      <c r="Z1410" s="58">
        <v>0</v>
      </c>
      <c r="AA1410" s="58">
        <v>0</v>
      </c>
      <c r="AB1410" s="58">
        <v>0</v>
      </c>
      <c r="AC1410" s="58">
        <v>0</v>
      </c>
      <c r="AD1410" s="58">
        <v>0</v>
      </c>
      <c r="AE1410" s="58">
        <v>0</v>
      </c>
      <c r="AF1410" s="58">
        <v>0</v>
      </c>
      <c r="AG1410" s="58">
        <v>0</v>
      </c>
      <c r="AH1410" s="58">
        <v>0</v>
      </c>
      <c r="AI1410" s="58">
        <v>0</v>
      </c>
      <c r="AJ1410" s="58">
        <v>0</v>
      </c>
      <c r="AK1410" s="58">
        <v>0</v>
      </c>
      <c r="AL1410" s="75">
        <f>+SUBTOTAL(9,Tabla6[[#This Row],[ENE]:[DIC]])</f>
        <v>0</v>
      </c>
      <c r="AM1410" s="76" t="str">
        <f t="shared" si="58"/>
        <v>OK</v>
      </c>
      <c r="AN1410" s="60">
        <v>0</v>
      </c>
      <c r="AO1410" s="61">
        <f>+Tabla6[[#This Row],[PRESUPUESTO VIGENTE]]-Tabla6[[#This Row],[CERTIFICACIÓN PAPP]]</f>
        <v>0</v>
      </c>
      <c r="AP1410" s="59">
        <v>0</v>
      </c>
    </row>
    <row r="1411" spans="1:42" ht="93" customHeight="1" x14ac:dyDescent="0.25">
      <c r="A1411" s="62" t="s">
        <v>88</v>
      </c>
      <c r="B1411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411" s="64" t="s">
        <v>100</v>
      </c>
      <c r="D1411" s="64" t="s">
        <v>193</v>
      </c>
      <c r="E1411" s="64" t="s">
        <v>114</v>
      </c>
      <c r="F1411" s="64" t="s">
        <v>18</v>
      </c>
      <c r="G1411" s="64" t="s">
        <v>19</v>
      </c>
      <c r="H1411" s="65" t="str">
        <f>VLOOKUP(Tabla6[[#This Row],[DIRECCIÓN]],DIRECCIÓN[#All],2,0)</f>
        <v>OPERACIONES</v>
      </c>
      <c r="I1411" s="66" t="s">
        <v>195</v>
      </c>
      <c r="J1411" s="67">
        <v>1</v>
      </c>
      <c r="K1411" s="68" t="str">
        <f>VLOOKUP(Tabla6[[#This Row],[DIRECCIÓN GENERAL / COORDINACIÓN / SUBDIRECCIÓN]],Tabla37[[#All],[Columna1]:[EOD]],2,0)</f>
        <v>266_9999</v>
      </c>
      <c r="L1411" s="69">
        <f>VLOOKUP(Tabla6[[#This Row],[OBJETIVOS PND]],Listas!$A$1:$C$3,3,0)</f>
        <v>55</v>
      </c>
      <c r="M1411" s="70">
        <f>VLOOKUP(Tabla6[[#This Row],[PG]],Listas2!$G$14:$K$16,5,0)</f>
        <v>0</v>
      </c>
      <c r="N1411" s="71">
        <v>2</v>
      </c>
      <c r="O1411" s="72">
        <v>1701</v>
      </c>
      <c r="P1411" s="73" t="str">
        <f>VLOOKUP(Tabla6[[#This Row],[GEO]],Listas!$A$48:$B$77,2,0)</f>
        <v>QUITO</v>
      </c>
      <c r="Q1411" s="70">
        <f>VLOOKUP(Tabla6[[#This Row],[PG]],Listas2!$G$14:$K$16,3,0)</f>
        <v>1</v>
      </c>
      <c r="R1411" s="73">
        <f>VLOOKUP(Tabla6[[#This Row],[PG]],Listas2!H121:'Listas2'!$G$14:$K$16,4,0)</f>
        <v>0</v>
      </c>
      <c r="S1411" s="73">
        <f>VLOOKUP(Tabla6[[#This Row],[PG]],Listas2!$G$14:$K$16,2,0)</f>
        <v>0</v>
      </c>
      <c r="T1411" s="66" t="s">
        <v>84</v>
      </c>
      <c r="U1411" s="74">
        <v>53</v>
      </c>
      <c r="V1411" s="66">
        <v>530702</v>
      </c>
      <c r="W1411" s="63" t="str">
        <f>VLOOKUP(Tabla6[[#This Row],[ÍTEM PRESUPUESTARIO]],Tabla2[#All],2,0)</f>
        <v>ARRENDAMIENTO Y LICENCIAS DE USO DE PAQUETES INFORMÁTICOS</v>
      </c>
      <c r="X1411" s="57">
        <v>7840</v>
      </c>
      <c r="Y1411" s="57">
        <f>7840-1672.96</f>
        <v>6167.04</v>
      </c>
      <c r="Z1411" s="58">
        <v>0</v>
      </c>
      <c r="AA1411" s="58">
        <v>0</v>
      </c>
      <c r="AB1411" s="58">
        <v>0</v>
      </c>
      <c r="AC1411" s="58">
        <v>0</v>
      </c>
      <c r="AD1411" s="58">
        <v>0</v>
      </c>
      <c r="AE1411" s="58">
        <v>0</v>
      </c>
      <c r="AF1411" s="58">
        <v>0</v>
      </c>
      <c r="AG1411" s="58">
        <v>6167.04</v>
      </c>
      <c r="AH1411" s="58">
        <v>0</v>
      </c>
      <c r="AI1411" s="58">
        <v>0</v>
      </c>
      <c r="AJ1411" s="58">
        <v>0</v>
      </c>
      <c r="AK1411" s="58">
        <v>0</v>
      </c>
      <c r="AL1411" s="75">
        <f>+SUBTOTAL(9,Tabla6[[#This Row],[ENE]:[DIC]])</f>
        <v>6167.04</v>
      </c>
      <c r="AM1411" s="76" t="str">
        <f t="shared" si="58"/>
        <v>OK</v>
      </c>
      <c r="AN1411" s="60">
        <v>6167.04</v>
      </c>
      <c r="AO1411" s="61">
        <f>+Tabla6[[#This Row],[PRESUPUESTO VIGENTE]]-Tabla6[[#This Row],[CERTIFICACIÓN PAPP]]</f>
        <v>0</v>
      </c>
      <c r="AP1411" s="59">
        <v>0</v>
      </c>
    </row>
    <row r="1412" spans="1:42" ht="93" customHeight="1" x14ac:dyDescent="0.25">
      <c r="A1412" s="62" t="s">
        <v>88</v>
      </c>
      <c r="B1412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412" s="64" t="s">
        <v>100</v>
      </c>
      <c r="D1412" s="64" t="s">
        <v>193</v>
      </c>
      <c r="E1412" s="64" t="s">
        <v>114</v>
      </c>
      <c r="F1412" s="64" t="s">
        <v>18</v>
      </c>
      <c r="G1412" s="64" t="s">
        <v>19</v>
      </c>
      <c r="H1412" s="65" t="str">
        <f>VLOOKUP(Tabla6[[#This Row],[DIRECCIÓN]],DIRECCIÓN[#All],2,0)</f>
        <v>OPERACIONES</v>
      </c>
      <c r="I1412" s="66" t="s">
        <v>196</v>
      </c>
      <c r="J1412" s="67">
        <v>1</v>
      </c>
      <c r="K1412" s="68" t="str">
        <f>VLOOKUP(Tabla6[[#This Row],[DIRECCIÓN GENERAL / COORDINACIÓN / SUBDIRECCIÓN]],Tabla37[[#All],[Columna1]:[EOD]],2,0)</f>
        <v>266_9999</v>
      </c>
      <c r="L1412" s="69">
        <f>VLOOKUP(Tabla6[[#This Row],[OBJETIVOS PND]],Listas!$A$1:$C$3,3,0)</f>
        <v>55</v>
      </c>
      <c r="M1412" s="70">
        <f>VLOOKUP(Tabla6[[#This Row],[PG]],Listas2!$G$14:$K$16,5,0)</f>
        <v>0</v>
      </c>
      <c r="N1412" s="71">
        <v>2</v>
      </c>
      <c r="O1412" s="72">
        <v>1701</v>
      </c>
      <c r="P1412" s="73" t="str">
        <f>VLOOKUP(Tabla6[[#This Row],[GEO]],Listas!$A$48:$B$77,2,0)</f>
        <v>QUITO</v>
      </c>
      <c r="Q1412" s="70">
        <f>VLOOKUP(Tabla6[[#This Row],[PG]],Listas2!$G$14:$K$16,3,0)</f>
        <v>1</v>
      </c>
      <c r="R1412" s="73">
        <f>VLOOKUP(Tabla6[[#This Row],[PG]],Listas2!H1289:'Listas2'!$G$14:$K$16,4,0)</f>
        <v>0</v>
      </c>
      <c r="S1412" s="73">
        <f>VLOOKUP(Tabla6[[#This Row],[PG]],Listas2!$G$14:$K$16,2,0)</f>
        <v>0</v>
      </c>
      <c r="T1412" s="66" t="s">
        <v>84</v>
      </c>
      <c r="U1412" s="74">
        <v>53</v>
      </c>
      <c r="V1412" s="66">
        <v>530702</v>
      </c>
      <c r="W1412" s="63" t="str">
        <f>VLOOKUP(Tabla6[[#This Row],[ÍTEM PRESUPUESTARIO]],Tabla2[#All],2,0)</f>
        <v>ARRENDAMIENTO Y LICENCIAS DE USO DE PAQUETES INFORMÁTICOS</v>
      </c>
      <c r="X1412" s="57">
        <v>0</v>
      </c>
      <c r="Y1412" s="57">
        <f>1672.96-836.48+720.4-1556.88</f>
        <v>0</v>
      </c>
      <c r="Z1412" s="58">
        <v>0</v>
      </c>
      <c r="AA1412" s="58">
        <v>0</v>
      </c>
      <c r="AB1412" s="58">
        <v>0</v>
      </c>
      <c r="AC1412" s="58">
        <v>0</v>
      </c>
      <c r="AD1412" s="58">
        <v>0</v>
      </c>
      <c r="AE1412" s="58">
        <v>0</v>
      </c>
      <c r="AF1412" s="58">
        <v>0</v>
      </c>
      <c r="AG1412" s="58">
        <v>0</v>
      </c>
      <c r="AH1412" s="58">
        <v>0</v>
      </c>
      <c r="AI1412" s="58">
        <v>0</v>
      </c>
      <c r="AJ1412" s="58">
        <v>0</v>
      </c>
      <c r="AK1412" s="58">
        <v>0</v>
      </c>
      <c r="AL1412" s="75">
        <f>+SUBTOTAL(9,Tabla6[[#This Row],[ENE]:[DIC]])</f>
        <v>0</v>
      </c>
      <c r="AM1412" s="76" t="str">
        <f t="shared" si="58"/>
        <v>OK</v>
      </c>
      <c r="AN1412" s="60">
        <v>0</v>
      </c>
      <c r="AO1412" s="61">
        <f>+Tabla6[[#This Row],[PRESUPUESTO VIGENTE]]-Tabla6[[#This Row],[CERTIFICACIÓN PAPP]]</f>
        <v>0</v>
      </c>
      <c r="AP1412" s="59">
        <v>0</v>
      </c>
    </row>
    <row r="1413" spans="1:42" ht="93" customHeight="1" x14ac:dyDescent="0.25">
      <c r="A1413" s="62" t="s">
        <v>88</v>
      </c>
      <c r="B1413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413" s="64" t="s">
        <v>89</v>
      </c>
      <c r="D1413" s="64" t="s">
        <v>197</v>
      </c>
      <c r="E1413" s="64" t="s">
        <v>114</v>
      </c>
      <c r="F1413" s="64" t="s">
        <v>20</v>
      </c>
      <c r="G1413" s="64" t="s">
        <v>21</v>
      </c>
      <c r="H1413" s="65" t="str">
        <f>VLOOKUP(Tabla6[[#This Row],[DIRECCIÓN]],DIRECCIÓN[#All],2,0)</f>
        <v>TECNOLOGÍA</v>
      </c>
      <c r="I1413" s="66" t="s">
        <v>198</v>
      </c>
      <c r="J1413" s="67">
        <v>1</v>
      </c>
      <c r="K1413" s="68" t="str">
        <f>VLOOKUP(Tabla6[[#This Row],[DIRECCIÓN GENERAL / COORDINACIÓN / SUBDIRECCIÓN]],Tabla37[[#All],[Columna1]:[EOD]],2,0)</f>
        <v>266_9999</v>
      </c>
      <c r="L1413" s="69">
        <f>VLOOKUP(Tabla6[[#This Row],[OBJETIVOS PND]],Listas!$A$1:$C$3,3,0)</f>
        <v>55</v>
      </c>
      <c r="M1413" s="70">
        <f>VLOOKUP(Tabla6[[#This Row],[PG]],Listas2!$G$14:$K$16,5,0)</f>
        <v>0</v>
      </c>
      <c r="N1413" s="71">
        <v>3</v>
      </c>
      <c r="O1413" s="72">
        <v>1701</v>
      </c>
      <c r="P1413" s="73" t="str">
        <f>VLOOKUP(Tabla6[[#This Row],[GEO]],Listas!$A$48:$B$77,2,0)</f>
        <v>QUITO</v>
      </c>
      <c r="Q1413" s="70">
        <f>VLOOKUP(Tabla6[[#This Row],[PG]],Listas2!$G$14:$K$16,3,0)</f>
        <v>1</v>
      </c>
      <c r="R1413" s="73">
        <f>VLOOKUP(Tabla6[[#This Row],[PG]],Listas2!H122:'Listas2'!$G$14:$K$16,4,0)</f>
        <v>0</v>
      </c>
      <c r="S1413" s="73">
        <f>VLOOKUP(Tabla6[[#This Row],[PG]],Listas2!$G$14:$K$16,2,0)</f>
        <v>0</v>
      </c>
      <c r="T1413" s="66" t="s">
        <v>84</v>
      </c>
      <c r="U1413" s="74">
        <v>53</v>
      </c>
      <c r="V1413" s="66">
        <v>530105</v>
      </c>
      <c r="W1413" s="63" t="str">
        <f>VLOOKUP(Tabla6[[#This Row],[ÍTEM PRESUPUESTARIO]],Tabla2[#All],2,0)</f>
        <v>TELECOMUNICACIONES</v>
      </c>
      <c r="X1413" s="57">
        <v>5000</v>
      </c>
      <c r="Y1413" s="57">
        <f>5000-5000</f>
        <v>0</v>
      </c>
      <c r="Z1413" s="58">
        <v>0</v>
      </c>
      <c r="AA1413" s="58">
        <v>0</v>
      </c>
      <c r="AB1413" s="58">
        <v>0</v>
      </c>
      <c r="AC1413" s="58">
        <v>0</v>
      </c>
      <c r="AD1413" s="58">
        <v>0</v>
      </c>
      <c r="AE1413" s="58">
        <v>0</v>
      </c>
      <c r="AF1413" s="58">
        <v>0</v>
      </c>
      <c r="AG1413" s="58">
        <v>0</v>
      </c>
      <c r="AH1413" s="58">
        <v>0</v>
      </c>
      <c r="AI1413" s="58">
        <v>0</v>
      </c>
      <c r="AJ1413" s="58">
        <v>0</v>
      </c>
      <c r="AK1413" s="58">
        <v>0</v>
      </c>
      <c r="AL1413" s="75">
        <f>+SUBTOTAL(9,Tabla6[[#This Row],[ENE]:[DIC]])</f>
        <v>0</v>
      </c>
      <c r="AM1413" s="76" t="str">
        <f t="shared" si="58"/>
        <v>OK</v>
      </c>
      <c r="AN1413" s="60">
        <v>0</v>
      </c>
      <c r="AO1413" s="61">
        <f>+Tabla6[[#This Row],[PRESUPUESTO VIGENTE]]-Tabla6[[#This Row],[CERTIFICACIÓN PAPP]]</f>
        <v>0</v>
      </c>
      <c r="AP1413" s="59" t="s">
        <v>87</v>
      </c>
    </row>
    <row r="1414" spans="1:42" ht="93" customHeight="1" x14ac:dyDescent="0.25">
      <c r="A1414" s="62" t="s">
        <v>88</v>
      </c>
      <c r="B1414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414" s="64" t="s">
        <v>89</v>
      </c>
      <c r="D1414" s="64" t="s">
        <v>197</v>
      </c>
      <c r="E1414" s="64" t="s">
        <v>114</v>
      </c>
      <c r="F1414" s="64" t="s">
        <v>20</v>
      </c>
      <c r="G1414" s="64" t="s">
        <v>21</v>
      </c>
      <c r="H1414" s="65" t="str">
        <f>VLOOKUP(Tabla6[[#This Row],[DIRECCIÓN]],DIRECCIÓN[#All],2,0)</f>
        <v>TECNOLOGÍA</v>
      </c>
      <c r="I1414" s="66" t="s">
        <v>199</v>
      </c>
      <c r="J1414" s="67">
        <v>1</v>
      </c>
      <c r="K1414" s="68" t="str">
        <f>VLOOKUP(Tabla6[[#This Row],[DIRECCIÓN GENERAL / COORDINACIÓN / SUBDIRECCIÓN]],Tabla37[[#All],[Columna1]:[EOD]],2,0)</f>
        <v>266_9999</v>
      </c>
      <c r="L1414" s="69">
        <f>VLOOKUP(Tabla6[[#This Row],[OBJETIVOS PND]],Listas!$A$1:$C$3,3,0)</f>
        <v>55</v>
      </c>
      <c r="M1414" s="70">
        <f>VLOOKUP(Tabla6[[#This Row],[PG]],Listas2!$G$14:$K$16,5,0)</f>
        <v>0</v>
      </c>
      <c r="N1414" s="71">
        <v>3</v>
      </c>
      <c r="O1414" s="72">
        <v>1701</v>
      </c>
      <c r="P1414" s="73" t="str">
        <f>VLOOKUP(Tabla6[[#This Row],[GEO]],Listas!$A$48:$B$77,2,0)</f>
        <v>QUITO</v>
      </c>
      <c r="Q1414" s="70">
        <f>VLOOKUP(Tabla6[[#This Row],[PG]],Listas2!$G$14:$K$16,3,0)</f>
        <v>1</v>
      </c>
      <c r="R1414" s="73">
        <f>VLOOKUP(Tabla6[[#This Row],[PG]],Listas2!H123:'Listas2'!$G$14:$K$16,4,0)</f>
        <v>0</v>
      </c>
      <c r="S1414" s="73">
        <f>VLOOKUP(Tabla6[[#This Row],[PG]],Listas2!$G$14:$K$16,2,0)</f>
        <v>0</v>
      </c>
      <c r="T1414" s="66" t="s">
        <v>84</v>
      </c>
      <c r="U1414" s="74">
        <v>53</v>
      </c>
      <c r="V1414" s="66">
        <v>530105</v>
      </c>
      <c r="W1414" s="63" t="str">
        <f>VLOOKUP(Tabla6[[#This Row],[ÍTEM PRESUPUESTARIO]],Tabla2[#All],2,0)</f>
        <v>TELECOMUNICACIONES</v>
      </c>
      <c r="X1414" s="57">
        <v>53601</v>
      </c>
      <c r="Y1414" s="57">
        <f>53601+11399-11500-12206.03-2105.99</f>
        <v>39187.980000000003</v>
      </c>
      <c r="Z1414" s="58">
        <v>0</v>
      </c>
      <c r="AA1414" s="58">
        <v>0</v>
      </c>
      <c r="AB1414" s="58">
        <f>15000</f>
        <v>15000</v>
      </c>
      <c r="AC1414" s="58">
        <v>0</v>
      </c>
      <c r="AD1414" s="58">
        <v>0</v>
      </c>
      <c r="AE1414" s="58">
        <v>0</v>
      </c>
      <c r="AF1414" s="58">
        <f>17156+1899.83-1916.67</f>
        <v>17139.160000000003</v>
      </c>
      <c r="AG1414" s="58">
        <f>4289+1899.83-1916.67</f>
        <v>4272.16</v>
      </c>
      <c r="AH1414" s="58">
        <f>4289+1899.83-1916.67-3051.51</f>
        <v>1220.6499999999996</v>
      </c>
      <c r="AI1414" s="58">
        <f>4289+1899.83-1916.67-3051.51</f>
        <v>1220.6499999999996</v>
      </c>
      <c r="AJ1414" s="58">
        <v>335.36</v>
      </c>
      <c r="AK1414" s="58">
        <v>0</v>
      </c>
      <c r="AL1414" s="75">
        <f>+SUBTOTAL(9,Tabla6[[#This Row],[ENE]:[DIC]])</f>
        <v>39187.98000000001</v>
      </c>
      <c r="AM1414" s="76" t="str">
        <f t="shared" si="58"/>
        <v>OK</v>
      </c>
      <c r="AN1414" s="60">
        <f>41293.97-2105.99</f>
        <v>39187.980000000003</v>
      </c>
      <c r="AO1414" s="61">
        <f>+Tabla6[[#This Row],[PRESUPUESTO VIGENTE]]-Tabla6[[#This Row],[CERTIFICACIÓN PAPP]]</f>
        <v>0</v>
      </c>
      <c r="AP1414" s="59" t="s">
        <v>87</v>
      </c>
    </row>
    <row r="1415" spans="1:42" ht="93" customHeight="1" x14ac:dyDescent="0.25">
      <c r="A1415" s="62" t="s">
        <v>88</v>
      </c>
      <c r="B1415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415" s="64" t="s">
        <v>89</v>
      </c>
      <c r="D1415" s="64" t="s">
        <v>197</v>
      </c>
      <c r="E1415" s="64" t="s">
        <v>114</v>
      </c>
      <c r="F1415" s="64" t="s">
        <v>20</v>
      </c>
      <c r="G1415" s="64" t="s">
        <v>21</v>
      </c>
      <c r="H1415" s="65" t="str">
        <f>VLOOKUP(Tabla6[[#This Row],[DIRECCIÓN]],DIRECCIÓN[#All],2,0)</f>
        <v>TECNOLOGÍA</v>
      </c>
      <c r="I1415" s="66" t="s">
        <v>200</v>
      </c>
      <c r="J1415" s="67">
        <v>1</v>
      </c>
      <c r="K1415" s="68" t="str">
        <f>VLOOKUP(Tabla6[[#This Row],[DIRECCIÓN GENERAL / COORDINACIÓN / SUBDIRECCIÓN]],Tabla37[[#All],[Columna1]:[EOD]],2,0)</f>
        <v>266_9999</v>
      </c>
      <c r="L1415" s="69">
        <f>VLOOKUP(Tabla6[[#This Row],[OBJETIVOS PND]],Listas!$A$1:$C$3,3,0)</f>
        <v>55</v>
      </c>
      <c r="M1415" s="70">
        <f>VLOOKUP(Tabla6[[#This Row],[PG]],Listas2!$G$14:$K$16,5,0)</f>
        <v>0</v>
      </c>
      <c r="N1415" s="71">
        <v>3</v>
      </c>
      <c r="O1415" s="72">
        <v>1701</v>
      </c>
      <c r="P1415" s="73" t="str">
        <f>VLOOKUP(Tabla6[[#This Row],[GEO]],Listas!$A$48:$B$77,2,0)</f>
        <v>QUITO</v>
      </c>
      <c r="Q1415" s="70">
        <f>VLOOKUP(Tabla6[[#This Row],[PG]],Listas2!$G$14:$K$16,3,0)</f>
        <v>1</v>
      </c>
      <c r="R1415" s="73">
        <f>VLOOKUP(Tabla6[[#This Row],[PG]],Listas2!H124:'Listas2'!$G$14:$K$16,4,0)</f>
        <v>0</v>
      </c>
      <c r="S1415" s="73">
        <f>VLOOKUP(Tabla6[[#This Row],[PG]],Listas2!$G$14:$K$16,2,0)</f>
        <v>0</v>
      </c>
      <c r="T1415" s="66" t="s">
        <v>84</v>
      </c>
      <c r="U1415" s="74">
        <v>53</v>
      </c>
      <c r="V1415" s="66">
        <v>530105</v>
      </c>
      <c r="W1415" s="63" t="str">
        <f>VLOOKUP(Tabla6[[#This Row],[ÍTEM PRESUPUESTARIO]],Tabla2[#All],2,0)</f>
        <v>TELECOMUNICACIONES</v>
      </c>
      <c r="X1415" s="57">
        <v>1344446.28</v>
      </c>
      <c r="Y1415" s="57">
        <f>1344446.28-499030+37213.64+461816.36-1344446.28</f>
        <v>0</v>
      </c>
      <c r="Z1415" s="58">
        <v>0</v>
      </c>
      <c r="AA1415" s="58">
        <v>0</v>
      </c>
      <c r="AB1415" s="58">
        <v>0</v>
      </c>
      <c r="AC1415" s="58">
        <v>0</v>
      </c>
      <c r="AD1415" s="58">
        <v>0</v>
      </c>
      <c r="AE1415" s="58">
        <v>0</v>
      </c>
      <c r="AF1415" s="58">
        <v>0</v>
      </c>
      <c r="AG1415" s="58">
        <v>0</v>
      </c>
      <c r="AH1415" s="58">
        <v>0</v>
      </c>
      <c r="AI1415" s="58">
        <v>0</v>
      </c>
      <c r="AJ1415" s="58">
        <v>0</v>
      </c>
      <c r="AK1415" s="58">
        <v>0</v>
      </c>
      <c r="AL1415" s="75">
        <f>+SUBTOTAL(9,Tabla6[[#This Row],[ENE]:[DIC]])</f>
        <v>0</v>
      </c>
      <c r="AM1415" s="76" t="str">
        <f t="shared" si="58"/>
        <v>OK</v>
      </c>
      <c r="AN1415" s="60">
        <f>1344446.28-1344446.28</f>
        <v>0</v>
      </c>
      <c r="AO1415" s="61">
        <f>+Tabla6[[#This Row],[PRESUPUESTO VIGENTE]]-Tabla6[[#This Row],[CERTIFICACIÓN PAPP]]</f>
        <v>0</v>
      </c>
      <c r="AP1415" s="59">
        <v>0</v>
      </c>
    </row>
    <row r="1416" spans="1:42" ht="93" customHeight="1" x14ac:dyDescent="0.25">
      <c r="A1416" s="62" t="s">
        <v>88</v>
      </c>
      <c r="B1416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416" s="64" t="s">
        <v>89</v>
      </c>
      <c r="D1416" s="64" t="s">
        <v>201</v>
      </c>
      <c r="E1416" s="64" t="s">
        <v>81</v>
      </c>
      <c r="F1416" s="64" t="s">
        <v>8</v>
      </c>
      <c r="G1416" s="64" t="s">
        <v>10</v>
      </c>
      <c r="H1416" s="65" t="str">
        <f>VLOOKUP(Tabla6[[#This Row],[DIRECCIÓN]],DIRECCIÓN[#All],2,0)</f>
        <v>TECNOLOGÍA</v>
      </c>
      <c r="I1416" s="66" t="s">
        <v>202</v>
      </c>
      <c r="J1416" s="67">
        <v>1</v>
      </c>
      <c r="K1416" s="68" t="str">
        <f>VLOOKUP(Tabla6[[#This Row],[DIRECCIÓN GENERAL / COORDINACIÓN / SUBDIRECCIÓN]],Tabla37[[#All],[Columna1]:[EOD]],2,0)</f>
        <v>266_9999</v>
      </c>
      <c r="L1416" s="69">
        <f>VLOOKUP(Tabla6[[#This Row],[OBJETIVOS PND]],Listas!$A$1:$C$3,3,0)</f>
        <v>55</v>
      </c>
      <c r="M1416" s="70">
        <f>VLOOKUP(Tabla6[[#This Row],[PG]],Listas2!$G$14:$K$16,5,0)</f>
        <v>0</v>
      </c>
      <c r="N1416" s="71">
        <v>3</v>
      </c>
      <c r="O1416" s="72">
        <v>1701</v>
      </c>
      <c r="P1416" s="73" t="str">
        <f>VLOOKUP(Tabla6[[#This Row],[GEO]],Listas!$A$48:$B$77,2,0)</f>
        <v>QUITO</v>
      </c>
      <c r="Q1416" s="70">
        <f>VLOOKUP(Tabla6[[#This Row],[PG]],Listas2!$G$14:$K$16,3,0)</f>
        <v>1</v>
      </c>
      <c r="R1416" s="73">
        <f>VLOOKUP(Tabla6[[#This Row],[PG]],Listas2!H125:'Listas2'!$G$14:$K$16,4,0)</f>
        <v>0</v>
      </c>
      <c r="S1416" s="73">
        <f>VLOOKUP(Tabla6[[#This Row],[PG]],Listas2!$G$14:$K$16,2,0)</f>
        <v>0</v>
      </c>
      <c r="T1416" s="66" t="s">
        <v>84</v>
      </c>
      <c r="U1416" s="74">
        <v>53</v>
      </c>
      <c r="V1416" s="66">
        <v>530105</v>
      </c>
      <c r="W1416" s="63" t="str">
        <f>VLOOKUP(Tabla6[[#This Row],[ÍTEM PRESUPUESTARIO]],Tabla2[#All],2,0)</f>
        <v>TELECOMUNICACIONES</v>
      </c>
      <c r="X1416" s="57">
        <v>26780</v>
      </c>
      <c r="Y1416" s="57">
        <f>26780-5787.07</f>
        <v>20992.93</v>
      </c>
      <c r="Z1416" s="58">
        <v>0</v>
      </c>
      <c r="AA1416" s="58">
        <v>20992.93</v>
      </c>
      <c r="AB1416" s="58">
        <v>0</v>
      </c>
      <c r="AC1416" s="58">
        <v>0</v>
      </c>
      <c r="AD1416" s="58">
        <v>0</v>
      </c>
      <c r="AE1416" s="58">
        <v>0</v>
      </c>
      <c r="AF1416" s="58">
        <v>0</v>
      </c>
      <c r="AG1416" s="58">
        <v>0</v>
      </c>
      <c r="AH1416" s="58">
        <v>0</v>
      </c>
      <c r="AI1416" s="58">
        <v>0</v>
      </c>
      <c r="AJ1416" s="58">
        <v>0</v>
      </c>
      <c r="AK1416" s="58">
        <v>0</v>
      </c>
      <c r="AL1416" s="75">
        <f>+SUBTOTAL(9,Tabla6[[#This Row],[ENE]:[DIC]])</f>
        <v>20992.93</v>
      </c>
      <c r="AM1416" s="76" t="str">
        <f t="shared" ref="AM1416:AM1464" si="59">IF(AL1416=Y1416,"OK",Y1416-AL1416)</f>
        <v>OK</v>
      </c>
      <c r="AN1416" s="60">
        <v>20992.93</v>
      </c>
      <c r="AO1416" s="61">
        <f>+Tabla6[[#This Row],[PRESUPUESTO VIGENTE]]-Tabla6[[#This Row],[CERTIFICACIÓN PAPP]]</f>
        <v>0</v>
      </c>
      <c r="AP1416" s="59">
        <v>0</v>
      </c>
    </row>
    <row r="1417" spans="1:42" ht="93" customHeight="1" x14ac:dyDescent="0.25">
      <c r="A1417" s="62" t="s">
        <v>88</v>
      </c>
      <c r="B1417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417" s="64" t="s">
        <v>89</v>
      </c>
      <c r="D1417" s="64" t="s">
        <v>201</v>
      </c>
      <c r="E1417" s="64" t="s">
        <v>81</v>
      </c>
      <c r="F1417" s="64" t="s">
        <v>8</v>
      </c>
      <c r="G1417" s="64" t="s">
        <v>10</v>
      </c>
      <c r="H1417" s="65" t="str">
        <f>VLOOKUP(Tabla6[[#This Row],[DIRECCIÓN]],DIRECCIÓN[#All],2,0)</f>
        <v>TECNOLOGÍA</v>
      </c>
      <c r="I1417" s="66" t="s">
        <v>203</v>
      </c>
      <c r="J1417" s="67">
        <v>1</v>
      </c>
      <c r="K1417" s="68" t="str">
        <f>VLOOKUP(Tabla6[[#This Row],[DIRECCIÓN GENERAL / COORDINACIÓN / SUBDIRECCIÓN]],Tabla37[[#All],[Columna1]:[EOD]],2,0)</f>
        <v>266_9999</v>
      </c>
      <c r="L1417" s="69">
        <f>VLOOKUP(Tabla6[[#This Row],[OBJETIVOS PND]],Listas!$A$1:$C$3,3,0)</f>
        <v>55</v>
      </c>
      <c r="M1417" s="70">
        <f>VLOOKUP(Tabla6[[#This Row],[PG]],Listas2!$G$14:$K$16,5,0)</f>
        <v>0</v>
      </c>
      <c r="N1417" s="71">
        <v>3</v>
      </c>
      <c r="O1417" s="72">
        <v>1701</v>
      </c>
      <c r="P1417" s="73" t="str">
        <f>VLOOKUP(Tabla6[[#This Row],[GEO]],Listas!$A$48:$B$77,2,0)</f>
        <v>QUITO</v>
      </c>
      <c r="Q1417" s="70">
        <f>VLOOKUP(Tabla6[[#This Row],[PG]],Listas2!$G$14:$K$16,3,0)</f>
        <v>1</v>
      </c>
      <c r="R1417" s="73">
        <f>VLOOKUP(Tabla6[[#This Row],[PG]],Listas2!H126:'Listas2'!$G$14:$K$16,4,0)</f>
        <v>0</v>
      </c>
      <c r="S1417" s="73">
        <f>VLOOKUP(Tabla6[[#This Row],[PG]],Listas2!$G$14:$K$16,2,0)</f>
        <v>0</v>
      </c>
      <c r="T1417" s="66" t="s">
        <v>84</v>
      </c>
      <c r="U1417" s="74">
        <v>53</v>
      </c>
      <c r="V1417" s="66">
        <v>530105</v>
      </c>
      <c r="W1417" s="63" t="str">
        <f>VLOOKUP(Tabla6[[#This Row],[ÍTEM PRESUPUESTARIO]],Tabla2[#All],2,0)</f>
        <v>TELECOMUNICACIONES</v>
      </c>
      <c r="X1417" s="57">
        <v>327824</v>
      </c>
      <c r="Y1417" s="57">
        <f>327824-31426.57</f>
        <v>296397.43</v>
      </c>
      <c r="Z1417" s="58">
        <v>0</v>
      </c>
      <c r="AA1417" s="58">
        <v>26945.22</v>
      </c>
      <c r="AB1417" s="58">
        <v>26945.22</v>
      </c>
      <c r="AC1417" s="58">
        <v>26945.22</v>
      </c>
      <c r="AD1417" s="58">
        <v>26945.22</v>
      </c>
      <c r="AE1417" s="58">
        <v>26945.22</v>
      </c>
      <c r="AF1417" s="58">
        <v>26945.22</v>
      </c>
      <c r="AG1417" s="58">
        <v>26945.22</v>
      </c>
      <c r="AH1417" s="58">
        <v>26945.22</v>
      </c>
      <c r="AI1417" s="58">
        <v>26945.22</v>
      </c>
      <c r="AJ1417" s="58">
        <v>26945.22</v>
      </c>
      <c r="AK1417" s="58">
        <v>26945.23</v>
      </c>
      <c r="AL1417" s="75">
        <f>+SUBTOTAL(9,Tabla6[[#This Row],[ENE]:[DIC]])</f>
        <v>296397.43</v>
      </c>
      <c r="AM1417" s="76" t="str">
        <f t="shared" si="59"/>
        <v>OK</v>
      </c>
      <c r="AN1417" s="60">
        <v>296397.43</v>
      </c>
      <c r="AO1417" s="61">
        <f>+Tabla6[[#This Row],[PRESUPUESTO VIGENTE]]-Tabla6[[#This Row],[CERTIFICACIÓN PAPP]]</f>
        <v>0</v>
      </c>
      <c r="AP1417" s="59">
        <v>0</v>
      </c>
    </row>
    <row r="1418" spans="1:42" ht="93" customHeight="1" x14ac:dyDescent="0.25">
      <c r="A1418" s="62" t="s">
        <v>88</v>
      </c>
      <c r="B1418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418" s="64" t="s">
        <v>89</v>
      </c>
      <c r="D1418" s="64" t="s">
        <v>201</v>
      </c>
      <c r="E1418" s="64" t="s">
        <v>81</v>
      </c>
      <c r="F1418" s="64" t="s">
        <v>8</v>
      </c>
      <c r="G1418" s="64" t="s">
        <v>10</v>
      </c>
      <c r="H1418" s="65" t="str">
        <f>VLOOKUP(Tabla6[[#This Row],[DIRECCIÓN]],DIRECCIÓN[#All],2,0)</f>
        <v>TECNOLOGÍA</v>
      </c>
      <c r="I1418" s="66" t="s">
        <v>204</v>
      </c>
      <c r="J1418" s="67">
        <v>1</v>
      </c>
      <c r="K1418" s="68" t="str">
        <f>VLOOKUP(Tabla6[[#This Row],[DIRECCIÓN GENERAL / COORDINACIÓN / SUBDIRECCIÓN]],Tabla37[[#All],[Columna1]:[EOD]],2,0)</f>
        <v>266_9999</v>
      </c>
      <c r="L1418" s="69">
        <f>VLOOKUP(Tabla6[[#This Row],[OBJETIVOS PND]],Listas!$A$1:$C$3,3,0)</f>
        <v>55</v>
      </c>
      <c r="M1418" s="70">
        <f>VLOOKUP(Tabla6[[#This Row],[PG]],Listas2!$G$14:$K$16,5,0)</f>
        <v>0</v>
      </c>
      <c r="N1418" s="71">
        <v>3</v>
      </c>
      <c r="O1418" s="72">
        <v>1701</v>
      </c>
      <c r="P1418" s="73" t="str">
        <f>VLOOKUP(Tabla6[[#This Row],[GEO]],Listas!$A$48:$B$77,2,0)</f>
        <v>QUITO</v>
      </c>
      <c r="Q1418" s="70">
        <f>VLOOKUP(Tabla6[[#This Row],[PG]],Listas2!$G$14:$K$16,3,0)</f>
        <v>1</v>
      </c>
      <c r="R1418" s="73">
        <f>VLOOKUP(Tabla6[[#This Row],[PG]],Listas2!H127:'Listas2'!$G$14:$K$16,4,0)</f>
        <v>0</v>
      </c>
      <c r="S1418" s="73">
        <f>VLOOKUP(Tabla6[[#This Row],[PG]],Listas2!$G$14:$K$16,2,0)</f>
        <v>0</v>
      </c>
      <c r="T1418" s="66" t="s">
        <v>84</v>
      </c>
      <c r="U1418" s="74">
        <v>53</v>
      </c>
      <c r="V1418" s="66">
        <v>530404</v>
      </c>
      <c r="W1418" s="63" t="str">
        <f>VLOOKUP(Tabla6[[#This Row],[ÍTEM PRESUPUESTARIO]],Tabla2[#All],2,0)</f>
        <v>MAQUINARIAS Y EQUIPOS (INSTALACIÓN, MANTENIMIENTO Y REPARACIÓN)</v>
      </c>
      <c r="X1418" s="57">
        <v>0</v>
      </c>
      <c r="Y1418" s="57">
        <f>30000-25000</f>
        <v>5000</v>
      </c>
      <c r="Z1418" s="58">
        <v>0</v>
      </c>
      <c r="AA1418" s="58">
        <v>0</v>
      </c>
      <c r="AB1418" s="58">
        <v>0</v>
      </c>
      <c r="AC1418" s="58">
        <v>0</v>
      </c>
      <c r="AD1418" s="58">
        <v>1666.67</v>
      </c>
      <c r="AE1418" s="58">
        <v>1666.67</v>
      </c>
      <c r="AF1418" s="58">
        <v>1666.66</v>
      </c>
      <c r="AG1418" s="58">
        <v>0</v>
      </c>
      <c r="AH1418" s="58">
        <v>0</v>
      </c>
      <c r="AI1418" s="58">
        <v>0</v>
      </c>
      <c r="AJ1418" s="58">
        <v>0</v>
      </c>
      <c r="AK1418" s="58">
        <v>0</v>
      </c>
      <c r="AL1418" s="75">
        <f>+SUBTOTAL(9,Tabla6[[#This Row],[ENE]:[DIC]])</f>
        <v>5000</v>
      </c>
      <c r="AM1418" s="76" t="str">
        <f t="shared" si="59"/>
        <v>OK</v>
      </c>
      <c r="AN1418" s="60">
        <f>21250-16250</f>
        <v>5000</v>
      </c>
      <c r="AO1418" s="61">
        <f>+Tabla6[[#This Row],[PRESUPUESTO VIGENTE]]-Tabla6[[#This Row],[CERTIFICACIÓN PAPP]]</f>
        <v>0</v>
      </c>
      <c r="AP1418" s="59">
        <v>0</v>
      </c>
    </row>
    <row r="1419" spans="1:42" ht="93" customHeight="1" x14ac:dyDescent="0.25">
      <c r="A1419" s="62" t="s">
        <v>88</v>
      </c>
      <c r="B1419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419" s="64" t="s">
        <v>89</v>
      </c>
      <c r="D1419" s="64" t="s">
        <v>201</v>
      </c>
      <c r="E1419" s="64" t="s">
        <v>114</v>
      </c>
      <c r="F1419" s="64" t="s">
        <v>20</v>
      </c>
      <c r="G1419" s="64" t="s">
        <v>22</v>
      </c>
      <c r="H1419" s="65" t="str">
        <f>VLOOKUP(Tabla6[[#This Row],[DIRECCIÓN]],DIRECCIÓN[#All],2,0)</f>
        <v>TECNOLOGÍA</v>
      </c>
      <c r="I1419" s="66" t="s">
        <v>205</v>
      </c>
      <c r="J1419" s="67">
        <v>1</v>
      </c>
      <c r="K1419" s="68" t="str">
        <f>VLOOKUP(Tabla6[[#This Row],[DIRECCIÓN GENERAL / COORDINACIÓN / SUBDIRECCIÓN]],Tabla37[[#All],[Columna1]:[EOD]],2,0)</f>
        <v>266_9999</v>
      </c>
      <c r="L1419" s="69">
        <f>VLOOKUP(Tabla6[[#This Row],[OBJETIVOS PND]],Listas!$A$1:$C$3,3,0)</f>
        <v>55</v>
      </c>
      <c r="M1419" s="70">
        <f>VLOOKUP(Tabla6[[#This Row],[PG]],Listas2!$G$14:$K$16,5,0)</f>
        <v>0</v>
      </c>
      <c r="N1419" s="71">
        <v>3</v>
      </c>
      <c r="O1419" s="72">
        <v>1701</v>
      </c>
      <c r="P1419" s="73" t="str">
        <f>VLOOKUP(Tabla6[[#This Row],[GEO]],Listas!$A$48:$B$77,2,0)</f>
        <v>QUITO</v>
      </c>
      <c r="Q1419" s="70">
        <f>VLOOKUP(Tabla6[[#This Row],[PG]],Listas2!$G$14:$K$16,3,0)</f>
        <v>1</v>
      </c>
      <c r="R1419" s="73">
        <f>VLOOKUP(Tabla6[[#This Row],[PG]],Listas2!H1297:'Listas2'!$G$14:$K$16,4,0)</f>
        <v>0</v>
      </c>
      <c r="S1419" s="73">
        <f>VLOOKUP(Tabla6[[#This Row],[PG]],Listas2!$G$14:$K$16,2,0)</f>
        <v>0</v>
      </c>
      <c r="T1419" s="66" t="s">
        <v>84</v>
      </c>
      <c r="U1419" s="74">
        <v>53</v>
      </c>
      <c r="V1419" s="66">
        <v>530406</v>
      </c>
      <c r="W1419" s="63" t="str">
        <f>VLOOKUP(Tabla6[[#This Row],[ÍTEM PRESUPUESTARIO]],Tabla2[#All],2,0)</f>
        <v>HERRAMIENTAS (MANTENIMIENTO Y REPARACIÓN)</v>
      </c>
      <c r="X1419" s="57">
        <v>0</v>
      </c>
      <c r="Y1419" s="57">
        <v>1000</v>
      </c>
      <c r="Z1419" s="58">
        <v>0</v>
      </c>
      <c r="AA1419" s="58">
        <v>0</v>
      </c>
      <c r="AB1419" s="58">
        <v>0</v>
      </c>
      <c r="AC1419" s="58">
        <v>0</v>
      </c>
      <c r="AD1419" s="58">
        <v>0</v>
      </c>
      <c r="AE1419" s="58">
        <v>0</v>
      </c>
      <c r="AF1419" s="58">
        <v>0</v>
      </c>
      <c r="AG1419" s="58">
        <v>0</v>
      </c>
      <c r="AH1419" s="58">
        <v>1000</v>
      </c>
      <c r="AI1419" s="58">
        <v>0</v>
      </c>
      <c r="AJ1419" s="58">
        <v>0</v>
      </c>
      <c r="AK1419" s="58">
        <v>0</v>
      </c>
      <c r="AL1419" s="75">
        <f>+SUBTOTAL(9,Tabla6[[#This Row],[ENE]:[DIC]])</f>
        <v>1000</v>
      </c>
      <c r="AM1419" s="76" t="str">
        <f t="shared" si="59"/>
        <v>OK</v>
      </c>
      <c r="AN1419" s="60">
        <v>1000</v>
      </c>
      <c r="AO1419" s="61">
        <f>+Tabla6[[#This Row],[PRESUPUESTO VIGENTE]]-Tabla6[[#This Row],[CERTIFICACIÓN PAPP]]</f>
        <v>0</v>
      </c>
      <c r="AP1419" s="59">
        <v>0</v>
      </c>
    </row>
    <row r="1420" spans="1:42" ht="93" customHeight="1" x14ac:dyDescent="0.25">
      <c r="A1420" s="62" t="s">
        <v>88</v>
      </c>
      <c r="B1420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420" s="64" t="s">
        <v>89</v>
      </c>
      <c r="D1420" s="64" t="s">
        <v>201</v>
      </c>
      <c r="E1420" s="64" t="s">
        <v>114</v>
      </c>
      <c r="F1420" s="64" t="s">
        <v>20</v>
      </c>
      <c r="G1420" s="64" t="s">
        <v>21</v>
      </c>
      <c r="H1420" s="65" t="str">
        <f>VLOOKUP(Tabla6[[#This Row],[DIRECCIÓN]],DIRECCIÓN[#All],2,0)</f>
        <v>TECNOLOGÍA</v>
      </c>
      <c r="I1420" s="66" t="s">
        <v>206</v>
      </c>
      <c r="J1420" s="67">
        <v>1</v>
      </c>
      <c r="K1420" s="68" t="str">
        <f>VLOOKUP(Tabla6[[#This Row],[DIRECCIÓN GENERAL / COORDINACIÓN / SUBDIRECCIÓN]],Tabla37[[#All],[Columna1]:[EOD]],2,0)</f>
        <v>266_9999</v>
      </c>
      <c r="L1420" s="69">
        <f>VLOOKUP(Tabla6[[#This Row],[OBJETIVOS PND]],Listas!$A$1:$C$3,3,0)</f>
        <v>55</v>
      </c>
      <c r="M1420" s="70">
        <f>VLOOKUP(Tabla6[[#This Row],[PG]],Listas2!$G$14:$K$16,5,0)</f>
        <v>0</v>
      </c>
      <c r="N1420" s="71">
        <v>3</v>
      </c>
      <c r="O1420" s="72">
        <v>1701</v>
      </c>
      <c r="P1420" s="73" t="str">
        <f>VLOOKUP(Tabla6[[#This Row],[GEO]],Listas!$A$48:$B$77,2,0)</f>
        <v>QUITO</v>
      </c>
      <c r="Q1420" s="70">
        <f>VLOOKUP(Tabla6[[#This Row],[PG]],Listas2!$G$14:$K$16,3,0)</f>
        <v>1</v>
      </c>
      <c r="R1420" s="73">
        <f>VLOOKUP(Tabla6[[#This Row],[PG]],Listas2!H128:'Listas2'!$G$14:$K$16,4,0)</f>
        <v>0</v>
      </c>
      <c r="S1420" s="73">
        <f>VLOOKUP(Tabla6[[#This Row],[PG]],Listas2!$G$14:$K$16,2,0)</f>
        <v>0</v>
      </c>
      <c r="T1420" s="66" t="s">
        <v>84</v>
      </c>
      <c r="U1420" s="74">
        <v>53</v>
      </c>
      <c r="V1420" s="66">
        <v>530504</v>
      </c>
      <c r="W1420" s="63" t="str">
        <f>VLOOKUP(Tabla6[[#This Row],[ÍTEM PRESUPUESTARIO]],Tabla2[#All],2,0)</f>
        <v>MAQUINARIAS Y EQUIPOS (ARRENDAMIENTO)</v>
      </c>
      <c r="X1420" s="57">
        <v>0</v>
      </c>
      <c r="Y1420" s="57">
        <f>187207.91-187207.91</f>
        <v>0</v>
      </c>
      <c r="Z1420" s="58">
        <v>0</v>
      </c>
      <c r="AA1420" s="58">
        <v>0</v>
      </c>
      <c r="AB1420" s="58">
        <v>0</v>
      </c>
      <c r="AC1420" s="58">
        <v>0</v>
      </c>
      <c r="AD1420" s="58">
        <v>0</v>
      </c>
      <c r="AE1420" s="58">
        <v>0</v>
      </c>
      <c r="AF1420" s="58">
        <v>0</v>
      </c>
      <c r="AG1420" s="58">
        <v>0</v>
      </c>
      <c r="AH1420" s="58">
        <v>0</v>
      </c>
      <c r="AI1420" s="58">
        <v>0</v>
      </c>
      <c r="AJ1420" s="58">
        <v>0</v>
      </c>
      <c r="AK1420" s="58">
        <v>0</v>
      </c>
      <c r="AL1420" s="75">
        <f>+SUBTOTAL(9,Tabla6[[#This Row],[ENE]:[DIC]])</f>
        <v>0</v>
      </c>
      <c r="AM1420" s="76" t="str">
        <f t="shared" si="59"/>
        <v>OK</v>
      </c>
      <c r="AN1420" s="60">
        <v>0</v>
      </c>
      <c r="AO1420" s="61">
        <f>+Tabla6[[#This Row],[PRESUPUESTO VIGENTE]]-Tabla6[[#This Row],[CERTIFICACIÓN PAPP]]</f>
        <v>0</v>
      </c>
      <c r="AP1420" s="59">
        <v>0</v>
      </c>
    </row>
    <row r="1421" spans="1:42" ht="93" customHeight="1" x14ac:dyDescent="0.25">
      <c r="A1421" s="62" t="s">
        <v>88</v>
      </c>
      <c r="B1421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421" s="64" t="s">
        <v>89</v>
      </c>
      <c r="D1421" s="64" t="s">
        <v>201</v>
      </c>
      <c r="E1421" s="64" t="s">
        <v>114</v>
      </c>
      <c r="F1421" s="64" t="s">
        <v>20</v>
      </c>
      <c r="G1421" s="64" t="s">
        <v>22</v>
      </c>
      <c r="H1421" s="65" t="str">
        <f>VLOOKUP(Tabla6[[#This Row],[DIRECCIÓN]],DIRECCIÓN[#All],2,0)</f>
        <v>TECNOLOGÍA</v>
      </c>
      <c r="I1421" s="66" t="s">
        <v>207</v>
      </c>
      <c r="J1421" s="67">
        <v>1</v>
      </c>
      <c r="K1421" s="68" t="str">
        <f>VLOOKUP(Tabla6[[#This Row],[DIRECCIÓN GENERAL / COORDINACIÓN / SUBDIRECCIÓN]],Tabla37[[#All],[Columna1]:[EOD]],2,0)</f>
        <v>266_9999</v>
      </c>
      <c r="L1421" s="69">
        <f>VLOOKUP(Tabla6[[#This Row],[OBJETIVOS PND]],Listas!$A$1:$C$3,3,0)</f>
        <v>55</v>
      </c>
      <c r="M1421" s="70">
        <f>VLOOKUP(Tabla6[[#This Row],[PG]],Listas2!$G$14:$K$16,5,0)</f>
        <v>0</v>
      </c>
      <c r="N1421" s="71">
        <v>3</v>
      </c>
      <c r="O1421" s="72">
        <v>1701</v>
      </c>
      <c r="P1421" s="73" t="str">
        <f>VLOOKUP(Tabla6[[#This Row],[GEO]],Listas!$A$48:$B$77,2,0)</f>
        <v>QUITO</v>
      </c>
      <c r="Q1421" s="70">
        <f>VLOOKUP(Tabla6[[#This Row],[PG]],Listas2!$G$14:$K$16,3,0)</f>
        <v>1</v>
      </c>
      <c r="R1421" s="73">
        <f>VLOOKUP(Tabla6[[#This Row],[PG]],Listas2!H1362:'Listas2'!$G$14:$K$16,4,0)</f>
        <v>0</v>
      </c>
      <c r="S1421" s="73">
        <f>VLOOKUP(Tabla6[[#This Row],[PG]],Listas2!$G$14:$K$16,2,0)</f>
        <v>0</v>
      </c>
      <c r="T1421" s="66" t="s">
        <v>84</v>
      </c>
      <c r="U1421" s="74">
        <v>53</v>
      </c>
      <c r="V1421" s="66">
        <v>530606</v>
      </c>
      <c r="W1421" s="63" t="str">
        <f>VLOOKUP(Tabla6[[#This Row],[ÍTEM PRESUPUESTARIO]],Tabla2[#All],2,0)</f>
        <v>HONORARIOS POR CONTRATOS CIVILES DE SERVICIOS</v>
      </c>
      <c r="X1421" s="57">
        <v>0</v>
      </c>
      <c r="Y1421" s="57">
        <f>6000-6000</f>
        <v>0</v>
      </c>
      <c r="Z1421" s="58">
        <v>0</v>
      </c>
      <c r="AA1421" s="58">
        <v>0</v>
      </c>
      <c r="AB1421" s="58">
        <v>0</v>
      </c>
      <c r="AC1421" s="58">
        <v>0</v>
      </c>
      <c r="AD1421" s="58">
        <v>0</v>
      </c>
      <c r="AE1421" s="58">
        <v>0</v>
      </c>
      <c r="AF1421" s="58">
        <v>0</v>
      </c>
      <c r="AG1421" s="58">
        <v>0</v>
      </c>
      <c r="AH1421" s="58">
        <v>0</v>
      </c>
      <c r="AI1421" s="58">
        <v>0</v>
      </c>
      <c r="AJ1421" s="58">
        <v>0</v>
      </c>
      <c r="AK1421" s="58">
        <v>0</v>
      </c>
      <c r="AL1421" s="75">
        <f>+SUBTOTAL(9,Tabla6[[#This Row],[ENE]:[DIC]])</f>
        <v>0</v>
      </c>
      <c r="AM1421" s="76" t="str">
        <f t="shared" si="59"/>
        <v>OK</v>
      </c>
      <c r="AN1421" s="58">
        <v>0</v>
      </c>
      <c r="AO1421" s="58">
        <f>+Tabla6[[#This Row],[PRESUPUESTO VIGENTE]]-Tabla6[[#This Row],[CERTIFICACIÓN PAPP]]</f>
        <v>0</v>
      </c>
      <c r="AP1421" s="59">
        <v>0</v>
      </c>
    </row>
    <row r="1422" spans="1:42" ht="93" customHeight="1" x14ac:dyDescent="0.25">
      <c r="A1422" s="62" t="s">
        <v>88</v>
      </c>
      <c r="B1422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422" s="64" t="s">
        <v>89</v>
      </c>
      <c r="D1422" s="64" t="s">
        <v>197</v>
      </c>
      <c r="E1422" s="64" t="s">
        <v>114</v>
      </c>
      <c r="F1422" s="64" t="s">
        <v>20</v>
      </c>
      <c r="G1422" s="64" t="s">
        <v>21</v>
      </c>
      <c r="H1422" s="65" t="str">
        <f>VLOOKUP(Tabla6[[#This Row],[DIRECCIÓN]],DIRECCIÓN[#All],2,0)</f>
        <v>TECNOLOGÍA</v>
      </c>
      <c r="I1422" s="66" t="s">
        <v>208</v>
      </c>
      <c r="J1422" s="67">
        <v>1</v>
      </c>
      <c r="K1422" s="68" t="str">
        <f>VLOOKUP(Tabla6[[#This Row],[DIRECCIÓN GENERAL / COORDINACIÓN / SUBDIRECCIÓN]],Tabla37[[#All],[Columna1]:[EOD]],2,0)</f>
        <v>266_9999</v>
      </c>
      <c r="L1422" s="69">
        <f>VLOOKUP(Tabla6[[#This Row],[OBJETIVOS PND]],Listas!$A$1:$C$3,3,0)</f>
        <v>55</v>
      </c>
      <c r="M1422" s="70">
        <f>VLOOKUP(Tabla6[[#This Row],[PG]],Listas2!$G$14:$K$16,5,0)</f>
        <v>0</v>
      </c>
      <c r="N1422" s="71">
        <v>3</v>
      </c>
      <c r="O1422" s="72">
        <v>1701</v>
      </c>
      <c r="P1422" s="73" t="str">
        <f>VLOOKUP(Tabla6[[#This Row],[GEO]],Listas!$A$48:$B$77,2,0)</f>
        <v>QUITO</v>
      </c>
      <c r="Q1422" s="70">
        <f>VLOOKUP(Tabla6[[#This Row],[PG]],Listas2!$G$14:$K$16,3,0)</f>
        <v>1</v>
      </c>
      <c r="R1422" s="73">
        <f>VLOOKUP(Tabla6[[#This Row],[PG]],Listas2!H129:'Listas2'!$G$14:$K$16,4,0)</f>
        <v>0</v>
      </c>
      <c r="S1422" s="73">
        <f>VLOOKUP(Tabla6[[#This Row],[PG]],Listas2!$G$14:$K$16,2,0)</f>
        <v>0</v>
      </c>
      <c r="T1422" s="66" t="s">
        <v>84</v>
      </c>
      <c r="U1422" s="74">
        <v>53</v>
      </c>
      <c r="V1422" s="66">
        <v>530702</v>
      </c>
      <c r="W1422" s="63" t="str">
        <f>VLOOKUP(Tabla6[[#This Row],[ÍTEM PRESUPUESTARIO]],Tabla2[#All],2,0)</f>
        <v>ARRENDAMIENTO Y LICENCIAS DE USO DE PAQUETES INFORMÁTICOS</v>
      </c>
      <c r="X1422" s="57">
        <v>270</v>
      </c>
      <c r="Y1422" s="57">
        <f>270+6030-1676.36</f>
        <v>4623.6400000000003</v>
      </c>
      <c r="Z1422" s="58">
        <v>0</v>
      </c>
      <c r="AA1422" s="58">
        <v>0</v>
      </c>
      <c r="AB1422" s="58">
        <v>0</v>
      </c>
      <c r="AC1422" s="58">
        <v>0</v>
      </c>
      <c r="AD1422" s="58">
        <v>0</v>
      </c>
      <c r="AE1422" s="58">
        <v>0</v>
      </c>
      <c r="AF1422" s="58">
        <v>0</v>
      </c>
      <c r="AG1422" s="58">
        <v>0</v>
      </c>
      <c r="AH1422" s="58">
        <v>4623.6400000000003</v>
      </c>
      <c r="AI1422" s="58">
        <v>0</v>
      </c>
      <c r="AJ1422" s="58">
        <v>0</v>
      </c>
      <c r="AK1422" s="58">
        <v>0</v>
      </c>
      <c r="AL1422" s="75">
        <f>+SUBTOTAL(9,Tabla6[[#This Row],[ENE]:[DIC]])</f>
        <v>4623.6400000000003</v>
      </c>
      <c r="AM1422" s="76" t="str">
        <f t="shared" si="59"/>
        <v>OK</v>
      </c>
      <c r="AN1422" s="60">
        <v>4623.6400000000003</v>
      </c>
      <c r="AO1422" s="61">
        <f>+Tabla6[[#This Row],[PRESUPUESTO VIGENTE]]-Tabla6[[#This Row],[CERTIFICACIÓN PAPP]]</f>
        <v>0</v>
      </c>
      <c r="AP1422" s="59" t="s">
        <v>87</v>
      </c>
    </row>
    <row r="1423" spans="1:42" ht="93" customHeight="1" x14ac:dyDescent="0.25">
      <c r="A1423" s="62" t="s">
        <v>88</v>
      </c>
      <c r="B1423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423" s="64" t="s">
        <v>89</v>
      </c>
      <c r="D1423" s="64" t="s">
        <v>197</v>
      </c>
      <c r="E1423" s="64" t="s">
        <v>114</v>
      </c>
      <c r="F1423" s="64" t="s">
        <v>20</v>
      </c>
      <c r="G1423" s="64" t="s">
        <v>21</v>
      </c>
      <c r="H1423" s="65" t="str">
        <f>VLOOKUP(Tabla6[[#This Row],[DIRECCIÓN]],DIRECCIÓN[#All],2,0)</f>
        <v>TECNOLOGÍA</v>
      </c>
      <c r="I1423" s="66" t="s">
        <v>209</v>
      </c>
      <c r="J1423" s="67">
        <v>1</v>
      </c>
      <c r="K1423" s="68" t="str">
        <f>VLOOKUP(Tabla6[[#This Row],[DIRECCIÓN GENERAL / COORDINACIÓN / SUBDIRECCIÓN]],Tabla37[[#All],[Columna1]:[EOD]],2,0)</f>
        <v>266_9999</v>
      </c>
      <c r="L1423" s="69">
        <f>VLOOKUP(Tabla6[[#This Row],[OBJETIVOS PND]],Listas!$A$1:$C$3,3,0)</f>
        <v>55</v>
      </c>
      <c r="M1423" s="70">
        <f>VLOOKUP(Tabla6[[#This Row],[PG]],Listas2!$G$14:$K$16,5,0)</f>
        <v>0</v>
      </c>
      <c r="N1423" s="71">
        <v>3</v>
      </c>
      <c r="O1423" s="72">
        <v>1701</v>
      </c>
      <c r="P1423" s="73" t="str">
        <f>VLOOKUP(Tabla6[[#This Row],[GEO]],Listas!$A$48:$B$77,2,0)</f>
        <v>QUITO</v>
      </c>
      <c r="Q1423" s="70">
        <f>VLOOKUP(Tabla6[[#This Row],[PG]],Listas2!$G$14:$K$16,3,0)</f>
        <v>1</v>
      </c>
      <c r="R1423" s="73">
        <f>VLOOKUP(Tabla6[[#This Row],[PG]],Listas2!H130:'Listas2'!$G$14:$K$16,4,0)</f>
        <v>0</v>
      </c>
      <c r="S1423" s="73">
        <f>VLOOKUP(Tabla6[[#This Row],[PG]],Listas2!$G$14:$K$16,2,0)</f>
        <v>0</v>
      </c>
      <c r="T1423" s="66" t="s">
        <v>84</v>
      </c>
      <c r="U1423" s="74">
        <v>53</v>
      </c>
      <c r="V1423" s="66">
        <v>530702</v>
      </c>
      <c r="W1423" s="63" t="str">
        <f>VLOOKUP(Tabla6[[#This Row],[ÍTEM PRESUPUESTARIO]],Tabla2[#All],2,0)</f>
        <v>ARRENDAMIENTO Y LICENCIAS DE USO DE PAQUETES INFORMÁTICOS</v>
      </c>
      <c r="X1423" s="57">
        <v>45000</v>
      </c>
      <c r="Y1423" s="57">
        <f>45000-45000+45000-16196.74-3086.06</f>
        <v>25717.200000000001</v>
      </c>
      <c r="Z1423" s="58">
        <v>0</v>
      </c>
      <c r="AA1423" s="58">
        <v>0</v>
      </c>
      <c r="AB1423" s="58">
        <v>0</v>
      </c>
      <c r="AC1423" s="58">
        <v>0</v>
      </c>
      <c r="AD1423" s="58">
        <v>0</v>
      </c>
      <c r="AE1423" s="58">
        <v>0</v>
      </c>
      <c r="AF1423" s="58">
        <v>0</v>
      </c>
      <c r="AG1423" s="58">
        <v>0</v>
      </c>
      <c r="AH1423" s="58">
        <v>25717.200000000001</v>
      </c>
      <c r="AI1423" s="58">
        <v>0</v>
      </c>
      <c r="AJ1423" s="58">
        <v>0</v>
      </c>
      <c r="AK1423" s="58">
        <v>0</v>
      </c>
      <c r="AL1423" s="75">
        <f>+SUBTOTAL(9,Tabla6[[#This Row],[ENE]:[DIC]])</f>
        <v>25717.200000000001</v>
      </c>
      <c r="AM1423" s="76" t="str">
        <f t="shared" si="59"/>
        <v>OK</v>
      </c>
      <c r="AN1423" s="60">
        <v>25717.200000000001</v>
      </c>
      <c r="AO1423" s="61">
        <f>+Tabla6[[#This Row],[PRESUPUESTO VIGENTE]]-Tabla6[[#This Row],[CERTIFICACIÓN PAPP]]</f>
        <v>0</v>
      </c>
      <c r="AP1423" s="59">
        <v>0</v>
      </c>
    </row>
    <row r="1424" spans="1:42" ht="93" customHeight="1" x14ac:dyDescent="0.25">
      <c r="A1424" s="62" t="s">
        <v>88</v>
      </c>
      <c r="B1424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424" s="64" t="s">
        <v>89</v>
      </c>
      <c r="D1424" s="64" t="s">
        <v>197</v>
      </c>
      <c r="E1424" s="64" t="s">
        <v>114</v>
      </c>
      <c r="F1424" s="64" t="s">
        <v>20</v>
      </c>
      <c r="G1424" s="64" t="s">
        <v>22</v>
      </c>
      <c r="H1424" s="65" t="str">
        <f>VLOOKUP(Tabla6[[#This Row],[DIRECCIÓN]],DIRECCIÓN[#All],2,0)</f>
        <v>TECNOLOGÍA</v>
      </c>
      <c r="I1424" s="66" t="s">
        <v>210</v>
      </c>
      <c r="J1424" s="67">
        <v>1</v>
      </c>
      <c r="K1424" s="68" t="str">
        <f>VLOOKUP(Tabla6[[#This Row],[DIRECCIÓN GENERAL / COORDINACIÓN / SUBDIRECCIÓN]],Tabla37[[#All],[Columna1]:[EOD]],2,0)</f>
        <v>266_9999</v>
      </c>
      <c r="L1424" s="69">
        <f>VLOOKUP(Tabla6[[#This Row],[OBJETIVOS PND]],Listas!$A$1:$C$3,3,0)</f>
        <v>55</v>
      </c>
      <c r="M1424" s="70">
        <f>VLOOKUP(Tabla6[[#This Row],[PG]],Listas2!$G$14:$K$16,5,0)</f>
        <v>0</v>
      </c>
      <c r="N1424" s="71">
        <v>3</v>
      </c>
      <c r="O1424" s="72">
        <v>1701</v>
      </c>
      <c r="P1424" s="73" t="str">
        <f>VLOOKUP(Tabla6[[#This Row],[GEO]],Listas!$A$48:$B$77,2,0)</f>
        <v>QUITO</v>
      </c>
      <c r="Q1424" s="70">
        <f>VLOOKUP(Tabla6[[#This Row],[PG]],Listas2!$G$14:$K$16,3,0)</f>
        <v>1</v>
      </c>
      <c r="R1424" s="73">
        <f>VLOOKUP(Tabla6[[#This Row],[PG]],Listas2!H1266:'Listas2'!$G$14:$K$16,4,0)</f>
        <v>0</v>
      </c>
      <c r="S1424" s="73">
        <f>VLOOKUP(Tabla6[[#This Row],[PG]],Listas2!$G$14:$K$16,2,0)</f>
        <v>0</v>
      </c>
      <c r="T1424" s="66" t="s">
        <v>84</v>
      </c>
      <c r="U1424" s="74">
        <v>53</v>
      </c>
      <c r="V1424" s="66">
        <v>530702</v>
      </c>
      <c r="W1424" s="63" t="str">
        <f>VLOOKUP(Tabla6[[#This Row],[ÍTEM PRESUPUESTARIO]],Tabla2[#All],2,0)</f>
        <v>ARRENDAMIENTO Y LICENCIAS DE USO DE PAQUETES INFORMÁTICOS</v>
      </c>
      <c r="X1424" s="57">
        <v>0</v>
      </c>
      <c r="Y1424" s="57">
        <f>28000-13567.34+13567.34-28000</f>
        <v>0</v>
      </c>
      <c r="Z1424" s="58">
        <v>0</v>
      </c>
      <c r="AA1424" s="58">
        <v>0</v>
      </c>
      <c r="AB1424" s="58">
        <v>0</v>
      </c>
      <c r="AC1424" s="58">
        <v>0</v>
      </c>
      <c r="AD1424" s="58">
        <v>0</v>
      </c>
      <c r="AE1424" s="58">
        <v>0</v>
      </c>
      <c r="AF1424" s="58">
        <v>0</v>
      </c>
      <c r="AG1424" s="58">
        <v>0</v>
      </c>
      <c r="AH1424" s="58">
        <v>0</v>
      </c>
      <c r="AI1424" s="58">
        <v>0</v>
      </c>
      <c r="AJ1424" s="58">
        <v>0</v>
      </c>
      <c r="AK1424" s="58">
        <v>0</v>
      </c>
      <c r="AL1424" s="75">
        <f>+SUBTOTAL(9,Tabla6[[#This Row],[ENE]:[DIC]])</f>
        <v>0</v>
      </c>
      <c r="AM1424" s="76" t="str">
        <f t="shared" si="59"/>
        <v>OK</v>
      </c>
      <c r="AN1424" s="60">
        <v>0</v>
      </c>
      <c r="AO1424" s="61">
        <f>+Tabla6[[#This Row],[PRESUPUESTO VIGENTE]]-Tabla6[[#This Row],[CERTIFICACIÓN PAPP]]</f>
        <v>0</v>
      </c>
      <c r="AP1424" s="59">
        <v>0</v>
      </c>
    </row>
    <row r="1425" spans="1:42" ht="93" customHeight="1" x14ac:dyDescent="0.25">
      <c r="A1425" s="62" t="s">
        <v>88</v>
      </c>
      <c r="B1425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425" s="64" t="s">
        <v>89</v>
      </c>
      <c r="D1425" s="64" t="s">
        <v>197</v>
      </c>
      <c r="E1425" s="64" t="s">
        <v>114</v>
      </c>
      <c r="F1425" s="64" t="s">
        <v>20</v>
      </c>
      <c r="G1425" s="64" t="s">
        <v>21</v>
      </c>
      <c r="H1425" s="65" t="str">
        <f>VLOOKUP(Tabla6[[#This Row],[DIRECCIÓN]],DIRECCIÓN[#All],2,0)</f>
        <v>TECNOLOGÍA</v>
      </c>
      <c r="I1425" s="66" t="s">
        <v>211</v>
      </c>
      <c r="J1425" s="67">
        <v>1</v>
      </c>
      <c r="K1425" s="68" t="str">
        <f>VLOOKUP(Tabla6[[#This Row],[DIRECCIÓN GENERAL / COORDINACIÓN / SUBDIRECCIÓN]],Tabla37[[#All],[Columna1]:[EOD]],2,0)</f>
        <v>266_9999</v>
      </c>
      <c r="L1425" s="69">
        <f>VLOOKUP(Tabla6[[#This Row],[OBJETIVOS PND]],Listas!$A$1:$C$3,3,0)</f>
        <v>55</v>
      </c>
      <c r="M1425" s="70">
        <f>VLOOKUP(Tabla6[[#This Row],[PG]],Listas2!$G$14:$K$16,5,0)</f>
        <v>0</v>
      </c>
      <c r="N1425" s="71">
        <v>3</v>
      </c>
      <c r="O1425" s="72">
        <v>1701</v>
      </c>
      <c r="P1425" s="73" t="str">
        <f>VLOOKUP(Tabla6[[#This Row],[GEO]],Listas!$A$48:$B$77,2,0)</f>
        <v>QUITO</v>
      </c>
      <c r="Q1425" s="70">
        <f>VLOOKUP(Tabla6[[#This Row],[PG]],Listas2!$G$14:$K$16,3,0)</f>
        <v>1</v>
      </c>
      <c r="R1425" s="73">
        <f>VLOOKUP(Tabla6[[#This Row],[PG]],Listas2!H131:'Listas2'!$G$14:$K$16,4,0)</f>
        <v>0</v>
      </c>
      <c r="S1425" s="73">
        <f>VLOOKUP(Tabla6[[#This Row],[PG]],Listas2!$G$14:$K$16,2,0)</f>
        <v>0</v>
      </c>
      <c r="T1425" s="66" t="s">
        <v>84</v>
      </c>
      <c r="U1425" s="74">
        <v>53</v>
      </c>
      <c r="V1425" s="66">
        <v>530702</v>
      </c>
      <c r="W1425" s="63" t="str">
        <f>VLOOKUP(Tabla6[[#This Row],[ÍTEM PRESUPUESTARIO]],Tabla2[#All],2,0)</f>
        <v>ARRENDAMIENTO Y LICENCIAS DE USO DE PAQUETES INFORMÁTICOS</v>
      </c>
      <c r="X1425" s="57">
        <v>6700</v>
      </c>
      <c r="Y1425" s="57">
        <f>6700-6700</f>
        <v>0</v>
      </c>
      <c r="Z1425" s="58">
        <v>0</v>
      </c>
      <c r="AA1425" s="58">
        <v>0</v>
      </c>
      <c r="AB1425" s="58">
        <v>0</v>
      </c>
      <c r="AC1425" s="58">
        <v>0</v>
      </c>
      <c r="AD1425" s="58">
        <v>0</v>
      </c>
      <c r="AE1425" s="58">
        <v>0</v>
      </c>
      <c r="AF1425" s="58">
        <v>0</v>
      </c>
      <c r="AG1425" s="58">
        <v>0</v>
      </c>
      <c r="AH1425" s="58">
        <v>0</v>
      </c>
      <c r="AI1425" s="58">
        <v>0</v>
      </c>
      <c r="AJ1425" s="58">
        <v>0</v>
      </c>
      <c r="AK1425" s="58">
        <v>0</v>
      </c>
      <c r="AL1425" s="75">
        <f>+SUBTOTAL(9,Tabla6[[#This Row],[ENE]:[DIC]])</f>
        <v>0</v>
      </c>
      <c r="AM1425" s="76" t="str">
        <f t="shared" si="59"/>
        <v>OK</v>
      </c>
      <c r="AN1425" s="60">
        <v>0</v>
      </c>
      <c r="AO1425" s="61">
        <f>+Tabla6[[#This Row],[PRESUPUESTO VIGENTE]]-Tabla6[[#This Row],[CERTIFICACIÓN PAPP]]</f>
        <v>0</v>
      </c>
      <c r="AP1425" s="59">
        <v>0</v>
      </c>
    </row>
    <row r="1426" spans="1:42" ht="93" customHeight="1" x14ac:dyDescent="0.25">
      <c r="A1426" s="62" t="s">
        <v>88</v>
      </c>
      <c r="B1426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426" s="64" t="s">
        <v>89</v>
      </c>
      <c r="D1426" s="64" t="s">
        <v>197</v>
      </c>
      <c r="E1426" s="64" t="s">
        <v>114</v>
      </c>
      <c r="F1426" s="64" t="s">
        <v>20</v>
      </c>
      <c r="G1426" s="64" t="s">
        <v>21</v>
      </c>
      <c r="H1426" s="65" t="str">
        <f>VLOOKUP(Tabla6[[#This Row],[DIRECCIÓN]],DIRECCIÓN[#All],2,0)</f>
        <v>TECNOLOGÍA</v>
      </c>
      <c r="I1426" s="66" t="s">
        <v>212</v>
      </c>
      <c r="J1426" s="67">
        <v>1</v>
      </c>
      <c r="K1426" s="68" t="str">
        <f>VLOOKUP(Tabla6[[#This Row],[DIRECCIÓN GENERAL / COORDINACIÓN / SUBDIRECCIÓN]],Tabla37[[#All],[Columna1]:[EOD]],2,0)</f>
        <v>266_9999</v>
      </c>
      <c r="L1426" s="69">
        <f>VLOOKUP(Tabla6[[#This Row],[OBJETIVOS PND]],Listas!$A$1:$C$3,3,0)</f>
        <v>55</v>
      </c>
      <c r="M1426" s="70">
        <f>VLOOKUP(Tabla6[[#This Row],[PG]],Listas2!$G$14:$K$16,5,0)</f>
        <v>0</v>
      </c>
      <c r="N1426" s="71">
        <v>3</v>
      </c>
      <c r="O1426" s="72">
        <v>1701</v>
      </c>
      <c r="P1426" s="73" t="str">
        <f>VLOOKUP(Tabla6[[#This Row],[GEO]],Listas!$A$48:$B$77,2,0)</f>
        <v>QUITO</v>
      </c>
      <c r="Q1426" s="70">
        <f>VLOOKUP(Tabla6[[#This Row],[PG]],Listas2!$G$14:$K$16,3,0)</f>
        <v>1</v>
      </c>
      <c r="R1426" s="73">
        <f>VLOOKUP(Tabla6[[#This Row],[PG]],Listas2!H132:'Listas2'!$G$14:$K$16,4,0)</f>
        <v>0</v>
      </c>
      <c r="S1426" s="73">
        <f>VLOOKUP(Tabla6[[#This Row],[PG]],Listas2!$G$14:$K$16,2,0)</f>
        <v>0</v>
      </c>
      <c r="T1426" s="66" t="s">
        <v>84</v>
      </c>
      <c r="U1426" s="74">
        <v>53</v>
      </c>
      <c r="V1426" s="66">
        <v>530702</v>
      </c>
      <c r="W1426" s="63" t="str">
        <f>VLOOKUP(Tabla6[[#This Row],[ÍTEM PRESUPUESTARIO]],Tabla2[#All],2,0)</f>
        <v>ARRENDAMIENTO Y LICENCIAS DE USO DE PAQUETES INFORMÁTICOS</v>
      </c>
      <c r="X1426" s="57">
        <v>2000</v>
      </c>
      <c r="Y1426" s="57">
        <f>2000+500</f>
        <v>2500</v>
      </c>
      <c r="Z1426" s="58">
        <v>0</v>
      </c>
      <c r="AA1426" s="58">
        <v>2500</v>
      </c>
      <c r="AB1426" s="58">
        <v>0</v>
      </c>
      <c r="AC1426" s="58">
        <v>0</v>
      </c>
      <c r="AD1426" s="58">
        <v>0</v>
      </c>
      <c r="AE1426" s="58">
        <v>0</v>
      </c>
      <c r="AF1426" s="58">
        <v>0</v>
      </c>
      <c r="AG1426" s="58">
        <v>0</v>
      </c>
      <c r="AH1426" s="58">
        <v>0</v>
      </c>
      <c r="AI1426" s="58">
        <v>0</v>
      </c>
      <c r="AJ1426" s="58">
        <v>0</v>
      </c>
      <c r="AK1426" s="58">
        <v>0</v>
      </c>
      <c r="AL1426" s="75">
        <f>+SUBTOTAL(9,Tabla6[[#This Row],[ENE]:[DIC]])</f>
        <v>2500</v>
      </c>
      <c r="AM1426" s="76" t="str">
        <f t="shared" si="59"/>
        <v>OK</v>
      </c>
      <c r="AN1426" s="60">
        <v>2500</v>
      </c>
      <c r="AO1426" s="61">
        <f>+Tabla6[[#This Row],[PRESUPUESTO VIGENTE]]-Tabla6[[#This Row],[CERTIFICACIÓN PAPP]]</f>
        <v>0</v>
      </c>
      <c r="AP1426" s="59" t="s">
        <v>87</v>
      </c>
    </row>
    <row r="1427" spans="1:42" ht="93" customHeight="1" x14ac:dyDescent="0.25">
      <c r="A1427" s="62" t="s">
        <v>88</v>
      </c>
      <c r="B1427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427" s="64" t="s">
        <v>89</v>
      </c>
      <c r="D1427" s="64" t="s">
        <v>201</v>
      </c>
      <c r="E1427" s="64" t="s">
        <v>114</v>
      </c>
      <c r="F1427" s="64" t="s">
        <v>20</v>
      </c>
      <c r="G1427" s="64" t="s">
        <v>22</v>
      </c>
      <c r="H1427" s="65" t="str">
        <f>VLOOKUP(Tabla6[[#This Row],[DIRECCIÓN]],DIRECCIÓN[#All],2,0)</f>
        <v>TECNOLOGÍA</v>
      </c>
      <c r="I1427" s="66" t="s">
        <v>213</v>
      </c>
      <c r="J1427" s="67">
        <v>1</v>
      </c>
      <c r="K1427" s="68" t="str">
        <f>VLOOKUP(Tabla6[[#This Row],[DIRECCIÓN GENERAL / COORDINACIÓN / SUBDIRECCIÓN]],Tabla37[[#All],[Columna1]:[EOD]],2,0)</f>
        <v>266_9999</v>
      </c>
      <c r="L1427" s="69">
        <f>VLOOKUP(Tabla6[[#This Row],[OBJETIVOS PND]],Listas!$A$1:$C$3,3,0)</f>
        <v>55</v>
      </c>
      <c r="M1427" s="70">
        <f>VLOOKUP(Tabla6[[#This Row],[PG]],Listas2!$G$14:$K$16,5,0)</f>
        <v>0</v>
      </c>
      <c r="N1427" s="71">
        <v>3</v>
      </c>
      <c r="O1427" s="72">
        <v>1701</v>
      </c>
      <c r="P1427" s="73" t="str">
        <f>VLOOKUP(Tabla6[[#This Row],[GEO]],Listas!$A$48:$B$77,2,0)</f>
        <v>QUITO</v>
      </c>
      <c r="Q1427" s="70">
        <f>VLOOKUP(Tabla6[[#This Row],[PG]],Listas2!$G$14:$K$16,3,0)</f>
        <v>1</v>
      </c>
      <c r="R1427" s="73">
        <f>VLOOKUP(Tabla6[[#This Row],[PG]],Listas2!H133:'Listas2'!$G$14:$K$16,4,0)</f>
        <v>0</v>
      </c>
      <c r="S1427" s="73">
        <f>VLOOKUP(Tabla6[[#This Row],[PG]],Listas2!$G$14:$K$16,2,0)</f>
        <v>0</v>
      </c>
      <c r="T1427" s="66" t="s">
        <v>84</v>
      </c>
      <c r="U1427" s="74">
        <v>53</v>
      </c>
      <c r="V1427" s="66">
        <v>530702</v>
      </c>
      <c r="W1427" s="63" t="str">
        <f>VLOOKUP(Tabla6[[#This Row],[ÍTEM PRESUPUESTARIO]],Tabla2[#All],2,0)</f>
        <v>ARRENDAMIENTO Y LICENCIAS DE USO DE PAQUETES INFORMÁTICOS</v>
      </c>
      <c r="X1427" s="57">
        <v>3600</v>
      </c>
      <c r="Y1427" s="57">
        <f>3600-700-89</f>
        <v>2811</v>
      </c>
      <c r="Z1427" s="58">
        <v>0</v>
      </c>
      <c r="AA1427" s="58">
        <v>0</v>
      </c>
      <c r="AB1427" s="58">
        <v>0</v>
      </c>
      <c r="AC1427" s="58">
        <v>0</v>
      </c>
      <c r="AD1427" s="58">
        <v>0</v>
      </c>
      <c r="AE1427" s="58">
        <v>0</v>
      </c>
      <c r="AF1427" s="58">
        <v>0</v>
      </c>
      <c r="AG1427" s="58">
        <v>0</v>
      </c>
      <c r="AH1427" s="58">
        <v>0</v>
      </c>
      <c r="AI1427" s="58">
        <v>0</v>
      </c>
      <c r="AJ1427" s="58">
        <v>2811</v>
      </c>
      <c r="AK1427" s="58">
        <v>0</v>
      </c>
      <c r="AL1427" s="75">
        <f>+SUBTOTAL(9,Tabla6[[#This Row],[ENE]:[DIC]])</f>
        <v>2811</v>
      </c>
      <c r="AM1427" s="76" t="str">
        <f t="shared" si="59"/>
        <v>OK</v>
      </c>
      <c r="AN1427" s="60">
        <v>2811</v>
      </c>
      <c r="AO1427" s="61">
        <f>+Tabla6[[#This Row],[PRESUPUESTO VIGENTE]]-Tabla6[[#This Row],[CERTIFICACIÓN PAPP]]</f>
        <v>0</v>
      </c>
      <c r="AP1427" s="59">
        <v>0</v>
      </c>
    </row>
    <row r="1428" spans="1:42" ht="93" customHeight="1" x14ac:dyDescent="0.25">
      <c r="A1428" s="62" t="s">
        <v>88</v>
      </c>
      <c r="B1428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428" s="64" t="s">
        <v>89</v>
      </c>
      <c r="D1428" s="64" t="s">
        <v>201</v>
      </c>
      <c r="E1428" s="64" t="s">
        <v>114</v>
      </c>
      <c r="F1428" s="64" t="s">
        <v>20</v>
      </c>
      <c r="G1428" s="64" t="s">
        <v>22</v>
      </c>
      <c r="H1428" s="65" t="str">
        <f>VLOOKUP(Tabla6[[#This Row],[DIRECCIÓN]],DIRECCIÓN[#All],2,0)</f>
        <v>TECNOLOGÍA</v>
      </c>
      <c r="I1428" s="66" t="s">
        <v>214</v>
      </c>
      <c r="J1428" s="67">
        <v>1</v>
      </c>
      <c r="K1428" s="68" t="str">
        <f>VLOOKUP(Tabla6[[#This Row],[DIRECCIÓN GENERAL / COORDINACIÓN / SUBDIRECCIÓN]],Tabla37[[#All],[Columna1]:[EOD]],2,0)</f>
        <v>266_9999</v>
      </c>
      <c r="L1428" s="69">
        <f>VLOOKUP(Tabla6[[#This Row],[OBJETIVOS PND]],Listas!$A$1:$C$3,3,0)</f>
        <v>55</v>
      </c>
      <c r="M1428" s="70">
        <f>VLOOKUP(Tabla6[[#This Row],[PG]],Listas2!$G$14:$K$16,5,0)</f>
        <v>0</v>
      </c>
      <c r="N1428" s="71">
        <v>3</v>
      </c>
      <c r="O1428" s="72">
        <v>1701</v>
      </c>
      <c r="P1428" s="73" t="str">
        <f>VLOOKUP(Tabla6[[#This Row],[GEO]],Listas!$A$48:$B$77,2,0)</f>
        <v>QUITO</v>
      </c>
      <c r="Q1428" s="70">
        <f>VLOOKUP(Tabla6[[#This Row],[PG]],Listas2!$G$14:$K$16,3,0)</f>
        <v>1</v>
      </c>
      <c r="R1428" s="73">
        <f>VLOOKUP(Tabla6[[#This Row],[PG]],Listas2!H134:'Listas2'!$G$14:$K$16,4,0)</f>
        <v>0</v>
      </c>
      <c r="S1428" s="73">
        <f>VLOOKUP(Tabla6[[#This Row],[PG]],Listas2!$G$14:$K$16,2,0)</f>
        <v>0</v>
      </c>
      <c r="T1428" s="66" t="s">
        <v>84</v>
      </c>
      <c r="U1428" s="74">
        <v>53</v>
      </c>
      <c r="V1428" s="66">
        <v>530702</v>
      </c>
      <c r="W1428" s="63" t="str">
        <f>VLOOKUP(Tabla6[[#This Row],[ÍTEM PRESUPUESTARIO]],Tabla2[#All],2,0)</f>
        <v>ARRENDAMIENTO Y LICENCIAS DE USO DE PAQUETES INFORMÁTICOS</v>
      </c>
      <c r="X1428" s="57">
        <v>270</v>
      </c>
      <c r="Y1428" s="57">
        <f>270-91</f>
        <v>179</v>
      </c>
      <c r="Z1428" s="58">
        <v>0</v>
      </c>
      <c r="AA1428" s="58">
        <v>0</v>
      </c>
      <c r="AB1428" s="58">
        <v>0</v>
      </c>
      <c r="AC1428" s="58">
        <v>0</v>
      </c>
      <c r="AD1428" s="58">
        <v>179</v>
      </c>
      <c r="AE1428" s="58">
        <v>0</v>
      </c>
      <c r="AF1428" s="58">
        <v>0</v>
      </c>
      <c r="AG1428" s="58">
        <v>0</v>
      </c>
      <c r="AH1428" s="58">
        <v>0</v>
      </c>
      <c r="AI1428" s="58">
        <v>0</v>
      </c>
      <c r="AJ1428" s="58">
        <v>0</v>
      </c>
      <c r="AK1428" s="58">
        <v>0</v>
      </c>
      <c r="AL1428" s="75">
        <f>+SUBTOTAL(9,Tabla6[[#This Row],[ENE]:[DIC]])</f>
        <v>179</v>
      </c>
      <c r="AM1428" s="76" t="str">
        <f t="shared" si="59"/>
        <v>OK</v>
      </c>
      <c r="AN1428" s="60">
        <v>179</v>
      </c>
      <c r="AO1428" s="61">
        <f>+Tabla6[[#This Row],[PRESUPUESTO VIGENTE]]-Tabla6[[#This Row],[CERTIFICACIÓN PAPP]]</f>
        <v>0</v>
      </c>
      <c r="AP1428" s="59">
        <v>0</v>
      </c>
    </row>
    <row r="1429" spans="1:42" ht="93" customHeight="1" x14ac:dyDescent="0.25">
      <c r="A1429" s="62" t="s">
        <v>88</v>
      </c>
      <c r="B1429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429" s="64" t="s">
        <v>89</v>
      </c>
      <c r="D1429" s="64" t="s">
        <v>201</v>
      </c>
      <c r="E1429" s="64" t="s">
        <v>114</v>
      </c>
      <c r="F1429" s="64" t="s">
        <v>20</v>
      </c>
      <c r="G1429" s="64" t="s">
        <v>21</v>
      </c>
      <c r="H1429" s="65" t="str">
        <f>VLOOKUP(Tabla6[[#This Row],[DIRECCIÓN]],DIRECCIÓN[#All],2,0)</f>
        <v>TECNOLOGÍA</v>
      </c>
      <c r="I1429" s="66" t="s">
        <v>215</v>
      </c>
      <c r="J1429" s="67">
        <v>1</v>
      </c>
      <c r="K1429" s="68" t="str">
        <f>VLOOKUP(Tabla6[[#This Row],[DIRECCIÓN GENERAL / COORDINACIÓN / SUBDIRECCIÓN]],Tabla37[[#All],[Columna1]:[EOD]],2,0)</f>
        <v>266_9999</v>
      </c>
      <c r="L1429" s="69">
        <f>VLOOKUP(Tabla6[[#This Row],[OBJETIVOS PND]],Listas!$A$1:$C$3,3,0)</f>
        <v>55</v>
      </c>
      <c r="M1429" s="70">
        <f>VLOOKUP(Tabla6[[#This Row],[PG]],Listas2!$G$14:$K$16,5,0)</f>
        <v>0</v>
      </c>
      <c r="N1429" s="71">
        <v>3</v>
      </c>
      <c r="O1429" s="72">
        <v>1701</v>
      </c>
      <c r="P1429" s="73" t="str">
        <f>VLOOKUP(Tabla6[[#This Row],[GEO]],Listas!$A$48:$B$77,2,0)</f>
        <v>QUITO</v>
      </c>
      <c r="Q1429" s="70">
        <f>VLOOKUP(Tabla6[[#This Row],[PG]],Listas2!$G$14:$K$16,3,0)</f>
        <v>1</v>
      </c>
      <c r="R1429" s="73">
        <f>VLOOKUP(Tabla6[[#This Row],[PG]],Listas2!H1371:'Listas2'!$G$14:$K$16,4,0)</f>
        <v>0</v>
      </c>
      <c r="S1429" s="73">
        <f>VLOOKUP(Tabla6[[#This Row],[PG]],Listas2!$G$14:$K$16,2,0)</f>
        <v>0</v>
      </c>
      <c r="T1429" s="66" t="s">
        <v>84</v>
      </c>
      <c r="U1429" s="74">
        <v>53</v>
      </c>
      <c r="V1429" s="66">
        <v>530702</v>
      </c>
      <c r="W1429" s="63" t="str">
        <f>VLOOKUP(Tabla6[[#This Row],[ÍTEM PRESUPUESTARIO]],Tabla2[#All],2,0)</f>
        <v>ARRENDAMIENTO Y LICENCIAS DE USO DE PAQUETES INFORMÁTICOS</v>
      </c>
      <c r="X1429" s="57">
        <v>0</v>
      </c>
      <c r="Y1429" s="57">
        <f>6300-6300</f>
        <v>0</v>
      </c>
      <c r="Z1429" s="58">
        <v>0</v>
      </c>
      <c r="AA1429" s="58">
        <v>0</v>
      </c>
      <c r="AB1429" s="58">
        <v>0</v>
      </c>
      <c r="AC1429" s="58">
        <v>0</v>
      </c>
      <c r="AD1429" s="58">
        <v>0</v>
      </c>
      <c r="AE1429" s="58">
        <v>0</v>
      </c>
      <c r="AF1429" s="58">
        <v>0</v>
      </c>
      <c r="AG1429" s="58">
        <v>0</v>
      </c>
      <c r="AH1429" s="58">
        <v>0</v>
      </c>
      <c r="AI1429" s="58">
        <v>0</v>
      </c>
      <c r="AJ1429" s="58">
        <v>0</v>
      </c>
      <c r="AK1429" s="58">
        <v>0</v>
      </c>
      <c r="AL1429" s="75">
        <f>+SUBTOTAL(9,Tabla6[[#This Row],[ENE]:[DIC]])</f>
        <v>0</v>
      </c>
      <c r="AM1429" s="76" t="str">
        <f t="shared" si="59"/>
        <v>OK</v>
      </c>
      <c r="AN1429" s="58">
        <v>0</v>
      </c>
      <c r="AO1429" s="58">
        <f>+Tabla6[[#This Row],[PRESUPUESTO VIGENTE]]-Tabla6[[#This Row],[CERTIFICACIÓN PAPP]]</f>
        <v>0</v>
      </c>
      <c r="AP1429" s="59">
        <v>0</v>
      </c>
    </row>
    <row r="1430" spans="1:42" ht="93" customHeight="1" x14ac:dyDescent="0.25">
      <c r="A1430" s="62" t="s">
        <v>88</v>
      </c>
      <c r="B1430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430" s="64" t="s">
        <v>89</v>
      </c>
      <c r="D1430" s="64" t="s">
        <v>201</v>
      </c>
      <c r="E1430" s="64" t="s">
        <v>81</v>
      </c>
      <c r="F1430" s="64" t="s">
        <v>8</v>
      </c>
      <c r="G1430" s="64" t="s">
        <v>10</v>
      </c>
      <c r="H1430" s="65" t="str">
        <f>VLOOKUP(Tabla6[[#This Row],[DIRECCIÓN]],DIRECCIÓN[#All],2,0)</f>
        <v>TECNOLOGÍA</v>
      </c>
      <c r="I1430" s="66" t="s">
        <v>216</v>
      </c>
      <c r="J1430" s="67">
        <v>1</v>
      </c>
      <c r="K1430" s="68" t="str">
        <f>VLOOKUP(Tabla6[[#This Row],[DIRECCIÓN GENERAL / COORDINACIÓN / SUBDIRECCIÓN]],Tabla37[[#All],[Columna1]:[EOD]],2,0)</f>
        <v>266_9999</v>
      </c>
      <c r="L1430" s="69">
        <f>VLOOKUP(Tabla6[[#This Row],[OBJETIVOS PND]],Listas!$A$1:$C$3,3,0)</f>
        <v>55</v>
      </c>
      <c r="M1430" s="70">
        <f>VLOOKUP(Tabla6[[#This Row],[PG]],Listas2!$G$14:$K$16,5,0)</f>
        <v>0</v>
      </c>
      <c r="N1430" s="71">
        <v>3</v>
      </c>
      <c r="O1430" s="72">
        <v>1701</v>
      </c>
      <c r="P1430" s="73" t="str">
        <f>VLOOKUP(Tabla6[[#This Row],[GEO]],Listas!$A$48:$B$77,2,0)</f>
        <v>QUITO</v>
      </c>
      <c r="Q1430" s="70">
        <f>VLOOKUP(Tabla6[[#This Row],[PG]],Listas2!$G$14:$K$16,3,0)</f>
        <v>1</v>
      </c>
      <c r="R1430" s="73">
        <f>VLOOKUP(Tabla6[[#This Row],[PG]],Listas2!H1213:'Listas2'!$G$14:$K$16,4,0)</f>
        <v>0</v>
      </c>
      <c r="S1430" s="73">
        <f>VLOOKUP(Tabla6[[#This Row],[PG]],Listas2!$G$14:$K$16,2,0)</f>
        <v>0</v>
      </c>
      <c r="T1430" s="66" t="s">
        <v>84</v>
      </c>
      <c r="U1430" s="74">
        <v>53</v>
      </c>
      <c r="V1430" s="66">
        <v>530702</v>
      </c>
      <c r="W1430" s="63" t="str">
        <f>VLOOKUP(Tabla6[[#This Row],[ÍTEM PRESUPUESTARIO]],Tabla2[#All],2,0)</f>
        <v>ARRENDAMIENTO Y LICENCIAS DE USO DE PAQUETES INFORMÁTICOS</v>
      </c>
      <c r="X1430" s="57">
        <v>0</v>
      </c>
      <c r="Y1430" s="57">
        <f>5200-3289.63</f>
        <v>1910.37</v>
      </c>
      <c r="Z1430" s="58">
        <v>0</v>
      </c>
      <c r="AA1430" s="58">
        <v>0</v>
      </c>
      <c r="AB1430" s="58">
        <v>0</v>
      </c>
      <c r="AC1430" s="58">
        <v>0</v>
      </c>
      <c r="AD1430" s="58">
        <v>0</v>
      </c>
      <c r="AE1430" s="58">
        <v>0</v>
      </c>
      <c r="AF1430" s="58">
        <v>0</v>
      </c>
      <c r="AG1430" s="58">
        <v>0</v>
      </c>
      <c r="AH1430" s="58">
        <v>0</v>
      </c>
      <c r="AI1430" s="58">
        <v>1910.37</v>
      </c>
      <c r="AJ1430" s="58">
        <v>0</v>
      </c>
      <c r="AK1430" s="58">
        <v>0</v>
      </c>
      <c r="AL1430" s="75">
        <f>+SUBTOTAL(9,Tabla6[[#This Row],[ENE]:[DIC]])</f>
        <v>1910.37</v>
      </c>
      <c r="AM1430" s="76" t="str">
        <f t="shared" si="59"/>
        <v>OK</v>
      </c>
      <c r="AN1430" s="60">
        <v>1910.37</v>
      </c>
      <c r="AO1430" s="61">
        <f>+Tabla6[[#This Row],[PRESUPUESTO VIGENTE]]-Tabla6[[#This Row],[CERTIFICACIÓN PAPP]]</f>
        <v>0</v>
      </c>
      <c r="AP1430" s="59">
        <v>0</v>
      </c>
    </row>
    <row r="1431" spans="1:42" ht="93" customHeight="1" x14ac:dyDescent="0.25">
      <c r="A1431" s="62" t="s">
        <v>88</v>
      </c>
      <c r="B1431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431" s="64" t="s">
        <v>89</v>
      </c>
      <c r="D1431" s="64" t="s">
        <v>197</v>
      </c>
      <c r="E1431" s="64" t="s">
        <v>114</v>
      </c>
      <c r="F1431" s="64" t="s">
        <v>20</v>
      </c>
      <c r="G1431" s="64" t="s">
        <v>21</v>
      </c>
      <c r="H1431" s="65" t="str">
        <f>VLOOKUP(Tabla6[[#This Row],[DIRECCIÓN]],DIRECCIÓN[#All],2,0)</f>
        <v>TECNOLOGÍA</v>
      </c>
      <c r="I1431" s="66" t="s">
        <v>217</v>
      </c>
      <c r="J1431" s="67">
        <v>1</v>
      </c>
      <c r="K1431" s="68" t="str">
        <f>VLOOKUP(Tabla6[[#This Row],[DIRECCIÓN GENERAL / COORDINACIÓN / SUBDIRECCIÓN]],Tabla37[[#All],[Columna1]:[EOD]],2,0)</f>
        <v>266_9999</v>
      </c>
      <c r="L1431" s="69">
        <f>VLOOKUP(Tabla6[[#This Row],[OBJETIVOS PND]],Listas!$A$1:$C$3,3,0)</f>
        <v>55</v>
      </c>
      <c r="M1431" s="70">
        <f>VLOOKUP(Tabla6[[#This Row],[PG]],Listas2!$G$14:$K$16,5,0)</f>
        <v>0</v>
      </c>
      <c r="N1431" s="71">
        <v>3</v>
      </c>
      <c r="O1431" s="72">
        <v>1701</v>
      </c>
      <c r="P1431" s="73" t="str">
        <f>VLOOKUP(Tabla6[[#This Row],[GEO]],Listas!$A$48:$B$77,2,0)</f>
        <v>QUITO</v>
      </c>
      <c r="Q1431" s="70">
        <f>VLOOKUP(Tabla6[[#This Row],[PG]],Listas2!$G$14:$K$16,3,0)</f>
        <v>1</v>
      </c>
      <c r="R1431" s="73">
        <f>VLOOKUP(Tabla6[[#This Row],[PG]],Listas2!H135:'Listas2'!$G$14:$K$16,4,0)</f>
        <v>0</v>
      </c>
      <c r="S1431" s="73">
        <f>VLOOKUP(Tabla6[[#This Row],[PG]],Listas2!$G$14:$K$16,2,0)</f>
        <v>0</v>
      </c>
      <c r="T1431" s="66" t="s">
        <v>84</v>
      </c>
      <c r="U1431" s="74">
        <v>53</v>
      </c>
      <c r="V1431" s="66">
        <v>530704</v>
      </c>
      <c r="W1431" s="63" t="str">
        <f>VLOOKUP(Tabla6[[#This Row],[ÍTEM PRESUPUESTARIO]],Tabla2[#All],2,0)</f>
        <v xml:space="preserve">MANTENIMIENTO Y REPARACIÓN DE EQUIPOS Y SISTEMAS INFORMÁTICOS </v>
      </c>
      <c r="X1431" s="57">
        <v>400100</v>
      </c>
      <c r="Y1431" s="57">
        <f>400100+259900-7000-181710-2169.96-10000-6300-170046.04-282774</f>
        <v>0</v>
      </c>
      <c r="Z1431" s="58">
        <v>0</v>
      </c>
      <c r="AA1431" s="58">
        <v>0</v>
      </c>
      <c r="AB1431" s="58">
        <v>0</v>
      </c>
      <c r="AC1431" s="58">
        <v>0</v>
      </c>
      <c r="AD1431" s="58">
        <v>0</v>
      </c>
      <c r="AE1431" s="58">
        <v>0</v>
      </c>
      <c r="AF1431" s="58">
        <v>0</v>
      </c>
      <c r="AG1431" s="58">
        <v>0</v>
      </c>
      <c r="AH1431" s="58">
        <v>0</v>
      </c>
      <c r="AI1431" s="58">
        <v>0</v>
      </c>
      <c r="AJ1431" s="58">
        <v>0</v>
      </c>
      <c r="AK1431" s="58">
        <v>0</v>
      </c>
      <c r="AL1431" s="75">
        <f>+SUBTOTAL(9,Tabla6[[#This Row],[ENE]:[DIC]])</f>
        <v>0</v>
      </c>
      <c r="AM1431" s="76" t="str">
        <f t="shared" si="59"/>
        <v>OK</v>
      </c>
      <c r="AN1431" s="77">
        <f>471290-471290+282774-282774</f>
        <v>0</v>
      </c>
      <c r="AO1431" s="61">
        <f>+Tabla6[[#This Row],[PRESUPUESTO VIGENTE]]-Tabla6[[#This Row],[CERTIFICACIÓN PAPP]]</f>
        <v>0</v>
      </c>
      <c r="AP1431" s="59" t="s">
        <v>87</v>
      </c>
    </row>
    <row r="1432" spans="1:42" ht="93" customHeight="1" x14ac:dyDescent="0.25">
      <c r="A1432" s="62" t="s">
        <v>88</v>
      </c>
      <c r="B1432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432" s="64" t="s">
        <v>89</v>
      </c>
      <c r="D1432" s="64" t="s">
        <v>197</v>
      </c>
      <c r="E1432" s="64" t="s">
        <v>114</v>
      </c>
      <c r="F1432" s="64" t="s">
        <v>20</v>
      </c>
      <c r="G1432" s="64" t="s">
        <v>21</v>
      </c>
      <c r="H1432" s="65" t="str">
        <f>VLOOKUP(Tabla6[[#This Row],[DIRECCIÓN]],DIRECCIÓN[#All],2,0)</f>
        <v>TECNOLOGÍA</v>
      </c>
      <c r="I1432" s="66" t="s">
        <v>218</v>
      </c>
      <c r="J1432" s="67">
        <v>1</v>
      </c>
      <c r="K1432" s="68" t="str">
        <f>VLOOKUP(Tabla6[[#This Row],[DIRECCIÓN GENERAL / COORDINACIÓN / SUBDIRECCIÓN]],Tabla37[[#All],[Columna1]:[EOD]],2,0)</f>
        <v>266_9999</v>
      </c>
      <c r="L1432" s="69">
        <f>VLOOKUP(Tabla6[[#This Row],[OBJETIVOS PND]],Listas!$A$1:$C$3,3,0)</f>
        <v>55</v>
      </c>
      <c r="M1432" s="70">
        <f>VLOOKUP(Tabla6[[#This Row],[PG]],Listas2!$G$14:$K$16,5,0)</f>
        <v>0</v>
      </c>
      <c r="N1432" s="71">
        <v>3</v>
      </c>
      <c r="O1432" s="72">
        <v>1701</v>
      </c>
      <c r="P1432" s="73" t="str">
        <f>VLOOKUP(Tabla6[[#This Row],[GEO]],Listas!$A$48:$B$77,2,0)</f>
        <v>QUITO</v>
      </c>
      <c r="Q1432" s="70">
        <f>VLOOKUP(Tabla6[[#This Row],[PG]],Listas2!$G$14:$K$16,3,0)</f>
        <v>1</v>
      </c>
      <c r="R1432" s="73">
        <f>VLOOKUP(Tabla6[[#This Row],[PG]],Listas2!H136:'Listas2'!$G$14:$K$16,4,0)</f>
        <v>0</v>
      </c>
      <c r="S1432" s="73">
        <f>VLOOKUP(Tabla6[[#This Row],[PG]],Listas2!$G$14:$K$16,2,0)</f>
        <v>0</v>
      </c>
      <c r="T1432" s="66" t="s">
        <v>84</v>
      </c>
      <c r="U1432" s="74">
        <v>53</v>
      </c>
      <c r="V1432" s="66">
        <v>530704</v>
      </c>
      <c r="W1432" s="63" t="str">
        <f>VLOOKUP(Tabla6[[#This Row],[ÍTEM PRESUPUESTARIO]],Tabla2[#All],2,0)</f>
        <v xml:space="preserve">MANTENIMIENTO Y REPARACIÓN DE EQUIPOS Y SISTEMAS INFORMÁTICOS </v>
      </c>
      <c r="X1432" s="57">
        <v>0</v>
      </c>
      <c r="Y1432" s="57">
        <f>500000+149578.88-100000-54486.08-194000-28000-273092.8</f>
        <v>0</v>
      </c>
      <c r="Z1432" s="58">
        <v>0</v>
      </c>
      <c r="AA1432" s="58">
        <v>0</v>
      </c>
      <c r="AB1432" s="58">
        <v>0</v>
      </c>
      <c r="AC1432" s="58">
        <v>0</v>
      </c>
      <c r="AD1432" s="58">
        <v>0</v>
      </c>
      <c r="AE1432" s="58">
        <v>0</v>
      </c>
      <c r="AF1432" s="58">
        <v>0</v>
      </c>
      <c r="AG1432" s="58">
        <v>0</v>
      </c>
      <c r="AH1432" s="58">
        <v>0</v>
      </c>
      <c r="AI1432" s="58">
        <v>0</v>
      </c>
      <c r="AJ1432" s="58">
        <v>0</v>
      </c>
      <c r="AK1432" s="58">
        <v>0</v>
      </c>
      <c r="AL1432" s="75">
        <f>+SUBTOTAL(9,Tabla6[[#This Row],[ENE]:[DIC]])</f>
        <v>0</v>
      </c>
      <c r="AM1432" s="76" t="str">
        <f t="shared" si="59"/>
        <v>OK</v>
      </c>
      <c r="AN1432" s="60">
        <v>0</v>
      </c>
      <c r="AO1432" s="61">
        <f>+Tabla6[[#This Row],[PRESUPUESTO VIGENTE]]-Tabla6[[#This Row],[CERTIFICACIÓN PAPP]]</f>
        <v>0</v>
      </c>
      <c r="AP1432" s="59" t="s">
        <v>87</v>
      </c>
    </row>
    <row r="1433" spans="1:42" ht="93" customHeight="1" x14ac:dyDescent="0.25">
      <c r="A1433" s="62" t="s">
        <v>88</v>
      </c>
      <c r="B1433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433" s="64" t="s">
        <v>89</v>
      </c>
      <c r="D1433" s="64" t="s">
        <v>197</v>
      </c>
      <c r="E1433" s="64" t="s">
        <v>114</v>
      </c>
      <c r="F1433" s="64" t="s">
        <v>20</v>
      </c>
      <c r="G1433" s="64" t="s">
        <v>21</v>
      </c>
      <c r="H1433" s="65" t="str">
        <f>VLOOKUP(Tabla6[[#This Row],[DIRECCIÓN]],DIRECCIÓN[#All],2,0)</f>
        <v>TECNOLOGÍA</v>
      </c>
      <c r="I1433" s="66" t="s">
        <v>219</v>
      </c>
      <c r="J1433" s="67">
        <v>1</v>
      </c>
      <c r="K1433" s="68" t="str">
        <f>VLOOKUP(Tabla6[[#This Row],[DIRECCIÓN GENERAL / COORDINACIÓN / SUBDIRECCIÓN]],Tabla37[[#All],[Columna1]:[EOD]],2,0)</f>
        <v>266_9999</v>
      </c>
      <c r="L1433" s="69">
        <f>VLOOKUP(Tabla6[[#This Row],[OBJETIVOS PND]],Listas!$A$1:$C$3,3,0)</f>
        <v>55</v>
      </c>
      <c r="M1433" s="70">
        <f>VLOOKUP(Tabla6[[#This Row],[PG]],Listas2!$G$14:$K$16,5,0)</f>
        <v>0</v>
      </c>
      <c r="N1433" s="71">
        <v>3</v>
      </c>
      <c r="O1433" s="72">
        <v>1701</v>
      </c>
      <c r="P1433" s="73" t="str">
        <f>VLOOKUP(Tabla6[[#This Row],[GEO]],Listas!$A$48:$B$77,2,0)</f>
        <v>QUITO</v>
      </c>
      <c r="Q1433" s="70">
        <f>VLOOKUP(Tabla6[[#This Row],[PG]],Listas2!$G$14:$K$16,3,0)</f>
        <v>1</v>
      </c>
      <c r="R1433" s="73">
        <f>VLOOKUP(Tabla6[[#This Row],[PG]],Listas2!H1268:'Listas2'!$G$14:$K$16,4,0)</f>
        <v>0</v>
      </c>
      <c r="S1433" s="73">
        <f>VLOOKUP(Tabla6[[#This Row],[PG]],Listas2!$G$14:$K$16,2,0)</f>
        <v>0</v>
      </c>
      <c r="T1433" s="66" t="s">
        <v>84</v>
      </c>
      <c r="U1433" s="74">
        <v>53</v>
      </c>
      <c r="V1433" s="66">
        <v>530704</v>
      </c>
      <c r="W1433" s="63" t="str">
        <f>VLOOKUP(Tabla6[[#This Row],[ÍTEM PRESUPUESTARIO]],Tabla2[#All],2,0)</f>
        <v xml:space="preserve">MANTENIMIENTO Y REPARACIÓN DE EQUIPOS Y SISTEMAS INFORMÁTICOS </v>
      </c>
      <c r="X1433" s="57">
        <v>0</v>
      </c>
      <c r="Y1433" s="57">
        <f>179000+24940.4+55470.13-32624.01-85675.88</f>
        <v>141110.63999999998</v>
      </c>
      <c r="Z1433" s="58">
        <v>0</v>
      </c>
      <c r="AA1433" s="58">
        <v>0</v>
      </c>
      <c r="AB1433" s="58">
        <v>0</v>
      </c>
      <c r="AC1433" s="58">
        <v>0</v>
      </c>
      <c r="AD1433" s="58">
        <v>0</v>
      </c>
      <c r="AE1433" s="58">
        <v>0</v>
      </c>
      <c r="AF1433" s="58">
        <v>0</v>
      </c>
      <c r="AG1433" s="58">
        <v>0</v>
      </c>
      <c r="AH1433" s="58">
        <v>0</v>
      </c>
      <c r="AI1433" s="58">
        <v>0</v>
      </c>
      <c r="AJ1433" s="58">
        <v>0</v>
      </c>
      <c r="AK1433" s="58">
        <v>141110.64000000001</v>
      </c>
      <c r="AL1433" s="75">
        <f>+SUBTOTAL(9,Tabla6[[#This Row],[ENE]:[DIC]])</f>
        <v>141110.64000000001</v>
      </c>
      <c r="AM1433" s="76" t="str">
        <f t="shared" si="59"/>
        <v>OK</v>
      </c>
      <c r="AN1433" s="77">
        <v>141110.64000000001</v>
      </c>
      <c r="AO1433" s="61">
        <f>+Tabla6[[#This Row],[PRESUPUESTO VIGENTE]]-Tabla6[[#This Row],[CERTIFICACIÓN PAPP]]</f>
        <v>0</v>
      </c>
      <c r="AP1433" s="59">
        <v>0</v>
      </c>
    </row>
    <row r="1434" spans="1:42" ht="93" customHeight="1" x14ac:dyDescent="0.25">
      <c r="A1434" s="62" t="s">
        <v>88</v>
      </c>
      <c r="B1434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434" s="64" t="s">
        <v>89</v>
      </c>
      <c r="D1434" s="64" t="s">
        <v>197</v>
      </c>
      <c r="E1434" s="64" t="s">
        <v>114</v>
      </c>
      <c r="F1434" s="64" t="s">
        <v>20</v>
      </c>
      <c r="G1434" s="64" t="s">
        <v>21</v>
      </c>
      <c r="H1434" s="65" t="str">
        <f>VLOOKUP(Tabla6[[#This Row],[DIRECCIÓN]],DIRECCIÓN[#All],2,0)</f>
        <v>TECNOLOGÍA</v>
      </c>
      <c r="I1434" s="66" t="s">
        <v>220</v>
      </c>
      <c r="J1434" s="67">
        <v>1</v>
      </c>
      <c r="K1434" s="68" t="str">
        <f>VLOOKUP(Tabla6[[#This Row],[DIRECCIÓN GENERAL / COORDINACIÓN / SUBDIRECCIÓN]],Tabla37[[#All],[Columna1]:[EOD]],2,0)</f>
        <v>266_9999</v>
      </c>
      <c r="L1434" s="69">
        <f>VLOOKUP(Tabla6[[#This Row],[OBJETIVOS PND]],Listas!$A$1:$C$3,3,0)</f>
        <v>55</v>
      </c>
      <c r="M1434" s="70">
        <f>VLOOKUP(Tabla6[[#This Row],[PG]],Listas2!$G$14:$K$16,5,0)</f>
        <v>0</v>
      </c>
      <c r="N1434" s="71">
        <v>3</v>
      </c>
      <c r="O1434" s="72">
        <v>1701</v>
      </c>
      <c r="P1434" s="73" t="str">
        <f>VLOOKUP(Tabla6[[#This Row],[GEO]],Listas!$A$48:$B$77,2,0)</f>
        <v>QUITO</v>
      </c>
      <c r="Q1434" s="70">
        <f>VLOOKUP(Tabla6[[#This Row],[PG]],Listas2!$G$14:$K$16,3,0)</f>
        <v>1</v>
      </c>
      <c r="R1434" s="73">
        <f>VLOOKUP(Tabla6[[#This Row],[PG]],Listas2!H1268:'Listas2'!$G$14:$K$16,4,0)</f>
        <v>0</v>
      </c>
      <c r="S1434" s="73">
        <f>VLOOKUP(Tabla6[[#This Row],[PG]],Listas2!$G$14:$K$16,2,0)</f>
        <v>0</v>
      </c>
      <c r="T1434" s="66" t="s">
        <v>84</v>
      </c>
      <c r="U1434" s="74">
        <v>53</v>
      </c>
      <c r="V1434" s="66">
        <v>530704</v>
      </c>
      <c r="W1434" s="63" t="str">
        <f>VLOOKUP(Tabla6[[#This Row],[ÍTEM PRESUPUESTARIO]],Tabla2[#All],2,0)</f>
        <v xml:space="preserve">MANTENIMIENTO Y REPARACIÓN DE EQUIPOS Y SISTEMAS INFORMÁTICOS </v>
      </c>
      <c r="X1434" s="57">
        <v>0</v>
      </c>
      <c r="Y1434" s="57">
        <f>15000-13000</f>
        <v>2000</v>
      </c>
      <c r="Z1434" s="58">
        <v>0</v>
      </c>
      <c r="AA1434" s="58">
        <v>0</v>
      </c>
      <c r="AB1434" s="58">
        <v>0</v>
      </c>
      <c r="AC1434" s="58">
        <v>0</v>
      </c>
      <c r="AD1434" s="58">
        <v>0</v>
      </c>
      <c r="AE1434" s="58">
        <v>0</v>
      </c>
      <c r="AF1434" s="58">
        <v>0</v>
      </c>
      <c r="AG1434" s="58">
        <v>0</v>
      </c>
      <c r="AH1434" s="58">
        <v>0</v>
      </c>
      <c r="AI1434" s="58">
        <v>0</v>
      </c>
      <c r="AJ1434" s="58">
        <v>0</v>
      </c>
      <c r="AK1434" s="58">
        <v>2000</v>
      </c>
      <c r="AL1434" s="75">
        <f>+SUBTOTAL(9,Tabla6[[#This Row],[ENE]:[DIC]])</f>
        <v>2000</v>
      </c>
      <c r="AM1434" s="76" t="str">
        <f t="shared" si="59"/>
        <v>OK</v>
      </c>
      <c r="AN1434" s="77">
        <v>2000</v>
      </c>
      <c r="AO1434" s="61">
        <f>+Tabla6[[#This Row],[PRESUPUESTO VIGENTE]]-Tabla6[[#This Row],[CERTIFICACIÓN PAPP]]</f>
        <v>0</v>
      </c>
      <c r="AP1434" s="59">
        <v>0</v>
      </c>
    </row>
    <row r="1435" spans="1:42" ht="93" customHeight="1" x14ac:dyDescent="0.25">
      <c r="A1435" s="62" t="s">
        <v>88</v>
      </c>
      <c r="B1435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435" s="64" t="s">
        <v>89</v>
      </c>
      <c r="D1435" s="64" t="s">
        <v>197</v>
      </c>
      <c r="E1435" s="64" t="s">
        <v>114</v>
      </c>
      <c r="F1435" s="64" t="s">
        <v>20</v>
      </c>
      <c r="G1435" s="64" t="s">
        <v>21</v>
      </c>
      <c r="H1435" s="65" t="str">
        <f>VLOOKUP(Tabla6[[#This Row],[DIRECCIÓN]],DIRECCIÓN[#All],2,0)</f>
        <v>TECNOLOGÍA</v>
      </c>
      <c r="I1435" s="66" t="s">
        <v>221</v>
      </c>
      <c r="J1435" s="67">
        <v>1</v>
      </c>
      <c r="K1435" s="68" t="str">
        <f>VLOOKUP(Tabla6[[#This Row],[DIRECCIÓN GENERAL / COORDINACIÓN / SUBDIRECCIÓN]],Tabla37[[#All],[Columna1]:[EOD]],2,0)</f>
        <v>266_9999</v>
      </c>
      <c r="L1435" s="69">
        <f>VLOOKUP(Tabla6[[#This Row],[OBJETIVOS PND]],Listas!$A$1:$C$3,3,0)</f>
        <v>55</v>
      </c>
      <c r="M1435" s="70">
        <f>VLOOKUP(Tabla6[[#This Row],[PG]],Listas2!$G$14:$K$16,5,0)</f>
        <v>0</v>
      </c>
      <c r="N1435" s="71">
        <v>3</v>
      </c>
      <c r="O1435" s="72">
        <v>1701</v>
      </c>
      <c r="P1435" s="73" t="str">
        <f>VLOOKUP(Tabla6[[#This Row],[GEO]],Listas!$A$48:$B$77,2,0)</f>
        <v>QUITO</v>
      </c>
      <c r="Q1435" s="70">
        <f>VLOOKUP(Tabla6[[#This Row],[PG]],Listas2!$G$14:$K$16,3,0)</f>
        <v>1</v>
      </c>
      <c r="R1435" s="73">
        <f>VLOOKUP(Tabla6[[#This Row],[PG]],Listas2!H137:'Listas2'!$G$14:$K$16,4,0)</f>
        <v>0</v>
      </c>
      <c r="S1435" s="73">
        <f>VLOOKUP(Tabla6[[#This Row],[PG]],Listas2!$G$14:$K$16,2,0)</f>
        <v>0</v>
      </c>
      <c r="T1435" s="66" t="s">
        <v>84</v>
      </c>
      <c r="U1435" s="74">
        <v>53</v>
      </c>
      <c r="V1435" s="66">
        <v>530704</v>
      </c>
      <c r="W1435" s="63" t="str">
        <f>VLOOKUP(Tabla6[[#This Row],[ÍTEM PRESUPUESTARIO]],Tabla2[#All],2,0)</f>
        <v xml:space="preserve">MANTENIMIENTO Y REPARACIÓN DE EQUIPOS Y SISTEMAS INFORMÁTICOS </v>
      </c>
      <c r="X1435" s="57">
        <v>60000</v>
      </c>
      <c r="Y1435" s="57">
        <f>60000-60000</f>
        <v>0</v>
      </c>
      <c r="Z1435" s="58">
        <v>0</v>
      </c>
      <c r="AA1435" s="58">
        <v>0</v>
      </c>
      <c r="AB1435" s="58">
        <v>0</v>
      </c>
      <c r="AC1435" s="58">
        <v>0</v>
      </c>
      <c r="AD1435" s="58">
        <v>0</v>
      </c>
      <c r="AE1435" s="58">
        <v>0</v>
      </c>
      <c r="AF1435" s="58">
        <v>0</v>
      </c>
      <c r="AG1435" s="58">
        <v>0</v>
      </c>
      <c r="AH1435" s="58">
        <v>0</v>
      </c>
      <c r="AI1435" s="58">
        <v>0</v>
      </c>
      <c r="AJ1435" s="58">
        <v>0</v>
      </c>
      <c r="AK1435" s="58">
        <v>0</v>
      </c>
      <c r="AL1435" s="75">
        <f>+SUBTOTAL(9,Tabla6[[#This Row],[ENE]:[DIC]])</f>
        <v>0</v>
      </c>
      <c r="AM1435" s="76" t="str">
        <f t="shared" si="59"/>
        <v>OK</v>
      </c>
      <c r="AN1435" s="60">
        <v>0</v>
      </c>
      <c r="AO1435" s="61">
        <f>+Tabla6[[#This Row],[PRESUPUESTO VIGENTE]]-Tabla6[[#This Row],[CERTIFICACIÓN PAPP]]</f>
        <v>0</v>
      </c>
      <c r="AP1435" s="59" t="s">
        <v>87</v>
      </c>
    </row>
    <row r="1436" spans="1:42" ht="93" customHeight="1" x14ac:dyDescent="0.25">
      <c r="A1436" s="62" t="s">
        <v>88</v>
      </c>
      <c r="B1436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436" s="64" t="s">
        <v>89</v>
      </c>
      <c r="D1436" s="64" t="s">
        <v>197</v>
      </c>
      <c r="E1436" s="64" t="s">
        <v>114</v>
      </c>
      <c r="F1436" s="64" t="s">
        <v>20</v>
      </c>
      <c r="G1436" s="64" t="s">
        <v>21</v>
      </c>
      <c r="H1436" s="65" t="str">
        <f>VLOOKUP(Tabla6[[#This Row],[DIRECCIÓN]],DIRECCIÓN[#All],2,0)</f>
        <v>TECNOLOGÍA</v>
      </c>
      <c r="I1436" s="66" t="s">
        <v>222</v>
      </c>
      <c r="J1436" s="67">
        <v>1</v>
      </c>
      <c r="K1436" s="68" t="str">
        <f>VLOOKUP(Tabla6[[#This Row],[DIRECCIÓN GENERAL / COORDINACIÓN / SUBDIRECCIÓN]],Tabla37[[#All],[Columna1]:[EOD]],2,0)</f>
        <v>266_9999</v>
      </c>
      <c r="L1436" s="69">
        <f>VLOOKUP(Tabla6[[#This Row],[OBJETIVOS PND]],Listas!$A$1:$C$3,3,0)</f>
        <v>55</v>
      </c>
      <c r="M1436" s="70">
        <f>VLOOKUP(Tabla6[[#This Row],[PG]],Listas2!$G$14:$K$16,5,0)</f>
        <v>0</v>
      </c>
      <c r="N1436" s="71">
        <v>3</v>
      </c>
      <c r="O1436" s="72">
        <v>1701</v>
      </c>
      <c r="P1436" s="73" t="str">
        <f>VLOOKUP(Tabla6[[#This Row],[GEO]],Listas!$A$48:$B$77,2,0)</f>
        <v>QUITO</v>
      </c>
      <c r="Q1436" s="70">
        <f>VLOOKUP(Tabla6[[#This Row],[PG]],Listas2!$G$14:$K$16,3,0)</f>
        <v>1</v>
      </c>
      <c r="R1436" s="73">
        <f>VLOOKUP(Tabla6[[#This Row],[PG]],Listas2!H138:'Listas2'!$G$14:$K$16,4,0)</f>
        <v>0</v>
      </c>
      <c r="S1436" s="73">
        <f>VLOOKUP(Tabla6[[#This Row],[PG]],Listas2!$G$14:$K$16,2,0)</f>
        <v>0</v>
      </c>
      <c r="T1436" s="66" t="s">
        <v>84</v>
      </c>
      <c r="U1436" s="74">
        <v>53</v>
      </c>
      <c r="V1436" s="66">
        <v>530704</v>
      </c>
      <c r="W1436" s="63" t="str">
        <f>VLOOKUP(Tabla6[[#This Row],[ÍTEM PRESUPUESTARIO]],Tabla2[#All],2,0)</f>
        <v xml:space="preserve">MANTENIMIENTO Y REPARACIÓN DE EQUIPOS Y SISTEMAS INFORMÁTICOS </v>
      </c>
      <c r="X1436" s="57">
        <v>193670</v>
      </c>
      <c r="Y1436" s="57">
        <f>193670-149578.88-12936.06-2642.46-3454.6</f>
        <v>25058</v>
      </c>
      <c r="Z1436" s="58">
        <v>0</v>
      </c>
      <c r="AA1436" s="58">
        <v>0</v>
      </c>
      <c r="AB1436" s="58">
        <v>0</v>
      </c>
      <c r="AC1436" s="58">
        <v>25058</v>
      </c>
      <c r="AD1436" s="58">
        <v>0</v>
      </c>
      <c r="AE1436" s="58">
        <v>0</v>
      </c>
      <c r="AF1436" s="58">
        <v>0</v>
      </c>
      <c r="AG1436" s="58">
        <v>0</v>
      </c>
      <c r="AH1436" s="58">
        <v>0</v>
      </c>
      <c r="AI1436" s="58">
        <v>0</v>
      </c>
      <c r="AJ1436" s="58">
        <v>0</v>
      </c>
      <c r="AK1436" s="58">
        <v>0</v>
      </c>
      <c r="AL1436" s="75">
        <f>+SUBTOTAL(9,Tabla6[[#This Row],[ENE]:[DIC]])</f>
        <v>25058</v>
      </c>
      <c r="AM1436" s="76" t="str">
        <f t="shared" si="59"/>
        <v>OK</v>
      </c>
      <c r="AN1436" s="60">
        <f>62310.12-62310.12+31155.06-6097.06</f>
        <v>25058</v>
      </c>
      <c r="AO1436" s="61">
        <f>+Tabla6[[#This Row],[PRESUPUESTO VIGENTE]]-Tabla6[[#This Row],[CERTIFICACIÓN PAPP]]</f>
        <v>0</v>
      </c>
      <c r="AP1436" s="59">
        <v>0</v>
      </c>
    </row>
    <row r="1437" spans="1:42" ht="93" customHeight="1" x14ac:dyDescent="0.25">
      <c r="A1437" s="62" t="s">
        <v>88</v>
      </c>
      <c r="B1437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437" s="64" t="s">
        <v>89</v>
      </c>
      <c r="D1437" s="64" t="s">
        <v>197</v>
      </c>
      <c r="E1437" s="64" t="s">
        <v>114</v>
      </c>
      <c r="F1437" s="64" t="s">
        <v>20</v>
      </c>
      <c r="G1437" s="64" t="s">
        <v>21</v>
      </c>
      <c r="H1437" s="65" t="str">
        <f>VLOOKUP(Tabla6[[#This Row],[DIRECCIÓN]],DIRECCIÓN[#All],2,0)</f>
        <v>TECNOLOGÍA</v>
      </c>
      <c r="I1437" s="66" t="s">
        <v>222</v>
      </c>
      <c r="J1437" s="67">
        <v>1</v>
      </c>
      <c r="K1437" s="68" t="str">
        <f>VLOOKUP(Tabla6[[#This Row],[DIRECCIÓN GENERAL / COORDINACIÓN / SUBDIRECCIÓN]],Tabla37[[#All],[Columna1]:[EOD]],2,0)</f>
        <v>266_9999</v>
      </c>
      <c r="L1437" s="69">
        <f>VLOOKUP(Tabla6[[#This Row],[OBJETIVOS PND]],Listas!$A$1:$C$3,3,0)</f>
        <v>55</v>
      </c>
      <c r="M1437" s="70">
        <f>VLOOKUP(Tabla6[[#This Row],[PG]],Listas2!$G$14:$K$16,5,0)</f>
        <v>0</v>
      </c>
      <c r="N1437" s="71">
        <v>3</v>
      </c>
      <c r="O1437" s="72">
        <v>1701</v>
      </c>
      <c r="P1437" s="73" t="str">
        <f>VLOOKUP(Tabla6[[#This Row],[GEO]],Listas!$A$48:$B$77,2,0)</f>
        <v>QUITO</v>
      </c>
      <c r="Q1437" s="70">
        <v>998</v>
      </c>
      <c r="R1437" s="73">
        <f>VLOOKUP(Tabla6[[#This Row],[PG]],Listas2!H139:'Listas2'!$G$14:$K$16,4,0)</f>
        <v>0</v>
      </c>
      <c r="S1437" s="73">
        <f>VLOOKUP(Tabla6[[#This Row],[PG]],Listas2!$G$14:$K$16,2,0)</f>
        <v>0</v>
      </c>
      <c r="T1437" s="66" t="s">
        <v>84</v>
      </c>
      <c r="U1437" s="74">
        <v>53</v>
      </c>
      <c r="V1437" s="66">
        <v>530704</v>
      </c>
      <c r="W1437" s="63" t="str">
        <f>VLOOKUP(Tabla6[[#This Row],[ÍTEM PRESUPUESTARIO]],Tabla2[#All],2,0)</f>
        <v xml:space="preserve">MANTENIMIENTO Y REPARACIÓN DE EQUIPOS Y SISTEMAS INFORMÁTICOS </v>
      </c>
      <c r="X1437" s="57">
        <v>0</v>
      </c>
      <c r="Y1437" s="57">
        <v>31155.06</v>
      </c>
      <c r="Z1437" s="58">
        <v>0</v>
      </c>
      <c r="AA1437" s="58">
        <v>0</v>
      </c>
      <c r="AB1437" s="58">
        <v>0</v>
      </c>
      <c r="AC1437" s="58">
        <v>31155.06</v>
      </c>
      <c r="AD1437" s="58">
        <v>0</v>
      </c>
      <c r="AE1437" s="58">
        <v>0</v>
      </c>
      <c r="AF1437" s="58">
        <v>0</v>
      </c>
      <c r="AG1437" s="58">
        <v>0</v>
      </c>
      <c r="AH1437" s="58">
        <v>0</v>
      </c>
      <c r="AI1437" s="58">
        <v>0</v>
      </c>
      <c r="AJ1437" s="58">
        <v>0</v>
      </c>
      <c r="AK1437" s="58">
        <v>0</v>
      </c>
      <c r="AL1437" s="75">
        <f>+SUBTOTAL(9,Tabla6[[#This Row],[ENE]:[DIC]])</f>
        <v>31155.06</v>
      </c>
      <c r="AM1437" s="76" t="str">
        <f t="shared" si="59"/>
        <v>OK</v>
      </c>
      <c r="AN1437" s="60">
        <v>31155.06</v>
      </c>
      <c r="AO1437" s="61">
        <f>+Tabla6[[#This Row],[PRESUPUESTO VIGENTE]]-Tabla6[[#This Row],[CERTIFICACIÓN PAPP]]</f>
        <v>0</v>
      </c>
      <c r="AP1437" s="59">
        <v>0</v>
      </c>
    </row>
    <row r="1438" spans="1:42" ht="93" customHeight="1" x14ac:dyDescent="0.25">
      <c r="A1438" s="62" t="s">
        <v>88</v>
      </c>
      <c r="B1438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438" s="64" t="s">
        <v>89</v>
      </c>
      <c r="D1438" s="64" t="s">
        <v>201</v>
      </c>
      <c r="E1438" s="64" t="s">
        <v>114</v>
      </c>
      <c r="F1438" s="64" t="s">
        <v>20</v>
      </c>
      <c r="G1438" s="64" t="s">
        <v>22</v>
      </c>
      <c r="H1438" s="65" t="str">
        <f>VLOOKUP(Tabla6[[#This Row],[DIRECCIÓN]],DIRECCIÓN[#All],2,0)</f>
        <v>TECNOLOGÍA</v>
      </c>
      <c r="I1438" s="66" t="s">
        <v>223</v>
      </c>
      <c r="J1438" s="67">
        <v>1</v>
      </c>
      <c r="K1438" s="68" t="str">
        <f>VLOOKUP(Tabla6[[#This Row],[DIRECCIÓN GENERAL / COORDINACIÓN / SUBDIRECCIÓN]],Tabla37[[#All],[Columna1]:[EOD]],2,0)</f>
        <v>266_9999</v>
      </c>
      <c r="L1438" s="69">
        <f>VLOOKUP(Tabla6[[#This Row],[OBJETIVOS PND]],Listas!$A$1:$C$3,3,0)</f>
        <v>55</v>
      </c>
      <c r="M1438" s="70">
        <f>VLOOKUP(Tabla6[[#This Row],[PG]],Listas2!$G$14:$K$16,5,0)</f>
        <v>0</v>
      </c>
      <c r="N1438" s="71">
        <v>3</v>
      </c>
      <c r="O1438" s="72">
        <v>1701</v>
      </c>
      <c r="P1438" s="73" t="str">
        <f>VLOOKUP(Tabla6[[#This Row],[GEO]],Listas!$A$48:$B$77,2,0)</f>
        <v>QUITO</v>
      </c>
      <c r="Q1438" s="70">
        <f>VLOOKUP(Tabla6[[#This Row],[PG]],Listas2!$G$14:$K$16,3,0)</f>
        <v>1</v>
      </c>
      <c r="R1438" s="73">
        <f>VLOOKUP(Tabla6[[#This Row],[PG]],Listas2!H140:'Listas2'!$G$14:$K$16,4,0)</f>
        <v>0</v>
      </c>
      <c r="S1438" s="73">
        <f>VLOOKUP(Tabla6[[#This Row],[PG]],Listas2!$G$14:$K$16,2,0)</f>
        <v>0</v>
      </c>
      <c r="T1438" s="66" t="s">
        <v>84</v>
      </c>
      <c r="U1438" s="74">
        <v>53</v>
      </c>
      <c r="V1438" s="66">
        <v>530704</v>
      </c>
      <c r="W1438" s="63" t="str">
        <f>VLOOKUP(Tabla6[[#This Row],[ÍTEM PRESUPUESTARIO]],Tabla2[#All],2,0)</f>
        <v xml:space="preserve">MANTENIMIENTO Y REPARACIÓN DE EQUIPOS Y SISTEMAS INFORMÁTICOS </v>
      </c>
      <c r="X1438" s="57">
        <v>6000</v>
      </c>
      <c r="Y1438" s="57">
        <f>6000-50</f>
        <v>5950</v>
      </c>
      <c r="Z1438" s="58">
        <v>0</v>
      </c>
      <c r="AA1438" s="58">
        <v>0</v>
      </c>
      <c r="AB1438" s="58">
        <v>0</v>
      </c>
      <c r="AC1438" s="58">
        <v>0</v>
      </c>
      <c r="AD1438" s="58">
        <v>0</v>
      </c>
      <c r="AE1438" s="58">
        <v>1000</v>
      </c>
      <c r="AF1438" s="58">
        <v>1000</v>
      </c>
      <c r="AG1438" s="58">
        <v>988</v>
      </c>
      <c r="AH1438" s="58">
        <v>988</v>
      </c>
      <c r="AI1438" s="58">
        <v>987</v>
      </c>
      <c r="AJ1438" s="58">
        <v>987</v>
      </c>
      <c r="AK1438" s="58">
        <v>0</v>
      </c>
      <c r="AL1438" s="75">
        <f>+SUBTOTAL(9,Tabla6[[#This Row],[ENE]:[DIC]])</f>
        <v>5950</v>
      </c>
      <c r="AM1438" s="76" t="str">
        <f t="shared" si="59"/>
        <v>OK</v>
      </c>
      <c r="AN1438" s="60">
        <v>5950</v>
      </c>
      <c r="AO1438" s="61">
        <f>+Tabla6[[#This Row],[PRESUPUESTO VIGENTE]]-Tabla6[[#This Row],[CERTIFICACIÓN PAPP]]</f>
        <v>0</v>
      </c>
      <c r="AP1438" s="59" t="s">
        <v>87</v>
      </c>
    </row>
    <row r="1439" spans="1:42" ht="93" customHeight="1" x14ac:dyDescent="0.25">
      <c r="A1439" s="62" t="s">
        <v>88</v>
      </c>
      <c r="B1439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439" s="64" t="s">
        <v>89</v>
      </c>
      <c r="D1439" s="64" t="s">
        <v>201</v>
      </c>
      <c r="E1439" s="64" t="s">
        <v>114</v>
      </c>
      <c r="F1439" s="64" t="s">
        <v>20</v>
      </c>
      <c r="G1439" s="64" t="s">
        <v>22</v>
      </c>
      <c r="H1439" s="65" t="str">
        <f>VLOOKUP(Tabla6[[#This Row],[DIRECCIÓN]],DIRECCIÓN[#All],2,0)</f>
        <v>TECNOLOGÍA</v>
      </c>
      <c r="I1439" s="66" t="s">
        <v>224</v>
      </c>
      <c r="J1439" s="67">
        <v>1</v>
      </c>
      <c r="K1439" s="68" t="str">
        <f>VLOOKUP(Tabla6[[#This Row],[DIRECCIÓN GENERAL / COORDINACIÓN / SUBDIRECCIÓN]],Tabla37[[#All],[Columna1]:[EOD]],2,0)</f>
        <v>266_9999</v>
      </c>
      <c r="L1439" s="69">
        <f>VLOOKUP(Tabla6[[#This Row],[OBJETIVOS PND]],Listas!$A$1:$C$3,3,0)</f>
        <v>55</v>
      </c>
      <c r="M1439" s="70">
        <f>VLOOKUP(Tabla6[[#This Row],[PG]],Listas2!$G$14:$K$16,5,0)</f>
        <v>0</v>
      </c>
      <c r="N1439" s="71">
        <v>3</v>
      </c>
      <c r="O1439" s="72">
        <v>1701</v>
      </c>
      <c r="P1439" s="73" t="str">
        <f>VLOOKUP(Tabla6[[#This Row],[GEO]],Listas!$A$48:$B$77,2,0)</f>
        <v>QUITO</v>
      </c>
      <c r="Q1439" s="70">
        <f>VLOOKUP(Tabla6[[#This Row],[PG]],Listas2!$G$14:$K$16,3,0)</f>
        <v>1</v>
      </c>
      <c r="R1439" s="73">
        <f>VLOOKUP(Tabla6[[#This Row],[PG]],Listas2!H141:'Listas2'!$G$14:$K$16,4,0)</f>
        <v>0</v>
      </c>
      <c r="S1439" s="73">
        <f>VLOOKUP(Tabla6[[#This Row],[PG]],Listas2!$G$14:$K$16,2,0)</f>
        <v>0</v>
      </c>
      <c r="T1439" s="66" t="s">
        <v>84</v>
      </c>
      <c r="U1439" s="74">
        <v>53</v>
      </c>
      <c r="V1439" s="66">
        <v>530704</v>
      </c>
      <c r="W1439" s="63" t="str">
        <f>VLOOKUP(Tabla6[[#This Row],[ÍTEM PRESUPUESTARIO]],Tabla2[#All],2,0)</f>
        <v xml:space="preserve">MANTENIMIENTO Y REPARACIÓN DE EQUIPOS Y SISTEMAS INFORMÁTICOS </v>
      </c>
      <c r="X1439" s="57">
        <v>981254</v>
      </c>
      <c r="Y1439" s="57">
        <f>981254-981254</f>
        <v>0</v>
      </c>
      <c r="Z1439" s="58">
        <v>0</v>
      </c>
      <c r="AA1439" s="58">
        <v>0</v>
      </c>
      <c r="AB1439" s="58">
        <v>0</v>
      </c>
      <c r="AC1439" s="58">
        <v>0</v>
      </c>
      <c r="AD1439" s="58">
        <v>0</v>
      </c>
      <c r="AE1439" s="58">
        <v>0</v>
      </c>
      <c r="AF1439" s="58">
        <v>0</v>
      </c>
      <c r="AG1439" s="58">
        <v>0</v>
      </c>
      <c r="AH1439" s="58">
        <v>0</v>
      </c>
      <c r="AI1439" s="58">
        <v>0</v>
      </c>
      <c r="AJ1439" s="58">
        <v>0</v>
      </c>
      <c r="AK1439" s="58">
        <v>0</v>
      </c>
      <c r="AL1439" s="75">
        <f>+SUBTOTAL(9,Tabla6[[#This Row],[ENE]:[DIC]])</f>
        <v>0</v>
      </c>
      <c r="AM1439" s="76" t="str">
        <f t="shared" si="59"/>
        <v>OK</v>
      </c>
      <c r="AN1439" s="60">
        <v>0</v>
      </c>
      <c r="AO1439" s="61">
        <f>+Tabla6[[#This Row],[PRESUPUESTO VIGENTE]]-Tabla6[[#This Row],[CERTIFICACIÓN PAPP]]</f>
        <v>0</v>
      </c>
      <c r="AP1439" s="59">
        <v>0</v>
      </c>
    </row>
    <row r="1440" spans="1:42" ht="93" customHeight="1" x14ac:dyDescent="0.25">
      <c r="A1440" s="62" t="s">
        <v>88</v>
      </c>
      <c r="B1440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440" s="64" t="s">
        <v>89</v>
      </c>
      <c r="D1440" s="64" t="s">
        <v>201</v>
      </c>
      <c r="E1440" s="64" t="s">
        <v>81</v>
      </c>
      <c r="F1440" s="64" t="s">
        <v>8</v>
      </c>
      <c r="G1440" s="64" t="s">
        <v>10</v>
      </c>
      <c r="H1440" s="65" t="str">
        <f>VLOOKUP(Tabla6[[#This Row],[DIRECCIÓN]],DIRECCIÓN[#All],2,0)</f>
        <v>TECNOLOGÍA</v>
      </c>
      <c r="I1440" s="66" t="s">
        <v>204</v>
      </c>
      <c r="J1440" s="67">
        <v>1</v>
      </c>
      <c r="K1440" s="68" t="str">
        <f>VLOOKUP(Tabla6[[#This Row],[DIRECCIÓN GENERAL / COORDINACIÓN / SUBDIRECCIÓN]],Tabla37[[#All],[Columna1]:[EOD]],2,0)</f>
        <v>266_9999</v>
      </c>
      <c r="L1440" s="69">
        <f>VLOOKUP(Tabla6[[#This Row],[OBJETIVOS PND]],Listas!$A$1:$C$3,3,0)</f>
        <v>55</v>
      </c>
      <c r="M1440" s="70">
        <f>VLOOKUP(Tabla6[[#This Row],[PG]],Listas2!$G$14:$K$16,5,0)</f>
        <v>0</v>
      </c>
      <c r="N1440" s="71">
        <v>3</v>
      </c>
      <c r="O1440" s="72">
        <v>1701</v>
      </c>
      <c r="P1440" s="73" t="str">
        <f>VLOOKUP(Tabla6[[#This Row],[GEO]],Listas!$A$48:$B$77,2,0)</f>
        <v>QUITO</v>
      </c>
      <c r="Q1440" s="70">
        <f>VLOOKUP(Tabla6[[#This Row],[PG]],Listas2!$G$14:$K$16,3,0)</f>
        <v>1</v>
      </c>
      <c r="R1440" s="73">
        <f>VLOOKUP(Tabla6[[#This Row],[PG]],Listas2!H142:'Listas2'!$G$14:$K$16,4,0)</f>
        <v>0</v>
      </c>
      <c r="S1440" s="73">
        <f>VLOOKUP(Tabla6[[#This Row],[PG]],Listas2!$G$14:$K$16,2,0)</f>
        <v>0</v>
      </c>
      <c r="T1440" s="66" t="s">
        <v>84</v>
      </c>
      <c r="U1440" s="74">
        <v>53</v>
      </c>
      <c r="V1440" s="66">
        <v>530704</v>
      </c>
      <c r="W1440" s="63" t="str">
        <f>VLOOKUP(Tabla6[[#This Row],[ÍTEM PRESUPUESTARIO]],Tabla2[#All],2,0)</f>
        <v xml:space="preserve">MANTENIMIENTO Y REPARACIÓN DE EQUIPOS Y SISTEMAS INFORMÁTICOS </v>
      </c>
      <c r="X1440" s="57">
        <v>133929</v>
      </c>
      <c r="Y1440" s="57">
        <f>133929-8243-5752.5</f>
        <v>119933.5</v>
      </c>
      <c r="Z1440" s="58">
        <v>0</v>
      </c>
      <c r="AA1440" s="58">
        <v>0</v>
      </c>
      <c r="AB1440" s="58">
        <v>0</v>
      </c>
      <c r="AC1440" s="58">
        <v>16741.13</v>
      </c>
      <c r="AD1440" s="58">
        <v>16741.13</v>
      </c>
      <c r="AE1440" s="58">
        <v>16741.13</v>
      </c>
      <c r="AF1440" s="58">
        <v>16741.13</v>
      </c>
      <c r="AG1440" s="58">
        <f>16741.12-3498.88+1438.13</f>
        <v>14680.369999999999</v>
      </c>
      <c r="AH1440" s="58">
        <v>12762.87</v>
      </c>
      <c r="AI1440" s="58">
        <v>12762.87</v>
      </c>
      <c r="AJ1440" s="58">
        <v>12762.87</v>
      </c>
      <c r="AK1440" s="58">
        <v>0</v>
      </c>
      <c r="AL1440" s="75">
        <f>+SUBTOTAL(9,Tabla6[[#This Row],[ENE]:[DIC]])</f>
        <v>119933.49999999999</v>
      </c>
      <c r="AM1440" s="76" t="str">
        <f t="shared" si="59"/>
        <v>OK</v>
      </c>
      <c r="AN1440" s="60">
        <f>24436+101250-5752.5</f>
        <v>119933.5</v>
      </c>
      <c r="AO1440" s="61">
        <f>+Tabla6[[#This Row],[PRESUPUESTO VIGENTE]]-Tabla6[[#This Row],[CERTIFICACIÓN PAPP]]</f>
        <v>0</v>
      </c>
      <c r="AP1440" s="59" t="s">
        <v>87</v>
      </c>
    </row>
    <row r="1441" spans="1:42" ht="93" customHeight="1" x14ac:dyDescent="0.25">
      <c r="A1441" s="62" t="s">
        <v>88</v>
      </c>
      <c r="B1441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441" s="64" t="s">
        <v>89</v>
      </c>
      <c r="D1441" s="64" t="s">
        <v>201</v>
      </c>
      <c r="E1441" s="64" t="s">
        <v>81</v>
      </c>
      <c r="F1441" s="64" t="s">
        <v>8</v>
      </c>
      <c r="G1441" s="64" t="s">
        <v>10</v>
      </c>
      <c r="H1441" s="65" t="str">
        <f>VLOOKUP(Tabla6[[#This Row],[DIRECCIÓN]],DIRECCIÓN[#All],2,0)</f>
        <v>TECNOLOGÍA</v>
      </c>
      <c r="I1441" s="66" t="s">
        <v>225</v>
      </c>
      <c r="J1441" s="67">
        <v>1</v>
      </c>
      <c r="K1441" s="68" t="str">
        <f>VLOOKUP(Tabla6[[#This Row],[DIRECCIÓN GENERAL / COORDINACIÓN / SUBDIRECCIÓN]],Tabla37[[#All],[Columna1]:[EOD]],2,0)</f>
        <v>266_9999</v>
      </c>
      <c r="L1441" s="69">
        <f>VLOOKUP(Tabla6[[#This Row],[OBJETIVOS PND]],Listas!$A$1:$C$3,3,0)</f>
        <v>55</v>
      </c>
      <c r="M1441" s="70">
        <f>VLOOKUP(Tabla6[[#This Row],[PG]],Listas2!$G$14:$K$16,5,0)</f>
        <v>0</v>
      </c>
      <c r="N1441" s="71">
        <v>3</v>
      </c>
      <c r="O1441" s="72">
        <v>1701</v>
      </c>
      <c r="P1441" s="73" t="str">
        <f>VLOOKUP(Tabla6[[#This Row],[GEO]],Listas!$A$48:$B$77,2,0)</f>
        <v>QUITO</v>
      </c>
      <c r="Q1441" s="70">
        <f>VLOOKUP(Tabla6[[#This Row],[PG]],Listas2!$G$14:$K$16,3,0)</f>
        <v>1</v>
      </c>
      <c r="R1441" s="73">
        <f>VLOOKUP(Tabla6[[#This Row],[PG]],Listas2!H1222:'Listas2'!$G$14:$K$16,4,0)</f>
        <v>0</v>
      </c>
      <c r="S1441" s="73">
        <f>VLOOKUP(Tabla6[[#This Row],[PG]],Listas2!$G$14:$K$16,2,0)</f>
        <v>0</v>
      </c>
      <c r="T1441" s="66" t="s">
        <v>84</v>
      </c>
      <c r="U1441" s="74">
        <v>53</v>
      </c>
      <c r="V1441" s="66">
        <v>530704</v>
      </c>
      <c r="W1441" s="63" t="str">
        <f>VLOOKUP(Tabla6[[#This Row],[ÍTEM PRESUPUESTARIO]],Tabla2[#All],2,0)</f>
        <v xml:space="preserve">MANTENIMIENTO Y REPARACIÓN DE EQUIPOS Y SISTEMAS INFORMÁTICOS </v>
      </c>
      <c r="X1441" s="57">
        <v>0</v>
      </c>
      <c r="Y1441" s="57">
        <f>6300-546.4</f>
        <v>5753.6</v>
      </c>
      <c r="Z1441" s="58">
        <v>0</v>
      </c>
      <c r="AA1441" s="58">
        <v>0</v>
      </c>
      <c r="AB1441" s="58">
        <v>0</v>
      </c>
      <c r="AC1441" s="58">
        <v>0</v>
      </c>
      <c r="AD1441" s="58">
        <v>0</v>
      </c>
      <c r="AE1441" s="58">
        <v>0</v>
      </c>
      <c r="AF1441" s="58">
        <v>0</v>
      </c>
      <c r="AG1441" s="58">
        <v>0</v>
      </c>
      <c r="AH1441" s="58">
        <v>0</v>
      </c>
      <c r="AI1441" s="58">
        <v>5753.6</v>
      </c>
      <c r="AJ1441" s="58">
        <v>0</v>
      </c>
      <c r="AK1441" s="58">
        <v>0</v>
      </c>
      <c r="AL1441" s="75">
        <f>+SUBTOTAL(9,Tabla6[[#This Row],[ENE]:[DIC]])</f>
        <v>5753.6</v>
      </c>
      <c r="AM1441" s="76" t="str">
        <f t="shared" si="59"/>
        <v>OK</v>
      </c>
      <c r="AN1441" s="60">
        <v>5753.6</v>
      </c>
      <c r="AO1441" s="61">
        <f>+Tabla6[[#This Row],[PRESUPUESTO VIGENTE]]-Tabla6[[#This Row],[CERTIFICACIÓN PAPP]]</f>
        <v>0</v>
      </c>
      <c r="AP1441" s="59">
        <v>0</v>
      </c>
    </row>
    <row r="1442" spans="1:42" ht="93" customHeight="1" x14ac:dyDescent="0.25">
      <c r="A1442" s="62" t="s">
        <v>88</v>
      </c>
      <c r="B1442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442" s="64" t="s">
        <v>89</v>
      </c>
      <c r="D1442" s="64" t="s">
        <v>201</v>
      </c>
      <c r="E1442" s="64" t="s">
        <v>81</v>
      </c>
      <c r="F1442" s="64" t="s">
        <v>8</v>
      </c>
      <c r="G1442" s="64" t="s">
        <v>10</v>
      </c>
      <c r="H1442" s="65" t="str">
        <f>VLOOKUP(Tabla6[[#This Row],[DIRECCIÓN]],DIRECCIÓN[#All],2,0)</f>
        <v>TECNOLOGÍA</v>
      </c>
      <c r="I1442" s="66" t="s">
        <v>226</v>
      </c>
      <c r="J1442" s="67">
        <v>1</v>
      </c>
      <c r="K1442" s="68" t="str">
        <f>VLOOKUP(Tabla6[[#This Row],[DIRECCIÓN GENERAL / COORDINACIÓN / SUBDIRECCIÓN]],Tabla37[[#All],[Columna1]:[EOD]],2,0)</f>
        <v>266_9999</v>
      </c>
      <c r="L1442" s="69">
        <f>VLOOKUP(Tabla6[[#This Row],[OBJETIVOS PND]],Listas!$A$1:$C$3,3,0)</f>
        <v>55</v>
      </c>
      <c r="M1442" s="70">
        <f>VLOOKUP(Tabla6[[#This Row],[PG]],Listas2!$G$14:$K$16,5,0)</f>
        <v>0</v>
      </c>
      <c r="N1442" s="71">
        <v>3</v>
      </c>
      <c r="O1442" s="72">
        <v>1701</v>
      </c>
      <c r="P1442" s="73" t="str">
        <f>VLOOKUP(Tabla6[[#This Row],[GEO]],Listas!$A$48:$B$77,2,0)</f>
        <v>QUITO</v>
      </c>
      <c r="Q1442" s="70">
        <f>VLOOKUP(Tabla6[[#This Row],[PG]],Listas2!$G$14:$K$16,3,0)</f>
        <v>1</v>
      </c>
      <c r="R1442" s="73">
        <f>VLOOKUP(Tabla6[[#This Row],[PG]],Listas2!H1382:'Listas2'!$G$14:$K$16,4,0)</f>
        <v>0</v>
      </c>
      <c r="S1442" s="73">
        <f>VLOOKUP(Tabla6[[#This Row],[PG]],Listas2!$G$14:$K$16,2,0)</f>
        <v>0</v>
      </c>
      <c r="T1442" s="66" t="s">
        <v>84</v>
      </c>
      <c r="U1442" s="74">
        <v>53</v>
      </c>
      <c r="V1442" s="66">
        <v>530704</v>
      </c>
      <c r="W1442" s="63" t="str">
        <f>VLOOKUP(Tabla6[[#This Row],[ÍTEM PRESUPUESTARIO]],Tabla2[#All],2,0)</f>
        <v xml:space="preserve">MANTENIMIENTO Y REPARACIÓN DE EQUIPOS Y SISTEMAS INFORMÁTICOS </v>
      </c>
      <c r="X1442" s="57">
        <v>0</v>
      </c>
      <c r="Y1442" s="57">
        <f>2169.96-1731.68-438.28</f>
        <v>0</v>
      </c>
      <c r="Z1442" s="58">
        <v>0</v>
      </c>
      <c r="AA1442" s="58">
        <v>0</v>
      </c>
      <c r="AB1442" s="58">
        <v>0</v>
      </c>
      <c r="AC1442" s="58">
        <v>0</v>
      </c>
      <c r="AD1442" s="58">
        <v>0</v>
      </c>
      <c r="AE1442" s="58">
        <v>0</v>
      </c>
      <c r="AF1442" s="58">
        <v>0</v>
      </c>
      <c r="AG1442" s="58">
        <v>0</v>
      </c>
      <c r="AH1442" s="58">
        <v>0</v>
      </c>
      <c r="AI1442" s="58">
        <v>0</v>
      </c>
      <c r="AJ1442" s="58">
        <v>0</v>
      </c>
      <c r="AK1442" s="58">
        <v>0</v>
      </c>
      <c r="AL1442" s="75">
        <f>+SUBTOTAL(9,Tabla6[[#This Row],[ENE]:[DIC]])</f>
        <v>0</v>
      </c>
      <c r="AM1442" s="76" t="str">
        <f t="shared" si="59"/>
        <v>OK</v>
      </c>
      <c r="AN1442" s="58">
        <v>0</v>
      </c>
      <c r="AO1442" s="58">
        <f>+Tabla6[[#This Row],[PRESUPUESTO VIGENTE]]-Tabla6[[#This Row],[CERTIFICACIÓN PAPP]]</f>
        <v>0</v>
      </c>
      <c r="AP1442" s="59">
        <v>0</v>
      </c>
    </row>
    <row r="1443" spans="1:42" ht="93" customHeight="1" x14ac:dyDescent="0.25">
      <c r="A1443" s="62" t="s">
        <v>88</v>
      </c>
      <c r="B1443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443" s="64" t="s">
        <v>89</v>
      </c>
      <c r="D1443" s="64" t="s">
        <v>201</v>
      </c>
      <c r="E1443" s="64" t="s">
        <v>81</v>
      </c>
      <c r="F1443" s="64" t="s">
        <v>8</v>
      </c>
      <c r="G1443" s="64" t="s">
        <v>10</v>
      </c>
      <c r="H1443" s="65" t="str">
        <f>VLOOKUP(Tabla6[[#This Row],[DIRECCIÓN]],DIRECCIÓN[#All],2,0)</f>
        <v>TECNOLOGÍA</v>
      </c>
      <c r="I1443" s="66" t="s">
        <v>227</v>
      </c>
      <c r="J1443" s="67">
        <v>1</v>
      </c>
      <c r="K1443" s="68" t="str">
        <f>VLOOKUP(Tabla6[[#This Row],[DIRECCIÓN GENERAL / COORDINACIÓN / SUBDIRECCIÓN]],Tabla37[[#All],[Columna1]:[EOD]],2,0)</f>
        <v>266_9999</v>
      </c>
      <c r="L1443" s="69">
        <f>VLOOKUP(Tabla6[[#This Row],[OBJETIVOS PND]],Listas!$A$1:$C$3,3,0)</f>
        <v>55</v>
      </c>
      <c r="M1443" s="70">
        <f>VLOOKUP(Tabla6[[#This Row],[PG]],Listas2!$G$14:$K$16,5,0)</f>
        <v>0</v>
      </c>
      <c r="N1443" s="71">
        <v>3</v>
      </c>
      <c r="O1443" s="72">
        <v>1701</v>
      </c>
      <c r="P1443" s="73" t="str">
        <f>VLOOKUP(Tabla6[[#This Row],[GEO]],Listas!$A$48:$B$77,2,0)</f>
        <v>QUITO</v>
      </c>
      <c r="Q1443" s="70">
        <f>VLOOKUP(Tabla6[[#This Row],[PG]],Listas2!$G$14:$K$16,3,0)</f>
        <v>1</v>
      </c>
      <c r="R1443" s="73">
        <f>VLOOKUP(Tabla6[[#This Row],[PG]],Listas2!H143:'Listas2'!$G$14:$K$16,4,0)</f>
        <v>0</v>
      </c>
      <c r="S1443" s="73">
        <f>VLOOKUP(Tabla6[[#This Row],[PG]],Listas2!$G$14:$K$16,2,0)</f>
        <v>0</v>
      </c>
      <c r="T1443" s="66" t="s">
        <v>84</v>
      </c>
      <c r="U1443" s="74">
        <v>53</v>
      </c>
      <c r="V1443" s="66">
        <v>530813</v>
      </c>
      <c r="W1443" s="63" t="str">
        <f>VLOOKUP(Tabla6[[#This Row],[ÍTEM PRESUPUESTARIO]],Tabla2[#All],2,0)</f>
        <v>REPUESTOS Y ACCESORIOS</v>
      </c>
      <c r="X1443" s="57">
        <v>21430</v>
      </c>
      <c r="Y1443" s="57">
        <f>21430-21430</f>
        <v>0</v>
      </c>
      <c r="Z1443" s="58">
        <v>0</v>
      </c>
      <c r="AA1443" s="58">
        <v>0</v>
      </c>
      <c r="AB1443" s="58">
        <v>0</v>
      </c>
      <c r="AC1443" s="58">
        <v>0</v>
      </c>
      <c r="AD1443" s="58">
        <v>0</v>
      </c>
      <c r="AE1443" s="58">
        <v>0</v>
      </c>
      <c r="AF1443" s="58">
        <v>0</v>
      </c>
      <c r="AG1443" s="58">
        <v>0</v>
      </c>
      <c r="AH1443" s="58">
        <v>0</v>
      </c>
      <c r="AI1443" s="58">
        <v>0</v>
      </c>
      <c r="AJ1443" s="58">
        <v>0</v>
      </c>
      <c r="AK1443" s="58">
        <v>0</v>
      </c>
      <c r="AL1443" s="75">
        <f>+SUBTOTAL(9,Tabla6[[#This Row],[ENE]:[DIC]])</f>
        <v>0</v>
      </c>
      <c r="AM1443" s="76" t="str">
        <f t="shared" si="59"/>
        <v>OK</v>
      </c>
      <c r="AN1443" s="60">
        <v>0</v>
      </c>
      <c r="AO1443" s="61">
        <f>+Tabla6[[#This Row],[PRESUPUESTO VIGENTE]]-Tabla6[[#This Row],[CERTIFICACIÓN PAPP]]</f>
        <v>0</v>
      </c>
      <c r="AP1443" s="59">
        <v>0</v>
      </c>
    </row>
    <row r="1444" spans="1:42" ht="93" customHeight="1" x14ac:dyDescent="0.25">
      <c r="A1444" s="62" t="s">
        <v>88</v>
      </c>
      <c r="B1444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444" s="64" t="s">
        <v>89</v>
      </c>
      <c r="D1444" s="64" t="s">
        <v>201</v>
      </c>
      <c r="E1444" s="64" t="s">
        <v>81</v>
      </c>
      <c r="F1444" s="64" t="s">
        <v>8</v>
      </c>
      <c r="G1444" s="64" t="s">
        <v>10</v>
      </c>
      <c r="H1444" s="65" t="str">
        <f>VLOOKUP(Tabla6[[#This Row],[DIRECCIÓN]],DIRECCIÓN[#All],2,0)</f>
        <v>TECNOLOGÍA</v>
      </c>
      <c r="I1444" s="66" t="s">
        <v>228</v>
      </c>
      <c r="J1444" s="67">
        <v>1</v>
      </c>
      <c r="K1444" s="68" t="str">
        <f>VLOOKUP(Tabla6[[#This Row],[DIRECCIÓN GENERAL / COORDINACIÓN / SUBDIRECCIÓN]],Tabla37[[#All],[Columna1]:[EOD]],2,0)</f>
        <v>266_9999</v>
      </c>
      <c r="L1444" s="69">
        <f>VLOOKUP(Tabla6[[#This Row],[OBJETIVOS PND]],Listas!$A$1:$C$3,3,0)</f>
        <v>55</v>
      </c>
      <c r="M1444" s="70">
        <f>VLOOKUP(Tabla6[[#This Row],[PG]],Listas2!$G$14:$K$16,5,0)</f>
        <v>0</v>
      </c>
      <c r="N1444" s="71">
        <v>3</v>
      </c>
      <c r="O1444" s="72">
        <v>1701</v>
      </c>
      <c r="P1444" s="73" t="str">
        <f>VLOOKUP(Tabla6[[#This Row],[GEO]],Listas!$A$48:$B$77,2,0)</f>
        <v>QUITO</v>
      </c>
      <c r="Q1444" s="70">
        <f>VLOOKUP(Tabla6[[#This Row],[PG]],Listas2!$G$14:$K$16,3,0)</f>
        <v>1</v>
      </c>
      <c r="R1444" s="73">
        <f>VLOOKUP(Tabla6[[#This Row],[PG]],Listas2!H1063:'Listas2'!$G$14:$K$16,4,0)</f>
        <v>0</v>
      </c>
      <c r="S1444" s="73">
        <f>VLOOKUP(Tabla6[[#This Row],[PG]],Listas2!$G$14:$K$16,2,0)</f>
        <v>0</v>
      </c>
      <c r="T1444" s="66" t="s">
        <v>84</v>
      </c>
      <c r="U1444" s="74">
        <v>53</v>
      </c>
      <c r="V1444" s="66">
        <v>530813</v>
      </c>
      <c r="W1444" s="63" t="str">
        <f>VLOOKUP(Tabla6[[#This Row],[ÍTEM PRESUPUESTARIO]],Tabla2[#All],2,0)</f>
        <v>REPUESTOS Y ACCESORIOS</v>
      </c>
      <c r="X1444" s="57">
        <v>0</v>
      </c>
      <c r="Y1444" s="57">
        <f>6300-90</f>
        <v>6210</v>
      </c>
      <c r="Z1444" s="58">
        <v>0</v>
      </c>
      <c r="AA1444" s="58">
        <v>0</v>
      </c>
      <c r="AB1444" s="58">
        <v>0</v>
      </c>
      <c r="AC1444" s="58">
        <v>0</v>
      </c>
      <c r="AD1444" s="58">
        <v>6210</v>
      </c>
      <c r="AE1444" s="58">
        <v>0</v>
      </c>
      <c r="AF1444" s="58">
        <v>0</v>
      </c>
      <c r="AG1444" s="58">
        <v>0</v>
      </c>
      <c r="AH1444" s="58">
        <v>0</v>
      </c>
      <c r="AI1444" s="58">
        <v>0</v>
      </c>
      <c r="AJ1444" s="58">
        <v>0</v>
      </c>
      <c r="AK1444" s="58">
        <v>0</v>
      </c>
      <c r="AL1444" s="75">
        <f>+SUBTOTAL(9,Tabla6[[#This Row],[ENE]:[DIC]])</f>
        <v>6210</v>
      </c>
      <c r="AM1444" s="76" t="str">
        <f t="shared" si="59"/>
        <v>OK</v>
      </c>
      <c r="AN1444" s="60">
        <v>6210</v>
      </c>
      <c r="AO1444" s="61">
        <f>+Tabla6[[#This Row],[PRESUPUESTO VIGENTE]]-Tabla6[[#This Row],[CERTIFICACIÓN PAPP]]</f>
        <v>0</v>
      </c>
      <c r="AP1444" s="59">
        <v>0</v>
      </c>
    </row>
    <row r="1445" spans="1:42" ht="93" customHeight="1" x14ac:dyDescent="0.25">
      <c r="A1445" s="62" t="s">
        <v>88</v>
      </c>
      <c r="B1445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445" s="64" t="s">
        <v>89</v>
      </c>
      <c r="D1445" s="64" t="s">
        <v>197</v>
      </c>
      <c r="E1445" s="64" t="s">
        <v>114</v>
      </c>
      <c r="F1445" s="64" t="s">
        <v>20</v>
      </c>
      <c r="G1445" s="64" t="s">
        <v>21</v>
      </c>
      <c r="H1445" s="65" t="str">
        <f>VLOOKUP(Tabla6[[#This Row],[DIRECCIÓN]],DIRECCIÓN[#All],2,0)</f>
        <v>TECNOLOGÍA</v>
      </c>
      <c r="I1445" s="66" t="s">
        <v>222</v>
      </c>
      <c r="J1445" s="67">
        <v>1</v>
      </c>
      <c r="K1445" s="68" t="str">
        <f>VLOOKUP(Tabla6[[#This Row],[DIRECCIÓN GENERAL / COORDINACIÓN / SUBDIRECCIÓN]],Tabla37[[#All],[Columna1]:[EOD]],2,0)</f>
        <v>266_9999</v>
      </c>
      <c r="L1445" s="69">
        <f>VLOOKUP(Tabla6[[#This Row],[OBJETIVOS PND]],Listas!$A$1:$C$3,3,0)</f>
        <v>55</v>
      </c>
      <c r="M1445" s="70">
        <f>VLOOKUP(Tabla6[[#This Row],[PG]],Listas2!$G$14:$K$16,5,0)</f>
        <v>0</v>
      </c>
      <c r="N1445" s="71">
        <v>3</v>
      </c>
      <c r="O1445" s="72">
        <v>1701</v>
      </c>
      <c r="P1445" s="73" t="str">
        <f>VLOOKUP(Tabla6[[#This Row],[GEO]],Listas!$A$48:$B$77,2,0)</f>
        <v>QUITO</v>
      </c>
      <c r="Q1445" s="70">
        <f>VLOOKUP(Tabla6[[#This Row],[PG]],Listas2!$G$14:$K$16,3,0)</f>
        <v>1</v>
      </c>
      <c r="R1445" s="73">
        <f>VLOOKUP(Tabla6[[#This Row],[PG]],Listas2!H144:'Listas2'!$G$14:$K$16,4,0)</f>
        <v>0</v>
      </c>
      <c r="S1445" s="73">
        <f>VLOOKUP(Tabla6[[#This Row],[PG]],Listas2!$G$14:$K$16,2,0)</f>
        <v>0</v>
      </c>
      <c r="T1445" s="66" t="s">
        <v>84</v>
      </c>
      <c r="U1445" s="74">
        <v>53</v>
      </c>
      <c r="V1445" s="66">
        <v>530813</v>
      </c>
      <c r="W1445" s="63" t="str">
        <f>VLOOKUP(Tabla6[[#This Row],[ÍTEM PRESUPUESTARIO]],Tabla2[#All],2,0)</f>
        <v>REPUESTOS Y ACCESORIOS</v>
      </c>
      <c r="X1445" s="57">
        <v>187500</v>
      </c>
      <c r="Y1445" s="57">
        <f>187500-15800-132563.35-2737.59</f>
        <v>36399.06</v>
      </c>
      <c r="Z1445" s="58">
        <v>0</v>
      </c>
      <c r="AA1445" s="58">
        <v>0</v>
      </c>
      <c r="AB1445" s="58">
        <v>0</v>
      </c>
      <c r="AC1445" s="58">
        <v>36399.06</v>
      </c>
      <c r="AD1445" s="58">
        <v>0</v>
      </c>
      <c r="AE1445" s="58">
        <v>0</v>
      </c>
      <c r="AF1445" s="58">
        <v>0</v>
      </c>
      <c r="AG1445" s="58">
        <v>0</v>
      </c>
      <c r="AH1445" s="58">
        <v>0</v>
      </c>
      <c r="AI1445" s="58">
        <v>0</v>
      </c>
      <c r="AJ1445" s="58">
        <v>0</v>
      </c>
      <c r="AK1445" s="58">
        <v>0</v>
      </c>
      <c r="AL1445" s="75">
        <f>+SUBTOTAL(9,Tabla6[[#This Row],[ENE]:[DIC]])</f>
        <v>36399.06</v>
      </c>
      <c r="AM1445" s="76" t="str">
        <f t="shared" si="59"/>
        <v>OK</v>
      </c>
      <c r="AN1445" s="60">
        <f>78273.31-78273.31+39136.65-2737.59</f>
        <v>36399.06</v>
      </c>
      <c r="AO1445" s="61">
        <f>+Tabla6[[#This Row],[PRESUPUESTO VIGENTE]]-Tabla6[[#This Row],[CERTIFICACIÓN PAPP]]</f>
        <v>0</v>
      </c>
      <c r="AP1445" s="59">
        <v>0</v>
      </c>
    </row>
    <row r="1446" spans="1:42" ht="93" customHeight="1" x14ac:dyDescent="0.25">
      <c r="A1446" s="62" t="s">
        <v>88</v>
      </c>
      <c r="B1446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446" s="64" t="s">
        <v>89</v>
      </c>
      <c r="D1446" s="64" t="s">
        <v>197</v>
      </c>
      <c r="E1446" s="64" t="s">
        <v>114</v>
      </c>
      <c r="F1446" s="64" t="s">
        <v>20</v>
      </c>
      <c r="G1446" s="64" t="s">
        <v>21</v>
      </c>
      <c r="H1446" s="65" t="str">
        <f>VLOOKUP(Tabla6[[#This Row],[DIRECCIÓN]],DIRECCIÓN[#All],2,0)</f>
        <v>TECNOLOGÍA</v>
      </c>
      <c r="I1446" s="66" t="s">
        <v>222</v>
      </c>
      <c r="J1446" s="67">
        <v>1</v>
      </c>
      <c r="K1446" s="68" t="str">
        <f>VLOOKUP(Tabla6[[#This Row],[DIRECCIÓN GENERAL / COORDINACIÓN / SUBDIRECCIÓN]],Tabla37[[#All],[Columna1]:[EOD]],2,0)</f>
        <v>266_9999</v>
      </c>
      <c r="L1446" s="69">
        <f>VLOOKUP(Tabla6[[#This Row],[OBJETIVOS PND]],Listas!$A$1:$C$3,3,0)</f>
        <v>55</v>
      </c>
      <c r="M1446" s="70">
        <f>VLOOKUP(Tabla6[[#This Row],[PG]],Listas2!$G$14:$K$16,5,0)</f>
        <v>0</v>
      </c>
      <c r="N1446" s="71">
        <v>3</v>
      </c>
      <c r="O1446" s="72">
        <v>1701</v>
      </c>
      <c r="P1446" s="73" t="str">
        <f>VLOOKUP(Tabla6[[#This Row],[GEO]],Listas!$A$48:$B$77,2,0)</f>
        <v>QUITO</v>
      </c>
      <c r="Q1446" s="70">
        <v>998</v>
      </c>
      <c r="R1446" s="73">
        <f>VLOOKUP(Tabla6[[#This Row],[PG]],Listas2!H145:'Listas2'!$G$14:$K$16,4,0)</f>
        <v>0</v>
      </c>
      <c r="S1446" s="73">
        <f>VLOOKUP(Tabla6[[#This Row],[PG]],Listas2!$G$14:$K$16,2,0)</f>
        <v>0</v>
      </c>
      <c r="T1446" s="66" t="s">
        <v>84</v>
      </c>
      <c r="U1446" s="74">
        <v>53</v>
      </c>
      <c r="V1446" s="66">
        <v>530813</v>
      </c>
      <c r="W1446" s="63" t="str">
        <f>VLOOKUP(Tabla6[[#This Row],[ÍTEM PRESUPUESTARIO]],Tabla2[#All],2,0)</f>
        <v>REPUESTOS Y ACCESORIOS</v>
      </c>
      <c r="X1446" s="57">
        <v>0</v>
      </c>
      <c r="Y1446" s="57">
        <v>39136.65</v>
      </c>
      <c r="Z1446" s="58">
        <v>0</v>
      </c>
      <c r="AA1446" s="58">
        <v>0</v>
      </c>
      <c r="AB1446" s="58">
        <v>0</v>
      </c>
      <c r="AC1446" s="58">
        <v>39136.65</v>
      </c>
      <c r="AD1446" s="58">
        <v>0</v>
      </c>
      <c r="AE1446" s="58">
        <v>0</v>
      </c>
      <c r="AF1446" s="58">
        <v>0</v>
      </c>
      <c r="AG1446" s="58">
        <v>0</v>
      </c>
      <c r="AH1446" s="58">
        <v>0</v>
      </c>
      <c r="AI1446" s="58">
        <v>0</v>
      </c>
      <c r="AJ1446" s="58">
        <v>0</v>
      </c>
      <c r="AK1446" s="58">
        <v>0</v>
      </c>
      <c r="AL1446" s="75">
        <f>+SUBTOTAL(9,Tabla6[[#This Row],[ENE]:[DIC]])</f>
        <v>39136.65</v>
      </c>
      <c r="AM1446" s="76" t="str">
        <f t="shared" si="59"/>
        <v>OK</v>
      </c>
      <c r="AN1446" s="60">
        <v>39136.65</v>
      </c>
      <c r="AO1446" s="61">
        <f>+Tabla6[[#This Row],[PRESUPUESTO VIGENTE]]-Tabla6[[#This Row],[CERTIFICACIÓN PAPP]]</f>
        <v>0</v>
      </c>
      <c r="AP1446" s="59">
        <v>0</v>
      </c>
    </row>
    <row r="1447" spans="1:42" ht="93" customHeight="1" x14ac:dyDescent="0.25">
      <c r="A1447" s="62" t="s">
        <v>88</v>
      </c>
      <c r="B1447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447" s="64" t="s">
        <v>89</v>
      </c>
      <c r="D1447" s="64" t="s">
        <v>197</v>
      </c>
      <c r="E1447" s="64" t="s">
        <v>114</v>
      </c>
      <c r="F1447" s="64" t="s">
        <v>20</v>
      </c>
      <c r="G1447" s="64" t="s">
        <v>21</v>
      </c>
      <c r="H1447" s="65" t="str">
        <f>VLOOKUP(Tabla6[[#This Row],[DIRECCIÓN]],DIRECCIÓN[#All],2,0)</f>
        <v>TECNOLOGÍA</v>
      </c>
      <c r="I1447" s="66" t="s">
        <v>229</v>
      </c>
      <c r="J1447" s="67">
        <v>1</v>
      </c>
      <c r="K1447" s="68" t="str">
        <f>VLOOKUP(Tabla6[[#This Row],[DIRECCIÓN GENERAL / COORDINACIÓN / SUBDIRECCIÓN]],Tabla37[[#All],[Columna1]:[EOD]],2,0)</f>
        <v>266_9999</v>
      </c>
      <c r="L1447" s="69">
        <f>VLOOKUP(Tabla6[[#This Row],[OBJETIVOS PND]],Listas!$A$1:$C$3,3,0)</f>
        <v>55</v>
      </c>
      <c r="M1447" s="70">
        <f>VLOOKUP(Tabla6[[#This Row],[PG]],Listas2!$G$14:$K$16,5,0)</f>
        <v>0</v>
      </c>
      <c r="N1447" s="71">
        <v>3</v>
      </c>
      <c r="O1447" s="72">
        <v>1701</v>
      </c>
      <c r="P1447" s="73" t="str">
        <f>VLOOKUP(Tabla6[[#This Row],[GEO]],Listas!$A$48:$B$77,2,0)</f>
        <v>QUITO</v>
      </c>
      <c r="Q1447" s="70">
        <f>VLOOKUP(Tabla6[[#This Row],[PG]],Listas2!$G$14:$K$16,3,0)</f>
        <v>1</v>
      </c>
      <c r="R1447" s="73">
        <f>VLOOKUP(Tabla6[[#This Row],[PG]],Listas2!H146:'Listas2'!$G$14:$K$16,4,0)</f>
        <v>0</v>
      </c>
      <c r="S1447" s="73">
        <f>VLOOKUP(Tabla6[[#This Row],[PG]],Listas2!$G$14:$K$16,2,0)</f>
        <v>0</v>
      </c>
      <c r="T1447" s="66" t="s">
        <v>84</v>
      </c>
      <c r="U1447" s="74">
        <v>53</v>
      </c>
      <c r="V1447" s="66">
        <v>530813</v>
      </c>
      <c r="W1447" s="63" t="str">
        <f>VLOOKUP(Tabla6[[#This Row],[ÍTEM PRESUPUESTARIO]],Tabla2[#All],2,0)</f>
        <v>REPUESTOS Y ACCESORIOS</v>
      </c>
      <c r="X1447" s="57">
        <v>7500</v>
      </c>
      <c r="Y1447" s="57">
        <f>7500-6300-1200</f>
        <v>0</v>
      </c>
      <c r="Z1447" s="58">
        <v>0</v>
      </c>
      <c r="AA1447" s="58">
        <v>0</v>
      </c>
      <c r="AB1447" s="58">
        <v>0</v>
      </c>
      <c r="AC1447" s="58">
        <v>0</v>
      </c>
      <c r="AD1447" s="58">
        <v>0</v>
      </c>
      <c r="AE1447" s="58">
        <v>0</v>
      </c>
      <c r="AF1447" s="58">
        <v>0</v>
      </c>
      <c r="AG1447" s="58">
        <v>0</v>
      </c>
      <c r="AH1447" s="58">
        <v>0</v>
      </c>
      <c r="AI1447" s="58">
        <v>0</v>
      </c>
      <c r="AJ1447" s="58">
        <v>0</v>
      </c>
      <c r="AK1447" s="58">
        <v>0</v>
      </c>
      <c r="AL1447" s="75">
        <f>+SUBTOTAL(9,Tabla6[[#This Row],[ENE]:[DIC]])</f>
        <v>0</v>
      </c>
      <c r="AM1447" s="76" t="str">
        <f t="shared" si="59"/>
        <v>OK</v>
      </c>
      <c r="AN1447" s="60">
        <v>0</v>
      </c>
      <c r="AO1447" s="61">
        <f>+Tabla6[[#This Row],[PRESUPUESTO VIGENTE]]-Tabla6[[#This Row],[CERTIFICACIÓN PAPP]]</f>
        <v>0</v>
      </c>
      <c r="AP1447" s="59">
        <v>0</v>
      </c>
    </row>
    <row r="1448" spans="1:42" ht="93" customHeight="1" x14ac:dyDescent="0.25">
      <c r="A1448" s="62" t="s">
        <v>88</v>
      </c>
      <c r="B1448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448" s="64" t="s">
        <v>89</v>
      </c>
      <c r="D1448" s="64" t="s">
        <v>197</v>
      </c>
      <c r="E1448" s="64" t="s">
        <v>114</v>
      </c>
      <c r="F1448" s="64" t="s">
        <v>20</v>
      </c>
      <c r="G1448" s="64" t="s">
        <v>21</v>
      </c>
      <c r="H1448" s="65" t="str">
        <f>VLOOKUP(Tabla6[[#This Row],[DIRECCIÓN]],DIRECCIÓN[#All],2,0)</f>
        <v>TECNOLOGÍA</v>
      </c>
      <c r="I1448" s="66" t="s">
        <v>230</v>
      </c>
      <c r="J1448" s="67">
        <v>1</v>
      </c>
      <c r="K1448" s="68" t="str">
        <f>VLOOKUP(Tabla6[[#This Row],[DIRECCIÓN GENERAL / COORDINACIÓN / SUBDIRECCIÓN]],Tabla37[[#All],[Columna1]:[EOD]],2,0)</f>
        <v>266_9999</v>
      </c>
      <c r="L1448" s="69">
        <f>VLOOKUP(Tabla6[[#This Row],[OBJETIVOS PND]],Listas!$A$1:$C$3,3,0)</f>
        <v>55</v>
      </c>
      <c r="M1448" s="70">
        <f>VLOOKUP(Tabla6[[#This Row],[PG]],Listas2!$G$14:$K$16,5,0)</f>
        <v>0</v>
      </c>
      <c r="N1448" s="71">
        <v>3</v>
      </c>
      <c r="O1448" s="72">
        <v>1701</v>
      </c>
      <c r="P1448" s="73" t="str">
        <f>VLOOKUP(Tabla6[[#This Row],[GEO]],Listas!$A$48:$B$77,2,0)</f>
        <v>QUITO</v>
      </c>
      <c r="Q1448" s="70">
        <f>VLOOKUP(Tabla6[[#This Row],[PG]],Listas2!$G$14:$K$16,3,0)</f>
        <v>1</v>
      </c>
      <c r="R1448" s="73">
        <f>VLOOKUP(Tabla6[[#This Row],[PG]],Listas2!H147:'Listas2'!$G$14:$K$16,4,0)</f>
        <v>0</v>
      </c>
      <c r="S1448" s="73">
        <f>VLOOKUP(Tabla6[[#This Row],[PG]],Listas2!$G$14:$K$16,2,0)</f>
        <v>0</v>
      </c>
      <c r="T1448" s="66" t="s">
        <v>84</v>
      </c>
      <c r="U1448" s="74">
        <v>53</v>
      </c>
      <c r="V1448" s="66">
        <v>530813</v>
      </c>
      <c r="W1448" s="63" t="str">
        <f>VLOOKUP(Tabla6[[#This Row],[ÍTEM PRESUPUESTARIO]],Tabla2[#All],2,0)</f>
        <v>REPUESTOS Y ACCESORIOS</v>
      </c>
      <c r="X1448" s="57">
        <v>0</v>
      </c>
      <c r="Y1448" s="57">
        <f>6300-462.45</f>
        <v>5837.55</v>
      </c>
      <c r="Z1448" s="58">
        <v>0</v>
      </c>
      <c r="AA1448" s="58">
        <v>0</v>
      </c>
      <c r="AB1448" s="58">
        <v>0</v>
      </c>
      <c r="AC1448" s="58">
        <v>0</v>
      </c>
      <c r="AD1448" s="58">
        <v>0</v>
      </c>
      <c r="AE1448" s="58">
        <v>5837.55</v>
      </c>
      <c r="AF1448" s="58">
        <v>0</v>
      </c>
      <c r="AG1448" s="58">
        <v>0</v>
      </c>
      <c r="AH1448" s="58">
        <v>0</v>
      </c>
      <c r="AI1448" s="58">
        <v>0</v>
      </c>
      <c r="AJ1448" s="58">
        <v>0</v>
      </c>
      <c r="AK1448" s="58">
        <v>0</v>
      </c>
      <c r="AL1448" s="75">
        <f>+SUBTOTAL(9,Tabla6[[#This Row],[ENE]:[DIC]])</f>
        <v>5837.55</v>
      </c>
      <c r="AM1448" s="76" t="str">
        <f t="shared" si="59"/>
        <v>OK</v>
      </c>
      <c r="AN1448" s="60">
        <v>5837.55</v>
      </c>
      <c r="AO1448" s="61">
        <f>+Tabla6[[#This Row],[PRESUPUESTO VIGENTE]]-Tabla6[[#This Row],[CERTIFICACIÓN PAPP]]</f>
        <v>0</v>
      </c>
      <c r="AP1448" s="59" t="s">
        <v>87</v>
      </c>
    </row>
    <row r="1449" spans="1:42" ht="93" customHeight="1" x14ac:dyDescent="0.25">
      <c r="A1449" s="62" t="s">
        <v>88</v>
      </c>
      <c r="B1449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449" s="64" t="s">
        <v>89</v>
      </c>
      <c r="D1449" s="64" t="s">
        <v>197</v>
      </c>
      <c r="E1449" s="64" t="s">
        <v>114</v>
      </c>
      <c r="F1449" s="64" t="s">
        <v>20</v>
      </c>
      <c r="G1449" s="64" t="s">
        <v>21</v>
      </c>
      <c r="H1449" s="65" t="str">
        <f>VLOOKUP(Tabla6[[#This Row],[DIRECCIÓN]],DIRECCIÓN[#All],2,0)</f>
        <v>TECNOLOGÍA</v>
      </c>
      <c r="I1449" s="66" t="s">
        <v>231</v>
      </c>
      <c r="J1449" s="67">
        <v>1</v>
      </c>
      <c r="K1449" s="68" t="str">
        <f>VLOOKUP(Tabla6[[#This Row],[DIRECCIÓN GENERAL / COORDINACIÓN / SUBDIRECCIÓN]],Tabla37[[#All],[Columna1]:[EOD]],2,0)</f>
        <v>266_9999</v>
      </c>
      <c r="L1449" s="69">
        <f>VLOOKUP(Tabla6[[#This Row],[OBJETIVOS PND]],Listas!$A$1:$C$3,3,0)</f>
        <v>55</v>
      </c>
      <c r="M1449" s="70">
        <f>VLOOKUP(Tabla6[[#This Row],[PG]],Listas2!$G$14:$K$16,5,0)</f>
        <v>0</v>
      </c>
      <c r="N1449" s="71">
        <v>3</v>
      </c>
      <c r="O1449" s="72">
        <v>1701</v>
      </c>
      <c r="P1449" s="73" t="str">
        <f>VLOOKUP(Tabla6[[#This Row],[GEO]],Listas!$A$48:$B$77,2,0)</f>
        <v>QUITO</v>
      </c>
      <c r="Q1449" s="70">
        <f>VLOOKUP(Tabla6[[#This Row],[PG]],Listas2!$G$14:$K$16,3,0)</f>
        <v>1</v>
      </c>
      <c r="R1449" s="73">
        <f>VLOOKUP(Tabla6[[#This Row],[PG]],Listas2!H148:'Listas2'!$G$14:$K$16,4,0)</f>
        <v>0</v>
      </c>
      <c r="S1449" s="73">
        <f>VLOOKUP(Tabla6[[#This Row],[PG]],Listas2!$G$14:$K$16,2,0)</f>
        <v>0</v>
      </c>
      <c r="T1449" s="66" t="s">
        <v>84</v>
      </c>
      <c r="U1449" s="74">
        <v>53</v>
      </c>
      <c r="V1449" s="66">
        <v>530813</v>
      </c>
      <c r="W1449" s="63" t="str">
        <f>VLOOKUP(Tabla6[[#This Row],[ÍTEM PRESUPUESTARIO]],Tabla2[#All],2,0)</f>
        <v>REPUESTOS Y ACCESORIOS</v>
      </c>
      <c r="X1449" s="57">
        <v>62500</v>
      </c>
      <c r="Y1449" s="57">
        <f>62500+9500+3000-36052.5+1052.5+10000-50000</f>
        <v>0</v>
      </c>
      <c r="Z1449" s="58">
        <v>0</v>
      </c>
      <c r="AA1449" s="58">
        <v>0</v>
      </c>
      <c r="AB1449" s="58">
        <v>0</v>
      </c>
      <c r="AC1449" s="58">
        <v>0</v>
      </c>
      <c r="AD1449" s="58">
        <v>0</v>
      </c>
      <c r="AE1449" s="58">
        <v>0</v>
      </c>
      <c r="AF1449" s="58">
        <v>0</v>
      </c>
      <c r="AG1449" s="58">
        <v>0</v>
      </c>
      <c r="AH1449" s="58">
        <v>0</v>
      </c>
      <c r="AI1449" s="58">
        <v>0</v>
      </c>
      <c r="AJ1449" s="58">
        <v>0</v>
      </c>
      <c r="AK1449" s="58">
        <v>0</v>
      </c>
      <c r="AL1449" s="75">
        <f>+SUBTOTAL(9,Tabla6[[#This Row],[ENE]:[DIC]])</f>
        <v>0</v>
      </c>
      <c r="AM1449" s="76" t="str">
        <f t="shared" si="59"/>
        <v>OK</v>
      </c>
      <c r="AN1449" s="60">
        <f>33166.99-33166.99</f>
        <v>0</v>
      </c>
      <c r="AO1449" s="61">
        <f>+Tabla6[[#This Row],[PRESUPUESTO VIGENTE]]-Tabla6[[#This Row],[CERTIFICACIÓN PAPP]]</f>
        <v>0</v>
      </c>
      <c r="AP1449" s="59" t="s">
        <v>87</v>
      </c>
    </row>
    <row r="1450" spans="1:42" ht="93" customHeight="1" x14ac:dyDescent="0.25">
      <c r="A1450" s="62" t="s">
        <v>88</v>
      </c>
      <c r="B1450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450" s="64" t="s">
        <v>89</v>
      </c>
      <c r="D1450" s="64" t="s">
        <v>197</v>
      </c>
      <c r="E1450" s="64" t="s">
        <v>114</v>
      </c>
      <c r="F1450" s="64" t="s">
        <v>20</v>
      </c>
      <c r="G1450" s="64" t="s">
        <v>21</v>
      </c>
      <c r="H1450" s="65" t="str">
        <f>VLOOKUP(Tabla6[[#This Row],[DIRECCIÓN]],DIRECCIÓN[#All],2,0)</f>
        <v>TECNOLOGÍA</v>
      </c>
      <c r="I1450" s="66" t="s">
        <v>232</v>
      </c>
      <c r="J1450" s="67">
        <v>1</v>
      </c>
      <c r="K1450" s="68" t="str">
        <f>VLOOKUP(Tabla6[[#This Row],[DIRECCIÓN GENERAL / COORDINACIÓN / SUBDIRECCIÓN]],Tabla37[[#All],[Columna1]:[EOD]],2,0)</f>
        <v>266_9999</v>
      </c>
      <c r="L1450" s="69">
        <f>VLOOKUP(Tabla6[[#This Row],[OBJETIVOS PND]],Listas!$A$1:$C$3,3,0)</f>
        <v>55</v>
      </c>
      <c r="M1450" s="70">
        <f>VLOOKUP(Tabla6[[#This Row],[PG]],Listas2!$G$14:$K$16,5,0)</f>
        <v>0</v>
      </c>
      <c r="N1450" s="71">
        <v>3</v>
      </c>
      <c r="O1450" s="72">
        <v>1701</v>
      </c>
      <c r="P1450" s="73" t="str">
        <f>VLOOKUP(Tabla6[[#This Row],[GEO]],Listas!$A$48:$B$77,2,0)</f>
        <v>QUITO</v>
      </c>
      <c r="Q1450" s="70">
        <f>VLOOKUP(Tabla6[[#This Row],[PG]],Listas2!$G$14:$K$16,3,0)</f>
        <v>1</v>
      </c>
      <c r="R1450" s="73">
        <f>VLOOKUP(Tabla6[[#This Row],[PG]],Listas2!H149:'Listas2'!$G$14:$K$16,4,0)</f>
        <v>0</v>
      </c>
      <c r="S1450" s="73">
        <f>VLOOKUP(Tabla6[[#This Row],[PG]],Listas2!$G$14:$K$16,2,0)</f>
        <v>0</v>
      </c>
      <c r="T1450" s="66" t="s">
        <v>84</v>
      </c>
      <c r="U1450" s="74">
        <v>53</v>
      </c>
      <c r="V1450" s="66">
        <v>530813</v>
      </c>
      <c r="W1450" s="63" t="str">
        <f>VLOOKUP(Tabla6[[#This Row],[ÍTEM PRESUPUESTARIO]],Tabla2[#All],2,0)</f>
        <v>REPUESTOS Y ACCESORIOS</v>
      </c>
      <c r="X1450" s="57">
        <v>7500</v>
      </c>
      <c r="Y1450" s="57">
        <f>7500-7500</f>
        <v>0</v>
      </c>
      <c r="Z1450" s="58">
        <v>0</v>
      </c>
      <c r="AA1450" s="58">
        <v>0</v>
      </c>
      <c r="AB1450" s="58">
        <v>0</v>
      </c>
      <c r="AC1450" s="58">
        <v>0</v>
      </c>
      <c r="AD1450" s="58">
        <v>0</v>
      </c>
      <c r="AE1450" s="58">
        <v>0</v>
      </c>
      <c r="AF1450" s="58">
        <v>0</v>
      </c>
      <c r="AG1450" s="58">
        <v>0</v>
      </c>
      <c r="AH1450" s="58">
        <v>0</v>
      </c>
      <c r="AI1450" s="58">
        <v>0</v>
      </c>
      <c r="AJ1450" s="58">
        <v>0</v>
      </c>
      <c r="AK1450" s="58">
        <v>0</v>
      </c>
      <c r="AL1450" s="75">
        <f>+SUBTOTAL(9,Tabla6[[#This Row],[ENE]:[DIC]])</f>
        <v>0</v>
      </c>
      <c r="AM1450" s="76" t="str">
        <f t="shared" si="59"/>
        <v>OK</v>
      </c>
      <c r="AN1450" s="60">
        <v>0</v>
      </c>
      <c r="AO1450" s="61">
        <f>+Tabla6[[#This Row],[PRESUPUESTO VIGENTE]]-Tabla6[[#This Row],[CERTIFICACIÓN PAPP]]</f>
        <v>0</v>
      </c>
      <c r="AP1450" s="59">
        <v>0</v>
      </c>
    </row>
    <row r="1451" spans="1:42" ht="93" customHeight="1" x14ac:dyDescent="0.25">
      <c r="A1451" s="62" t="s">
        <v>88</v>
      </c>
      <c r="B1451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451" s="64" t="s">
        <v>89</v>
      </c>
      <c r="D1451" s="64" t="s">
        <v>201</v>
      </c>
      <c r="E1451" s="64" t="s">
        <v>81</v>
      </c>
      <c r="F1451" s="64" t="s">
        <v>8</v>
      </c>
      <c r="G1451" s="64" t="s">
        <v>10</v>
      </c>
      <c r="H1451" s="65" t="str">
        <f>VLOOKUP(Tabla6[[#This Row],[DIRECCIÓN]],DIRECCIÓN[#All],2,0)</f>
        <v>TECNOLOGÍA</v>
      </c>
      <c r="I1451" s="66" t="s">
        <v>204</v>
      </c>
      <c r="J1451" s="67">
        <v>1</v>
      </c>
      <c r="K1451" s="68" t="str">
        <f>VLOOKUP(Tabla6[[#This Row],[DIRECCIÓN GENERAL / COORDINACIÓN / SUBDIRECCIÓN]],Tabla37[[#All],[Columna1]:[EOD]],2,0)</f>
        <v>266_9999</v>
      </c>
      <c r="L1451" s="69">
        <f>VLOOKUP(Tabla6[[#This Row],[OBJETIVOS PND]],Listas!$A$1:$C$3,3,0)</f>
        <v>55</v>
      </c>
      <c r="M1451" s="70">
        <f>VLOOKUP(Tabla6[[#This Row],[PG]],Listas2!$G$14:$K$16,5,0)</f>
        <v>0</v>
      </c>
      <c r="N1451" s="71">
        <v>3</v>
      </c>
      <c r="O1451" s="72">
        <v>1701</v>
      </c>
      <c r="P1451" s="73" t="str">
        <f>VLOOKUP(Tabla6[[#This Row],[GEO]],Listas!$A$48:$B$77,2,0)</f>
        <v>QUITO</v>
      </c>
      <c r="Q1451" s="70">
        <f>VLOOKUP(Tabla6[[#This Row],[PG]],Listas2!$G$14:$K$16,3,0)</f>
        <v>1</v>
      </c>
      <c r="R1451" s="73">
        <f>VLOOKUP(Tabla6[[#This Row],[PG]],Listas2!H150:'Listas2'!$G$14:$K$16,4,0)</f>
        <v>0</v>
      </c>
      <c r="S1451" s="73">
        <f>VLOOKUP(Tabla6[[#This Row],[PG]],Listas2!$G$14:$K$16,2,0)</f>
        <v>0</v>
      </c>
      <c r="T1451" s="66" t="s">
        <v>84</v>
      </c>
      <c r="U1451" s="74">
        <v>53</v>
      </c>
      <c r="V1451" s="66">
        <v>530813</v>
      </c>
      <c r="W1451" s="63" t="str">
        <f>VLOOKUP(Tabla6[[#This Row],[ÍTEM PRESUPUESTARIO]],Tabla2[#All],2,0)</f>
        <v>REPUESTOS Y ACCESORIOS</v>
      </c>
      <c r="X1451" s="57">
        <v>107145</v>
      </c>
      <c r="Y1451" s="57">
        <f>107145-30000-10957.5-28685</f>
        <v>37502.5</v>
      </c>
      <c r="Z1451" s="58">
        <v>0</v>
      </c>
      <c r="AA1451" s="58">
        <v>0</v>
      </c>
      <c r="AB1451" s="58">
        <v>0</v>
      </c>
      <c r="AC1451" s="58">
        <v>9643.1299999999992</v>
      </c>
      <c r="AD1451" s="58">
        <v>9643.1299999999992</v>
      </c>
      <c r="AE1451" s="58">
        <v>9643.1299999999992</v>
      </c>
      <c r="AF1451" s="58">
        <v>7451.62</v>
      </c>
      <c r="AG1451" s="58">
        <v>1121.49</v>
      </c>
      <c r="AH1451" s="58">
        <v>0</v>
      </c>
      <c r="AI1451" s="58">
        <v>0</v>
      </c>
      <c r="AJ1451" s="58">
        <v>0</v>
      </c>
      <c r="AK1451" s="58">
        <v>0</v>
      </c>
      <c r="AL1451" s="75">
        <f>+SUBTOTAL(9,Tabla6[[#This Row],[ENE]:[DIC]])</f>
        <v>37502.5</v>
      </c>
      <c r="AM1451" s="76" t="str">
        <f t="shared" si="59"/>
        <v>OK</v>
      </c>
      <c r="AN1451" s="60">
        <f>66187.5-28685</f>
        <v>37502.5</v>
      </c>
      <c r="AO1451" s="61">
        <f>+Tabla6[[#This Row],[PRESUPUESTO VIGENTE]]-Tabla6[[#This Row],[CERTIFICACIÓN PAPP]]</f>
        <v>0</v>
      </c>
      <c r="AP1451" s="59" t="s">
        <v>87</v>
      </c>
    </row>
    <row r="1452" spans="1:42" ht="93" customHeight="1" x14ac:dyDescent="0.25">
      <c r="A1452" s="62" t="s">
        <v>88</v>
      </c>
      <c r="B1452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452" s="64" t="s">
        <v>89</v>
      </c>
      <c r="D1452" s="64" t="s">
        <v>197</v>
      </c>
      <c r="E1452" s="64" t="s">
        <v>81</v>
      </c>
      <c r="F1452" s="64" t="s">
        <v>8</v>
      </c>
      <c r="G1452" s="64" t="s">
        <v>10</v>
      </c>
      <c r="H1452" s="65" t="str">
        <f>VLOOKUP(Tabla6[[#This Row],[DIRECCIÓN]],DIRECCIÓN[#All],2,0)</f>
        <v>TECNOLOGÍA</v>
      </c>
      <c r="I1452" s="66" t="s">
        <v>233</v>
      </c>
      <c r="J1452" s="67">
        <v>1</v>
      </c>
      <c r="K1452" s="68" t="str">
        <f>VLOOKUP(Tabla6[[#This Row],[DIRECCIÓN GENERAL / COORDINACIÓN / SUBDIRECCIÓN]],Tabla37[[#All],[Columna1]:[EOD]],2,0)</f>
        <v>266_9999</v>
      </c>
      <c r="L1452" s="69">
        <f>VLOOKUP(Tabla6[[#This Row],[OBJETIVOS PND]],Listas!$A$1:$C$3,3,0)</f>
        <v>55</v>
      </c>
      <c r="M1452" s="70">
        <f>VLOOKUP(Tabla6[[#This Row],[PG]],Listas2!$G$14:$K$16,5,0)</f>
        <v>0</v>
      </c>
      <c r="N1452" s="71">
        <v>3</v>
      </c>
      <c r="O1452" s="72">
        <v>1701</v>
      </c>
      <c r="P1452" s="73" t="str">
        <f>VLOOKUP(Tabla6[[#This Row],[GEO]],Listas!$A$48:$B$77,2,0)</f>
        <v>QUITO</v>
      </c>
      <c r="Q1452" s="70">
        <f>VLOOKUP(Tabla6[[#This Row],[PG]],Listas2!$G$14:$K$16,3,0)</f>
        <v>1</v>
      </c>
      <c r="R1452" s="73">
        <f>VLOOKUP(Tabla6[[#This Row],[PG]],Listas2!H1205:'Listas2'!$G$14:$K$16,4,0)</f>
        <v>0</v>
      </c>
      <c r="S1452" s="73">
        <f>VLOOKUP(Tabla6[[#This Row],[PG]],Listas2!$G$14:$K$16,2,0)</f>
        <v>0</v>
      </c>
      <c r="T1452" s="66" t="s">
        <v>84</v>
      </c>
      <c r="U1452" s="74">
        <v>53</v>
      </c>
      <c r="V1452" s="66">
        <v>530813</v>
      </c>
      <c r="W1452" s="63" t="str">
        <f>VLOOKUP(Tabla6[[#This Row],[ÍTEM PRESUPUESTARIO]],Tabla2[#All],2,0)</f>
        <v>REPUESTOS Y ACCESORIOS</v>
      </c>
      <c r="X1452" s="57">
        <v>0</v>
      </c>
      <c r="Y1452" s="57">
        <f>12357.54+2642.46-2675+4000-16315-10</f>
        <v>0</v>
      </c>
      <c r="Z1452" s="58">
        <v>0</v>
      </c>
      <c r="AA1452" s="58">
        <v>0</v>
      </c>
      <c r="AB1452" s="58">
        <v>0</v>
      </c>
      <c r="AC1452" s="58">
        <v>0</v>
      </c>
      <c r="AD1452" s="58">
        <v>0</v>
      </c>
      <c r="AE1452" s="58">
        <v>0</v>
      </c>
      <c r="AF1452" s="58">
        <v>0</v>
      </c>
      <c r="AG1452" s="58">
        <v>0</v>
      </c>
      <c r="AH1452" s="58">
        <v>0</v>
      </c>
      <c r="AI1452" s="58">
        <v>0</v>
      </c>
      <c r="AJ1452" s="58">
        <v>0</v>
      </c>
      <c r="AK1452" s="58">
        <v>0</v>
      </c>
      <c r="AL1452" s="75">
        <f>+SUBTOTAL(9,Tabla6[[#This Row],[ENE]:[DIC]])</f>
        <v>0</v>
      </c>
      <c r="AM1452" s="76" t="str">
        <f t="shared" si="59"/>
        <v>OK</v>
      </c>
      <c r="AN1452" s="60">
        <f>16242.13-16242.13</f>
        <v>0</v>
      </c>
      <c r="AO1452" s="61">
        <f>+Tabla6[[#This Row],[PRESUPUESTO VIGENTE]]-Tabla6[[#This Row],[CERTIFICACIÓN PAPP]]</f>
        <v>0</v>
      </c>
      <c r="AP1452" s="59">
        <v>0</v>
      </c>
    </row>
    <row r="1453" spans="1:42" ht="93" customHeight="1" x14ac:dyDescent="0.25">
      <c r="A1453" s="62" t="s">
        <v>88</v>
      </c>
      <c r="B1453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453" s="64" t="s">
        <v>89</v>
      </c>
      <c r="D1453" s="64" t="s">
        <v>201</v>
      </c>
      <c r="E1453" s="64" t="s">
        <v>114</v>
      </c>
      <c r="F1453" s="64" t="s">
        <v>20</v>
      </c>
      <c r="G1453" s="64" t="s">
        <v>22</v>
      </c>
      <c r="H1453" s="65" t="str">
        <f>VLOOKUP(Tabla6[[#This Row],[DIRECCIÓN]],DIRECCIÓN[#All],2,0)</f>
        <v>TECNOLOGÍA</v>
      </c>
      <c r="I1453" s="66" t="s">
        <v>205</v>
      </c>
      <c r="J1453" s="67">
        <v>1</v>
      </c>
      <c r="K1453" s="68" t="str">
        <f>VLOOKUP(Tabla6[[#This Row],[DIRECCIÓN GENERAL / COORDINACIÓN / SUBDIRECCIÓN]],Tabla37[[#All],[Columna1]:[EOD]],2,0)</f>
        <v>266_9999</v>
      </c>
      <c r="L1453" s="69">
        <f>VLOOKUP(Tabla6[[#This Row],[OBJETIVOS PND]],Listas!$A$1:$C$3,3,0)</f>
        <v>55</v>
      </c>
      <c r="M1453" s="70">
        <f>VLOOKUP(Tabla6[[#This Row],[PG]],Listas2!$G$14:$K$16,5,0)</f>
        <v>0</v>
      </c>
      <c r="N1453" s="71">
        <v>3</v>
      </c>
      <c r="O1453" s="72">
        <v>1701</v>
      </c>
      <c r="P1453" s="73" t="str">
        <f>VLOOKUP(Tabla6[[#This Row],[GEO]],Listas!$A$48:$B$77,2,0)</f>
        <v>QUITO</v>
      </c>
      <c r="Q1453" s="70">
        <f>VLOOKUP(Tabla6[[#This Row],[PG]],Listas2!$G$14:$K$16,3,0)</f>
        <v>1</v>
      </c>
      <c r="R1453" s="73">
        <f>VLOOKUP(Tabla6[[#This Row],[PG]],Listas2!H151:'Listas2'!$G$14:$K$16,4,0)</f>
        <v>0</v>
      </c>
      <c r="S1453" s="73">
        <f>VLOOKUP(Tabla6[[#This Row],[PG]],Listas2!$G$14:$K$16,2,0)</f>
        <v>0</v>
      </c>
      <c r="T1453" s="66" t="s">
        <v>84</v>
      </c>
      <c r="U1453" s="74">
        <v>53</v>
      </c>
      <c r="V1453" s="66">
        <v>530813</v>
      </c>
      <c r="W1453" s="63" t="str">
        <f>VLOOKUP(Tabla6[[#This Row],[ÍTEM PRESUPUESTARIO]],Tabla2[#All],2,0)</f>
        <v>REPUESTOS Y ACCESORIOS</v>
      </c>
      <c r="X1453" s="57">
        <v>6600</v>
      </c>
      <c r="Y1453" s="57">
        <f>6600-300-1000</f>
        <v>5300</v>
      </c>
      <c r="Z1453" s="58">
        <v>0</v>
      </c>
      <c r="AA1453" s="58">
        <v>0</v>
      </c>
      <c r="AB1453" s="58">
        <v>0</v>
      </c>
      <c r="AC1453" s="58">
        <v>0</v>
      </c>
      <c r="AD1453" s="58">
        <v>0</v>
      </c>
      <c r="AE1453" s="58">
        <v>0</v>
      </c>
      <c r="AF1453" s="58">
        <v>0</v>
      </c>
      <c r="AG1453" s="58">
        <v>0</v>
      </c>
      <c r="AH1453" s="58">
        <v>5300</v>
      </c>
      <c r="AI1453" s="58">
        <v>0</v>
      </c>
      <c r="AJ1453" s="58">
        <v>0</v>
      </c>
      <c r="AK1453" s="58">
        <v>0</v>
      </c>
      <c r="AL1453" s="75">
        <f>+SUBTOTAL(9,Tabla6[[#This Row],[ENE]:[DIC]])</f>
        <v>5300</v>
      </c>
      <c r="AM1453" s="76" t="str">
        <f t="shared" si="59"/>
        <v>OK</v>
      </c>
      <c r="AN1453" s="60">
        <v>5300</v>
      </c>
      <c r="AO1453" s="61">
        <f>+Tabla6[[#This Row],[PRESUPUESTO VIGENTE]]-Tabla6[[#This Row],[CERTIFICACIÓN PAPP]]</f>
        <v>0</v>
      </c>
      <c r="AP1453" s="59" t="s">
        <v>87</v>
      </c>
    </row>
    <row r="1454" spans="1:42" ht="93" customHeight="1" x14ac:dyDescent="0.25">
      <c r="A1454" s="62" t="s">
        <v>88</v>
      </c>
      <c r="B1454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454" s="64" t="s">
        <v>89</v>
      </c>
      <c r="D1454" s="64" t="s">
        <v>201</v>
      </c>
      <c r="E1454" s="64" t="s">
        <v>114</v>
      </c>
      <c r="F1454" s="64" t="s">
        <v>20</v>
      </c>
      <c r="G1454" s="64" t="s">
        <v>22</v>
      </c>
      <c r="H1454" s="65" t="str">
        <f>VLOOKUP(Tabla6[[#This Row],[DIRECCIÓN]],DIRECCIÓN[#All],2,0)</f>
        <v>TECNOLOGÍA</v>
      </c>
      <c r="I1454" s="66" t="s">
        <v>234</v>
      </c>
      <c r="J1454" s="67">
        <v>1</v>
      </c>
      <c r="K1454" s="68" t="str">
        <f>VLOOKUP(Tabla6[[#This Row],[DIRECCIÓN GENERAL / COORDINACIÓN / SUBDIRECCIÓN]],Tabla37[[#All],[Columna1]:[EOD]],2,0)</f>
        <v>266_9999</v>
      </c>
      <c r="L1454" s="69">
        <f>VLOOKUP(Tabla6[[#This Row],[OBJETIVOS PND]],Listas!$A$1:$C$3,3,0)</f>
        <v>55</v>
      </c>
      <c r="M1454" s="70">
        <f>VLOOKUP(Tabla6[[#This Row],[PG]],Listas2!$G$14:$K$16,5,0)</f>
        <v>0</v>
      </c>
      <c r="N1454" s="71">
        <v>3</v>
      </c>
      <c r="O1454" s="72">
        <v>1701</v>
      </c>
      <c r="P1454" s="73" t="str">
        <f>VLOOKUP(Tabla6[[#This Row],[GEO]],Listas!$A$48:$B$77,2,0)</f>
        <v>QUITO</v>
      </c>
      <c r="Q1454" s="70">
        <f>VLOOKUP(Tabla6[[#This Row],[PG]],Listas2!$G$14:$K$16,3,0)</f>
        <v>1</v>
      </c>
      <c r="R1454" s="73">
        <f>VLOOKUP(Tabla6[[#This Row],[PG]],Listas2!H152:'Listas2'!$G$14:$K$16,4,0)</f>
        <v>0</v>
      </c>
      <c r="S1454" s="73">
        <f>VLOOKUP(Tabla6[[#This Row],[PG]],Listas2!$G$14:$K$16,2,0)</f>
        <v>0</v>
      </c>
      <c r="T1454" s="66" t="s">
        <v>84</v>
      </c>
      <c r="U1454" s="74">
        <v>53</v>
      </c>
      <c r="V1454" s="66">
        <v>530813</v>
      </c>
      <c r="W1454" s="63" t="str">
        <f>VLOOKUP(Tabla6[[#This Row],[ÍTEM PRESUPUESTARIO]],Tabla2[#All],2,0)</f>
        <v>REPUESTOS Y ACCESORIOS</v>
      </c>
      <c r="X1454" s="57">
        <v>45000</v>
      </c>
      <c r="Y1454" s="57">
        <f>45000-45000</f>
        <v>0</v>
      </c>
      <c r="Z1454" s="58">
        <v>0</v>
      </c>
      <c r="AA1454" s="58">
        <v>0</v>
      </c>
      <c r="AB1454" s="58">
        <v>0</v>
      </c>
      <c r="AC1454" s="58">
        <v>0</v>
      </c>
      <c r="AD1454" s="58">
        <v>0</v>
      </c>
      <c r="AE1454" s="58">
        <v>0</v>
      </c>
      <c r="AF1454" s="58">
        <v>0</v>
      </c>
      <c r="AG1454" s="58">
        <v>0</v>
      </c>
      <c r="AH1454" s="58">
        <v>0</v>
      </c>
      <c r="AI1454" s="58">
        <v>0</v>
      </c>
      <c r="AJ1454" s="58">
        <v>0</v>
      </c>
      <c r="AK1454" s="58">
        <v>0</v>
      </c>
      <c r="AL1454" s="75">
        <f>+SUBTOTAL(9,Tabla6[[#This Row],[ENE]:[DIC]])</f>
        <v>0</v>
      </c>
      <c r="AM1454" s="76" t="str">
        <f t="shared" si="59"/>
        <v>OK</v>
      </c>
      <c r="AN1454" s="60">
        <v>0</v>
      </c>
      <c r="AO1454" s="61">
        <f>+Tabla6[[#This Row],[PRESUPUESTO VIGENTE]]-Tabla6[[#This Row],[CERTIFICACIÓN PAPP]]</f>
        <v>0</v>
      </c>
      <c r="AP1454" s="59" t="s">
        <v>87</v>
      </c>
    </row>
    <row r="1455" spans="1:42" ht="93" customHeight="1" x14ac:dyDescent="0.25">
      <c r="A1455" s="62" t="s">
        <v>88</v>
      </c>
      <c r="B1455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455" s="64" t="s">
        <v>89</v>
      </c>
      <c r="D1455" s="64" t="s">
        <v>201</v>
      </c>
      <c r="E1455" s="64" t="s">
        <v>81</v>
      </c>
      <c r="F1455" s="64" t="s">
        <v>8</v>
      </c>
      <c r="G1455" s="64" t="s">
        <v>10</v>
      </c>
      <c r="H1455" s="65" t="str">
        <f>VLOOKUP(Tabla6[[#This Row],[DIRECCIÓN]],DIRECCIÓN[#All],2,0)</f>
        <v>TECNOLOGÍA</v>
      </c>
      <c r="I1455" s="66" t="s">
        <v>233</v>
      </c>
      <c r="J1455" s="67">
        <v>1</v>
      </c>
      <c r="K1455" s="68" t="str">
        <f>VLOOKUP(Tabla6[[#This Row],[DIRECCIÓN GENERAL / COORDINACIÓN / SUBDIRECCIÓN]],Tabla37[[#All],[Columna1]:[EOD]],2,0)</f>
        <v>266_9999</v>
      </c>
      <c r="L1455" s="69">
        <f>VLOOKUP(Tabla6[[#This Row],[OBJETIVOS PND]],Listas!$A$1:$C$3,3,0)</f>
        <v>55</v>
      </c>
      <c r="M1455" s="70">
        <f>VLOOKUP(Tabla6[[#This Row],[PG]],Listas2!$G$14:$K$16,5,0)</f>
        <v>0</v>
      </c>
      <c r="N1455" s="71">
        <v>3</v>
      </c>
      <c r="O1455" s="72">
        <v>1701</v>
      </c>
      <c r="P1455" s="73" t="str">
        <f>VLOOKUP(Tabla6[[#This Row],[GEO]],Listas!$A$48:$B$77,2,0)</f>
        <v>QUITO</v>
      </c>
      <c r="Q1455" s="70">
        <f>VLOOKUP(Tabla6[[#This Row],[PG]],Listas2!$G$14:$K$16,3,0)</f>
        <v>1</v>
      </c>
      <c r="R1455" s="73">
        <f>VLOOKUP(Tabla6[[#This Row],[PG]],Listas2!H1234:'Listas2'!$G$14:$K$16,4,0)</f>
        <v>0</v>
      </c>
      <c r="S1455" s="73">
        <f>VLOOKUP(Tabla6[[#This Row],[PG]],Listas2!$G$14:$K$16,2,0)</f>
        <v>0</v>
      </c>
      <c r="T1455" s="66" t="s">
        <v>84</v>
      </c>
      <c r="U1455" s="74">
        <v>53</v>
      </c>
      <c r="V1455" s="66">
        <v>531406</v>
      </c>
      <c r="W1455" s="63" t="str">
        <f>VLOOKUP(Tabla6[[#This Row],[ÍTEM PRESUPUESTARIO]],Tabla2[#All],2,0)</f>
        <v>HERRAMIENTAS Y EQUIPOS MENORES</v>
      </c>
      <c r="X1455" s="57">
        <v>0</v>
      </c>
      <c r="Y1455" s="57">
        <f>100-50-50</f>
        <v>0</v>
      </c>
      <c r="Z1455" s="58">
        <v>0</v>
      </c>
      <c r="AA1455" s="58">
        <v>0</v>
      </c>
      <c r="AB1455" s="58">
        <v>0</v>
      </c>
      <c r="AC1455" s="58">
        <v>0</v>
      </c>
      <c r="AD1455" s="58">
        <v>0</v>
      </c>
      <c r="AE1455" s="58">
        <v>0</v>
      </c>
      <c r="AF1455" s="58">
        <v>0</v>
      </c>
      <c r="AG1455" s="58">
        <v>0</v>
      </c>
      <c r="AH1455" s="58">
        <v>0</v>
      </c>
      <c r="AI1455" s="58">
        <v>0</v>
      </c>
      <c r="AJ1455" s="58">
        <v>0</v>
      </c>
      <c r="AK1455" s="58">
        <v>0</v>
      </c>
      <c r="AL1455" s="75">
        <f>+SUBTOTAL(9,Tabla6[[#This Row],[ENE]:[DIC]])</f>
        <v>0</v>
      </c>
      <c r="AM1455" s="76" t="str">
        <f t="shared" si="59"/>
        <v>OK</v>
      </c>
      <c r="AN1455" s="60">
        <f>30-30</f>
        <v>0</v>
      </c>
      <c r="AO1455" s="61">
        <f>+Tabla6[[#This Row],[PRESUPUESTO VIGENTE]]-Tabla6[[#This Row],[CERTIFICACIÓN PAPP]]</f>
        <v>0</v>
      </c>
      <c r="AP1455" s="59">
        <v>0</v>
      </c>
    </row>
    <row r="1456" spans="1:42" ht="93" customHeight="1" x14ac:dyDescent="0.25">
      <c r="A1456" s="62" t="s">
        <v>88</v>
      </c>
      <c r="B1456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456" s="64" t="s">
        <v>89</v>
      </c>
      <c r="D1456" s="64" t="s">
        <v>201</v>
      </c>
      <c r="E1456" s="64" t="s">
        <v>81</v>
      </c>
      <c r="F1456" s="64" t="s">
        <v>8</v>
      </c>
      <c r="G1456" s="64" t="s">
        <v>10</v>
      </c>
      <c r="H1456" s="65" t="str">
        <f>VLOOKUP(Tabla6[[#This Row],[DIRECCIÓN]],DIRECCIÓN[#All],2,0)</f>
        <v>TECNOLOGÍA</v>
      </c>
      <c r="I1456" s="66" t="s">
        <v>233</v>
      </c>
      <c r="J1456" s="67">
        <v>1</v>
      </c>
      <c r="K1456" s="68" t="str">
        <f>VLOOKUP(Tabla6[[#This Row],[DIRECCIÓN GENERAL / COORDINACIÓN / SUBDIRECCIÓN]],Tabla37[[#All],[Columna1]:[EOD]],2,0)</f>
        <v>266_9999</v>
      </c>
      <c r="L1456" s="69">
        <f>VLOOKUP(Tabla6[[#This Row],[OBJETIVOS PND]],Listas!$A$1:$C$3,3,0)</f>
        <v>55</v>
      </c>
      <c r="M1456" s="70">
        <f>VLOOKUP(Tabla6[[#This Row],[PG]],Listas2!$G$14:$K$16,5,0)</f>
        <v>0</v>
      </c>
      <c r="N1456" s="71">
        <v>3</v>
      </c>
      <c r="O1456" s="72">
        <v>1701</v>
      </c>
      <c r="P1456" s="73" t="str">
        <f>VLOOKUP(Tabla6[[#This Row],[GEO]],Listas!$A$48:$B$77,2,0)</f>
        <v>QUITO</v>
      </c>
      <c r="Q1456" s="70">
        <f>VLOOKUP(Tabla6[[#This Row],[PG]],Listas2!$G$14:$K$16,3,0)</f>
        <v>1</v>
      </c>
      <c r="R1456" s="73">
        <f>VLOOKUP(Tabla6[[#This Row],[PG]],Listas2!H1235:'Listas2'!$G$14:$K$16,4,0)</f>
        <v>0</v>
      </c>
      <c r="S1456" s="73">
        <f>VLOOKUP(Tabla6[[#This Row],[PG]],Listas2!$G$14:$K$16,2,0)</f>
        <v>0</v>
      </c>
      <c r="T1456" s="66" t="s">
        <v>84</v>
      </c>
      <c r="U1456" s="74">
        <v>53</v>
      </c>
      <c r="V1456" s="66">
        <v>531407</v>
      </c>
      <c r="W1456" s="63" t="str">
        <f>VLOOKUP(Tabla6[[#This Row],[ÍTEM PRESUPUESTARIO]],Tabla2[#All],2,0)</f>
        <v>EQUIPOS, SISTEMAS Y PAQUETES INFORMÁTICOS</v>
      </c>
      <c r="X1456" s="57">
        <v>0</v>
      </c>
      <c r="Y1456" s="57">
        <f>2575-1287.5+2000+500-3000-787.5</f>
        <v>0</v>
      </c>
      <c r="Z1456" s="58">
        <v>0</v>
      </c>
      <c r="AA1456" s="58">
        <v>0</v>
      </c>
      <c r="AB1456" s="58">
        <v>0</v>
      </c>
      <c r="AC1456" s="58">
        <v>0</v>
      </c>
      <c r="AD1456" s="58">
        <v>0</v>
      </c>
      <c r="AE1456" s="58">
        <v>0</v>
      </c>
      <c r="AF1456" s="58">
        <v>0</v>
      </c>
      <c r="AG1456" s="58">
        <v>0</v>
      </c>
      <c r="AH1456" s="58">
        <v>0</v>
      </c>
      <c r="AI1456" s="58">
        <v>0</v>
      </c>
      <c r="AJ1456" s="58">
        <v>0</v>
      </c>
      <c r="AK1456" s="58">
        <v>0</v>
      </c>
      <c r="AL1456" s="75">
        <f>+SUBTOTAL(9,Tabla6[[#This Row],[ENE]:[DIC]])</f>
        <v>0</v>
      </c>
      <c r="AM1456" s="76" t="str">
        <f t="shared" si="59"/>
        <v>OK</v>
      </c>
      <c r="AN1456" s="60">
        <f>3750-3750</f>
        <v>0</v>
      </c>
      <c r="AO1456" s="61">
        <f>+Tabla6[[#This Row],[PRESUPUESTO VIGENTE]]-Tabla6[[#This Row],[CERTIFICACIÓN PAPP]]</f>
        <v>0</v>
      </c>
      <c r="AP1456" s="59">
        <v>0</v>
      </c>
    </row>
    <row r="1457" spans="1:42" ht="93" customHeight="1" x14ac:dyDescent="0.25">
      <c r="A1457" s="62" t="s">
        <v>88</v>
      </c>
      <c r="B1457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457" s="64" t="s">
        <v>89</v>
      </c>
      <c r="D1457" s="64" t="s">
        <v>197</v>
      </c>
      <c r="E1457" s="64" t="s">
        <v>114</v>
      </c>
      <c r="F1457" s="64" t="s">
        <v>20</v>
      </c>
      <c r="G1457" s="64" t="s">
        <v>21</v>
      </c>
      <c r="H1457" s="65" t="str">
        <f>VLOOKUP(Tabla6[[#This Row],[DIRECCIÓN]],DIRECCIÓN[#All],2,0)</f>
        <v>TECNOLOGÍA</v>
      </c>
      <c r="I1457" s="66" t="s">
        <v>220</v>
      </c>
      <c r="J1457" s="67">
        <v>1</v>
      </c>
      <c r="K1457" s="68" t="str">
        <f>VLOOKUP(Tabla6[[#This Row],[DIRECCIÓN GENERAL / COORDINACIÓN / SUBDIRECCIÓN]],Tabla37[[#All],[Columna1]:[EOD]],2,0)</f>
        <v>266_9999</v>
      </c>
      <c r="L1457" s="69">
        <f>VLOOKUP(Tabla6[[#This Row],[OBJETIVOS PND]],Listas!$A$1:$C$3,3,0)</f>
        <v>55</v>
      </c>
      <c r="M1457" s="70">
        <f>VLOOKUP(Tabla6[[#This Row],[PG]],Listas2!$G$14:$K$16,5,0)</f>
        <v>0</v>
      </c>
      <c r="N1457" s="71">
        <v>3</v>
      </c>
      <c r="O1457" s="72">
        <v>1701</v>
      </c>
      <c r="P1457" s="73" t="str">
        <f>VLOOKUP(Tabla6[[#This Row],[GEO]],Listas!$A$48:$B$77,2,0)</f>
        <v>QUITO</v>
      </c>
      <c r="Q1457" s="70">
        <f>VLOOKUP(Tabla6[[#This Row],[PG]],Listas2!$G$14:$K$16,3,0)</f>
        <v>1</v>
      </c>
      <c r="R1457" s="73">
        <f>VLOOKUP(Tabla6[[#This Row],[PG]],Listas2!H1236:'Listas2'!$G$14:$K$16,4,0)</f>
        <v>0</v>
      </c>
      <c r="S1457" s="73">
        <f>VLOOKUP(Tabla6[[#This Row],[PG]],Listas2!$G$14:$K$16,2,0)</f>
        <v>0</v>
      </c>
      <c r="T1457" s="66" t="s">
        <v>95</v>
      </c>
      <c r="U1457" s="74">
        <v>84</v>
      </c>
      <c r="V1457" s="66">
        <v>840104</v>
      </c>
      <c r="W1457" s="63" t="str">
        <f>VLOOKUP(Tabla6[[#This Row],[ÍTEM PRESUPUESTARIO]],Tabla2[#All],2,0)</f>
        <v>MAQUINARIAS Y EQUIPOS</v>
      </c>
      <c r="X1457" s="57">
        <v>0</v>
      </c>
      <c r="Y1457" s="57">
        <f>238895-62251.4</f>
        <v>176643.6</v>
      </c>
      <c r="Z1457" s="58">
        <v>0</v>
      </c>
      <c r="AA1457" s="58">
        <v>0</v>
      </c>
      <c r="AB1457" s="58">
        <v>0</v>
      </c>
      <c r="AC1457" s="58">
        <v>0</v>
      </c>
      <c r="AD1457" s="58">
        <v>0</v>
      </c>
      <c r="AE1457" s="58">
        <v>0</v>
      </c>
      <c r="AF1457" s="58">
        <v>0</v>
      </c>
      <c r="AG1457" s="58">
        <v>0</v>
      </c>
      <c r="AH1457" s="58">
        <v>0</v>
      </c>
      <c r="AI1457" s="58">
        <v>0</v>
      </c>
      <c r="AJ1457" s="58">
        <v>0</v>
      </c>
      <c r="AK1457" s="58">
        <v>176643.6</v>
      </c>
      <c r="AL1457" s="75">
        <f>+SUBTOTAL(9,Tabla6[[#This Row],[ENE]:[DIC]])</f>
        <v>176643.6</v>
      </c>
      <c r="AM1457" s="76" t="str">
        <f t="shared" si="59"/>
        <v>OK</v>
      </c>
      <c r="AN1457" s="60">
        <v>176643.6</v>
      </c>
      <c r="AO1457" s="61">
        <f>+Tabla6[[#This Row],[PRESUPUESTO VIGENTE]]-Tabla6[[#This Row],[CERTIFICACIÓN PAPP]]</f>
        <v>0</v>
      </c>
      <c r="AP1457" s="59">
        <v>0</v>
      </c>
    </row>
    <row r="1458" spans="1:42" ht="93" customHeight="1" x14ac:dyDescent="0.25">
      <c r="A1458" s="62" t="s">
        <v>88</v>
      </c>
      <c r="B1458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458" s="64" t="s">
        <v>89</v>
      </c>
      <c r="D1458" s="64" t="s">
        <v>197</v>
      </c>
      <c r="E1458" s="64" t="s">
        <v>114</v>
      </c>
      <c r="F1458" s="64" t="s">
        <v>20</v>
      </c>
      <c r="G1458" s="64" t="s">
        <v>21</v>
      </c>
      <c r="H1458" s="65" t="str">
        <f>VLOOKUP(Tabla6[[#This Row],[DIRECCIÓN]],DIRECCIÓN[#All],2,0)</f>
        <v>TECNOLOGÍA</v>
      </c>
      <c r="I1458" s="66" t="s">
        <v>235</v>
      </c>
      <c r="J1458" s="67">
        <v>1</v>
      </c>
      <c r="K1458" s="68" t="str">
        <f>VLOOKUP(Tabla6[[#This Row],[DIRECCIÓN GENERAL / COORDINACIÓN / SUBDIRECCIÓN]],Tabla37[[#All],[Columna1]:[EOD]],2,0)</f>
        <v>266_9999</v>
      </c>
      <c r="L1458" s="69">
        <f>VLOOKUP(Tabla6[[#This Row],[OBJETIVOS PND]],Listas!$A$1:$C$3,3,0)</f>
        <v>55</v>
      </c>
      <c r="M1458" s="70">
        <f>VLOOKUP(Tabla6[[#This Row],[PG]],Listas2!$G$14:$K$16,5,0)</f>
        <v>0</v>
      </c>
      <c r="N1458" s="71">
        <v>3</v>
      </c>
      <c r="O1458" s="72">
        <v>1701</v>
      </c>
      <c r="P1458" s="73" t="str">
        <f>VLOOKUP(Tabla6[[#This Row],[GEO]],Listas!$A$48:$B$77,2,0)</f>
        <v>QUITO</v>
      </c>
      <c r="Q1458" s="70">
        <f>VLOOKUP(Tabla6[[#This Row],[PG]],Listas2!$G$14:$K$16,3,0)</f>
        <v>1</v>
      </c>
      <c r="R1458" s="73">
        <f>VLOOKUP(Tabla6[[#This Row],[PG]],Listas2!H1236:'Listas2'!$G$14:$K$16,4,0)</f>
        <v>0</v>
      </c>
      <c r="S1458" s="73">
        <f>VLOOKUP(Tabla6[[#This Row],[PG]],Listas2!$G$14:$K$16,2,0)</f>
        <v>0</v>
      </c>
      <c r="T1458" s="66" t="s">
        <v>95</v>
      </c>
      <c r="U1458" s="74">
        <v>84</v>
      </c>
      <c r="V1458" s="66">
        <v>840107</v>
      </c>
      <c r="W1458" s="63" t="str">
        <f>VLOOKUP(Tabla6[[#This Row],[ÍTEM PRESUPUESTARIO]],Tabla2[#All],2,0)</f>
        <v>EQUIPOS SISTEMAS Y PAQUETES INFORMÁTICOS</v>
      </c>
      <c r="X1458" s="57">
        <v>0</v>
      </c>
      <c r="Y1458" s="57">
        <f>124890-292</f>
        <v>124598</v>
      </c>
      <c r="Z1458" s="58">
        <v>0</v>
      </c>
      <c r="AA1458" s="58">
        <v>0</v>
      </c>
      <c r="AB1458" s="58">
        <v>0</v>
      </c>
      <c r="AC1458" s="58">
        <v>0</v>
      </c>
      <c r="AD1458" s="58">
        <v>0</v>
      </c>
      <c r="AE1458" s="58">
        <v>0</v>
      </c>
      <c r="AF1458" s="58">
        <v>0</v>
      </c>
      <c r="AG1458" s="58">
        <v>0</v>
      </c>
      <c r="AH1458" s="58">
        <v>0</v>
      </c>
      <c r="AI1458" s="58">
        <v>0</v>
      </c>
      <c r="AJ1458" s="58">
        <v>124598</v>
      </c>
      <c r="AK1458" s="58">
        <v>0</v>
      </c>
      <c r="AL1458" s="75">
        <f>+SUBTOTAL(9,Tabla6[[#This Row],[ENE]:[DIC]])</f>
        <v>124598</v>
      </c>
      <c r="AM1458" s="76" t="str">
        <f t="shared" si="59"/>
        <v>OK</v>
      </c>
      <c r="AN1458" s="60">
        <v>124598</v>
      </c>
      <c r="AO1458" s="61">
        <f>+Tabla6[[#This Row],[PRESUPUESTO VIGENTE]]-Tabla6[[#This Row],[CERTIFICACIÓN PAPP]]</f>
        <v>0</v>
      </c>
      <c r="AP1458" s="59">
        <v>0</v>
      </c>
    </row>
    <row r="1459" spans="1:42" ht="93" customHeight="1" x14ac:dyDescent="0.25">
      <c r="A1459" s="62" t="s">
        <v>88</v>
      </c>
      <c r="B1459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459" s="64" t="s">
        <v>89</v>
      </c>
      <c r="D1459" s="64" t="s">
        <v>197</v>
      </c>
      <c r="E1459" s="64" t="s">
        <v>114</v>
      </c>
      <c r="F1459" s="64" t="s">
        <v>20</v>
      </c>
      <c r="G1459" s="64" t="s">
        <v>21</v>
      </c>
      <c r="H1459" s="65" t="str">
        <f>VLOOKUP(Tabla6[[#This Row],[DIRECCIÓN]],DIRECCIÓN[#All],2,0)</f>
        <v>TECNOLOGÍA</v>
      </c>
      <c r="I1459" s="66" t="s">
        <v>219</v>
      </c>
      <c r="J1459" s="67">
        <v>1</v>
      </c>
      <c r="K1459" s="68" t="str">
        <f>VLOOKUP(Tabla6[[#This Row],[DIRECCIÓN GENERAL / COORDINACIÓN / SUBDIRECCIÓN]],Tabla37[[#All],[Columna1]:[EOD]],2,0)</f>
        <v>266_9999</v>
      </c>
      <c r="L1459" s="69">
        <f>VLOOKUP(Tabla6[[#This Row],[OBJETIVOS PND]],Listas!$A$1:$C$3,3,0)</f>
        <v>55</v>
      </c>
      <c r="M1459" s="70">
        <f>VLOOKUP(Tabla6[[#This Row],[PG]],Listas2!$G$14:$K$16,5,0)</f>
        <v>0</v>
      </c>
      <c r="N1459" s="71">
        <v>3</v>
      </c>
      <c r="O1459" s="72">
        <v>1701</v>
      </c>
      <c r="P1459" s="73" t="str">
        <f>VLOOKUP(Tabla6[[#This Row],[GEO]],Listas!$A$48:$B$77,2,0)</f>
        <v>QUITO</v>
      </c>
      <c r="Q1459" s="70">
        <f>VLOOKUP(Tabla6[[#This Row],[PG]],Listas2!$G$14:$K$16,3,0)</f>
        <v>1</v>
      </c>
      <c r="R1459" s="73">
        <f>VLOOKUP(Tabla6[[#This Row],[PG]],Listas2!H1398:'Listas2'!$G$14:$K$16,4,0)</f>
        <v>0</v>
      </c>
      <c r="S1459" s="73">
        <f>VLOOKUP(Tabla6[[#This Row],[PG]],Listas2!$G$14:$K$16,2,0)</f>
        <v>0</v>
      </c>
      <c r="T1459" s="66" t="s">
        <v>95</v>
      </c>
      <c r="U1459" s="74">
        <v>84</v>
      </c>
      <c r="V1459" s="66">
        <v>840107</v>
      </c>
      <c r="W1459" s="63" t="str">
        <f>VLOOKUP(Tabla6[[#This Row],[ÍTEM PRESUPUESTARIO]],Tabla2[#All],2,0)</f>
        <v>EQUIPOS SISTEMAS Y PAQUETES INFORMÁTICOS</v>
      </c>
      <c r="X1459" s="57">
        <v>0</v>
      </c>
      <c r="Y1459" s="57">
        <f>436147.36-46918.04-8485.73</f>
        <v>380743.59</v>
      </c>
      <c r="Z1459" s="58">
        <v>0</v>
      </c>
      <c r="AA1459" s="58">
        <v>0</v>
      </c>
      <c r="AB1459" s="58">
        <v>0</v>
      </c>
      <c r="AC1459" s="58">
        <v>0</v>
      </c>
      <c r="AD1459" s="58">
        <v>0</v>
      </c>
      <c r="AE1459" s="58">
        <v>0</v>
      </c>
      <c r="AF1459" s="58">
        <v>0</v>
      </c>
      <c r="AG1459" s="58">
        <v>0</v>
      </c>
      <c r="AH1459" s="58">
        <v>0</v>
      </c>
      <c r="AI1459" s="58">
        <v>0</v>
      </c>
      <c r="AJ1459" s="58">
        <v>0</v>
      </c>
      <c r="AK1459" s="58">
        <v>380743.59</v>
      </c>
      <c r="AL1459" s="75">
        <f>+SUBTOTAL(9,Tabla6[[#This Row],[ENE]:[DIC]])</f>
        <v>380743.59</v>
      </c>
      <c r="AM1459" s="76" t="str">
        <f t="shared" si="59"/>
        <v>OK</v>
      </c>
      <c r="AN1459" s="60">
        <f>389229.32</f>
        <v>389229.32</v>
      </c>
      <c r="AO1459" s="58">
        <f>+Tabla6[[#This Row],[PRESUPUESTO VIGENTE]]-Tabla6[[#This Row],[CERTIFICACIÓN PAPP]]</f>
        <v>-8485.7299999999814</v>
      </c>
      <c r="AP1459" s="59">
        <v>0</v>
      </c>
    </row>
    <row r="1460" spans="1:42" ht="93" customHeight="1" x14ac:dyDescent="0.25">
      <c r="A1460" s="62" t="s">
        <v>88</v>
      </c>
      <c r="B1460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460" s="64" t="s">
        <v>89</v>
      </c>
      <c r="D1460" s="64" t="s">
        <v>197</v>
      </c>
      <c r="E1460" s="64" t="s">
        <v>114</v>
      </c>
      <c r="F1460" s="64" t="s">
        <v>20</v>
      </c>
      <c r="G1460" s="64" t="s">
        <v>22</v>
      </c>
      <c r="H1460" s="65" t="str">
        <f>VLOOKUP(Tabla6[[#This Row],[DIRECCIÓN]],DIRECCIÓN[#All],2,0)</f>
        <v>TECNOLOGÍA</v>
      </c>
      <c r="I1460" s="66" t="s">
        <v>236</v>
      </c>
      <c r="J1460" s="67">
        <v>1</v>
      </c>
      <c r="K1460" s="68" t="str">
        <f>VLOOKUP(Tabla6[[#This Row],[DIRECCIÓN GENERAL / COORDINACIÓN / SUBDIRECCIÓN]],Tabla37[[#All],[Columna1]:[EOD]],2,0)</f>
        <v>266_9999</v>
      </c>
      <c r="L1460" s="69">
        <f>VLOOKUP(Tabla6[[#This Row],[OBJETIVOS PND]],Listas!$A$1:$C$3,3,0)</f>
        <v>55</v>
      </c>
      <c r="M1460" s="70">
        <f>VLOOKUP(Tabla6[[#This Row],[PG]],Listas2!$G$14:$K$16,5,0)</f>
        <v>0</v>
      </c>
      <c r="N1460" s="71">
        <v>3</v>
      </c>
      <c r="O1460" s="72">
        <v>1701</v>
      </c>
      <c r="P1460" s="73" t="str">
        <f>VLOOKUP(Tabla6[[#This Row],[GEO]],Listas!$A$48:$B$77,2,0)</f>
        <v>QUITO</v>
      </c>
      <c r="Q1460" s="70">
        <f>VLOOKUP(Tabla6[[#This Row],[PG]],Listas2!$G$14:$K$16,3,0)</f>
        <v>1</v>
      </c>
      <c r="R1460" s="73">
        <f>VLOOKUP(Tabla6[[#This Row],[PG]],Listas2!H1399:'Listas2'!$G$14:$K$16,4,0)</f>
        <v>0</v>
      </c>
      <c r="S1460" s="73">
        <f>VLOOKUP(Tabla6[[#This Row],[PG]],Listas2!$G$14:$K$16,2,0)</f>
        <v>0</v>
      </c>
      <c r="T1460" s="66" t="s">
        <v>95</v>
      </c>
      <c r="U1460" s="74">
        <v>84</v>
      </c>
      <c r="V1460" s="66">
        <v>840107</v>
      </c>
      <c r="W1460" s="63" t="str">
        <f>VLOOKUP(Tabla6[[#This Row],[ÍTEM PRESUPUESTARIO]],Tabla2[#All],2,0)</f>
        <v>EQUIPOS SISTEMAS Y PAQUETES INFORMÁTICOS</v>
      </c>
      <c r="X1460" s="57">
        <v>0</v>
      </c>
      <c r="Y1460" s="57">
        <f>4950-4950</f>
        <v>0</v>
      </c>
      <c r="Z1460" s="58">
        <v>0</v>
      </c>
      <c r="AA1460" s="58">
        <v>0</v>
      </c>
      <c r="AB1460" s="58">
        <v>0</v>
      </c>
      <c r="AC1460" s="58">
        <v>0</v>
      </c>
      <c r="AD1460" s="58">
        <v>0</v>
      </c>
      <c r="AE1460" s="58">
        <v>0</v>
      </c>
      <c r="AF1460" s="58">
        <v>0</v>
      </c>
      <c r="AG1460" s="58">
        <v>0</v>
      </c>
      <c r="AH1460" s="58">
        <v>0</v>
      </c>
      <c r="AI1460" s="58">
        <v>0</v>
      </c>
      <c r="AJ1460" s="58">
        <v>0</v>
      </c>
      <c r="AK1460" s="58">
        <v>0</v>
      </c>
      <c r="AL1460" s="75">
        <f>+SUBTOTAL(9,Tabla6[[#This Row],[ENE]:[DIC]])</f>
        <v>0</v>
      </c>
      <c r="AM1460" s="76" t="str">
        <f t="shared" si="59"/>
        <v>OK</v>
      </c>
      <c r="AN1460" s="58">
        <v>0</v>
      </c>
      <c r="AO1460" s="58">
        <f>+Tabla6[[#This Row],[PRESUPUESTO VIGENTE]]-Tabla6[[#This Row],[CERTIFICACIÓN PAPP]]</f>
        <v>0</v>
      </c>
      <c r="AP1460" s="59">
        <v>0</v>
      </c>
    </row>
    <row r="1461" spans="1:42" ht="93" customHeight="1" x14ac:dyDescent="0.25">
      <c r="A1461" s="62" t="s">
        <v>88</v>
      </c>
      <c r="B1461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461" s="64" t="s">
        <v>89</v>
      </c>
      <c r="D1461" s="64" t="s">
        <v>197</v>
      </c>
      <c r="E1461" s="64" t="s">
        <v>114</v>
      </c>
      <c r="F1461" s="64" t="s">
        <v>20</v>
      </c>
      <c r="G1461" s="64" t="s">
        <v>21</v>
      </c>
      <c r="H1461" s="65" t="str">
        <f>VLOOKUP(Tabla6[[#This Row],[DIRECCIÓN]],DIRECCIÓN[#All],2,0)</f>
        <v>TECNOLOGÍA</v>
      </c>
      <c r="I1461" s="66" t="s">
        <v>237</v>
      </c>
      <c r="J1461" s="67">
        <v>1</v>
      </c>
      <c r="K1461" s="68" t="str">
        <f>VLOOKUP(Tabla6[[#This Row],[DIRECCIÓN GENERAL / COORDINACIÓN / SUBDIRECCIÓN]],Tabla37[[#All],[Columna1]:[EOD]],2,0)</f>
        <v>266_9999</v>
      </c>
      <c r="L1461" s="69">
        <f>VLOOKUP(Tabla6[[#This Row],[OBJETIVOS PND]],Listas!$A$1:$C$3,3,0)</f>
        <v>55</v>
      </c>
      <c r="M1461" s="70">
        <f>VLOOKUP(Tabla6[[#This Row],[PG]],Listas2!$G$14:$K$16,5,0)</f>
        <v>0</v>
      </c>
      <c r="N1461" s="71">
        <v>3</v>
      </c>
      <c r="O1461" s="72">
        <v>1701</v>
      </c>
      <c r="P1461" s="73" t="str">
        <f>VLOOKUP(Tabla6[[#This Row],[GEO]],Listas!$A$48:$B$77,2,0)</f>
        <v>QUITO</v>
      </c>
      <c r="Q1461" s="70">
        <f>VLOOKUP(Tabla6[[#This Row],[PG]],Listas2!$G$14:$K$16,3,0)</f>
        <v>1</v>
      </c>
      <c r="R1461" s="73">
        <f>VLOOKUP(Tabla6[[#This Row],[PG]],Listas2!H1400:'Listas2'!$G$14:$K$16,4,0)</f>
        <v>0</v>
      </c>
      <c r="S1461" s="73">
        <f>VLOOKUP(Tabla6[[#This Row],[PG]],Listas2!$G$14:$K$16,2,0)</f>
        <v>0</v>
      </c>
      <c r="T1461" s="66" t="s">
        <v>95</v>
      </c>
      <c r="U1461" s="74">
        <v>84</v>
      </c>
      <c r="V1461" s="66">
        <v>840107</v>
      </c>
      <c r="W1461" s="63" t="str">
        <f>VLOOKUP(Tabla6[[#This Row],[ÍTEM PRESUPUESTARIO]],Tabla2[#All],2,0)</f>
        <v>EQUIPOS SISTEMAS Y PAQUETES INFORMÁTICOS</v>
      </c>
      <c r="X1461" s="57">
        <v>0</v>
      </c>
      <c r="Y1461" s="57">
        <f>1750-1750</f>
        <v>0</v>
      </c>
      <c r="Z1461" s="58">
        <v>0</v>
      </c>
      <c r="AA1461" s="58">
        <v>0</v>
      </c>
      <c r="AB1461" s="58">
        <v>0</v>
      </c>
      <c r="AC1461" s="58">
        <v>0</v>
      </c>
      <c r="AD1461" s="58">
        <v>0</v>
      </c>
      <c r="AE1461" s="58">
        <v>0</v>
      </c>
      <c r="AF1461" s="58">
        <v>0</v>
      </c>
      <c r="AG1461" s="58">
        <v>0</v>
      </c>
      <c r="AH1461" s="58">
        <v>0</v>
      </c>
      <c r="AI1461" s="58">
        <v>0</v>
      </c>
      <c r="AJ1461" s="58">
        <v>0</v>
      </c>
      <c r="AK1461" s="58">
        <v>0</v>
      </c>
      <c r="AL1461" s="75">
        <f>+SUBTOTAL(9,Tabla6[[#This Row],[ENE]:[DIC]])</f>
        <v>0</v>
      </c>
      <c r="AM1461" s="76" t="str">
        <f t="shared" si="59"/>
        <v>OK</v>
      </c>
      <c r="AN1461" s="58">
        <v>0</v>
      </c>
      <c r="AO1461" s="58">
        <f>+Tabla6[[#This Row],[PRESUPUESTO VIGENTE]]-Tabla6[[#This Row],[CERTIFICACIÓN PAPP]]</f>
        <v>0</v>
      </c>
      <c r="AP1461" s="59">
        <v>0</v>
      </c>
    </row>
    <row r="1462" spans="1:42" ht="93" customHeight="1" x14ac:dyDescent="0.25">
      <c r="A1462" s="62" t="s">
        <v>88</v>
      </c>
      <c r="B1462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462" s="64" t="s">
        <v>89</v>
      </c>
      <c r="D1462" s="64" t="s">
        <v>197</v>
      </c>
      <c r="E1462" s="64" t="s">
        <v>81</v>
      </c>
      <c r="F1462" s="64" t="s">
        <v>8</v>
      </c>
      <c r="G1462" s="64" t="s">
        <v>10</v>
      </c>
      <c r="H1462" s="65" t="str">
        <f>VLOOKUP(Tabla6[[#This Row],[DIRECCIÓN]],DIRECCIÓN[#All],2,0)</f>
        <v>TECNOLOGÍA</v>
      </c>
      <c r="I1462" s="66" t="s">
        <v>238</v>
      </c>
      <c r="J1462" s="67">
        <v>1</v>
      </c>
      <c r="K1462" s="68" t="str">
        <f>VLOOKUP(Tabla6[[#This Row],[DIRECCIÓN GENERAL / COORDINACIÓN / SUBDIRECCIÓN]],Tabla37[[#All],[Columna1]:[EOD]],2,0)</f>
        <v>266_9999</v>
      </c>
      <c r="L1462" s="69">
        <f>VLOOKUP(Tabla6[[#This Row],[OBJETIVOS PND]],Listas!$A$1:$C$3,3,0)</f>
        <v>55</v>
      </c>
      <c r="M1462" s="70">
        <f>VLOOKUP(Tabla6[[#This Row],[PG]],Listas2!$G$14:$K$16,5,0)</f>
        <v>0</v>
      </c>
      <c r="N1462" s="71">
        <v>3</v>
      </c>
      <c r="O1462" s="72">
        <v>1701</v>
      </c>
      <c r="P1462" s="73" t="str">
        <f>VLOOKUP(Tabla6[[#This Row],[GEO]],Listas!$A$48:$B$77,2,0)</f>
        <v>QUITO</v>
      </c>
      <c r="Q1462" s="70">
        <f>VLOOKUP(Tabla6[[#This Row],[PG]],Listas2!$G$14:$K$16,3,0)</f>
        <v>1</v>
      </c>
      <c r="R1462" s="73">
        <f>VLOOKUP(Tabla6[[#This Row],[PG]],Listas2!H1401:'Listas2'!$G$14:$K$16,4,0)</f>
        <v>0</v>
      </c>
      <c r="S1462" s="73">
        <f>VLOOKUP(Tabla6[[#This Row],[PG]],Listas2!$G$14:$K$16,2,0)</f>
        <v>0</v>
      </c>
      <c r="T1462" s="66" t="s">
        <v>95</v>
      </c>
      <c r="U1462" s="74">
        <v>84</v>
      </c>
      <c r="V1462" s="66">
        <v>840107</v>
      </c>
      <c r="W1462" s="63" t="str">
        <f>VLOOKUP(Tabla6[[#This Row],[ÍTEM PRESUPUESTARIO]],Tabla2[#All],2,0)</f>
        <v>EQUIPOS SISTEMAS Y PAQUETES INFORMÁTICOS</v>
      </c>
      <c r="X1462" s="57">
        <v>0</v>
      </c>
      <c r="Y1462" s="57">
        <f>30830-30830</f>
        <v>0</v>
      </c>
      <c r="Z1462" s="58">
        <v>0</v>
      </c>
      <c r="AA1462" s="58">
        <v>0</v>
      </c>
      <c r="AB1462" s="58">
        <v>0</v>
      </c>
      <c r="AC1462" s="58">
        <v>0</v>
      </c>
      <c r="AD1462" s="58">
        <v>0</v>
      </c>
      <c r="AE1462" s="58">
        <v>0</v>
      </c>
      <c r="AF1462" s="58">
        <v>0</v>
      </c>
      <c r="AG1462" s="58">
        <v>0</v>
      </c>
      <c r="AH1462" s="58">
        <v>0</v>
      </c>
      <c r="AI1462" s="58">
        <v>0</v>
      </c>
      <c r="AJ1462" s="58">
        <v>0</v>
      </c>
      <c r="AK1462" s="58">
        <v>0</v>
      </c>
      <c r="AL1462" s="75">
        <f>+SUBTOTAL(9,Tabla6[[#This Row],[ENE]:[DIC]])</f>
        <v>0</v>
      </c>
      <c r="AM1462" s="76" t="str">
        <f t="shared" si="59"/>
        <v>OK</v>
      </c>
      <c r="AN1462" s="58">
        <v>30829</v>
      </c>
      <c r="AO1462" s="58">
        <f>+Tabla6[[#This Row],[PRESUPUESTO VIGENTE]]-Tabla6[[#This Row],[CERTIFICACIÓN PAPP]]</f>
        <v>-30829</v>
      </c>
      <c r="AP1462" s="59">
        <v>0</v>
      </c>
    </row>
    <row r="1463" spans="1:42" ht="93" customHeight="1" x14ac:dyDescent="0.25">
      <c r="A1463" s="62" t="s">
        <v>88</v>
      </c>
      <c r="B1463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463" s="64" t="s">
        <v>89</v>
      </c>
      <c r="D1463" s="64" t="s">
        <v>197</v>
      </c>
      <c r="E1463" s="64" t="s">
        <v>81</v>
      </c>
      <c r="F1463" s="64" t="s">
        <v>8</v>
      </c>
      <c r="G1463" s="64" t="s">
        <v>10</v>
      </c>
      <c r="H1463" s="65" t="str">
        <f>VLOOKUP(Tabla6[[#This Row],[DIRECCIÓN]],DIRECCIÓN[#All],2,0)</f>
        <v>TECNOLOGÍA</v>
      </c>
      <c r="I1463" s="66" t="s">
        <v>239</v>
      </c>
      <c r="J1463" s="67">
        <v>1</v>
      </c>
      <c r="K1463" s="68" t="str">
        <f>VLOOKUP(Tabla6[[#This Row],[DIRECCIÓN GENERAL / COORDINACIÓN / SUBDIRECCIÓN]],Tabla37[[#All],[Columna1]:[EOD]],2,0)</f>
        <v>266_9999</v>
      </c>
      <c r="L1463" s="69">
        <f>VLOOKUP(Tabla6[[#This Row],[OBJETIVOS PND]],Listas!$A$1:$C$3,3,0)</f>
        <v>55</v>
      </c>
      <c r="M1463" s="70">
        <f>VLOOKUP(Tabla6[[#This Row],[PG]],Listas2!$G$14:$K$16,5,0)</f>
        <v>0</v>
      </c>
      <c r="N1463" s="71">
        <v>3</v>
      </c>
      <c r="O1463" s="72">
        <v>1701</v>
      </c>
      <c r="P1463" s="73" t="str">
        <f>VLOOKUP(Tabla6[[#This Row],[GEO]],Listas!$A$48:$B$77,2,0)</f>
        <v>QUITO</v>
      </c>
      <c r="Q1463" s="70">
        <f>VLOOKUP(Tabla6[[#This Row],[PG]],Listas2!$G$14:$K$16,3,0)</f>
        <v>1</v>
      </c>
      <c r="R1463" s="73">
        <f>VLOOKUP(Tabla6[[#This Row],[PG]],Listas2!H1401:'Listas2'!$G$14:$K$16,4,0)</f>
        <v>0</v>
      </c>
      <c r="S1463" s="73">
        <f>VLOOKUP(Tabla6[[#This Row],[PG]],Listas2!$G$14:$K$16,2,0)</f>
        <v>0</v>
      </c>
      <c r="T1463" s="66" t="s">
        <v>95</v>
      </c>
      <c r="U1463" s="74">
        <v>84</v>
      </c>
      <c r="V1463" s="66">
        <v>840107</v>
      </c>
      <c r="W1463" s="63" t="str">
        <f>VLOOKUP(Tabla6[[#This Row],[ÍTEM PRESUPUESTARIO]],Tabla2[#All],2,0)</f>
        <v>EQUIPOS SISTEMAS Y PAQUETES INFORMÁTICOS</v>
      </c>
      <c r="X1463" s="57">
        <v>0</v>
      </c>
      <c r="Y1463" s="57">
        <f>5550-5550</f>
        <v>0</v>
      </c>
      <c r="Z1463" s="58">
        <v>0</v>
      </c>
      <c r="AA1463" s="58">
        <v>0</v>
      </c>
      <c r="AB1463" s="58">
        <v>0</v>
      </c>
      <c r="AC1463" s="58">
        <v>0</v>
      </c>
      <c r="AD1463" s="58">
        <v>0</v>
      </c>
      <c r="AE1463" s="58">
        <v>0</v>
      </c>
      <c r="AF1463" s="58">
        <v>0</v>
      </c>
      <c r="AG1463" s="58">
        <v>0</v>
      </c>
      <c r="AH1463" s="58">
        <v>0</v>
      </c>
      <c r="AI1463" s="58">
        <v>0</v>
      </c>
      <c r="AJ1463" s="58">
        <v>0</v>
      </c>
      <c r="AK1463" s="58">
        <v>0</v>
      </c>
      <c r="AL1463" s="75">
        <f>+SUBTOTAL(9,Tabla6[[#This Row],[ENE]:[DIC]])</f>
        <v>0</v>
      </c>
      <c r="AM1463" s="76" t="str">
        <f t="shared" si="59"/>
        <v>OK</v>
      </c>
      <c r="AN1463" s="58">
        <v>5520</v>
      </c>
      <c r="AO1463" s="58">
        <f>+Tabla6[[#This Row],[PRESUPUESTO VIGENTE]]-Tabla6[[#This Row],[CERTIFICACIÓN PAPP]]</f>
        <v>-5520</v>
      </c>
      <c r="AP1463" s="59">
        <v>0</v>
      </c>
    </row>
    <row r="1464" spans="1:42" ht="93" customHeight="1" x14ac:dyDescent="0.25">
      <c r="A1464" s="62" t="s">
        <v>88</v>
      </c>
      <c r="B1464" s="63" t="str">
        <f>VLOOKUP(Tabla6[[#This Row],[OBJETIVOS PND]],Listas!$A$1:$B$3,2,0)</f>
        <v>9.3 MPULSAR LA REDUCCIÓN DE RIESGOS DE DESASTRES Y ATENCIÓN OPORTUNA A EMERGENCIAS ANTE AMENAZAS NATURALES O ANTRÓPICAS EN TODOS LOS SECTORES Y NIVELES TERRITORIALES</v>
      </c>
      <c r="C1464" s="64" t="s">
        <v>89</v>
      </c>
      <c r="D1464" s="64" t="s">
        <v>197</v>
      </c>
      <c r="E1464" s="64" t="s">
        <v>81</v>
      </c>
      <c r="F1464" s="64" t="s">
        <v>8</v>
      </c>
      <c r="G1464" s="64" t="s">
        <v>10</v>
      </c>
      <c r="H1464" s="65" t="str">
        <f>VLOOKUP(Tabla6[[#This Row],[DIRECCIÓN]],DIRECCIÓN[#All],2,0)</f>
        <v>TECNOLOGÍA</v>
      </c>
      <c r="I1464" s="66" t="s">
        <v>226</v>
      </c>
      <c r="J1464" s="67">
        <v>1</v>
      </c>
      <c r="K1464" s="68" t="str">
        <f>VLOOKUP(Tabla6[[#This Row],[DIRECCIÓN GENERAL / COORDINACIÓN / SUBDIRECCIÓN]],Tabla37[[#All],[Columna1]:[EOD]],2,0)</f>
        <v>266_9999</v>
      </c>
      <c r="L1464" s="69">
        <f>VLOOKUP(Tabla6[[#This Row],[OBJETIVOS PND]],Listas!$A$1:$C$3,3,0)</f>
        <v>55</v>
      </c>
      <c r="M1464" s="70">
        <f>VLOOKUP(Tabla6[[#This Row],[PG]],Listas2!$G$14:$K$16,5,0)</f>
        <v>0</v>
      </c>
      <c r="N1464" s="71">
        <v>3</v>
      </c>
      <c r="O1464" s="72">
        <v>1701</v>
      </c>
      <c r="P1464" s="73" t="str">
        <f>VLOOKUP(Tabla6[[#This Row],[GEO]],Listas!$A$48:$B$77,2,0)</f>
        <v>QUITO</v>
      </c>
      <c r="Q1464" s="70">
        <f>VLOOKUP(Tabla6[[#This Row],[PG]],Listas2!$G$14:$K$16,3,0)</f>
        <v>1</v>
      </c>
      <c r="R1464" s="73">
        <f>VLOOKUP(Tabla6[[#This Row],[PG]],Listas2!H1236:'Listas2'!$G$14:$K$16,4,0)</f>
        <v>0</v>
      </c>
      <c r="S1464" s="73">
        <f>VLOOKUP(Tabla6[[#This Row],[PG]],Listas2!$G$14:$K$16,2,0)</f>
        <v>0</v>
      </c>
      <c r="T1464" s="66" t="s">
        <v>95</v>
      </c>
      <c r="U1464" s="74">
        <v>84</v>
      </c>
      <c r="V1464" s="66">
        <v>840107</v>
      </c>
      <c r="W1464" s="63" t="str">
        <f>VLOOKUP(Tabla6[[#This Row],[ÍTEM PRESUPUESTARIO]],Tabla2[#All],2,0)</f>
        <v>EQUIPOS SISTEMAS Y PAQUETES INFORMÁTICOS</v>
      </c>
      <c r="X1464" s="57">
        <v>0</v>
      </c>
      <c r="Y1464" s="57">
        <f>4130.04-4130.04</f>
        <v>0</v>
      </c>
      <c r="Z1464" s="58">
        <v>0</v>
      </c>
      <c r="AA1464" s="58">
        <v>0</v>
      </c>
      <c r="AB1464" s="58">
        <v>0</v>
      </c>
      <c r="AC1464" s="58">
        <v>0</v>
      </c>
      <c r="AD1464" s="58">
        <v>0</v>
      </c>
      <c r="AE1464" s="58">
        <v>0</v>
      </c>
      <c r="AF1464" s="58">
        <v>0</v>
      </c>
      <c r="AG1464" s="58">
        <v>0</v>
      </c>
      <c r="AH1464" s="58">
        <v>0</v>
      </c>
      <c r="AI1464" s="58">
        <v>0</v>
      </c>
      <c r="AJ1464" s="58">
        <v>0</v>
      </c>
      <c r="AK1464" s="58">
        <v>0</v>
      </c>
      <c r="AL1464" s="75">
        <f>+SUBTOTAL(9,Tabla6[[#This Row],[ENE]:[DIC]])</f>
        <v>0</v>
      </c>
      <c r="AM1464" s="76" t="str">
        <f t="shared" si="59"/>
        <v>OK</v>
      </c>
      <c r="AN1464" s="60">
        <v>0</v>
      </c>
      <c r="AO1464" s="61">
        <f>+Tabla6[[#This Row],[PRESUPUESTO VIGENTE]]-Tabla6[[#This Row],[CERTIFICACIÓN PAPP]]</f>
        <v>0</v>
      </c>
      <c r="AP1464" s="59">
        <v>0</v>
      </c>
    </row>
    <row r="1465" spans="1:42" s="56" customFormat="1" ht="12.75" x14ac:dyDescent="0.25">
      <c r="A1465" s="86" t="s">
        <v>240</v>
      </c>
      <c r="B1465" s="87"/>
      <c r="C1465" s="87"/>
      <c r="D1465" s="87"/>
      <c r="E1465" s="87"/>
      <c r="F1465" s="87"/>
      <c r="G1465" s="87"/>
      <c r="H1465" s="87"/>
      <c r="I1465" s="87"/>
      <c r="J1465" s="87"/>
      <c r="K1465" s="87"/>
      <c r="L1465" s="87"/>
      <c r="M1465" s="87"/>
      <c r="N1465" s="87"/>
      <c r="O1465" s="87"/>
      <c r="P1465" s="87"/>
      <c r="Q1465" s="87"/>
      <c r="R1465" s="87"/>
      <c r="S1465" s="87"/>
      <c r="T1465" s="87"/>
      <c r="U1465" s="87"/>
      <c r="V1465" s="87"/>
      <c r="W1465" s="88"/>
      <c r="X1465" s="55">
        <f>SUBTOTAL(109,Tabla6[PRESUPUESTO INICIAL 2023])</f>
        <v>36896180.280000001</v>
      </c>
      <c r="Y1465" s="55">
        <f>SUBTOTAL(109,Tabla6[PRESUPUESTO VIGENTE])</f>
        <v>33813779.890000008</v>
      </c>
      <c r="Z1465" s="55">
        <f>SUBTOTAL(109,Tabla6[ENE])</f>
        <v>2107082.0800000005</v>
      </c>
      <c r="AA1465" s="55">
        <f>SUBTOTAL(109,Tabla6[FEB])</f>
        <v>2405327.3600000003</v>
      </c>
      <c r="AB1465" s="55">
        <f>SUBTOTAL(109,Tabla6[MAR])</f>
        <v>2359868.69</v>
      </c>
      <c r="AC1465" s="55">
        <f>SUBTOTAL(109,Tabla6[ABR])</f>
        <v>3380749.0600000005</v>
      </c>
      <c r="AD1465" s="55">
        <f>SUBTOTAL(109,Tabla6[MAY])</f>
        <v>2431361.2599999998</v>
      </c>
      <c r="AE1465" s="55">
        <f>SUBTOTAL(109,Tabla6[JUN])</f>
        <v>2578197.1299999994</v>
      </c>
      <c r="AF1465" s="55">
        <f>SUBTOTAL(109,Tabla6[JUL])</f>
        <v>2789184.9600000004</v>
      </c>
      <c r="AG1465" s="55">
        <f>SUBTOTAL(109,Tabla6[AGO])</f>
        <v>3019058.1000000015</v>
      </c>
      <c r="AH1465" s="55">
        <f>SUBTOTAL(109,Tabla6[SEP])</f>
        <v>2482507.5900000003</v>
      </c>
      <c r="AI1465" s="55">
        <f>SUBTOTAL(109,Tabla6[OCT])</f>
        <v>2432187.5299999993</v>
      </c>
      <c r="AJ1465" s="55">
        <f>SUBTOTAL(109,Tabla6[NOV])</f>
        <v>3240234.7799999984</v>
      </c>
      <c r="AK1465" s="55">
        <f>SUBTOTAL(109,Tabla6[DIC])</f>
        <v>4588021.3499999959</v>
      </c>
      <c r="AL1465" s="55">
        <f>SUBTOTAL(109,Tabla6[TOTAL PROGRAMADO])</f>
        <v>0</v>
      </c>
      <c r="AM1465" s="55">
        <f>SUBTOTAL(109,Tabla6[REVISIÓN DE SUMAS])</f>
        <v>0</v>
      </c>
      <c r="AN1465" s="55">
        <f>SUBTOTAL(109,Tabla6[CERTIFICACIÓN PAPP])</f>
        <v>13565297.429999998</v>
      </c>
      <c r="AO1465" s="55">
        <f>SUBTOTAL(109,Tabla6[SALDO DSIPONIBLE])</f>
        <v>20248482.460000001</v>
      </c>
    </row>
    <row r="1467" spans="1:42" x14ac:dyDescent="0.25">
      <c r="X1467" s="53"/>
      <c r="Y1467" s="12"/>
      <c r="Z1467" s="12"/>
      <c r="AA1467" s="5"/>
      <c r="AB1467" s="53"/>
      <c r="AC1467" s="5"/>
      <c r="AD1467" s="5"/>
      <c r="AE1467" s="5"/>
      <c r="AF1467" s="5"/>
      <c r="AG1467" s="5"/>
      <c r="AH1467" s="5"/>
      <c r="AI1467" s="5"/>
      <c r="AJ1467" s="5"/>
      <c r="AK1467" s="5"/>
      <c r="AL1467" s="5"/>
      <c r="AM1467" s="5"/>
      <c r="AP1467" s="53"/>
    </row>
    <row r="1468" spans="1:42" x14ac:dyDescent="0.25">
      <c r="W1468" s="12"/>
      <c r="X1468" s="12"/>
      <c r="Y1468" s="12"/>
      <c r="Z1468" s="12"/>
      <c r="AN1468" s="12"/>
      <c r="AO1468" s="81"/>
    </row>
    <row r="1469" spans="1:42" x14ac:dyDescent="0.25">
      <c r="AA1469" s="11"/>
      <c r="AO1469" s="53"/>
    </row>
    <row r="1470" spans="1:42" x14ac:dyDescent="0.25">
      <c r="AO1470" s="53"/>
    </row>
    <row r="1471" spans="1:42" x14ac:dyDescent="0.25">
      <c r="AO1471" s="81"/>
      <c r="AP1471" s="53"/>
    </row>
    <row r="1472" spans="1:42" x14ac:dyDescent="0.25">
      <c r="AO1472" s="53"/>
    </row>
    <row r="1473" spans="40:42" x14ac:dyDescent="0.25">
      <c r="AO1473" s="53"/>
    </row>
    <row r="1474" spans="40:42" x14ac:dyDescent="0.25">
      <c r="AN1474" s="6"/>
      <c r="AO1474" s="78"/>
      <c r="AP1474" s="12"/>
    </row>
    <row r="1475" spans="40:42" x14ac:dyDescent="0.25">
      <c r="AN1475" s="6"/>
      <c r="AO1475" s="6"/>
      <c r="AP1475" s="12"/>
    </row>
    <row r="1476" spans="40:42" x14ac:dyDescent="0.25">
      <c r="AN1476" s="12"/>
      <c r="AO1476" s="79"/>
      <c r="AP1476" s="12"/>
    </row>
    <row r="1477" spans="40:42" x14ac:dyDescent="0.25">
      <c r="AN1477" s="12"/>
      <c r="AO1477" s="79"/>
      <c r="AP1477" s="12"/>
    </row>
    <row r="1478" spans="40:42" x14ac:dyDescent="0.25">
      <c r="AN1478" s="12"/>
      <c r="AO1478" s="79"/>
      <c r="AP1478" s="12"/>
    </row>
    <row r="1479" spans="40:42" x14ac:dyDescent="0.25">
      <c r="AN1479" s="12"/>
      <c r="AO1479" s="79"/>
      <c r="AP1479" s="12"/>
    </row>
    <row r="1480" spans="40:42" x14ac:dyDescent="0.25">
      <c r="AN1480" s="12"/>
      <c r="AO1480" s="79"/>
      <c r="AP1480" s="12"/>
    </row>
    <row r="1481" spans="40:42" x14ac:dyDescent="0.25">
      <c r="AN1481" s="12"/>
      <c r="AO1481" s="12"/>
      <c r="AP1481" s="12"/>
    </row>
    <row r="1482" spans="40:42" x14ac:dyDescent="0.25">
      <c r="AN1482" s="12"/>
      <c r="AO1482" s="12"/>
      <c r="AP1482" s="12"/>
    </row>
    <row r="1483" spans="40:42" x14ac:dyDescent="0.25">
      <c r="AP1483" s="12"/>
    </row>
    <row r="1484" spans="40:42" x14ac:dyDescent="0.25">
      <c r="AP1484" s="12"/>
    </row>
    <row r="1487" spans="40:42" x14ac:dyDescent="0.25">
      <c r="AN1487" s="12"/>
    </row>
  </sheetData>
  <mergeCells count="15">
    <mergeCell ref="V5:AN5"/>
    <mergeCell ref="A6:AN6"/>
    <mergeCell ref="A1465:W1465"/>
    <mergeCell ref="X7:AN7"/>
    <mergeCell ref="A7:D7"/>
    <mergeCell ref="E7:G7"/>
    <mergeCell ref="H7:J7"/>
    <mergeCell ref="K7:W7"/>
    <mergeCell ref="A1:C5"/>
    <mergeCell ref="D1:AN1"/>
    <mergeCell ref="D2:AN2"/>
    <mergeCell ref="D3:AN3"/>
    <mergeCell ref="D4:U4"/>
    <mergeCell ref="V4:AN4"/>
    <mergeCell ref="D5:U5"/>
  </mergeCells>
  <phoneticPr fontId="15" type="noConversion"/>
  <dataValidations count="12">
    <dataValidation type="list" showInputMessage="1" showErrorMessage="1" sqref="D1410:D1464 D9:D1408" xr:uid="{00000000-0002-0000-0100-000000000000}">
      <formula1>Operativos</formula1>
    </dataValidation>
    <dataValidation type="list" allowBlank="1" showInputMessage="1" showErrorMessage="1" sqref="U1459:U1464 U9:U1454" xr:uid="{00000000-0002-0000-0100-000001000000}">
      <formula1>INDIRECT($T9)</formula1>
    </dataValidation>
    <dataValidation type="list" allowBlank="1" showInputMessage="1" showErrorMessage="1" sqref="U1455:U1458" xr:uid="{00000000-0002-0000-0100-000002000000}">
      <formula1>INDIRECT($T$1455)</formula1>
    </dataValidation>
    <dataValidation type="list" allowBlank="1" showInputMessage="1" showErrorMessage="1" sqref="A9:A1464" xr:uid="{00000000-0002-0000-0100-000003000000}">
      <formula1>Objetivos</formula1>
    </dataValidation>
    <dataValidation type="list" allowBlank="1" showInputMessage="1" showErrorMessage="1" sqref="C9:C1464" xr:uid="{00000000-0002-0000-0100-000004000000}">
      <formula1>Estrategicos</formula1>
    </dataValidation>
    <dataValidation type="list" allowBlank="1" showInputMessage="1" showErrorMessage="1" sqref="E9:E1464" xr:uid="{00000000-0002-0000-0100-000005000000}">
      <formula1>Planta</formula1>
    </dataValidation>
    <dataValidation type="list" allowBlank="1" showInputMessage="1" showErrorMessage="1" sqref="T9:T1464" xr:uid="{00000000-0002-0000-0100-000006000000}">
      <formula1>TIPO_DE_GASTO</formula1>
    </dataValidation>
    <dataValidation type="list" allowBlank="1" showInputMessage="1" showErrorMessage="1" sqref="N9:N1464" xr:uid="{00000000-0002-0000-0100-000007000000}">
      <formula1>AC</formula1>
    </dataValidation>
    <dataValidation type="list" allowBlank="1" showInputMessage="1" showErrorMessage="1" sqref="V9:V1464" xr:uid="{00000000-0002-0000-0100-000008000000}">
      <formula1>INDIRECT("_"&amp;$U9)</formula1>
    </dataValidation>
    <dataValidation type="list" allowBlank="1" showInputMessage="1" showErrorMessage="1" sqref="G9:G1464" xr:uid="{00000000-0002-0000-0100-000009000000}">
      <formula1>INDIRECT($F9)</formula1>
    </dataValidation>
    <dataValidation type="list" allowBlank="1" showInputMessage="1" showErrorMessage="1" sqref="F9:F1464" xr:uid="{00000000-0002-0000-0100-00000A000000}">
      <formula1>INDIRECT($E9)</formula1>
    </dataValidation>
    <dataValidation type="list" allowBlank="1" showInputMessage="1" showErrorMessage="1" sqref="O9:O1464" xr:uid="{00000000-0002-0000-0100-00000B000000}">
      <formula1>INDIRECT("_"&amp;$K9)</formula1>
    </dataValidation>
  </dataValidations>
  <pageMargins left="0.7" right="0.7" top="0.75" bottom="0.75" header="0.3" footer="0.3"/>
  <pageSetup paperSize="9" scale="10" orientation="landscape" r:id="rId1"/>
  <drawing r:id="rId2"/>
  <legacyDrawing r:id="rId3"/>
  <tableParts count="1">
    <tablePart r:id="rId4"/>
  </tableParts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showInputMessage="1" showErrorMessage="1" xr:uid="{00000000-0002-0000-0100-00000C000000}">
          <x14:formula1>
            <xm:f>Listas!$G$2:$G$18</xm:f>
          </x14:formula1>
          <xm:sqref>D1409</xm:sqref>
        </x14:dataValidation>
        <x14:dataValidation type="list" allowBlank="1" showInputMessage="1" showErrorMessage="1" xr:uid="{00000000-0002-0000-0100-00000D000000}">
          <x14:formula1>
            <xm:f>Listas2!$N$2:$N$4</xm:f>
          </x14:formula1>
          <xm:sqref>J1271:J1464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2"/>
  <dimension ref="A1:S98"/>
  <sheetViews>
    <sheetView topLeftCell="L43" workbookViewId="0">
      <selection activeCell="R56" sqref="R56"/>
    </sheetView>
  </sheetViews>
  <sheetFormatPr baseColWidth="10" defaultColWidth="11.42578125" defaultRowHeight="15" x14ac:dyDescent="0.25"/>
  <cols>
    <col min="1" max="1" width="16.42578125" customWidth="1"/>
    <col min="2" max="2" width="15.140625" customWidth="1"/>
    <col min="3" max="3" width="29.28515625" customWidth="1"/>
    <col min="4" max="4" width="12.140625" customWidth="1"/>
    <col min="5" max="5" width="125.5703125" bestFit="1" customWidth="1"/>
    <col min="7" max="7" width="255.7109375" bestFit="1" customWidth="1"/>
    <col min="9" max="9" width="22" bestFit="1" customWidth="1"/>
    <col min="11" max="11" width="52.140625" customWidth="1"/>
    <col min="13" max="13" width="22.7109375" customWidth="1"/>
    <col min="14" max="14" width="26.7109375" customWidth="1"/>
    <col min="15" max="15" width="24.7109375" customWidth="1"/>
    <col min="17" max="17" width="23.28515625" customWidth="1"/>
    <col min="18" max="18" width="35.5703125" customWidth="1"/>
    <col min="19" max="19" width="17.85546875" customWidth="1"/>
  </cols>
  <sheetData>
    <row r="1" spans="1:19" ht="15.75" thickBot="1" x14ac:dyDescent="0.3">
      <c r="A1" t="s">
        <v>241</v>
      </c>
      <c r="B1" t="s">
        <v>242</v>
      </c>
      <c r="C1" t="s">
        <v>47</v>
      </c>
      <c r="E1" t="s">
        <v>39</v>
      </c>
      <c r="G1" t="s">
        <v>40</v>
      </c>
      <c r="I1" t="s">
        <v>243</v>
      </c>
      <c r="K1" t="s">
        <v>42</v>
      </c>
      <c r="M1" t="s">
        <v>43</v>
      </c>
      <c r="N1" t="s">
        <v>244</v>
      </c>
      <c r="Q1" t="s">
        <v>57</v>
      </c>
      <c r="R1" t="s">
        <v>58</v>
      </c>
      <c r="S1" t="s">
        <v>244</v>
      </c>
    </row>
    <row r="2" spans="1:19" ht="27.75" customHeight="1" thickBot="1" x14ac:dyDescent="0.3">
      <c r="A2" s="2" t="s">
        <v>78</v>
      </c>
      <c r="B2" s="3" t="s">
        <v>245</v>
      </c>
      <c r="C2" s="20">
        <v>1</v>
      </c>
      <c r="E2" s="19" t="s">
        <v>89</v>
      </c>
      <c r="G2" s="48" t="s">
        <v>197</v>
      </c>
      <c r="I2" t="s">
        <v>81</v>
      </c>
      <c r="K2" t="s">
        <v>4</v>
      </c>
      <c r="M2" s="1" t="s">
        <v>5</v>
      </c>
      <c r="N2" s="1" t="s">
        <v>246</v>
      </c>
      <c r="Q2">
        <v>510105</v>
      </c>
      <c r="R2" t="s">
        <v>247</v>
      </c>
    </row>
    <row r="3" spans="1:19" ht="30" customHeight="1" thickBot="1" x14ac:dyDescent="0.3">
      <c r="A3" s="2" t="s">
        <v>88</v>
      </c>
      <c r="B3" s="3" t="s">
        <v>248</v>
      </c>
      <c r="C3">
        <v>55</v>
      </c>
      <c r="E3" s="47" t="s">
        <v>100</v>
      </c>
      <c r="G3" s="48" t="s">
        <v>201</v>
      </c>
      <c r="I3" t="s">
        <v>114</v>
      </c>
      <c r="K3" t="s">
        <v>82</v>
      </c>
      <c r="M3" s="1" t="s">
        <v>6</v>
      </c>
      <c r="N3" t="s">
        <v>246</v>
      </c>
      <c r="Q3">
        <v>510106</v>
      </c>
      <c r="R3" t="s">
        <v>249</v>
      </c>
    </row>
    <row r="4" spans="1:19" ht="34.5" customHeight="1" thickBot="1" x14ac:dyDescent="0.3">
      <c r="E4" s="28" t="s">
        <v>85</v>
      </c>
      <c r="G4" s="48" t="s">
        <v>250</v>
      </c>
      <c r="K4" t="s">
        <v>251</v>
      </c>
      <c r="M4" s="1" t="s">
        <v>12</v>
      </c>
      <c r="N4" t="s">
        <v>246</v>
      </c>
      <c r="Q4">
        <v>510203</v>
      </c>
      <c r="R4" t="s">
        <v>252</v>
      </c>
    </row>
    <row r="5" spans="1:19" ht="30" customHeight="1" thickBot="1" x14ac:dyDescent="0.3">
      <c r="E5" s="28" t="s">
        <v>79</v>
      </c>
      <c r="G5" s="48" t="s">
        <v>253</v>
      </c>
      <c r="K5" t="s">
        <v>96</v>
      </c>
      <c r="M5" s="1" t="s">
        <v>13</v>
      </c>
      <c r="N5" t="s">
        <v>254</v>
      </c>
      <c r="Q5">
        <v>510204</v>
      </c>
      <c r="R5" t="s">
        <v>255</v>
      </c>
    </row>
    <row r="6" spans="1:19" ht="30.75" customHeight="1" thickBot="1" x14ac:dyDescent="0.3">
      <c r="E6" s="28"/>
      <c r="G6" s="48" t="s">
        <v>256</v>
      </c>
      <c r="K6" t="s">
        <v>99</v>
      </c>
      <c r="M6" s="1" t="s">
        <v>14</v>
      </c>
      <c r="N6" t="s">
        <v>246</v>
      </c>
      <c r="Q6">
        <v>510304</v>
      </c>
      <c r="R6" t="s">
        <v>257</v>
      </c>
    </row>
    <row r="7" spans="1:19" ht="37.5" customHeight="1" thickBot="1" x14ac:dyDescent="0.3">
      <c r="G7" s="48" t="s">
        <v>258</v>
      </c>
      <c r="K7" t="s">
        <v>259</v>
      </c>
      <c r="M7" s="1" t="s">
        <v>7</v>
      </c>
      <c r="N7" t="s">
        <v>246</v>
      </c>
      <c r="Q7">
        <v>510306</v>
      </c>
      <c r="R7" t="s">
        <v>260</v>
      </c>
    </row>
    <row r="8" spans="1:19" ht="28.5" customHeight="1" thickBot="1" x14ac:dyDescent="0.3">
      <c r="G8" s="48" t="s">
        <v>261</v>
      </c>
      <c r="K8" t="s">
        <v>110</v>
      </c>
      <c r="M8" s="1" t="s">
        <v>16</v>
      </c>
      <c r="N8" t="s">
        <v>262</v>
      </c>
      <c r="Q8">
        <v>510401</v>
      </c>
      <c r="R8" t="s">
        <v>109</v>
      </c>
    </row>
    <row r="9" spans="1:19" ht="32.25" customHeight="1" thickBot="1" x14ac:dyDescent="0.3">
      <c r="E9" s="1"/>
      <c r="G9" s="48" t="s">
        <v>263</v>
      </c>
      <c r="K9" t="s">
        <v>112</v>
      </c>
      <c r="M9" s="1" t="s">
        <v>19</v>
      </c>
      <c r="N9" t="s">
        <v>264</v>
      </c>
      <c r="Q9">
        <v>510408</v>
      </c>
      <c r="R9" t="s">
        <v>265</v>
      </c>
    </row>
    <row r="10" spans="1:19" ht="33" customHeight="1" thickBot="1" x14ac:dyDescent="0.3">
      <c r="G10" s="48" t="s">
        <v>186</v>
      </c>
      <c r="K10" t="s">
        <v>266</v>
      </c>
      <c r="M10" s="1" t="s">
        <v>21</v>
      </c>
      <c r="N10" t="s">
        <v>267</v>
      </c>
      <c r="Q10">
        <v>510509</v>
      </c>
      <c r="R10" t="s">
        <v>108</v>
      </c>
    </row>
    <row r="11" spans="1:19" ht="35.25" customHeight="1" thickBot="1" x14ac:dyDescent="0.3">
      <c r="G11" s="48" t="s">
        <v>115</v>
      </c>
      <c r="K11" t="s">
        <v>15</v>
      </c>
      <c r="M11" s="1" t="s">
        <v>22</v>
      </c>
      <c r="N11" t="s">
        <v>267</v>
      </c>
      <c r="Q11">
        <v>510510</v>
      </c>
      <c r="R11" t="s">
        <v>268</v>
      </c>
    </row>
    <row r="12" spans="1:19" ht="33.75" customHeight="1" thickBot="1" x14ac:dyDescent="0.3">
      <c r="G12" s="48" t="s">
        <v>132</v>
      </c>
      <c r="K12" t="s">
        <v>18</v>
      </c>
      <c r="M12" s="1" t="s">
        <v>17</v>
      </c>
      <c r="N12" t="s">
        <v>262</v>
      </c>
      <c r="Q12">
        <v>510512</v>
      </c>
      <c r="R12" t="s">
        <v>269</v>
      </c>
    </row>
    <row r="13" spans="1:19" ht="28.5" customHeight="1" thickBot="1" x14ac:dyDescent="0.3">
      <c r="G13" s="48" t="s">
        <v>113</v>
      </c>
      <c r="K13" t="s">
        <v>20</v>
      </c>
      <c r="M13" s="1" t="s">
        <v>83</v>
      </c>
      <c r="N13" t="s">
        <v>246</v>
      </c>
      <c r="Q13">
        <v>510513</v>
      </c>
      <c r="R13" t="s">
        <v>104</v>
      </c>
    </row>
    <row r="14" spans="1:19" ht="33.75" customHeight="1" thickBot="1" x14ac:dyDescent="0.3">
      <c r="E14" s="16"/>
      <c r="G14" s="48" t="s">
        <v>118</v>
      </c>
      <c r="M14" s="1" t="s">
        <v>270</v>
      </c>
      <c r="N14" t="s">
        <v>246</v>
      </c>
      <c r="Q14">
        <v>510517</v>
      </c>
      <c r="R14" t="s">
        <v>271</v>
      </c>
    </row>
    <row r="15" spans="1:19" ht="42.75" customHeight="1" thickBot="1" x14ac:dyDescent="0.3">
      <c r="G15" s="48" t="s">
        <v>154</v>
      </c>
      <c r="M15" s="1" t="s">
        <v>86</v>
      </c>
      <c r="N15" t="s">
        <v>254</v>
      </c>
      <c r="Q15">
        <v>510601</v>
      </c>
      <c r="R15" t="s">
        <v>272</v>
      </c>
    </row>
    <row r="16" spans="1:19" s="1" customFormat="1" ht="27.75" customHeight="1" thickBot="1" x14ac:dyDescent="0.3">
      <c r="E16"/>
      <c r="G16" s="49" t="s">
        <v>124</v>
      </c>
      <c r="M16" s="1" t="s">
        <v>98</v>
      </c>
      <c r="N16" t="s">
        <v>264</v>
      </c>
      <c r="Q16">
        <v>510602</v>
      </c>
      <c r="R16" t="s">
        <v>273</v>
      </c>
      <c r="S16"/>
    </row>
    <row r="17" spans="1:19" ht="15" customHeight="1" thickBot="1" x14ac:dyDescent="0.3">
      <c r="E17" s="16"/>
      <c r="G17" s="24" t="s">
        <v>80</v>
      </c>
      <c r="M17" s="1" t="s">
        <v>90</v>
      </c>
      <c r="N17" t="s">
        <v>267</v>
      </c>
      <c r="Q17">
        <v>510703</v>
      </c>
      <c r="R17" t="s">
        <v>102</v>
      </c>
    </row>
    <row r="18" spans="1:19" ht="15" customHeight="1" x14ac:dyDescent="0.25">
      <c r="G18" s="24" t="s">
        <v>193</v>
      </c>
      <c r="M18" s="1" t="s">
        <v>92</v>
      </c>
      <c r="N18" t="s">
        <v>246</v>
      </c>
      <c r="Q18">
        <v>510704</v>
      </c>
      <c r="R18" t="s">
        <v>103</v>
      </c>
    </row>
    <row r="19" spans="1:19" ht="14.25" customHeight="1" x14ac:dyDescent="0.25">
      <c r="E19" s="16"/>
      <c r="M19" s="1" t="s">
        <v>94</v>
      </c>
      <c r="N19" t="s">
        <v>254</v>
      </c>
      <c r="Q19">
        <v>510707</v>
      </c>
      <c r="R19" t="s">
        <v>111</v>
      </c>
    </row>
    <row r="20" spans="1:19" ht="15.75" customHeight="1" x14ac:dyDescent="0.25">
      <c r="M20" s="1" t="s">
        <v>9</v>
      </c>
      <c r="N20" t="s">
        <v>264</v>
      </c>
      <c r="Q20">
        <v>510709</v>
      </c>
      <c r="R20" t="s">
        <v>274</v>
      </c>
    </row>
    <row r="21" spans="1:19" s="16" customFormat="1" ht="13.5" customHeight="1" x14ac:dyDescent="0.25">
      <c r="E21"/>
      <c r="M21" s="17" t="s">
        <v>10</v>
      </c>
      <c r="N21" t="s">
        <v>267</v>
      </c>
      <c r="Q21">
        <v>530101</v>
      </c>
      <c r="R21" t="s">
        <v>275</v>
      </c>
      <c r="S21"/>
    </row>
    <row r="22" spans="1:19" x14ac:dyDescent="0.25">
      <c r="M22" s="1" t="s">
        <v>7</v>
      </c>
      <c r="N22" t="s">
        <v>262</v>
      </c>
      <c r="Q22">
        <v>530104</v>
      </c>
      <c r="R22" t="s">
        <v>276</v>
      </c>
      <c r="S22" s="16"/>
    </row>
    <row r="23" spans="1:19" x14ac:dyDescent="0.25">
      <c r="M23" s="1" t="s">
        <v>7</v>
      </c>
      <c r="N23" t="s">
        <v>264</v>
      </c>
      <c r="Q23">
        <v>530105</v>
      </c>
      <c r="R23" t="s">
        <v>277</v>
      </c>
    </row>
    <row r="24" spans="1:19" s="16" customFormat="1" x14ac:dyDescent="0.25">
      <c r="E24"/>
      <c r="M24" s="1" t="s">
        <v>7</v>
      </c>
      <c r="N24" t="s">
        <v>267</v>
      </c>
      <c r="Q24">
        <v>530106</v>
      </c>
      <c r="R24" t="s">
        <v>278</v>
      </c>
      <c r="S24"/>
    </row>
    <row r="25" spans="1:19" x14ac:dyDescent="0.25">
      <c r="Q25">
        <v>530201</v>
      </c>
      <c r="R25" t="s">
        <v>279</v>
      </c>
      <c r="S25" s="16"/>
    </row>
    <row r="26" spans="1:19" s="16" customFormat="1" x14ac:dyDescent="0.25">
      <c r="E26"/>
      <c r="Q26">
        <v>530202</v>
      </c>
      <c r="R26" t="s">
        <v>280</v>
      </c>
      <c r="S26"/>
    </row>
    <row r="27" spans="1:19" x14ac:dyDescent="0.25">
      <c r="Q27">
        <v>530203</v>
      </c>
      <c r="R27" t="s">
        <v>281</v>
      </c>
      <c r="S27" s="16"/>
    </row>
    <row r="28" spans="1:19" x14ac:dyDescent="0.25">
      <c r="A28" s="18" t="s">
        <v>55</v>
      </c>
      <c r="B28" t="s">
        <v>244</v>
      </c>
      <c r="C28" t="s">
        <v>56</v>
      </c>
      <c r="Q28" s="16">
        <v>530204</v>
      </c>
      <c r="R28" s="16" t="s">
        <v>282</v>
      </c>
    </row>
    <row r="29" spans="1:19" x14ac:dyDescent="0.25">
      <c r="A29" s="18" t="s">
        <v>84</v>
      </c>
      <c r="C29">
        <v>51</v>
      </c>
      <c r="Q29" s="16">
        <v>530205</v>
      </c>
      <c r="R29" s="14" t="s">
        <v>283</v>
      </c>
    </row>
    <row r="30" spans="1:19" x14ac:dyDescent="0.25">
      <c r="A30" s="18" t="s">
        <v>284</v>
      </c>
      <c r="C30">
        <v>53</v>
      </c>
      <c r="Q30">
        <v>530207</v>
      </c>
      <c r="R30" t="s">
        <v>285</v>
      </c>
    </row>
    <row r="31" spans="1:19" x14ac:dyDescent="0.25">
      <c r="A31" s="18" t="s">
        <v>95</v>
      </c>
      <c r="B31" s="18"/>
      <c r="C31">
        <v>57</v>
      </c>
      <c r="Q31">
        <v>530208</v>
      </c>
      <c r="R31" t="s">
        <v>286</v>
      </c>
    </row>
    <row r="32" spans="1:19" x14ac:dyDescent="0.25">
      <c r="C32">
        <v>73</v>
      </c>
      <c r="Q32" s="16">
        <v>530209</v>
      </c>
      <c r="R32" s="16" t="s">
        <v>287</v>
      </c>
    </row>
    <row r="33" spans="1:19" x14ac:dyDescent="0.25">
      <c r="C33">
        <v>84</v>
      </c>
      <c r="Q33" s="16">
        <v>530210</v>
      </c>
      <c r="R33" s="16" t="s">
        <v>288</v>
      </c>
    </row>
    <row r="34" spans="1:19" x14ac:dyDescent="0.25">
      <c r="Q34" s="16">
        <v>530224</v>
      </c>
      <c r="R34" s="14" t="s">
        <v>289</v>
      </c>
    </row>
    <row r="35" spans="1:19" x14ac:dyDescent="0.25">
      <c r="Q35" s="16">
        <v>530228</v>
      </c>
      <c r="R35" s="16" t="s">
        <v>290</v>
      </c>
    </row>
    <row r="36" spans="1:19" s="16" customFormat="1" x14ac:dyDescent="0.25">
      <c r="D36"/>
      <c r="E36"/>
      <c r="Q36" s="16">
        <v>530229</v>
      </c>
      <c r="R36" s="14" t="s">
        <v>291</v>
      </c>
      <c r="S36"/>
    </row>
    <row r="37" spans="1:19" x14ac:dyDescent="0.25">
      <c r="Q37">
        <v>530241</v>
      </c>
      <c r="R37" t="s">
        <v>292</v>
      </c>
      <c r="S37" s="16"/>
    </row>
    <row r="38" spans="1:19" x14ac:dyDescent="0.25">
      <c r="D38" t="s">
        <v>49</v>
      </c>
      <c r="Q38">
        <v>530246</v>
      </c>
      <c r="R38" t="s">
        <v>293</v>
      </c>
    </row>
    <row r="39" spans="1:19" x14ac:dyDescent="0.25">
      <c r="D39" s="21">
        <v>1</v>
      </c>
      <c r="Q39">
        <v>530248</v>
      </c>
      <c r="R39" t="s">
        <v>294</v>
      </c>
    </row>
    <row r="40" spans="1:19" x14ac:dyDescent="0.25">
      <c r="D40" s="21">
        <v>2</v>
      </c>
      <c r="Q40">
        <v>530255</v>
      </c>
      <c r="R40" t="s">
        <v>295</v>
      </c>
    </row>
    <row r="41" spans="1:19" x14ac:dyDescent="0.25">
      <c r="D41" s="21">
        <v>3</v>
      </c>
      <c r="Q41">
        <v>530301</v>
      </c>
      <c r="R41" t="s">
        <v>296</v>
      </c>
    </row>
    <row r="42" spans="1:19" x14ac:dyDescent="0.25">
      <c r="Q42">
        <v>530303</v>
      </c>
      <c r="R42" t="s">
        <v>297</v>
      </c>
    </row>
    <row r="43" spans="1:19" x14ac:dyDescent="0.25">
      <c r="Q43">
        <v>530402</v>
      </c>
      <c r="R43" t="s">
        <v>298</v>
      </c>
    </row>
    <row r="44" spans="1:19" x14ac:dyDescent="0.25">
      <c r="Q44">
        <v>530403</v>
      </c>
      <c r="R44" t="s">
        <v>299</v>
      </c>
    </row>
    <row r="45" spans="1:19" x14ac:dyDescent="0.25">
      <c r="Q45">
        <v>530404</v>
      </c>
      <c r="R45" t="s">
        <v>300</v>
      </c>
    </row>
    <row r="46" spans="1:19" x14ac:dyDescent="0.25">
      <c r="Q46" s="16">
        <v>530405</v>
      </c>
      <c r="R46" s="16" t="s">
        <v>301</v>
      </c>
    </row>
    <row r="47" spans="1:19" x14ac:dyDescent="0.25">
      <c r="Q47" s="16">
        <v>530406</v>
      </c>
      <c r="R47" s="16" t="s">
        <v>302</v>
      </c>
    </row>
    <row r="48" spans="1:19" x14ac:dyDescent="0.25">
      <c r="A48" t="s">
        <v>50</v>
      </c>
      <c r="B48" t="s">
        <v>51</v>
      </c>
      <c r="C48" t="s">
        <v>244</v>
      </c>
      <c r="D48" t="s">
        <v>0</v>
      </c>
      <c r="E48" t="s">
        <v>303</v>
      </c>
      <c r="Q48" s="16">
        <v>530417</v>
      </c>
      <c r="R48" s="16" t="s">
        <v>304</v>
      </c>
    </row>
    <row r="49" spans="1:18" x14ac:dyDescent="0.25">
      <c r="A49">
        <v>100</v>
      </c>
      <c r="B49" t="s">
        <v>305</v>
      </c>
      <c r="C49" t="s">
        <v>110</v>
      </c>
      <c r="D49" t="s">
        <v>306</v>
      </c>
      <c r="Q49" s="16">
        <v>530418</v>
      </c>
      <c r="R49" s="16" t="s">
        <v>307</v>
      </c>
    </row>
    <row r="50" spans="1:18" x14ac:dyDescent="0.25">
      <c r="A50">
        <v>101</v>
      </c>
      <c r="B50" t="s">
        <v>305</v>
      </c>
      <c r="C50" t="s">
        <v>110</v>
      </c>
      <c r="D50" t="s">
        <v>306</v>
      </c>
      <c r="Q50" s="16">
        <v>530502</v>
      </c>
      <c r="R50" s="16" t="s">
        <v>308</v>
      </c>
    </row>
    <row r="51" spans="1:18" x14ac:dyDescent="0.25">
      <c r="A51">
        <v>401</v>
      </c>
      <c r="B51" t="s">
        <v>309</v>
      </c>
      <c r="C51" t="s">
        <v>82</v>
      </c>
      <c r="D51" t="s">
        <v>310</v>
      </c>
      <c r="Q51" s="16">
        <v>530504</v>
      </c>
      <c r="R51" s="14" t="s">
        <v>311</v>
      </c>
    </row>
    <row r="52" spans="1:18" x14ac:dyDescent="0.25">
      <c r="A52">
        <v>600</v>
      </c>
      <c r="B52" t="s">
        <v>312</v>
      </c>
      <c r="C52" t="s">
        <v>96</v>
      </c>
      <c r="D52" t="s">
        <v>313</v>
      </c>
      <c r="Q52">
        <v>530505</v>
      </c>
      <c r="R52" t="s">
        <v>314</v>
      </c>
    </row>
    <row r="53" spans="1:18" x14ac:dyDescent="0.25">
      <c r="A53">
        <v>601</v>
      </c>
      <c r="B53" t="s">
        <v>315</v>
      </c>
      <c r="C53" t="s">
        <v>96</v>
      </c>
      <c r="D53" t="s">
        <v>313</v>
      </c>
      <c r="Q53">
        <v>530601</v>
      </c>
      <c r="R53" t="s">
        <v>316</v>
      </c>
    </row>
    <row r="54" spans="1:18" x14ac:dyDescent="0.25">
      <c r="A54">
        <v>700</v>
      </c>
      <c r="B54" t="s">
        <v>317</v>
      </c>
      <c r="C54" t="s">
        <v>112</v>
      </c>
      <c r="D54" t="s">
        <v>318</v>
      </c>
      <c r="Q54">
        <v>530604</v>
      </c>
      <c r="R54" t="s">
        <v>319</v>
      </c>
    </row>
    <row r="55" spans="1:18" x14ac:dyDescent="0.25">
      <c r="A55">
        <v>701</v>
      </c>
      <c r="B55" t="s">
        <v>320</v>
      </c>
      <c r="C55" t="s">
        <v>112</v>
      </c>
      <c r="D55" t="s">
        <v>318</v>
      </c>
      <c r="Q55">
        <v>530606</v>
      </c>
      <c r="R55" t="s">
        <v>321</v>
      </c>
    </row>
    <row r="56" spans="1:18" x14ac:dyDescent="0.25">
      <c r="A56">
        <v>801</v>
      </c>
      <c r="B56" t="s">
        <v>322</v>
      </c>
      <c r="C56" t="s">
        <v>82</v>
      </c>
      <c r="D56" t="s">
        <v>310</v>
      </c>
      <c r="Q56">
        <v>530701</v>
      </c>
      <c r="R56" t="s">
        <v>323</v>
      </c>
    </row>
    <row r="57" spans="1:18" x14ac:dyDescent="0.25">
      <c r="A57">
        <v>900</v>
      </c>
      <c r="B57" t="s">
        <v>324</v>
      </c>
      <c r="C57" t="s">
        <v>101</v>
      </c>
      <c r="D57" t="s">
        <v>325</v>
      </c>
      <c r="Q57">
        <v>530702</v>
      </c>
      <c r="R57" t="s">
        <v>326</v>
      </c>
    </row>
    <row r="58" spans="1:18" x14ac:dyDescent="0.25">
      <c r="A58">
        <v>916</v>
      </c>
      <c r="B58" t="s">
        <v>324</v>
      </c>
      <c r="C58" t="s">
        <v>101</v>
      </c>
      <c r="D58" t="s">
        <v>325</v>
      </c>
      <c r="Q58">
        <v>530703</v>
      </c>
      <c r="R58" t="s">
        <v>327</v>
      </c>
    </row>
    <row r="59" spans="1:18" x14ac:dyDescent="0.25">
      <c r="A59">
        <v>1000</v>
      </c>
      <c r="B59" t="s">
        <v>328</v>
      </c>
      <c r="C59" t="s">
        <v>82</v>
      </c>
      <c r="D59" t="s">
        <v>310</v>
      </c>
      <c r="Q59">
        <v>530704</v>
      </c>
      <c r="R59" t="s">
        <v>329</v>
      </c>
    </row>
    <row r="60" spans="1:18" x14ac:dyDescent="0.25">
      <c r="A60">
        <v>1001</v>
      </c>
      <c r="B60" t="s">
        <v>330</v>
      </c>
      <c r="C60" t="s">
        <v>82</v>
      </c>
      <c r="D60" t="s">
        <v>310</v>
      </c>
      <c r="Q60">
        <v>530801</v>
      </c>
      <c r="R60" t="s">
        <v>331</v>
      </c>
    </row>
    <row r="61" spans="1:18" x14ac:dyDescent="0.25">
      <c r="A61">
        <v>1100</v>
      </c>
      <c r="B61" t="s">
        <v>332</v>
      </c>
      <c r="C61" t="s">
        <v>112</v>
      </c>
      <c r="D61" t="s">
        <v>318</v>
      </c>
      <c r="Q61">
        <v>530802</v>
      </c>
      <c r="R61" t="s">
        <v>333</v>
      </c>
    </row>
    <row r="62" spans="1:18" x14ac:dyDescent="0.25">
      <c r="A62">
        <v>1101</v>
      </c>
      <c r="B62" t="s">
        <v>332</v>
      </c>
      <c r="C62" t="s">
        <v>112</v>
      </c>
      <c r="D62" t="s">
        <v>318</v>
      </c>
      <c r="Q62">
        <v>530803</v>
      </c>
      <c r="R62" t="s">
        <v>334</v>
      </c>
    </row>
    <row r="63" spans="1:18" x14ac:dyDescent="0.25">
      <c r="A63">
        <v>1200</v>
      </c>
      <c r="B63" t="s">
        <v>335</v>
      </c>
      <c r="C63" t="s">
        <v>101</v>
      </c>
      <c r="D63" t="s">
        <v>325</v>
      </c>
      <c r="Q63">
        <v>530804</v>
      </c>
      <c r="R63" t="s">
        <v>336</v>
      </c>
    </row>
    <row r="64" spans="1:18" x14ac:dyDescent="0.25">
      <c r="A64">
        <v>1201</v>
      </c>
      <c r="B64" t="s">
        <v>335</v>
      </c>
      <c r="C64" t="s">
        <v>101</v>
      </c>
      <c r="D64" t="s">
        <v>325</v>
      </c>
      <c r="Q64">
        <v>530805</v>
      </c>
      <c r="R64" t="s">
        <v>337</v>
      </c>
    </row>
    <row r="65" spans="1:18" x14ac:dyDescent="0.25">
      <c r="A65">
        <v>1300</v>
      </c>
      <c r="B65" t="s">
        <v>338</v>
      </c>
      <c r="C65" t="s">
        <v>99</v>
      </c>
      <c r="D65" t="s">
        <v>339</v>
      </c>
      <c r="Q65">
        <v>530807</v>
      </c>
      <c r="R65" t="s">
        <v>340</v>
      </c>
    </row>
    <row r="66" spans="1:18" x14ac:dyDescent="0.25">
      <c r="A66">
        <v>1301</v>
      </c>
      <c r="B66" t="s">
        <v>338</v>
      </c>
      <c r="C66" t="s">
        <v>99</v>
      </c>
      <c r="D66" t="s">
        <v>339</v>
      </c>
      <c r="Q66">
        <v>530808</v>
      </c>
      <c r="R66" t="s">
        <v>341</v>
      </c>
    </row>
    <row r="67" spans="1:18" ht="17.25" customHeight="1" x14ac:dyDescent="0.25">
      <c r="A67">
        <v>1400</v>
      </c>
      <c r="B67" t="s">
        <v>342</v>
      </c>
      <c r="C67" t="s">
        <v>110</v>
      </c>
      <c r="D67" t="s">
        <v>306</v>
      </c>
      <c r="Q67">
        <v>530809</v>
      </c>
      <c r="R67" t="s">
        <v>343</v>
      </c>
    </row>
    <row r="68" spans="1:18" x14ac:dyDescent="0.25">
      <c r="A68">
        <v>1401</v>
      </c>
      <c r="B68" t="s">
        <v>344</v>
      </c>
      <c r="C68" t="s">
        <v>110</v>
      </c>
      <c r="D68" t="s">
        <v>306</v>
      </c>
      <c r="Q68">
        <v>530810</v>
      </c>
      <c r="R68" t="s">
        <v>345</v>
      </c>
    </row>
    <row r="69" spans="1:18" x14ac:dyDescent="0.25">
      <c r="A69">
        <v>1700</v>
      </c>
      <c r="B69" t="s">
        <v>346</v>
      </c>
      <c r="C69" t="s">
        <v>8</v>
      </c>
      <c r="D69" t="s">
        <v>1</v>
      </c>
      <c r="Q69">
        <v>530811</v>
      </c>
      <c r="R69" t="s">
        <v>347</v>
      </c>
    </row>
    <row r="70" spans="1:18" x14ac:dyDescent="0.25">
      <c r="A70">
        <v>1701</v>
      </c>
      <c r="B70" t="s">
        <v>348</v>
      </c>
      <c r="C70" t="s">
        <v>8</v>
      </c>
      <c r="D70" t="s">
        <v>1</v>
      </c>
      <c r="Q70">
        <v>530812</v>
      </c>
      <c r="R70" t="s">
        <v>349</v>
      </c>
    </row>
    <row r="71" spans="1:18" x14ac:dyDescent="0.25">
      <c r="A71">
        <v>1800</v>
      </c>
      <c r="B71" t="s">
        <v>350</v>
      </c>
      <c r="C71" t="s">
        <v>96</v>
      </c>
      <c r="D71" t="s">
        <v>313</v>
      </c>
      <c r="Q71">
        <v>530813</v>
      </c>
      <c r="R71" t="s">
        <v>351</v>
      </c>
    </row>
    <row r="72" spans="1:18" x14ac:dyDescent="0.25">
      <c r="A72">
        <v>1801</v>
      </c>
      <c r="B72" t="s">
        <v>352</v>
      </c>
      <c r="C72" t="s">
        <v>96</v>
      </c>
      <c r="D72" t="s">
        <v>313</v>
      </c>
      <c r="Q72">
        <v>530820</v>
      </c>
      <c r="R72" t="s">
        <v>353</v>
      </c>
    </row>
    <row r="73" spans="1:18" x14ac:dyDescent="0.25">
      <c r="A73">
        <v>2000</v>
      </c>
      <c r="B73" t="s">
        <v>354</v>
      </c>
      <c r="C73" t="s">
        <v>101</v>
      </c>
      <c r="D73" t="s">
        <v>325</v>
      </c>
      <c r="Q73">
        <v>530824</v>
      </c>
      <c r="R73" t="s">
        <v>355</v>
      </c>
    </row>
    <row r="74" spans="1:18" x14ac:dyDescent="0.25">
      <c r="A74">
        <v>2001</v>
      </c>
      <c r="B74" t="s">
        <v>354</v>
      </c>
      <c r="C74" t="s">
        <v>101</v>
      </c>
      <c r="D74" t="s">
        <v>325</v>
      </c>
      <c r="Q74">
        <v>530826</v>
      </c>
      <c r="R74" t="s">
        <v>356</v>
      </c>
    </row>
    <row r="75" spans="1:18" x14ac:dyDescent="0.25">
      <c r="A75">
        <v>2101</v>
      </c>
      <c r="B75" t="s">
        <v>357</v>
      </c>
      <c r="C75" t="s">
        <v>82</v>
      </c>
      <c r="D75" t="s">
        <v>310</v>
      </c>
      <c r="Q75">
        <v>530829</v>
      </c>
      <c r="R75" t="s">
        <v>358</v>
      </c>
    </row>
    <row r="76" spans="1:18" x14ac:dyDescent="0.25">
      <c r="A76">
        <v>2300</v>
      </c>
      <c r="B76" t="s">
        <v>359</v>
      </c>
      <c r="C76" t="s">
        <v>99</v>
      </c>
      <c r="D76" t="s">
        <v>339</v>
      </c>
      <c r="Q76">
        <v>531403</v>
      </c>
      <c r="R76" t="s">
        <v>360</v>
      </c>
    </row>
    <row r="77" spans="1:18" x14ac:dyDescent="0.25">
      <c r="A77">
        <v>2301</v>
      </c>
      <c r="B77" t="s">
        <v>361</v>
      </c>
      <c r="C77" t="s">
        <v>99</v>
      </c>
      <c r="D77" t="s">
        <v>339</v>
      </c>
      <c r="Q77">
        <v>531404</v>
      </c>
      <c r="R77" t="s">
        <v>362</v>
      </c>
    </row>
    <row r="78" spans="1:18" x14ac:dyDescent="0.25">
      <c r="C78" t="s">
        <v>4</v>
      </c>
      <c r="D78" t="s">
        <v>1</v>
      </c>
      <c r="Q78">
        <v>531406</v>
      </c>
      <c r="R78" t="s">
        <v>363</v>
      </c>
    </row>
    <row r="79" spans="1:18" x14ac:dyDescent="0.25">
      <c r="C79" t="s">
        <v>11</v>
      </c>
      <c r="D79" t="s">
        <v>1</v>
      </c>
      <c r="Q79">
        <v>531407</v>
      </c>
      <c r="R79" t="s">
        <v>364</v>
      </c>
    </row>
    <row r="80" spans="1:18" x14ac:dyDescent="0.25">
      <c r="C80" t="s">
        <v>15</v>
      </c>
      <c r="D80" t="s">
        <v>1</v>
      </c>
      <c r="Q80">
        <v>531408</v>
      </c>
      <c r="R80" t="s">
        <v>365</v>
      </c>
    </row>
    <row r="81" spans="1:18" x14ac:dyDescent="0.25">
      <c r="C81" t="s">
        <v>18</v>
      </c>
      <c r="D81" t="s">
        <v>1</v>
      </c>
      <c r="Q81">
        <v>531411</v>
      </c>
      <c r="R81" t="s">
        <v>366</v>
      </c>
    </row>
    <row r="82" spans="1:18" x14ac:dyDescent="0.25">
      <c r="C82" t="s">
        <v>20</v>
      </c>
      <c r="D82" t="s">
        <v>1</v>
      </c>
      <c r="Q82">
        <v>570102</v>
      </c>
      <c r="R82" t="s">
        <v>367</v>
      </c>
    </row>
    <row r="83" spans="1:18" x14ac:dyDescent="0.25">
      <c r="Q83">
        <v>570104</v>
      </c>
      <c r="R83" t="s">
        <v>368</v>
      </c>
    </row>
    <row r="84" spans="1:18" x14ac:dyDescent="0.25">
      <c r="Q84">
        <v>570201</v>
      </c>
      <c r="R84" t="s">
        <v>369</v>
      </c>
    </row>
    <row r="85" spans="1:18" x14ac:dyDescent="0.25">
      <c r="A85" t="s">
        <v>370</v>
      </c>
      <c r="B85" t="s">
        <v>371</v>
      </c>
      <c r="C85" t="s">
        <v>372</v>
      </c>
      <c r="D85" t="s">
        <v>373</v>
      </c>
      <c r="Q85">
        <v>570203</v>
      </c>
      <c r="R85" t="s">
        <v>374</v>
      </c>
    </row>
    <row r="86" spans="1:18" x14ac:dyDescent="0.25">
      <c r="A86" s="13">
        <v>401</v>
      </c>
      <c r="B86" s="13">
        <v>600</v>
      </c>
      <c r="C86" s="13">
        <v>1300</v>
      </c>
      <c r="D86" s="13">
        <v>900</v>
      </c>
      <c r="Q86">
        <v>570206</v>
      </c>
      <c r="R86" t="s">
        <v>375</v>
      </c>
    </row>
    <row r="87" spans="1:18" x14ac:dyDescent="0.25">
      <c r="A87" s="13">
        <v>801</v>
      </c>
      <c r="B87" s="13">
        <v>601</v>
      </c>
      <c r="C87" s="13">
        <v>1301</v>
      </c>
      <c r="D87" s="13">
        <v>916</v>
      </c>
      <c r="Q87">
        <v>570216</v>
      </c>
      <c r="R87" s="14" t="s">
        <v>105</v>
      </c>
    </row>
    <row r="88" spans="1:18" x14ac:dyDescent="0.25">
      <c r="A88" s="13">
        <v>1000</v>
      </c>
      <c r="B88" s="13">
        <v>1800</v>
      </c>
      <c r="C88" s="13">
        <v>2300</v>
      </c>
      <c r="D88" s="13">
        <v>1200</v>
      </c>
      <c r="Q88">
        <v>570218</v>
      </c>
      <c r="R88" s="14" t="s">
        <v>106</v>
      </c>
    </row>
    <row r="89" spans="1:18" x14ac:dyDescent="0.25">
      <c r="A89" s="13">
        <v>1001</v>
      </c>
      <c r="B89" s="13">
        <v>1801</v>
      </c>
      <c r="C89" s="13">
        <v>2301</v>
      </c>
      <c r="D89" s="13">
        <v>1201</v>
      </c>
      <c r="Q89">
        <v>730204</v>
      </c>
      <c r="R89" s="14" t="s">
        <v>376</v>
      </c>
    </row>
    <row r="90" spans="1:18" x14ac:dyDescent="0.25">
      <c r="A90" s="13">
        <v>2101</v>
      </c>
      <c r="D90" s="13">
        <v>2000</v>
      </c>
      <c r="Q90">
        <v>730601</v>
      </c>
      <c r="R90" s="14" t="s">
        <v>377</v>
      </c>
    </row>
    <row r="91" spans="1:18" x14ac:dyDescent="0.25">
      <c r="D91" s="13">
        <v>2001</v>
      </c>
      <c r="Q91">
        <v>730602</v>
      </c>
      <c r="R91" s="14" t="s">
        <v>378</v>
      </c>
    </row>
    <row r="92" spans="1:18" x14ac:dyDescent="0.25">
      <c r="Q92" s="13">
        <v>730811</v>
      </c>
      <c r="R92" s="15" t="s">
        <v>379</v>
      </c>
    </row>
    <row r="93" spans="1:18" x14ac:dyDescent="0.25">
      <c r="A93" t="s">
        <v>380</v>
      </c>
      <c r="B93" t="s">
        <v>381</v>
      </c>
      <c r="C93" t="s">
        <v>382</v>
      </c>
      <c r="Q93">
        <v>840103</v>
      </c>
      <c r="R93" s="14" t="s">
        <v>383</v>
      </c>
    </row>
    <row r="94" spans="1:18" x14ac:dyDescent="0.25">
      <c r="A94" s="13">
        <v>100</v>
      </c>
      <c r="B94" s="13">
        <v>700</v>
      </c>
      <c r="C94" s="13">
        <v>1700</v>
      </c>
      <c r="Q94">
        <v>840104</v>
      </c>
      <c r="R94" s="14" t="s">
        <v>362</v>
      </c>
    </row>
    <row r="95" spans="1:18" x14ac:dyDescent="0.25">
      <c r="A95" s="13">
        <v>101</v>
      </c>
      <c r="B95" s="13">
        <v>701</v>
      </c>
      <c r="C95" s="13">
        <v>1701</v>
      </c>
      <c r="Q95">
        <v>840111</v>
      </c>
      <c r="R95" s="14" t="s">
        <v>366</v>
      </c>
    </row>
    <row r="96" spans="1:18" x14ac:dyDescent="0.25">
      <c r="A96" s="13">
        <v>1400</v>
      </c>
      <c r="B96" s="13">
        <v>1100</v>
      </c>
      <c r="Q96">
        <v>840107</v>
      </c>
      <c r="R96" s="14" t="s">
        <v>384</v>
      </c>
    </row>
    <row r="97" spans="1:18" x14ac:dyDescent="0.25">
      <c r="A97" s="13">
        <v>1401</v>
      </c>
      <c r="B97" s="13">
        <v>1101</v>
      </c>
      <c r="Q97">
        <v>990101</v>
      </c>
      <c r="R97" t="s">
        <v>107</v>
      </c>
    </row>
    <row r="98" spans="1:18" x14ac:dyDescent="0.25">
      <c r="Q98">
        <v>990102</v>
      </c>
      <c r="R98" t="s">
        <v>385</v>
      </c>
    </row>
  </sheetData>
  <pageMargins left="0.7" right="0.7" top="0.75" bottom="0.75" header="0.3" footer="0.3"/>
  <pageSetup paperSize="9" orientation="portrait" r:id="rId1"/>
  <tableParts count="2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  <tablePart r:id="rId13"/>
    <tablePart r:id="rId14"/>
    <tablePart r:id="rId15"/>
    <tablePart r:id="rId16"/>
    <tablePart r:id="rId17"/>
    <tablePart r:id="rId18"/>
    <tablePart r:id="rId19"/>
    <tablePart r:id="rId20"/>
    <tablePart r:id="rId2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3"/>
  <dimension ref="A1:AI60"/>
  <sheetViews>
    <sheetView topLeftCell="A16" workbookViewId="0">
      <selection activeCell="F35" sqref="F35"/>
    </sheetView>
  </sheetViews>
  <sheetFormatPr baseColWidth="10" defaultColWidth="11.42578125" defaultRowHeight="15" x14ac:dyDescent="0.25"/>
  <cols>
    <col min="7" max="7" width="12.42578125" customWidth="1"/>
    <col min="8" max="8" width="12.140625" customWidth="1"/>
    <col min="9" max="9" width="54.5703125" bestFit="1" customWidth="1"/>
    <col min="11" max="11" width="23.85546875" customWidth="1"/>
    <col min="13" max="13" width="53" customWidth="1"/>
    <col min="14" max="14" width="23.7109375" customWidth="1"/>
    <col min="15" max="15" width="45.28515625" bestFit="1" customWidth="1"/>
    <col min="17" max="17" width="36.7109375" customWidth="1"/>
    <col min="19" max="19" width="40" customWidth="1"/>
    <col min="21" max="21" width="52.7109375" customWidth="1"/>
    <col min="23" max="23" width="86.85546875" bestFit="1" customWidth="1"/>
    <col min="25" max="25" width="27.85546875" customWidth="1"/>
    <col min="27" max="27" width="86.85546875" bestFit="1" customWidth="1"/>
    <col min="29" max="29" width="86.85546875" bestFit="1" customWidth="1"/>
    <col min="31" max="31" width="86.85546875" bestFit="1" customWidth="1"/>
    <col min="33" max="33" width="86.85546875" bestFit="1" customWidth="1"/>
    <col min="35" max="35" width="86.85546875" bestFit="1" customWidth="1"/>
  </cols>
  <sheetData>
    <row r="1" spans="1:35" x14ac:dyDescent="0.25">
      <c r="A1" t="s">
        <v>386</v>
      </c>
      <c r="C1" t="s">
        <v>91</v>
      </c>
      <c r="E1" t="s">
        <v>387</v>
      </c>
      <c r="G1" t="s">
        <v>388</v>
      </c>
      <c r="I1" t="s">
        <v>389</v>
      </c>
      <c r="K1" t="s">
        <v>390</v>
      </c>
      <c r="M1" t="s">
        <v>391</v>
      </c>
      <c r="N1" t="s">
        <v>46</v>
      </c>
      <c r="O1" t="s">
        <v>392</v>
      </c>
      <c r="Q1" t="s">
        <v>393</v>
      </c>
      <c r="S1" t="s">
        <v>394</v>
      </c>
      <c r="U1" t="s">
        <v>395</v>
      </c>
      <c r="W1" t="s">
        <v>396</v>
      </c>
      <c r="Y1" t="s">
        <v>397</v>
      </c>
      <c r="AA1" t="s">
        <v>398</v>
      </c>
      <c r="AC1" t="s">
        <v>399</v>
      </c>
      <c r="AE1" t="s">
        <v>400</v>
      </c>
      <c r="AG1" t="s">
        <v>401</v>
      </c>
      <c r="AI1" t="s">
        <v>402</v>
      </c>
    </row>
    <row r="2" spans="1:35" x14ac:dyDescent="0.25">
      <c r="A2">
        <v>510105</v>
      </c>
      <c r="C2">
        <v>530101</v>
      </c>
      <c r="E2">
        <v>570102</v>
      </c>
      <c r="G2">
        <v>990101</v>
      </c>
      <c r="I2" t="s">
        <v>4</v>
      </c>
      <c r="K2" t="s">
        <v>82</v>
      </c>
      <c r="M2" t="s">
        <v>5</v>
      </c>
      <c r="N2">
        <v>1</v>
      </c>
      <c r="O2" t="s">
        <v>12</v>
      </c>
      <c r="Q2" t="s">
        <v>16</v>
      </c>
      <c r="S2" t="s">
        <v>19</v>
      </c>
      <c r="U2" t="s">
        <v>21</v>
      </c>
      <c r="W2" t="s">
        <v>83</v>
      </c>
      <c r="Y2" t="s">
        <v>10</v>
      </c>
      <c r="AA2" t="s">
        <v>83</v>
      </c>
      <c r="AC2" t="s">
        <v>83</v>
      </c>
      <c r="AE2" t="s">
        <v>83</v>
      </c>
      <c r="AG2" t="s">
        <v>83</v>
      </c>
      <c r="AI2" t="s">
        <v>83</v>
      </c>
    </row>
    <row r="3" spans="1:35" x14ac:dyDescent="0.25">
      <c r="A3">
        <v>510106</v>
      </c>
      <c r="C3">
        <v>530104</v>
      </c>
      <c r="E3">
        <v>570104</v>
      </c>
      <c r="G3">
        <v>990102</v>
      </c>
      <c r="I3" t="s">
        <v>11</v>
      </c>
      <c r="K3" t="s">
        <v>8</v>
      </c>
      <c r="M3" t="s">
        <v>6</v>
      </c>
      <c r="N3">
        <v>2</v>
      </c>
      <c r="O3" t="s">
        <v>13</v>
      </c>
      <c r="Q3" t="s">
        <v>17</v>
      </c>
      <c r="U3" t="s">
        <v>22</v>
      </c>
      <c r="W3" t="s">
        <v>86</v>
      </c>
      <c r="Y3" t="s">
        <v>9</v>
      </c>
      <c r="AA3" t="s">
        <v>98</v>
      </c>
      <c r="AC3" t="s">
        <v>86</v>
      </c>
      <c r="AE3" t="s">
        <v>98</v>
      </c>
      <c r="AG3" t="s">
        <v>98</v>
      </c>
      <c r="AI3" t="s">
        <v>270</v>
      </c>
    </row>
    <row r="4" spans="1:35" x14ac:dyDescent="0.25">
      <c r="A4">
        <v>510203</v>
      </c>
      <c r="C4">
        <v>530105</v>
      </c>
      <c r="E4">
        <v>570201</v>
      </c>
      <c r="I4" t="s">
        <v>15</v>
      </c>
      <c r="K4" t="s">
        <v>96</v>
      </c>
      <c r="M4" t="s">
        <v>7</v>
      </c>
      <c r="N4">
        <v>3</v>
      </c>
      <c r="O4" t="s">
        <v>14</v>
      </c>
      <c r="W4" t="s">
        <v>90</v>
      </c>
      <c r="AA4" t="s">
        <v>90</v>
      </c>
      <c r="AC4" t="s">
        <v>98</v>
      </c>
      <c r="AE4" t="s">
        <v>90</v>
      </c>
      <c r="AG4" t="s">
        <v>90</v>
      </c>
      <c r="AI4" t="s">
        <v>98</v>
      </c>
    </row>
    <row r="5" spans="1:35" x14ac:dyDescent="0.25">
      <c r="A5">
        <v>510204</v>
      </c>
      <c r="C5">
        <v>530106</v>
      </c>
      <c r="E5">
        <v>570203</v>
      </c>
      <c r="I5" t="s">
        <v>18</v>
      </c>
      <c r="K5" t="s">
        <v>99</v>
      </c>
      <c r="W5" t="s">
        <v>92</v>
      </c>
      <c r="AA5" t="s">
        <v>92</v>
      </c>
      <c r="AC5" t="s">
        <v>90</v>
      </c>
      <c r="AE5" t="s">
        <v>92</v>
      </c>
      <c r="AG5" t="s">
        <v>92</v>
      </c>
      <c r="AI5" t="s">
        <v>90</v>
      </c>
    </row>
    <row r="6" spans="1:35" x14ac:dyDescent="0.25">
      <c r="A6">
        <v>510304</v>
      </c>
      <c r="C6">
        <v>530201</v>
      </c>
      <c r="E6">
        <v>570206</v>
      </c>
      <c r="I6" t="s">
        <v>20</v>
      </c>
      <c r="K6" t="s">
        <v>101</v>
      </c>
      <c r="W6" t="s">
        <v>94</v>
      </c>
      <c r="AA6" t="s">
        <v>9</v>
      </c>
      <c r="AC6" t="s">
        <v>92</v>
      </c>
      <c r="AE6" t="s">
        <v>9</v>
      </c>
      <c r="AG6" t="s">
        <v>94</v>
      </c>
      <c r="AI6" t="s">
        <v>92</v>
      </c>
    </row>
    <row r="7" spans="1:35" x14ac:dyDescent="0.25">
      <c r="A7">
        <v>510306</v>
      </c>
      <c r="C7">
        <v>530202</v>
      </c>
      <c r="E7">
        <v>570216</v>
      </c>
      <c r="K7" t="s">
        <v>110</v>
      </c>
      <c r="W7" t="s">
        <v>9</v>
      </c>
      <c r="AA7" t="s">
        <v>10</v>
      </c>
      <c r="AC7" t="s">
        <v>9</v>
      </c>
      <c r="AE7" t="s">
        <v>10</v>
      </c>
      <c r="AG7" t="s">
        <v>9</v>
      </c>
      <c r="AI7" t="s">
        <v>94</v>
      </c>
    </row>
    <row r="8" spans="1:35" x14ac:dyDescent="0.25">
      <c r="A8">
        <v>510401</v>
      </c>
      <c r="C8">
        <v>530203</v>
      </c>
      <c r="E8">
        <v>570218</v>
      </c>
      <c r="K8" t="s">
        <v>112</v>
      </c>
      <c r="W8" t="s">
        <v>10</v>
      </c>
      <c r="AA8" t="s">
        <v>86</v>
      </c>
      <c r="AC8" t="s">
        <v>10</v>
      </c>
      <c r="AE8" t="s">
        <v>86</v>
      </c>
      <c r="AG8" t="s">
        <v>10</v>
      </c>
      <c r="AI8" t="s">
        <v>9</v>
      </c>
    </row>
    <row r="9" spans="1:35" x14ac:dyDescent="0.25">
      <c r="A9">
        <v>510408</v>
      </c>
      <c r="C9">
        <v>530204</v>
      </c>
      <c r="W9" t="s">
        <v>94</v>
      </c>
      <c r="AC9" t="s">
        <v>86</v>
      </c>
      <c r="AG9" t="s">
        <v>86</v>
      </c>
      <c r="AI9" t="s">
        <v>10</v>
      </c>
    </row>
    <row r="10" spans="1:35" x14ac:dyDescent="0.25">
      <c r="A10">
        <v>510509</v>
      </c>
      <c r="C10">
        <v>530207</v>
      </c>
      <c r="AI10" t="s">
        <v>86</v>
      </c>
    </row>
    <row r="11" spans="1:35" x14ac:dyDescent="0.25">
      <c r="A11">
        <v>510510</v>
      </c>
      <c r="C11">
        <v>530208</v>
      </c>
    </row>
    <row r="12" spans="1:35" x14ac:dyDescent="0.25">
      <c r="A12">
        <v>510512</v>
      </c>
      <c r="C12">
        <v>530209</v>
      </c>
    </row>
    <row r="13" spans="1:35" x14ac:dyDescent="0.25">
      <c r="A13">
        <v>510513</v>
      </c>
      <c r="C13">
        <v>530210</v>
      </c>
    </row>
    <row r="14" spans="1:35" x14ac:dyDescent="0.25">
      <c r="A14">
        <v>510517</v>
      </c>
      <c r="C14">
        <v>530228</v>
      </c>
      <c r="G14" t="s">
        <v>47</v>
      </c>
      <c r="H14" s="18" t="s">
        <v>54</v>
      </c>
      <c r="I14" t="s">
        <v>52</v>
      </c>
      <c r="J14" t="s">
        <v>53</v>
      </c>
      <c r="K14" t="s">
        <v>48</v>
      </c>
    </row>
    <row r="15" spans="1:35" x14ac:dyDescent="0.25">
      <c r="A15">
        <v>510601</v>
      </c>
      <c r="C15">
        <v>530241</v>
      </c>
      <c r="G15" s="20">
        <v>1</v>
      </c>
      <c r="H15" s="30">
        <v>0</v>
      </c>
      <c r="I15" s="21">
        <v>1</v>
      </c>
      <c r="J15" s="29">
        <v>0</v>
      </c>
      <c r="K15" s="21">
        <v>0</v>
      </c>
    </row>
    <row r="16" spans="1:35" x14ac:dyDescent="0.25">
      <c r="A16">
        <v>510602</v>
      </c>
      <c r="C16">
        <v>530246</v>
      </c>
      <c r="G16">
        <v>55</v>
      </c>
      <c r="H16" s="30">
        <v>0</v>
      </c>
      <c r="I16" s="21">
        <v>1</v>
      </c>
      <c r="J16" s="29">
        <v>0</v>
      </c>
      <c r="K16" s="21">
        <v>0</v>
      </c>
    </row>
    <row r="17" spans="1:13" x14ac:dyDescent="0.25">
      <c r="A17">
        <v>510703</v>
      </c>
      <c r="C17">
        <v>530248</v>
      </c>
      <c r="I17">
        <v>998</v>
      </c>
    </row>
    <row r="18" spans="1:13" x14ac:dyDescent="0.25">
      <c r="A18">
        <v>510704</v>
      </c>
      <c r="C18">
        <v>530255</v>
      </c>
    </row>
    <row r="19" spans="1:13" x14ac:dyDescent="0.25">
      <c r="A19">
        <v>510707</v>
      </c>
      <c r="C19">
        <v>530301</v>
      </c>
    </row>
    <row r="20" spans="1:13" x14ac:dyDescent="0.25">
      <c r="A20">
        <v>510709</v>
      </c>
      <c r="C20">
        <v>530303</v>
      </c>
      <c r="F20" t="s">
        <v>403</v>
      </c>
      <c r="G20" t="s">
        <v>84</v>
      </c>
      <c r="H20" t="s">
        <v>284</v>
      </c>
      <c r="I20" t="s">
        <v>404</v>
      </c>
      <c r="M20" t="s">
        <v>405</v>
      </c>
    </row>
    <row r="21" spans="1:13" x14ac:dyDescent="0.25">
      <c r="C21">
        <v>530402</v>
      </c>
      <c r="F21">
        <v>84</v>
      </c>
      <c r="G21">
        <v>51</v>
      </c>
      <c r="H21">
        <v>73</v>
      </c>
      <c r="I21">
        <v>730204</v>
      </c>
      <c r="M21">
        <v>840104</v>
      </c>
    </row>
    <row r="22" spans="1:13" x14ac:dyDescent="0.25">
      <c r="C22">
        <v>530403</v>
      </c>
      <c r="G22">
        <v>53</v>
      </c>
      <c r="H22">
        <v>84</v>
      </c>
      <c r="I22">
        <v>730601</v>
      </c>
      <c r="M22">
        <v>840111</v>
      </c>
    </row>
    <row r="23" spans="1:13" x14ac:dyDescent="0.25">
      <c r="C23">
        <v>530404</v>
      </c>
      <c r="G23">
        <v>57</v>
      </c>
      <c r="I23">
        <v>730602</v>
      </c>
      <c r="M23">
        <v>840107</v>
      </c>
    </row>
    <row r="24" spans="1:13" x14ac:dyDescent="0.25">
      <c r="C24">
        <v>530405</v>
      </c>
      <c r="G24">
        <v>84</v>
      </c>
      <c r="I24">
        <v>730811</v>
      </c>
      <c r="M24">
        <v>840103</v>
      </c>
    </row>
    <row r="25" spans="1:13" x14ac:dyDescent="0.25">
      <c r="C25">
        <v>530406</v>
      </c>
      <c r="G25">
        <v>99</v>
      </c>
    </row>
    <row r="26" spans="1:13" x14ac:dyDescent="0.25">
      <c r="C26">
        <v>530417</v>
      </c>
    </row>
    <row r="27" spans="1:13" x14ac:dyDescent="0.25">
      <c r="C27">
        <v>530418</v>
      </c>
    </row>
    <row r="28" spans="1:13" x14ac:dyDescent="0.25">
      <c r="C28">
        <v>530502</v>
      </c>
    </row>
    <row r="29" spans="1:13" x14ac:dyDescent="0.25">
      <c r="C29">
        <v>530504</v>
      </c>
    </row>
    <row r="30" spans="1:13" x14ac:dyDescent="0.25">
      <c r="C30">
        <v>530505</v>
      </c>
    </row>
    <row r="31" spans="1:13" x14ac:dyDescent="0.25">
      <c r="C31">
        <v>530601</v>
      </c>
    </row>
    <row r="32" spans="1:13" x14ac:dyDescent="0.25">
      <c r="C32">
        <v>530604</v>
      </c>
    </row>
    <row r="33" spans="3:3" x14ac:dyDescent="0.25">
      <c r="C33">
        <v>530606</v>
      </c>
    </row>
    <row r="34" spans="3:3" x14ac:dyDescent="0.25">
      <c r="C34">
        <v>530701</v>
      </c>
    </row>
    <row r="35" spans="3:3" x14ac:dyDescent="0.25">
      <c r="C35">
        <v>530702</v>
      </c>
    </row>
    <row r="36" spans="3:3" x14ac:dyDescent="0.25">
      <c r="C36">
        <v>530703</v>
      </c>
    </row>
    <row r="37" spans="3:3" x14ac:dyDescent="0.25">
      <c r="C37">
        <v>530704</v>
      </c>
    </row>
    <row r="38" spans="3:3" x14ac:dyDescent="0.25">
      <c r="C38">
        <v>530801</v>
      </c>
    </row>
    <row r="39" spans="3:3" x14ac:dyDescent="0.25">
      <c r="C39">
        <v>530802</v>
      </c>
    </row>
    <row r="40" spans="3:3" x14ac:dyDescent="0.25">
      <c r="C40">
        <v>530803</v>
      </c>
    </row>
    <row r="41" spans="3:3" x14ac:dyDescent="0.25">
      <c r="C41">
        <v>530804</v>
      </c>
    </row>
    <row r="42" spans="3:3" x14ac:dyDescent="0.25">
      <c r="C42">
        <v>530805</v>
      </c>
    </row>
    <row r="43" spans="3:3" x14ac:dyDescent="0.25">
      <c r="C43">
        <v>530807</v>
      </c>
    </row>
    <row r="44" spans="3:3" x14ac:dyDescent="0.25">
      <c r="C44">
        <v>530808</v>
      </c>
    </row>
    <row r="45" spans="3:3" x14ac:dyDescent="0.25">
      <c r="C45">
        <v>530809</v>
      </c>
    </row>
    <row r="46" spans="3:3" x14ac:dyDescent="0.25">
      <c r="C46">
        <v>530810</v>
      </c>
    </row>
    <row r="47" spans="3:3" x14ac:dyDescent="0.25">
      <c r="C47">
        <v>530811</v>
      </c>
    </row>
    <row r="48" spans="3:3" x14ac:dyDescent="0.25">
      <c r="C48">
        <v>530812</v>
      </c>
    </row>
    <row r="49" spans="3:3" x14ac:dyDescent="0.25">
      <c r="C49">
        <v>530813</v>
      </c>
    </row>
    <row r="50" spans="3:3" x14ac:dyDescent="0.25">
      <c r="C50">
        <v>530820</v>
      </c>
    </row>
    <row r="51" spans="3:3" x14ac:dyDescent="0.25">
      <c r="C51">
        <v>530824</v>
      </c>
    </row>
    <row r="52" spans="3:3" x14ac:dyDescent="0.25">
      <c r="C52">
        <v>530826</v>
      </c>
    </row>
    <row r="53" spans="3:3" x14ac:dyDescent="0.25">
      <c r="C53">
        <v>530829</v>
      </c>
    </row>
    <row r="54" spans="3:3" x14ac:dyDescent="0.25">
      <c r="C54">
        <v>531403</v>
      </c>
    </row>
    <row r="55" spans="3:3" x14ac:dyDescent="0.25">
      <c r="C55">
        <v>531404</v>
      </c>
    </row>
    <row r="56" spans="3:3" x14ac:dyDescent="0.25">
      <c r="C56">
        <v>531406</v>
      </c>
    </row>
    <row r="57" spans="3:3" x14ac:dyDescent="0.25">
      <c r="C57">
        <v>531407</v>
      </c>
    </row>
    <row r="58" spans="3:3" x14ac:dyDescent="0.25">
      <c r="C58">
        <v>531408</v>
      </c>
    </row>
    <row r="59" spans="3:3" x14ac:dyDescent="0.25">
      <c r="C59">
        <v>531411</v>
      </c>
    </row>
    <row r="60" spans="3:3" x14ac:dyDescent="0.25">
      <c r="C60">
        <v>530418</v>
      </c>
    </row>
  </sheetData>
  <pageMargins left="0.7" right="0.7" top="0.75" bottom="0.75" header="0.3" footer="0.3"/>
  <tableParts count="27">
    <tablePart r:id="rId1"/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  <tablePart r:id="rId13"/>
    <tablePart r:id="rId14"/>
    <tablePart r:id="rId15"/>
    <tablePart r:id="rId16"/>
    <tablePart r:id="rId17"/>
    <tablePart r:id="rId18"/>
    <tablePart r:id="rId19"/>
    <tablePart r:id="rId20"/>
    <tablePart r:id="rId21"/>
    <tablePart r:id="rId22"/>
    <tablePart r:id="rId23"/>
    <tablePart r:id="rId24"/>
    <tablePart r:id="rId25"/>
    <tablePart r:id="rId26"/>
    <tablePart r:id="rId27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Hoja4"/>
  <dimension ref="A2:M20"/>
  <sheetViews>
    <sheetView workbookViewId="0">
      <selection activeCell="A6" sqref="A6"/>
    </sheetView>
  </sheetViews>
  <sheetFormatPr baseColWidth="10" defaultColWidth="11.42578125" defaultRowHeight="15" x14ac:dyDescent="0.25"/>
  <cols>
    <col min="1" max="1" width="49.85546875" customWidth="1"/>
    <col min="2" max="2" width="100.7109375" customWidth="1"/>
    <col min="4" max="4" width="73.42578125" customWidth="1"/>
    <col min="7" max="7" width="57.5703125" customWidth="1"/>
    <col min="11" max="11" width="73.42578125" customWidth="1"/>
    <col min="13" max="13" width="73.42578125" customWidth="1"/>
  </cols>
  <sheetData>
    <row r="2" spans="1:13" ht="75.75" thickBot="1" x14ac:dyDescent="0.3">
      <c r="A2" t="s">
        <v>39</v>
      </c>
      <c r="B2" t="s">
        <v>40</v>
      </c>
      <c r="D2" t="s">
        <v>406</v>
      </c>
      <c r="G2" s="1" t="s">
        <v>407</v>
      </c>
      <c r="K2" t="s">
        <v>408</v>
      </c>
      <c r="M2" t="s">
        <v>409</v>
      </c>
    </row>
    <row r="3" spans="1:13" ht="60.75" thickBot="1" x14ac:dyDescent="0.3">
      <c r="A3" s="23" t="s">
        <v>89</v>
      </c>
      <c r="B3" s="24" t="s">
        <v>197</v>
      </c>
      <c r="D3" t="s">
        <v>410</v>
      </c>
      <c r="G3" t="s">
        <v>411</v>
      </c>
      <c r="K3" t="s">
        <v>412</v>
      </c>
      <c r="M3" t="s">
        <v>413</v>
      </c>
    </row>
    <row r="4" spans="1:13" ht="60.75" thickBot="1" x14ac:dyDescent="0.3">
      <c r="A4" s="25"/>
      <c r="B4" s="24" t="s">
        <v>201</v>
      </c>
      <c r="D4" t="s">
        <v>414</v>
      </c>
      <c r="G4" t="s">
        <v>415</v>
      </c>
      <c r="K4" t="s">
        <v>416</v>
      </c>
    </row>
    <row r="5" spans="1:13" ht="56.25" customHeight="1" thickBot="1" x14ac:dyDescent="0.3">
      <c r="A5" s="22" t="s">
        <v>417</v>
      </c>
      <c r="B5" s="24" t="s">
        <v>250</v>
      </c>
      <c r="G5" t="s">
        <v>418</v>
      </c>
      <c r="K5" t="s">
        <v>419</v>
      </c>
    </row>
    <row r="6" spans="1:13" ht="60.75" thickBot="1" x14ac:dyDescent="0.3">
      <c r="A6" s="22"/>
      <c r="B6" s="24" t="s">
        <v>253</v>
      </c>
      <c r="K6" t="s">
        <v>420</v>
      </c>
    </row>
    <row r="7" spans="1:13" ht="45.75" thickBot="1" x14ac:dyDescent="0.3">
      <c r="A7" s="22"/>
      <c r="B7" s="24" t="s">
        <v>256</v>
      </c>
      <c r="K7" t="s">
        <v>421</v>
      </c>
    </row>
    <row r="8" spans="1:13" ht="37.5" customHeight="1" thickBot="1" x14ac:dyDescent="0.3">
      <c r="A8" s="22" t="s">
        <v>422</v>
      </c>
      <c r="B8" s="24" t="s">
        <v>258</v>
      </c>
    </row>
    <row r="9" spans="1:13" ht="45.75" thickBot="1" x14ac:dyDescent="0.3">
      <c r="A9" s="22"/>
      <c r="B9" s="24" t="s">
        <v>261</v>
      </c>
    </row>
    <row r="10" spans="1:13" ht="45.75" thickBot="1" x14ac:dyDescent="0.3">
      <c r="A10" s="22"/>
      <c r="B10" s="24" t="s">
        <v>263</v>
      </c>
    </row>
    <row r="11" spans="1:13" ht="58.5" customHeight="1" thickBot="1" x14ac:dyDescent="0.3">
      <c r="A11" s="22"/>
      <c r="B11" s="24" t="s">
        <v>186</v>
      </c>
    </row>
    <row r="12" spans="1:13" ht="27" customHeight="1" thickBot="1" x14ac:dyDescent="0.3">
      <c r="A12" s="23" t="s">
        <v>79</v>
      </c>
      <c r="B12" s="24" t="s">
        <v>115</v>
      </c>
    </row>
    <row r="13" spans="1:13" ht="45.75" thickBot="1" x14ac:dyDescent="0.3">
      <c r="A13" s="25"/>
      <c r="B13" s="24" t="s">
        <v>132</v>
      </c>
    </row>
    <row r="14" spans="1:13" ht="45.75" thickBot="1" x14ac:dyDescent="0.3">
      <c r="A14" s="25"/>
      <c r="B14" s="24" t="s">
        <v>113</v>
      </c>
    </row>
    <row r="15" spans="1:13" ht="15" customHeight="1" thickBot="1" x14ac:dyDescent="0.3">
      <c r="A15" s="25"/>
      <c r="B15" s="24" t="s">
        <v>118</v>
      </c>
    </row>
    <row r="16" spans="1:13" ht="15" customHeight="1" thickBot="1" x14ac:dyDescent="0.3">
      <c r="A16" s="25"/>
      <c r="B16" s="24" t="s">
        <v>154</v>
      </c>
    </row>
    <row r="17" spans="1:2" ht="15" customHeight="1" thickBot="1" x14ac:dyDescent="0.3">
      <c r="A17" s="26" t="s">
        <v>85</v>
      </c>
      <c r="B17" s="27" t="s">
        <v>423</v>
      </c>
    </row>
    <row r="20" spans="1:2" ht="15" customHeight="1" x14ac:dyDescent="0.25"/>
  </sheetData>
  <pageMargins left="0.7" right="0.7" top="0.75" bottom="0.75" header="0.3" footer="0.3"/>
  <tableParts count="5">
    <tablePart r:id="rId1"/>
    <tablePart r:id="rId2"/>
    <tablePart r:id="rId3"/>
    <tablePart r:id="rId4"/>
    <tablePart r:id="rId5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48</vt:i4>
      </vt:variant>
    </vt:vector>
  </HeadingPairs>
  <TitlesOfParts>
    <vt:vector size="53" baseType="lpstr">
      <vt:lpstr>Hoja2</vt:lpstr>
      <vt:lpstr>PAPP 2023</vt:lpstr>
      <vt:lpstr>Listas</vt:lpstr>
      <vt:lpstr>Listas2</vt:lpstr>
      <vt:lpstr>Hoja1</vt:lpstr>
      <vt:lpstr>_266_0001</vt:lpstr>
      <vt:lpstr>_266_0003</vt:lpstr>
      <vt:lpstr>_266_0004</vt:lpstr>
      <vt:lpstr>_266_0005</vt:lpstr>
      <vt:lpstr>_266_0006</vt:lpstr>
      <vt:lpstr>_266_0007</vt:lpstr>
      <vt:lpstr>_266_9999</vt:lpstr>
      <vt:lpstr>_51</vt:lpstr>
      <vt:lpstr>_53</vt:lpstr>
      <vt:lpstr>_57</vt:lpstr>
      <vt:lpstr>_73</vt:lpstr>
      <vt:lpstr>_84</vt:lpstr>
      <vt:lpstr>_99</vt:lpstr>
      <vt:lpstr>AC</vt:lpstr>
      <vt:lpstr>CAPITAL</vt:lpstr>
      <vt:lpstr>COORDINACIÓN_GENERAL_ADMINISTRATIVA_FINANCIERA</vt:lpstr>
      <vt:lpstr>COORDINACIÓN_ZONAL</vt:lpstr>
      <vt:lpstr>COORDINACIÓN_ZONAL_1</vt:lpstr>
      <vt:lpstr>COORDINACIÓN_ZONAL_2_9</vt:lpstr>
      <vt:lpstr>COORDINACIÓN_ZONAL_3</vt:lpstr>
      <vt:lpstr>COORDINACIÓN_ZONAL_4</vt:lpstr>
      <vt:lpstr>COORDINACIÓN_ZONAL_5_8</vt:lpstr>
      <vt:lpstr>COORDINACIÓN_ZONAL_6</vt:lpstr>
      <vt:lpstr>COORDINACIÓN_ZONAL_7</vt:lpstr>
      <vt:lpstr>COR</vt:lpstr>
      <vt:lpstr>CORRIENTE</vt:lpstr>
      <vt:lpstr>DIRECCIÓN_ADMINISTRATIVA</vt:lpstr>
      <vt:lpstr>DIRECCIÓN_GENERAL</vt:lpstr>
      <vt:lpstr>DIRECCIÓN_GENERAL_1</vt:lpstr>
      <vt:lpstr>Estrategicos</vt:lpstr>
      <vt:lpstr>FTE</vt:lpstr>
      <vt:lpstr>GEO</vt:lpstr>
      <vt:lpstr>GG</vt:lpstr>
      <vt:lpstr>INVERSIÓN</vt:lpstr>
      <vt:lpstr>ÍTEM_PRESUPUESTARIO</vt:lpstr>
      <vt:lpstr>NOMBRE_GEO</vt:lpstr>
      <vt:lpstr>Objetivos</vt:lpstr>
      <vt:lpstr>Operativos</vt:lpstr>
      <vt:lpstr>ORG</vt:lpstr>
      <vt:lpstr>PG</vt:lpstr>
      <vt:lpstr>Planta</vt:lpstr>
      <vt:lpstr>PLANTA_CENTRAL</vt:lpstr>
      <vt:lpstr>Politicas</vt:lpstr>
      <vt:lpstr>PY</vt:lpstr>
      <vt:lpstr>SUBDIRECCIÓN_TÉCNICA_DE_DOCTRINA</vt:lpstr>
      <vt:lpstr>SUBDIRECCIÓN_TÉCNICA_DE_OPERACIONES</vt:lpstr>
      <vt:lpstr>SUBDIRECCIÓN_TÉCNICA_DE_TECNOLOGÍA_E_INNOVACIÓN</vt:lpstr>
      <vt:lpstr>TIPO_DE_GASTO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ALE-PC</dc:creator>
  <cp:keywords/>
  <dc:description/>
  <cp:lastModifiedBy>MARIA FERNANDA</cp:lastModifiedBy>
  <cp:revision/>
  <dcterms:created xsi:type="dcterms:W3CDTF">2021-06-07T17:17:17Z</dcterms:created>
  <dcterms:modified xsi:type="dcterms:W3CDTF">2024-01-09T15:26:13Z</dcterms:modified>
  <cp:category/>
  <cp:contentStatus/>
</cp:coreProperties>
</file>