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880" firstSheet="1" activeTab="1"/>
  </bookViews>
  <sheets>
    <sheet name="Hoja1" sheetId="3" state="hidden" r:id="rId1"/>
    <sheet name="PAPP DICIEMBRE 2022" sheetId="1" r:id="rId2"/>
  </sheets>
  <definedNames>
    <definedName name="_xlnm._FilterDatabase" localSheetId="1" hidden="1">'PAPP DICIEMBRE 2022'!$A$5:$AP$244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<sst xmlns="http://schemas.openxmlformats.org/spreadsheetml/2006/main" count="3167" uniqueCount="277">
  <si>
    <t>Etiquetas de fila</t>
  </si>
  <si>
    <t>Suma de PRESUPUESTO INICIAL</t>
  </si>
  <si>
    <t>Total general</t>
  </si>
  <si>
    <t>SERVICIO INTEGRADO DE SEGURIDAD ECU 911</t>
  </si>
  <si>
    <t>PLAN ANUAL DE LA POLÍTICA PÚBLICA - PAPP 2022</t>
  </si>
  <si>
    <t>I. OBJETIVOS Y POLÍTICAS</t>
  </si>
  <si>
    <t>II. ESTRUCTURA ORGANIZATIVA</t>
  </si>
  <si>
    <t>III. ACTIVIDAD PAPP</t>
  </si>
  <si>
    <t>IV. ESTRUCTURA PROGRAMÁTICA</t>
  </si>
  <si>
    <t>V. PROGRAMACIÓN FINANCIERA</t>
  </si>
  <si>
    <t>OBJETIVOS PND</t>
  </si>
  <si>
    <t>POLÍTICAS PND</t>
  </si>
  <si>
    <t>OBJETIVOS ESTRATÉGICOS</t>
  </si>
  <si>
    <t>OBJETIVOS OPERATIVOS</t>
  </si>
  <si>
    <t>PLANTA CENTRAL / ZONAS</t>
  </si>
  <si>
    <t>DIRECCIÓN GENERAL / COORDINACIÓN / SUBDIRECCIÓN</t>
  </si>
  <si>
    <t>DIRECCIÓN</t>
  </si>
  <si>
    <t>MACROACTIVIDAD PAPP</t>
  </si>
  <si>
    <t>ACTIVIDAD PAPP</t>
  </si>
  <si>
    <t>PONDERACIÓN</t>
  </si>
  <si>
    <t>EOD</t>
  </si>
  <si>
    <t>PG</t>
  </si>
  <si>
    <t>PY</t>
  </si>
  <si>
    <t>AC</t>
  </si>
  <si>
    <t>GEO</t>
  </si>
  <si>
    <t>NOMBRE GEO</t>
  </si>
  <si>
    <t>FTE</t>
  </si>
  <si>
    <t>ORG</t>
  </si>
  <si>
    <t>COR</t>
  </si>
  <si>
    <t>TIPO DE GASTO</t>
  </si>
  <si>
    <t>GG</t>
  </si>
  <si>
    <t>ÍTEM PRESUPUESTARIO</t>
  </si>
  <si>
    <t>DESCRIPCIÓN ÍTEM PRESUPUESTARIO</t>
  </si>
  <si>
    <t>PRESUPUESTO INICIAL</t>
  </si>
  <si>
    <t>PRESUPUESTO VIGENTE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</si>
  <si>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</si>
  <si>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</si>
  <si>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</si>
  <si>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</si>
  <si>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</si>
  <si>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</si>
  <si>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</si>
  <si>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</si>
  <si>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</si>
  <si>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</si>
  <si>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</si>
  <si>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</si>
  <si>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</si>
  <si>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</si>
  <si>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CERTIFICACIÓN PAPP</t>
  </si>
  <si>
    <t>SALDO DSIPONIBLE</t>
  </si>
  <si>
    <t>OBJETIVO 14: FORTALECER LAS CAPACIDADES DEL ESTADO CON ÉNFASIS EN LA ADMINISTRACIÓN DE JUSTICIA Y EFICIENCIA EN LOS PROCESOS DE REGULACIÓN Y CONTROL CON INDEPENDENCIA Y AUTONOMÍA.</t>
  </si>
  <si>
    <t>14.2 POTENCIAR LAS CAPACIDADES DE LOS DISTINTOS NIVELES DE GOBIERNO PARA EL CUMPLIMIENTO DE LOS OBJETIVOS NACIONALES Y LA PRESTACIÓN DE SERVICIOS CON CALIDAD.</t>
  </si>
  <si>
    <t>3. INCREMENTAR EL USO EFICIENTE DEL PRESUPUESTO DEL SIS ECU 911</t>
  </si>
  <si>
    <t>COORDINACIÓN ZONAL</t>
  </si>
  <si>
    <t>ADMINISTRACIÓN CENTRAL</t>
  </si>
  <si>
    <t>CORRIENTE</t>
  </si>
  <si>
    <t>AGUA POTABLE</t>
  </si>
  <si>
    <t>ENERGÍA ELÉCTRICA</t>
  </si>
  <si>
    <t>SERVICIO DE CORREO</t>
  </si>
  <si>
    <t>TRANSPORTE DE PERSONAL</t>
  </si>
  <si>
    <t>ALMACENAMIENTO, EMBALAJE, DESEMBALAJE, ENVASE, DESENVASE Y RECARGA DE EXTINTORES</t>
  </si>
  <si>
    <t>EDICIÓN, IMPRESIÓN, REPRODUCCIÓN, PUBLICACIONES, SUSCRIPCIONES, FOTOCOPIADO, TRADUCCIÓN, EMPASTADO, ENMARCACIÓN, SERIGRAFÍA, FOTOGRAFÍA, CARNETIZACIÓN, FILMACIÓN E IMÁGENES SATELITALES</t>
  </si>
  <si>
    <t>SERVICIOS DE ASEO, LAVADO DE VESTIMENTA DE TRABAJO, FUMIGACIÓN, DESINFECCIÓN, LIMPIEZA DE INSTALACIONES, MANEJO DE DESECHOS CONTAMINADOS, RECUPERACIÓN Y CLASIFICACIÓN DE MATERIALES RECICLABLES</t>
  </si>
  <si>
    <t>PASAJES AL INTERIOR</t>
  </si>
  <si>
    <t>53</t>
  </si>
  <si>
    <t>VIÁTICOS Y SUBSISTENCIAS EN EL INTERIOR</t>
  </si>
  <si>
    <t>EDIFICIOS, LOCALES, RESIDENCIAS Y CABLEADO ESTRUCTURADO (INSTALACIÓN, MANTENIMIENTO Y REPARACIÓN)</t>
  </si>
  <si>
    <t>MOBILIARIOS (INSTALACIÓN, MANTENIMIENTO Y REPARACIÓN)</t>
  </si>
  <si>
    <t>VEHÍCULOS (SERVICIO PARA MANTENIMIENTO Y REPARACIÓN)</t>
  </si>
  <si>
    <t>COMBUSTIBLES Y LUBRICANTES</t>
  </si>
  <si>
    <t>MATERIALES DE OFICINA</t>
  </si>
  <si>
    <t>MATERIALES DE ASEO</t>
  </si>
  <si>
    <t>INSUMOS, MATERIALES Y SUMINISTROS PARA CONSTRUCCIÓN, ELECTRICIDAD, PLOMERÍA, CARPINTERÍA, SEÑALIZACIÓN VIAL, NAVEGACIÓN, CONTRA INCENDIOS Y PLACAS</t>
  </si>
  <si>
    <t>REPUESTOS Y ACCESORIOS</t>
  </si>
  <si>
    <t>MENAJE Y ACCESORIOS DESCARTABLES</t>
  </si>
  <si>
    <t>MAQUINARIAS Y EQUIPOS</t>
  </si>
  <si>
    <t>TASAS GENERALES, IMPUESTOS, CONTRIBUCIONES, PERMISOS, LICENCIAS Y PATENTES</t>
  </si>
  <si>
    <t>OBJETIVO 9: GARANTIZAR LA SEGURIDAD CIUDADANA, ORDEN PÚBLICO Y GESTIÓN DE RIESGOS</t>
  </si>
  <si>
    <t>9.3 IMPULSAR LA REDUCCIÓN DE RIESGOS DE DESASTRES Y ATENCIÓN OPORTUNA A EMERGENCIAS ANTE AMENAZAS NATURALES O ANTRÓPICAS EN TODOS LO SECTORES Y NIVELES TERRITORIALES</t>
  </si>
  <si>
    <t>2. INCREMENTAR LA INNOVACIÓN Y EL USO DE TECNOLOGÍA EFICIENTE PARA LA ATENCIÓN ADECUADA DE EMERGENCIAS</t>
  </si>
  <si>
    <t>TECNOLOGÍA</t>
  </si>
  <si>
    <t>TELECOMUNICACIONES</t>
  </si>
  <si>
    <t>EQUIPOS, SISTEMAS Y PAQUETES INFORMÁTICOS</t>
  </si>
  <si>
    <t xml:space="preserve">MANTENIMIENTO Y REPARACIÓN DE EQUIPOS Y SISTEMAS INFORMÁTICOS </t>
  </si>
  <si>
    <t>2. INCREMENTAR LA EFICIENCIA EN LA GESTIÓN FINANCIERA MEDIANTE EL FORTALECIMIENTO DE LAS METODOLOGÍAS, MEJORAMIENTO DE PROCESOS FINANCIEROS INTERNOS, APLICACIÓN DE NORMATIVAS Y REGULACIONES VIGENTES.</t>
  </si>
  <si>
    <t>CANCELACIÓN DE REMUNERACIONES Y BENEFICIOS SOCIALES</t>
  </si>
  <si>
    <t>REMUNERACIONES UNIFICADAS</t>
  </si>
  <si>
    <t>SALARIOS UNIFICADOS</t>
  </si>
  <si>
    <t>DÉCIMO TERCER SUELDO</t>
  </si>
  <si>
    <t>DÉCIMO CUARTO SUELDO</t>
  </si>
  <si>
    <t>ALIMENTACIÓN</t>
  </si>
  <si>
    <t>POR CARGAS FAMILIARES</t>
  </si>
  <si>
    <t>SUBSIDIO DE ANTIGÜEDAD</t>
  </si>
  <si>
    <t>HORAS EXTRAORDINARIAS Y SUPLEMENTARIAS</t>
  </si>
  <si>
    <t>APORTE PATRONAL</t>
  </si>
  <si>
    <t>FONDO DE RESERVA</t>
  </si>
  <si>
    <t>SERVICIOS PERSONALES POR CONTRATO</t>
  </si>
  <si>
    <t>OPERACIONES</t>
  </si>
  <si>
    <t>ENCARGOS</t>
  </si>
  <si>
    <t>GESTIÓN ZONAL DE TECNOLOGÍA Y SOPORTE</t>
  </si>
  <si>
    <t>SERVICIO DE SEGURIDAD Y VIGILANCIA</t>
  </si>
  <si>
    <t>SUBROGACIÓN</t>
  </si>
  <si>
    <t>COMPENSACIÓN POR VACACIONES NO GOZADAS POR CESACIÓN DE FUNCIONES</t>
  </si>
  <si>
    <t>SERVICIOS DE IDENTIFICACIÓN, MARCACIÓN, AUTENTIFICACIÓN, RASTREO, MONITOREO, SEGUIMIENTO Y/O TRAZABILIDAD</t>
  </si>
  <si>
    <t>OBLIGACIONES DE EJERCICIOS ANTERIORES POR EGRESOS DE PERSONAL</t>
  </si>
  <si>
    <t>OBLIGACIONES CON EL IESS POR RESPONSABILIDAD PATRONAL</t>
  </si>
  <si>
    <t xml:space="preserve">INTERESES POR MORA PATRONAL AL IESS </t>
  </si>
  <si>
    <t>CAPITAL</t>
  </si>
  <si>
    <t>84</t>
  </si>
  <si>
    <t>TOTAL</t>
  </si>
  <si>
    <t>GESTIÓN ZONAL ADMINISTRATIVA FINANCIERA Y DE ADMINISTRACIÓN DE RECURSOS HUMANOS</t>
  </si>
  <si>
    <t>MAQUINARIAS Y EQUIPOS (INSTALACIÓN, MANTENIMIENTO Y REPARACIÓN)</t>
  </si>
  <si>
    <t>CONTRIBUCIONES ESPECIALES Y DE MEJORA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</si>
  <si>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</t>
  </si>
  <si>
    <t>GESTIÓN LOCAL ADMINISTRATIVA FINANCIERA Y DE ADMINISTRACIÓN DE RECURSOS HUMANOS</t>
  </si>
  <si>
    <t>GESTIÓN LOCAL DE OPERACIONES</t>
  </si>
  <si>
    <t>GESTIÓN LOCAL DE SOPORTE TECNOLÓGICO</t>
  </si>
  <si>
    <t>MOBILIARIO</t>
  </si>
  <si>
    <t>COMPENSACIÓN POR TRANSPORTE</t>
  </si>
  <si>
    <t xml:space="preserve">COORDINACIÓN ZONAL </t>
  </si>
  <si>
    <t>PARTES Y REPUESTOS</t>
  </si>
  <si>
    <t>DIFUSIÓN, INFORMACIÓN Y PUBLICIDAD</t>
  </si>
  <si>
    <t>GESTIÓN ZONAL DE OPERACIONES</t>
  </si>
  <si>
    <t>COORDINACIÓN ZONAL 5 - 8</t>
  </si>
  <si>
    <t>266 0005</t>
  </si>
  <si>
    <t>SAMBORONDÓN</t>
  </si>
  <si>
    <t xml:space="preserve">SUBSIDIOS POR ALIMENTACIÓN </t>
  </si>
  <si>
    <t>51</t>
  </si>
  <si>
    <t>SUBSIDIOS POR CARGAS FAMILIARES</t>
  </si>
  <si>
    <t>SUBSIDIOS DE ANTIGÜEDAD</t>
  </si>
  <si>
    <t>99</t>
  </si>
  <si>
    <t>SERVICIO DE ABASTECIMIENTO DE AGUA POTABLE PARA EL CENTRO OPERATIVO ZONAL SAMBORONDÓN</t>
  </si>
  <si>
    <t>CONSUMO DE ENERGÍA ELÉCTRICA DEL CENTRO ZONAL SAMBORONDÓN</t>
  </si>
  <si>
    <t>SERVICIO DE CORRESPONDENCIA Y CARGA A NIVEL NACIONAL PARA LA COORDINACIÓN 5 Y 8 SERVICIO INTEGRADO DE SEGURIDAD ECU 911 SAMBORONDÓN</t>
  </si>
  <si>
    <t>SERVICIO DE TRANSPORTE DE PERSONAL CENTRO ZONAL ECU 911 SAMBORONDÓN</t>
  </si>
  <si>
    <t>SERVICIO DE RECARGA DE EXTINTORES DEL CENTRO ZONAL SAMBORONDÓN</t>
  </si>
  <si>
    <t>SERVICIO DE RECARGA Y MANTENIMIENTO DE EXTINTORES GAS FM200</t>
  </si>
  <si>
    <t>CONTRATACIÓN DEL SERVICIO DE ELABORACIÓN, IMPRESIÓN E INSTALACIÓN DE SEÑALÉTICA Y RÓTULOS CON LOGOTIPOS INSTITUCIONAL PARA LOS CENTROS QUE CONFORMAN  LA COORDINACIÓN ZONAL 5 Y 8 DEL SERVICIO INTEGRADO DE SEGURIDAD ECU 911</t>
  </si>
  <si>
    <t>CONTRATACIÓN DEL SERVICIO DE ELABORACIÓN, IMPRESIÓN E INSTALACIÓN DE LETRAS CORPOREAS Y LOGOTIPOS INSTITUCIONALES DE LA FACHADA DE INGRESO AL CENTRO ZONAL SAMBORONDÓN DE LA COORDINACIÓN ZONAL 5 Y 8 DEL SERVICIO INTEGRADO DE SEGURIDAD ECU 911</t>
  </si>
  <si>
    <t>PROCESO DE CONTRATACIÓN DEL SERVICIO DE ELABORACIÓN DE MATERIAL PUBLICITARIO PARA LA EJECUCIÓN DE ACTIVIDADES DE COMUNICACIÓN INSTITUCIONAL Y DE VINCULACIÓN CON LA COMUNIDAD.</t>
  </si>
  <si>
    <t xml:space="preserve">SERVICIO DE SEGURIDAD Y VIGILANCIA DEL CENTRO ZONAL SAMBORONDÓN Y BABAHOYO </t>
  </si>
  <si>
    <t xml:space="preserve"> SERVICIO DE LIMPIEZA DE INTERIORES Y EXTERIORES TIPO III PARA EL CENTRO ZONAL SAMBORONDÓN</t>
  </si>
  <si>
    <t>SERVICIO DE SANITIZACIÓN Y DESINFECCIÓN DE BAÑOS SAMBORONDÓN</t>
  </si>
  <si>
    <t>SERVICIO DE RASTREO SATELITAL GPS, INCLUYE EQUIPOS A PRÉSTAMO PARA EL PARQUE AUTOMOTOR DE LA COORDINACIÓN ZONAL 5 Y 8 SERVICIO INTEGRADO DE SEGURIDAD ECU 911</t>
  </si>
  <si>
    <t>REEMBOLSO POR ADQUISICIÓN DE PASAJES EN CUMPLIMIENTO DE COMISIÓN DE SERVICIO INSTITUCIONALES DEL CENTRO ZONAL ECU 911 SAMBORONDÓN</t>
  </si>
  <si>
    <t>SERVICIO DE PASAJES AEREOS PARA FUNCIONARIOS DEL CENTRO ZONAL ECU 911 SAMBORONDÓN</t>
  </si>
  <si>
    <t>PAGOS POR VIATICOS Y SUBSISTENCIAS EN EL INTERIOR EFECTUADAS POR LOS SERVIDORES, FUNCIONARIOS DEL COL ECU 911 SAMBORONDÓN</t>
  </si>
  <si>
    <t xml:space="preserve">SERVICIO DE MANTENIMIENTO PREVENTIVO Y CORRECTIVO DE LOS SISTEMAS ELÉCTRICOS EN LOS EDIFICIOS DE LA COORDINACIÓN ZONAL 5 Y 8 </t>
  </si>
  <si>
    <t xml:space="preserve"> SERVICIO DE MANTENIMIENTO DE ASCENSORES CENTRO ZONAL ECU 911 SAMBORONDÓN</t>
  </si>
  <si>
    <t>CONTRATACIÓN DEL SERVICIO DE MANTENIMIENTO PREVENTIVO Y CORRECTIVO DEL SISTEMA CONTRA INCENDIO, SISTEMA DE DETECCIÓN Y EXTINCIÓN DE INCENDIOS DE LOS CENTROS DE LA COORDINACIÓN ZAONAL 5 Y 8 SERVICICIO INTEGRADO DE SEGURIDAD ECU 911</t>
  </si>
  <si>
    <t>MANTENIMIENTO PREVENTIVO Y CORRECTIVO DE MOBILIARIOS DE LA CZ5Y8</t>
  </si>
  <si>
    <t>SERVICIO DE MANTENIMIENTO DE LÍNEA BLANCA DEL CENTRO OPERATIVO LOCAL ECU 911 BABAHOYO Y CENTRO ZONAL ECU 911 SAMBORONDÓN</t>
  </si>
  <si>
    <t>MANTENIMIENTO PREVENTIVO Y CORRECTIVO DE CLIMATIZACION DE LOS CENTROS DE LA COORDINACION ZONAL 5 Y 8</t>
  </si>
  <si>
    <t>SERVICIO DE MANTENIMIENTO PREVENTIVO Y CORRECTIVO DE LOS VEHÍCULOS LIVIANOS DEL  CENTRO ZONAL ECU 911 SAMBORONDÓN</t>
  </si>
  <si>
    <t>REPOSICIÓN DE FONDO DE CAJA CHICA DEL CENTRO ZONAL SAMBORONDÓN</t>
  </si>
  <si>
    <t>SERVICIO DE MANTENIMIENTO PREVENTIVO Y CORRECTIVO DEL BUS INSTITUCIONAL DEL  CENTRO ZONAL SAMBORONDÓN</t>
  </si>
  <si>
    <t>FISCALIZACIÓN E INSPECCIONES TÉCNICAS</t>
  </si>
  <si>
    <t>SERVICIO DE ABASTECIMIENTO DE COMBUSTIBLE PARA LOS GENERADORES Y VEHÍCULOS INSTITUCIONALES DEL CENTRO ZONAL SAMBORONDÓN</t>
  </si>
  <si>
    <t>ADQUISICIÓN DE SUMINISTROS DE OFICINA PARA EL CENTRO DE SAMBORONDÓN</t>
  </si>
  <si>
    <t>ADQUISICIÓN DE TONERS PARA EL CENTRO ZONAL SAMBORONDÓN</t>
  </si>
  <si>
    <t>ADQUISICIÓN DE MATERIALES DE ASEO PARA EL CENTRO ZONAL SAMBORONDÓN</t>
  </si>
  <si>
    <t>ADQUISICIÓN DE CABLE CONCÉNTRICO 3X12 PAR EL CENTRO ZONAL ECU 911 SAMBORONDÓN</t>
  </si>
  <si>
    <t>ADQUISICIÓN DE MATERIALES E INSUMOS DE FERRETERIA PARA RELIZAR LOS DIFERENTES MANTENIMIENTO EN LOS CENTROS DE LA COORDINACIÓN 5 Y 8 SIS ECU 911</t>
  </si>
  <si>
    <t>REPOSICIÓN DEFONDO FIJO DE CAJA CHICA DEL CENTRO ZONAL ECU 911 SAMBORONDÓN</t>
  </si>
  <si>
    <t>ADQUISICIÓN DE FILTROS Y MATERIALES PARA LOS PURIFICADORES DE AGUA DEL CENTRO ZONAL SAMBORONDÓN</t>
  </si>
  <si>
    <t>ADQUISICIÓN DE INSUMOS DE BIOSEGURIDAD PARA EL CENTRO ZONAL SAMBORONDÓN.</t>
  </si>
  <si>
    <t xml:space="preserve">INSUMOS MATERIALES SUMINISTROS Y BIENES PARA INVESTIGACION </t>
  </si>
  <si>
    <t>REEMBOLSO DE PEAJES PARA CONDUCTORES DEL CENTRO ZONAL ECU 911 SAMBORONDÓN</t>
  </si>
  <si>
    <t>CONTRATACIÓN DEL SERVICIO DE TELEPEAJE PARA LOS VEHICULOS INSTITUCIONALES DEL CENTRO ZONAL ECU 911 SAMBORONDÓN</t>
  </si>
  <si>
    <t>TASAS SAMBORONDÓN</t>
  </si>
  <si>
    <t>PAGO DE DEUDA CONTRAIDA POR REVISION TECNICA VEHICULAR VEHICULO SUZUKI GRAND VITARA PLACAS GEA1459</t>
  </si>
  <si>
    <t>OTROS IMPUESTOS, TASAS Y CONTRIBUCIONES</t>
  </si>
  <si>
    <t>OBLIGACIONES DE EJERCICIOS ANTERIORES POR EGRESOS EN SERVICIOS</t>
  </si>
  <si>
    <t>PROVISIÓN DEL SERVICIO DE TELEFONÍA FIJA, ENLACES DE DATOS, INTERNET SERVICIOS MÓVILES (PDA, GPS Y BOTONES DE AUXILIO)  PARA LA COORDINACIÓN ZONAL 5 Y 8 SERVICIO INTEGRADO DE SEGURIDAD ECU 911 CENTRO ZONAL SAMBORONDÓN</t>
  </si>
  <si>
    <t xml:space="preserve">SOSTENIMIENTO TECNOLÓGICO DE PUNTOS DE  VIDEO VIGILANCIA DEL CENTRO ZONAL ECU 911 SAMBORONDÓN Y CENTRO OPERATIVO LOCAL BABAHOYO </t>
  </si>
  <si>
    <t>SERVICIO DE MANTENIMIENTO PREVENTIVO Y ADQUISICIÓN DE REPUESTOS, ACCESORIOS, PARTES Y PIEZAS PARA FOTOCOPIADORAS  E IMPRESORAS DEL CENTRO ZONAL SAMBORONDÓN Y EL CENTRO OPERATIVO LOCAL BABAHOYO</t>
  </si>
  <si>
    <t xml:space="preserve">COMPRA DE REPUESTOS, HERRAMIENTAS  E INSUMOS </t>
  </si>
  <si>
    <t>SERVICIO DE MANTENIMIENTO PREVENTIVO Y ADQUISICIÓN DE REPUESTOS, ACCESORIOS, PARTES Y PIEZAS PARA FOTOCOPIADORAS E IMPRESORAS DEL CENTRO ZONAL SAMBORONDÓN Y EL CENTRO OPERATIVO LOCAL BABAHOYO</t>
  </si>
  <si>
    <t>ADQUISICIÓN DE REPUESTOS Y ACCESORIOS PARA RADIOS APX 2000 PARA LA COORDINACIÓN ZONAL 5 Y 8 SIS ECU 911</t>
  </si>
  <si>
    <t>ADQUISICIÓN DE REPUESTOS Y DISPOSITIVOS PARA MANTENIMIENTO DE EQUIPOS TECNOLOGICOS</t>
  </si>
  <si>
    <t>ADQUISICIÓN DE UPS PARA PUNTOS DE VIDEO VIGILANCIA DE LA COORDINACIÓN  ZONAL 5 Y 8 DEL SERVICIO INTEGRADO DE SEGURIDAD ECU 911</t>
  </si>
  <si>
    <t>BABAHOYO</t>
  </si>
  <si>
    <t xml:space="preserve">SUBSIDIOS POR TRANSPORTE </t>
  </si>
  <si>
    <t>ADMINISTRACIÓN Y GESTION DEL SERVICIO DE ABASTECIMIENTO DE AGUA POTABLE PARA EL CENTRO OPERATIVO LOCAL ECU 911 BABAHOYO</t>
  </si>
  <si>
    <t>ADMINISTRACIÓN Y GESTION DEL SERVICIO DE ABASTECIMIENTO DE AGUA POTABLE PARA LA SALA OPERATIVA ECU 911 QUEVEDO</t>
  </si>
  <si>
    <t>ADMINISTRACIÓN Y GESTION DEL SERVICIO  DE ENERGÍA ELÉCTRICA PARA EL CENTRO OPERATIVO LOCAL ECU 911 BABAHOYO.</t>
  </si>
  <si>
    <t>ADMINISTRACIÓN Y GESTION DEL SERVICIO  DE ENERGÍA ELÉCTRICA PARA LA SALA OPERATIVA ECU 911 GUARANDA.</t>
  </si>
  <si>
    <t>ADMINISTRACIÓN Y GESTION DEL SERVICIO  DE ENERGÍA ELÉCTRICA PARA LA SALA OPERATIVA ECU 911 QUEVEDO.</t>
  </si>
  <si>
    <t>PAGO POR SERVICIO DE
TELECOMUNICACIÓN (INTERNET Y LÍNEAS ADMINISTRATIVAS)</t>
  </si>
  <si>
    <t>CONTRATACIÓN DEL SERVICIO DE TRANSPORTE OPERATIVO PARA PERSONAL DE AREA DE OPERACIONES DEL CENTRO OPERATIVO LOCAL ECU 911 BABAHOYO</t>
  </si>
  <si>
    <t>CONTRATACIÓN DEL SERVICIO DE MANTENIMIENTO Y RECARGA DE EXTINTORES PORTÁTILES PARA EL CENTRO OPERATIVO LOCAL ECU 911 BABAHOYO</t>
  </si>
  <si>
    <t>CONTRATACIÓN DEL SERVICIO DE LIMPIEZA DE INTERIORES Y EXTERIORES TIPO III PARA EL CENTRO OPERATIVO LOCAL ECU 911 BABAHOYO</t>
  </si>
  <si>
    <t>CONTRATACIÓN
DEL SERVICIO DE SANITIZACIÓN Y DESINFECCIÓN DE LA SALA OPERATIVA QUEVEDO</t>
  </si>
  <si>
    <t>CONTRATACIÓN DEL SERVICIO DE RECOLECCIÓN DE DESECHOS POR GESTORES AMBIENTALES</t>
  </si>
  <si>
    <t>PAGO DE SERVICIO DE LIMPIEZA DE INTERIORES DE SALA OPERATIVA ECU 911 QUEVEDO SOBRE LA
BASE 300 M2</t>
  </si>
  <si>
    <t>CONTRATACIÓN DEL SERVICIO DE SANITIZACIÓN Y DESINFECCIÓN DE BAÑOS DEL CENTRO OPERATIVO LOCAL ECU 911 BABAHOYO Y SUS SALAS OPERATIVAS ECU 911 GUARANDA Y ECU 911 QUEVEDO</t>
  </si>
  <si>
    <t>REEMBOLSO POR ADQUISICIÓN DE PASAJES EN CUMPLIMIENTO DE COMISIÓN DE SERVICIO INSTITUCIONALES DEL CENTRO LOCAL ECU 911 BABAHOYO</t>
  </si>
  <si>
    <t>CONTRATACIÓN DEL SERVICIO DE PASAJES AEREOS PARA FUNCIONARIOS DEL CENTRO OPERATIVO LOCAL ECU 911 BABAHOYO</t>
  </si>
  <si>
    <t>PAGOS POR VIATICOS Y SUBSISTENCIAS EN EL INTERIOR EFECTUADAS POR LOS SERVIDORES, FUNCIONARIOS DEL COL ECU 911 BABAHOYO</t>
  </si>
  <si>
    <t>CONTRATACIÓN DEL SERVICIO DE MANTENIMIENTO PREVENTIVO Y CORRECTIVO DEL ASCENSOR MARCA MITSUBISHI DEL CENTRO ECU 911 BABAHOYO.</t>
  </si>
  <si>
    <t>DESMONTAJE Y MONTAJE DE
EQUIPOS TECNOLÓGICOS DE LA SALA OPERATIVA ECU 911 QUEVEDO</t>
  </si>
  <si>
    <t>SERVICIO DE FABRICACIÓN E INSTALACIÓN DE ANAQUELES DE COCINA PARA COMEDOR Y CAFETERIA DE LA SALA OPERATIVA ECU 911 QUEVEDO</t>
  </si>
  <si>
    <t>SERVICIO DE FABRICACIÓN E INSTALACION DE PUERTAS DE SEGURIDAD PARA LAS SALAS OPERATIVAS ECU 911 QUEVEDO Y ECU 911 GUARANDA</t>
  </si>
  <si>
    <t>SERVICIO DE PINTURA INTERIOR INCLUIDO MATERIALES PARA EL CENTRO OPERATIVO LOCAL ECU 911 BABAHOYO</t>
  </si>
  <si>
    <t>SERVICIO DE MANTENIMIENTO DE INFRAESTRUCTURA DEL CENTRO OPERATIVO LOCAL ECU 911 BABAHOYO</t>
  </si>
  <si>
    <t>SERVICIO DE MANTENIMIENTO DE LÍNEA BLANCA DEL CENTRO OPERATIVO LOCAL ECU 911 BABAHOYO</t>
  </si>
  <si>
    <t>CONTRATACIÓN DEL SERVICIO DE MANTENIMIENTO Y REPARACIÓN DE EQUIPO DE PURIFICACIÓN DE AGUA DEL CENTRO OPERATIVO LOCAL ECU 911 BABAHOYO</t>
  </si>
  <si>
    <t>CONTRATACIÓN DEL SERVICIO DE MANTENIMIENTO PREVENTIVO Y CORRECTIVO DE LOS VEHÍCULOS LIVIANOS Y PESADOS DEL CENTRO OPERATIVO LOCAL ECU 911 BABAHOYO.</t>
  </si>
  <si>
    <t>CONTRATACIÓN DEL SERVICIO DE MANTENIMIENTO PREVENTIVO Y CORRECTIVO DE LOS VEHÍCULOS PESADOS DEL CENTRO OPERATIVO LOCAL ECU 911 BABAHOYO.</t>
  </si>
  <si>
    <t>CONTRATACIÓN DEL SERVICIO DE ABASTECIMIENTO DE COMBUSTIBLE PARA LOS VEHÍCULOS INSTITUCIONALES DEL CENTRO OPERATIVO LOCAL ECU 911 BABAHOYO</t>
  </si>
  <si>
    <t>CONTRATACIÓN DEL SERVICIO DE ABASTECIMIENTO DE COMBUSTIBLE PARA LOS GENERADORES INSTALADOS  DEL CENTRO OPERATIVO LOCAL ECU 911 BABAHOYO</t>
  </si>
  <si>
    <t xml:space="preserve">ADQUISICIÓN DE TARJETAS MAGNETICAS DE PROXIMIDAD PARA CONTROL DE ACCESOS </t>
  </si>
  <si>
    <t>ADQUISICIÓN DE TONERS PARA EL CENTRO LOCAL ECU 911 BABAHOYO</t>
  </si>
  <si>
    <t>ADQUISICIÓN DE MATERIALES DE OFICINA A TRAVÉS DE CATÁLOGO ELECTRÓNICO PARA EL CENTRO OPERATIVO LOCAL ECU 911 BABAHOYO</t>
  </si>
  <si>
    <t>REPOSICIÓN DEFONDO FIJO DE CAJA CHICA DEL CENTRO OPERATIVO LOCAL ECU 911 BABAHOYO</t>
  </si>
  <si>
    <t>ADQUISICIÓN DE MATERIALES E INSUMOS DE FERRETERIA PARA RELIZAR TRABAJOS DE MANTENIMIENTO EN EL EDIFICIO DEL CENTRO OPERATIVO LOCAL ECU 911 BABAHOYO</t>
  </si>
  <si>
    <t>ADQUISICIÓN DE REPUESTOS (FILTRO Y MANGUERA) PARA EL EQUIPO PURIFICADOR DE AGUA DEL CENTRO OPERATIVO LOCAL ECU 911 BABAHOYO</t>
  </si>
  <si>
    <t>ADQUISICIÓN DE NEUMÁTICOS PARA VEHÍCULOS LIVIANOS QUE FORMAN PARTE DEL PARQUE AUTOMOTOR DEL CENTRO OPERATIVO LOCAL ECU 911 BABAHOYO</t>
  </si>
  <si>
    <t>ADQUISICIÓN DE NEUMÁTICOS PARA VEHÍCULOS PESADOS QUE FORMAN PARTE DEL PARQUE AUTOMOTOR DEL CENTRO OPERATIVO LOCAL ECU 911 BABAHOYO</t>
  </si>
  <si>
    <t>ADQUISICIÓN DE RESPUESTOS PARA MANTENIMIENTO DE VIDEO WALL DE SALA OPERATIVA ECU 911 QUEVEDO</t>
  </si>
  <si>
    <t>CONTRATACIÓN DEL SERVICIO DE MANTENIMIENTO DE ALFOMBRAS DEL CENTRO OPERATIVO LOCAL ECU 911 BABAHOYO</t>
  </si>
  <si>
    <t>ADQUISICIÓN DE ALCOHOL Y GEL ANTISEPTICO PARA EL CENTRO OPERATIVO LOCAL ECU 911 BABAHOYO.</t>
  </si>
  <si>
    <t>ADQUISICIÓN DE PARTES Y PIEZAS PARA IMPLEMENTACIÓN TECNOLÓGICA EN SALA OPERATIVA ECU 911 QUEVEDO</t>
  </si>
  <si>
    <t>ADQUISICIÓN DE NEUMÁTICOS PARA VEHÍCULOS INSTITUCIONALES DEL CENTRO OPERATIVO LOCAL ECU 911 BABAHOYO</t>
  </si>
  <si>
    <t>PAGO DE MATRÍCULA DE VEHÍCULOS INSTITUCIONALES DEL CENTRO OPERATIVO LOCAL ECU 911 BABAHOYO</t>
  </si>
  <si>
    <t>PAGO DE LA REVISIÓN TÉCNICA VEHICULAR DE LOS VEHÍCULOS INSTITUCIONALES DEL CENTRO OPERATIVO LOCAL ECU 911 BABAHOYO</t>
  </si>
  <si>
    <t>PAGO DEL PERMISO DE FUNCIONAMIENTO DE CUERPO DE BOMBEROS DEL CENTRO OPERATIVO LOCAL ECU 911 BABAHOYO</t>
  </si>
  <si>
    <t>PAGO DE TASAS MUNICIPALES DEL CENTRO OPERATIVO LOCAL ECU 911 BABAHOYO.</t>
  </si>
  <si>
    <t>CONTRATACIÓN DEL SERVICIO DE PRECONTRATACIÓN DEL PAGO DE PEAJE PARA LOS VEHÍCULOS INSTITUCIONALES DEL CENTRO OPERATIVO LOCAL ECU 911 BABAHOYO</t>
  </si>
  <si>
    <t>REEMBOLSO DE PEAJES PARA CONDUCTORES DEL CENTRO OPERATIVO LOCAL ECU 911 BABAHOYO</t>
  </si>
  <si>
    <t>PAGO DE TASA POR TRASLADO DE COMBUSTIBLE DEL CENTRO OPERATIVO LOCAL ECU 911 BABAHOYO</t>
  </si>
  <si>
    <t>CONTRATACIÓN DEL SERVICIO DE CONECTIVIDAD CON CNT DEL CENTRO OPERATIVO LOCAL ECU 911 BABAHOYO</t>
  </si>
  <si>
    <t>SOSTENIMIENTO  TECNOLOGICO POR SERVICIO DE CENTRAL TELEFONICA IP-PBX IP PBX DE 1 LÌNEA FXO, CON SOPORTE DE LLAMADAS SIMULTANEAS DE VARIOS USUARIOS INCLUIDO PUERTOS, CON 1 PUERTOS FXO Y 2 FXS</t>
  </si>
  <si>
    <t>SERVICIO DE IMPLEMENTACIÓN Y ADMINISTRACIÓN DE BANCOS DE INFORMACIÓN</t>
  </si>
  <si>
    <t>SERVICIO DE
MANTENIMIENTO
PREVENTIVO -
CORRECTIVO DE
LOS SISTEMAS
DE PROYECCIÓN
VIDEO
WALL DE LAS
SALAS
OPERATIVAS
ECU911
QUEVEDO Y ECU
911 GUARANDA</t>
  </si>
  <si>
    <t>ADQUISICIÓN DE TARJETA DE VIDEO DVI DE CONTROLADOR DEL SISTEMA DE PROYECCIÓN DE VIDEO WALL DE LA SALA OPERATIVA ECU 911 QUEVEDO DEL CENTRO OPERATIVO LOCAL ECU 911 BABAHOYO</t>
  </si>
  <si>
    <t>ADQUISICIÓN DE 2 RADIOS
TRONCALIZADAS PARA COMUNICACIÓN INTERNA SALA OPERATIVA ECU 911 QUEVEDO</t>
  </si>
  <si>
    <t>ADQUISICIÓN DE MONITORES PARA LA IMPLEMENTACIÓN DEL VIDEO WALL DE LA SALA OPERATIVA ECU 911 QUEVEDO</t>
  </si>
  <si>
    <t xml:space="preserve">ADQUISICIÓN DE VIDEO WALL PARA LA IMPLEMENTACIÓN DE LA SALA OPERATIVA ECU 911 QUEVEDO </t>
  </si>
  <si>
    <t>ADQUISICIÓN DE 12 MONITORES PARA LA SALA OPERATIVA ECU 911 QUEVEDO</t>
  </si>
  <si>
    <t>ADQUISICIÓN DE NAS CLOUD COMPARTIMENTOS CON CAPACIDAD DE ALMACENAMIENTO DE 40 TB EN DISCOS INSTALABLES HDD HASTA 10 TB X4 (UNIDAD DE ALMACENAMIENTO)</t>
  </si>
  <si>
    <t>ADQUISICIÓN DE UN SISTEMA DE CCCTV (8 CÁMARA IP DOMO 2MP 1080P | 2,8MM | IR 20
A 30M | H.264+/H.264 |IP67 | IK10 | D-WDR | POE | 12VDC | NOINCLUYE FUENTE - 1 NVR
8CH POE | TASA IN/OUT 80/160MBPS | H.265/H.265+/H.264/H.264+ | SALIDA HDMI/VGA
4K | AUDIO 1 IN/OUT |ALARMA IN/OUT: 4/1 | SOPORTA 2HDD ( HASTA 4TB) | TCP/IP
10/100/1000MB | POE HASTA 300MTS | 12VDC | INCLUYEFUENTE - 2 DISCO DURO SATA
4TB ESPECIAL PARA DVR WD PURPLE)</t>
  </si>
  <si>
    <t>ADQUISICIÓN DE EQUIPOS Y COMPONENTES TECNOLÓGICOS PARA LA IMPLEMENTACIÓN TECNOLÓGICA DE LA SALA OPERATIVA ECU 911 QUEVEDO DEL CENTRO OPERATIIVO LOCAL ECU 911 BABAHOYO</t>
  </si>
  <si>
    <t>ADQUISICIÓN DE IMPRESORA MULTIFUNCIÓN (IMPRESORA MULTIFUNCIONAL XEROX VERSALINK B405-IMPRESIÓN/COPIADO/ESCANEO/FAX 47 PPM CICLO MENSUAL 110,000 PAG ETHERNET + USB DE ENTRADA 150+550 HOJAS)</t>
  </si>
  <si>
    <t>SAN CRISTÓBAL</t>
  </si>
  <si>
    <t>PAGO MENSUAL POR SUMINISTRO DE AGUA DEL CENTRO OPERATIVO LOCAL ECU 911 SAN CRISTÓBAL</t>
  </si>
  <si>
    <t>PAGO MENSUAL POR SUMINISTRO DE ENERGÍA ELÉCTRICA DEL CENTRO OPERATIVO LOCAL ECU 911 SAN CRISTÓBAL</t>
  </si>
  <si>
    <t>SERVICIO DE CORRESPONDENCIA Y CARGA A NIVEL NACIONAL PARA LA COORDINACIÓN 5 Y 8 SERVICIO INTEGRADO DE SEGURIDAD ECU 911 SAN CRISTOBAL</t>
  </si>
  <si>
    <t>RECARGA DE EXTINTORES: 32 DE PQS Y 6 DE CO2  DEL CENTRO OPERATIVO LOCAL ECU 911 SAN CRISTÓBAL</t>
  </si>
  <si>
    <t>PROCESO DE CONTRATACIÓN DEL SERVICIO DE ELABORACIÓN DE MATERIAL DE BRANDEO INTERNO PARA EL CENTRO LOCAL SAN CRISTÓBAL</t>
  </si>
  <si>
    <t>ADQUISICIÓN DE TICKETS AEREOS PARA LOS SERVIDIDORES, FUNCIONARIOS DEL  CENTRO OPERATIVO LOCAL  ECU 911 SAN CRISTÓBAL</t>
  </si>
  <si>
    <t>PAGO DE PASAJES MARÍTIMOS PARA LOS SERVIDIDORES, FUNCIONARIOS DEL  CENTRO OPERATIVO LOCAL  ECU 911 SAN CRISTÓBAL</t>
  </si>
  <si>
    <t>PAGOS POR VIATICOS Y SUBSISTENCIAS EN EL INTERIOR EFECTUADAS POR LOS SERVIDORES, FUNCIONARIOS DEL COL ECU 911 SAN CRISTÓBAL</t>
  </si>
  <si>
    <t>MANTENIMIENTO A LOS CASILLEROS METÁLICOS Y ESTANTERÍA METÁLICA DEL CENTRO OPERATIVO LOCAL ECU 911 SAN CRISTÓBAL</t>
  </si>
  <si>
    <t>ADECENTAMIENTO
DEL ÁREA DONDE
SE ESTABLECERÁ EL ARCHIVO INACTIVO DEL COL ECU 911 GALÁPAGOS</t>
  </si>
  <si>
    <t>SERVICIO DE ADECUACIÓN DEL ARCHIVO INACTIVO DEL CENTRO OPERATIVO LOCAL ECU 911 GALÁPAGOS</t>
  </si>
  <si>
    <t xml:space="preserve"> MANTENIMIENTO DE SILLAS ERGONOMICAS DEL CENTRO OPERATIVO LOCAL ECU 911 SAN CRISTÓBAL</t>
  </si>
  <si>
    <t>CONTRATACIÓN DEL SERVICIO DEL MANTENIMIENTO PREVENTIVO Y CORRECTIVO DE LOS VEHÍCULOS DEL PARQUE AUTOMOTOR DEL  CENTRO OPERATIVO LOCAL  ECU 911 SAN CRISTÓBAL</t>
  </si>
  <si>
    <t>ABASTECIMIENTO DE COMBUSTIBLE PARA VEHÍCULOS Y GENERADORES DE ENERGÍA DEL  CENTRO OPERATIVO LOCAL  ECU 911 SAN CRISTÓBAL</t>
  </si>
  <si>
    <t>ADQUISICIÓN DE TARJETAS MAGNETICAS DE PROXIMIDAD PARA CONTROL DE ACCESOS DEL CENTRO OPERATIVO LOCAL ECU 911 SAN CRISTOBAL</t>
  </si>
  <si>
    <t>ADQUISICIÓN DE TONERS PARA EL CENTRO OPERATIVO LOCAL  ECU 911 SAN CRISTÓBAL</t>
  </si>
  <si>
    <t>ADQUISICIÓN DE MATERIALES DE OFICINA PARA EL CENTRO OPERATIVO LOCAL  ECU 911 SAN CRISTÓBAL</t>
  </si>
  <si>
    <t>ADQUISICIÓN DE MATERIALES DE ASEO PARA EL CENTRO OPERATIVO LOCAL  ECU 911 SAN CRISTÓBAL</t>
  </si>
  <si>
    <t>ADQUISICIÓN CONTENEDORES DE BASURA 2020 PARA EL CENTRO OPERATIVO LOCAL  ECU 911 SAN CRISTÓBAL</t>
  </si>
  <si>
    <t>ADQUISICIÓN DE SUMINISTROS DE FERRETERIA PARA EL  CENTRO OPERATIVO LOCAL ECU 911 SAN CRISTÓBAL</t>
  </si>
  <si>
    <t>ADQUISICIÓN DE LLANTAS PARA VEHÍCULOS DEL CENTRO OPERATIVO LOCAL ECU 911 SAN CRISTOBAL</t>
  </si>
  <si>
    <t>COMPRA DE MENAJE PARA EL AREA DE CAFETERIA DEL CENTRO OPERATIVO LOCAL ECU 911 SAN CRISTOBAL</t>
  </si>
  <si>
    <t>PAGO DE TASA DE RECOLECCIÓN DE BASURA DEL CENTRO OPERATIVO LOCAL ECU 911 SAN CRISTOBAL</t>
  </si>
  <si>
    <t>PAGO DE MATRICULA DEL PARQUE AUTOMOTOR DEL CENTRO OPERATIVO LOCAL ECU 911 SANCRISTÓBAL</t>
  </si>
  <si>
    <t>PAGO POR TASA DE REVISIÓN TÉCNICA CORRESPONDIENTE AL EJERCICIO FISCAL 2021 DE LOS VEHÍCULOS QUE CONFORMAN EL PARQUE AUTOMOTOR DEL CENTRO OPERATIVO LOCAL ECU 911 SAN CRISTÓBAL</t>
  </si>
  <si>
    <t>PAGO DE PERMISO DE FUNCIONAMIENTO DEL CENTRO OPERATIVO LOCAL ECU 911 SAN CRISTÓBAL - CUERPO DE BOMBEROS</t>
  </si>
  <si>
    <t>PAGO DE TASA DEL CENTRO OPERATIVO LOCAL ECU 911 SAN CRISTÓBAL - GAD</t>
  </si>
  <si>
    <t>PAGO POR  ACERAS Y BORDILLOS  DEL CENTRO OPERATIVO LOCAL ECU 911 SANCRISTÓBAL - GAD</t>
  </si>
  <si>
    <t>PROVISIÓN DEL SERVICIO DE TELEFONÍA FIJA, ENLACES DE DATOS, INTERNET SERVICIOS MÓVILES (PDA Y BOTONES DE AUXILIO)  PARA COL SAN CRISTÓBAL</t>
  </si>
  <si>
    <t>SERVICIO DE MANTENIMIENTO PREVENTIVO Y CORRECTIVO PARA FOTOCOPIADORAS E IMPRESORAS DEL COL ECU 911 GALÁPAGOS</t>
  </si>
  <si>
    <t>SOSTENIMIENTO DE VIDEO VIGILANCIA CONTRATACIÓN DEL SERVICIO DE MANTENIMIENTO Y REPARACIÓN DE EQUIPOS INFORMATICOS DEL CENTRO OPERATIVO LOCAL ECU 911 SAN CRISTOBAL (PUNTOS DE VIDEOS VIGILANCIA)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</si>
</sst>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 * #,##0.00_ ;_ * \-#,##0.00_ ;_ * &quot;-&quot;??_ ;_ @_ "/>
    <numFmt numFmtId="165" formatCode="_(* #,##0.00_);_(* \(#,##0.00\);_(* &quot;-&quot;??_);_(@_)"/>
    <numFmt numFmtId="166" formatCode="00"/>
    <numFmt numFmtId="167" formatCode="000"/>
    <numFmt numFmtId="168" formatCode="0000"/>
    <numFmt numFmtId="169" formatCode="000000"/>
    <numFmt numFmtId="170" formatCode="&quot;$ &quot;#,##0.00"/>
    <numFmt numFmtId="177" formatCode="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421C5E"/>
        <bgColor indexed="64"/>
      </patternFill>
    </fill>
    <fill>
      <patternFill patternType="solid">
        <fgColor theme="5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10" fillId="2" borderId="1" xfId="21" applyFont="1" applyFill="1" applyBorder="1" applyAlignment="1">
      <alignment horizontal="right" vertical="center" wrapText="1"/>
    </xf>
    <xf numFmtId="165" fontId="8" fillId="0" borderId="0" xfId="21" applyFont="1" applyAlignment="1">
      <alignment horizontal="right" vertical="center" wrapText="1"/>
    </xf>
    <xf numFmtId="165" fontId="7" fillId="0" borderId="0" xfId="21" applyFont="1" applyAlignment="1">
      <alignment horizontal="right" vertical="center" wrapText="1"/>
    </xf>
    <xf numFmtId="165" fontId="8" fillId="0" borderId="0" xfId="21" applyFont="1" applyFill="1" applyAlignment="1">
      <alignment horizontal="right" vertical="center" wrapText="1"/>
    </xf>
    <xf numFmtId="165" fontId="7" fillId="0" borderId="0" xfId="21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13" fontId="7" fillId="0" borderId="0" xfId="21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 wrapText="1"/>
    </xf>
    <xf numFmtId="169" fontId="11" fillId="0" borderId="0" xfId="0" applyNumberFormat="1" applyFont="1" applyAlignment="1">
      <alignment horizontal="center" vertical="center" wrapText="1"/>
    </xf>
    <xf numFmtId="165" fontId="12" fillId="0" borderId="0" xfId="21" applyFont="1" applyAlignment="1">
      <alignment horizontal="right" vertical="center" wrapText="1"/>
    </xf>
    <xf numFmtId="165" fontId="11" fillId="0" borderId="0" xfId="2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167" fontId="13" fillId="6" borderId="1" xfId="0" applyNumberFormat="1" applyFont="1" applyFill="1" applyBorder="1" applyAlignment="1">
      <alignment horizontal="center" vertical="center" wrapText="1"/>
    </xf>
    <xf numFmtId="168" fontId="13" fillId="6" borderId="1" xfId="20" applyNumberFormat="1" applyFont="1" applyFill="1" applyBorder="1" applyAlignment="1" applyProtection="1">
      <alignment horizontal="center" vertical="center" wrapText="1"/>
      <protection/>
    </xf>
    <xf numFmtId="168" fontId="13" fillId="6" borderId="1" xfId="0" applyNumberFormat="1" applyFont="1" applyFill="1" applyBorder="1" applyAlignment="1">
      <alignment horizontal="center" vertical="center" wrapText="1"/>
    </xf>
    <xf numFmtId="169" fontId="13" fillId="6" borderId="1" xfId="0" applyNumberFormat="1" applyFont="1" applyFill="1" applyBorder="1" applyAlignment="1">
      <alignment horizontal="center" vertical="center" wrapText="1"/>
    </xf>
    <xf numFmtId="2" fontId="13" fillId="6" borderId="1" xfId="20" applyNumberFormat="1" applyFont="1" applyFill="1" applyBorder="1" applyAlignment="1" applyProtection="1">
      <alignment horizontal="center" vertical="center" wrapText="1"/>
      <protection/>
    </xf>
    <xf numFmtId="165" fontId="13" fillId="7" borderId="1" xfId="21" applyFont="1" applyFill="1" applyBorder="1" applyAlignment="1" applyProtection="1">
      <alignment horizontal="center" vertical="center" wrapText="1"/>
      <protection/>
    </xf>
    <xf numFmtId="165" fontId="14" fillId="8" borderId="1" xfId="21" applyFont="1" applyFill="1" applyBorder="1" applyAlignment="1" applyProtection="1">
      <alignment horizontal="center" vertical="center" wrapText="1"/>
      <protection/>
    </xf>
    <xf numFmtId="170" fontId="13" fillId="7" borderId="1" xfId="20" applyNumberFormat="1" applyFont="1" applyFill="1" applyBorder="1" applyAlignment="1" applyProtection="1">
      <alignment horizontal="center" vertical="center" wrapText="1"/>
      <protection/>
    </xf>
    <xf numFmtId="170" fontId="13" fillId="9" borderId="1" xfId="20" applyNumberFormat="1" applyFont="1" applyFill="1" applyBorder="1" applyAlignment="1" applyProtection="1">
      <alignment horizontal="center" vertical="center" wrapText="1"/>
      <protection/>
    </xf>
    <xf numFmtId="10" fontId="0" fillId="0" borderId="0" xfId="23" applyNumberFormat="1" applyFont="1"/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166" fontId="6" fillId="10" borderId="1" xfId="0" applyNumberFormat="1" applyFont="1" applyFill="1" applyBorder="1" applyAlignment="1">
      <alignment horizontal="center" vertical="center"/>
    </xf>
    <xf numFmtId="167" fontId="6" fillId="10" borderId="1" xfId="0" applyNumberFormat="1" applyFont="1" applyFill="1" applyBorder="1" applyAlignment="1">
      <alignment horizontal="center" vertical="center"/>
    </xf>
    <xf numFmtId="168" fontId="6" fillId="10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165" fontId="8" fillId="10" borderId="1" xfId="21" applyFont="1" applyFill="1" applyBorder="1" applyAlignment="1">
      <alignment horizontal="right" vertical="center"/>
    </xf>
    <xf numFmtId="165" fontId="7" fillId="10" borderId="1" xfId="21" applyFont="1" applyFill="1" applyBorder="1" applyAlignment="1">
      <alignment horizontal="right" vertical="center"/>
    </xf>
    <xf numFmtId="165" fontId="9" fillId="10" borderId="1" xfId="21" applyFont="1" applyFill="1" applyBorder="1" applyAlignment="1">
      <alignment horizontal="right" vertical="center"/>
    </xf>
    <xf numFmtId="165" fontId="9" fillId="10" borderId="2" xfId="22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/>
    </xf>
    <xf numFmtId="165" fontId="7" fillId="0" borderId="0" xfId="0" applyNumberFormat="1" applyFont="1" applyAlignment="1">
      <alignment vertical="center" wrapText="1"/>
    </xf>
    <xf numFmtId="165" fontId="7" fillId="0" borderId="1" xfId="2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65" fontId="13" fillId="12" borderId="1" xfId="21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2" xfId="20"/>
    <cellStyle name="Millares" xfId="21"/>
    <cellStyle name="Millares 2" xfId="22"/>
    <cellStyle name="Porcentaje" xfId="23"/>
  </cellStyles>
  <dxfs count="3">
    <dxf>
      <numFmt numFmtId="177" formatCode="#,##0.00"/>
    </dxf>
    <dxf>
      <numFmt numFmtId="177" formatCode="#,##0.00"/>
    </dxf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33" refreshedBy="Mafer" refreshedVersion="6">
  <cacheSource type="worksheet">
    <worksheetSource ref="A5:AM5" sheet="PAPP DICIEMBRE 2022"/>
  </cacheSource>
  <cacheFields count="41">
    <cacheField name="OBJETIVOS PND">
      <sharedItems containsMixedTypes="0" count="0"/>
    </cacheField>
    <cacheField name="POLÍTICAS PND">
      <sharedItems containsMixedTypes="0" count="0"/>
    </cacheField>
    <cacheField name="OBJETIVOS ESTRATÉGICOS">
      <sharedItems containsMixedTypes="0" count="0"/>
    </cacheField>
    <cacheField name="OBJETIVOS OPERATIVOS">
      <sharedItems containsMixedTypes="0" longText="1" count="0"/>
    </cacheField>
    <cacheField name="PLANTA CENTRAL / ZONAS">
      <sharedItems containsMixedTypes="0" count="0"/>
    </cacheField>
    <cacheField name="DIRECCIÓN GENERAL / COORDINACIÓN / SUBDIRECCIÓN">
      <sharedItems containsMixedTypes="0" count="0"/>
    </cacheField>
    <cacheField name="DIRECCIÓN">
      <sharedItems containsMixedTypes="0" count="0"/>
    </cacheField>
    <cacheField name="MACROACTIVIDAD PAPP">
      <sharedItems containsMixedTypes="0" count="0"/>
    </cacheField>
    <cacheField name="ACTIVIDAD PAPP">
      <sharedItems containsMixedTypes="0" count="0"/>
    </cacheField>
    <cacheField name="PONDERACIÓN">
      <sharedItems containsSemiMixedTypes="0" containsString="0" containsMixedTypes="0" containsNumber="1" containsInteger="1" count="0"/>
    </cacheField>
    <cacheField name="EOD">
      <sharedItems containsMixedTypes="0" count="0"/>
    </cacheField>
    <cacheField name="PG" numFmtId="166">
      <sharedItems containsSemiMixedTypes="0" containsString="0" containsMixedTypes="0" containsNumber="1" containsInteger="1" count="0"/>
    </cacheField>
    <cacheField name="PY" numFmtId="167">
      <sharedItems containsSemiMixedTypes="0" containsString="0" containsMixedTypes="0" containsNumber="1" containsInteger="1" count="0"/>
    </cacheField>
    <cacheField name="AC" numFmtId="167">
      <sharedItems containsSemiMixedTypes="0" containsString="0" containsMixedTypes="0" containsNumber="1" containsInteger="1" count="0"/>
    </cacheField>
    <cacheField name="GEO" numFmtId="168">
      <sharedItems containsSemiMixedTypes="0" containsString="0" containsMixedTypes="0" containsNumber="1" containsInteger="1" count="0"/>
    </cacheField>
    <cacheField name="NOMBRE GEO" numFmtId="168">
      <sharedItems containsMixedTypes="0" count="0"/>
    </cacheField>
    <cacheField name="FTE" numFmtId="167">
      <sharedItems containsSemiMixedTypes="0" containsString="0" containsMixedTypes="0" containsNumber="1" containsInteger="1" count="0"/>
    </cacheField>
    <cacheField name="ORG" numFmtId="168">
      <sharedItems containsSemiMixedTypes="0" containsString="0" containsMixedTypes="0" containsNumber="1" containsInteger="1" count="0"/>
    </cacheField>
    <cacheField name="COR" numFmtId="168">
      <sharedItems containsSemiMixedTypes="0" containsString="0" containsMixedTypes="0" containsNumber="1" containsInteger="1" count="0"/>
    </cacheField>
    <cacheField name="TIPO DE GASTO">
      <sharedItems containsMixedTypes="0" count="0"/>
    </cacheField>
    <cacheField name="GG">
      <sharedItems containsSemiMixedTypes="0" containsString="0" containsMixedTypes="0" containsNumber="1" containsInteger="1" count="3">
        <n v="53"/>
        <n v="57"/>
        <n v="51"/>
      </sharedItems>
    </cacheField>
    <cacheField name="ÍTEM PRESUPUESTARIO">
      <sharedItems containsSemiMixedTypes="0" containsString="0" containsMixedTypes="0" containsNumber="1" containsInteger="1" count="0"/>
    </cacheField>
    <cacheField name="DESCRIPCIÓN ÍTEM PRESUPUESTARIO">
      <sharedItems containsMixedTypes="0" count="0"/>
    </cacheField>
    <cacheField name="PRESUPUESTO INICIAL" numFmtId="165">
      <sharedItems containsSemiMixedTypes="0" containsString="0" containsMixedTypes="0" containsNumber="1" containsInteger="1" count="0"/>
    </cacheField>
    <cacheField name="PRESUPUESTO VIGENTE - SUBTOTAL" numFmtId="165">
      <sharedItems containsSemiMixedTypes="0" containsString="0" containsMixedTypes="0" containsNumber="1" containsInteger="1" count="0"/>
    </cacheField>
    <cacheField name="PRESUPUESTO VIGENTE - IVA" numFmtId="165">
      <sharedItems containsSemiMixedTypes="0" containsString="0" containsMixedTypes="0" containsNumber="1" containsInteger="1" count="0"/>
    </cacheField>
    <cacheField name="PRESUPUESTO VIGENTE - TOTAL" numFmtId="165">
      <sharedItems containsSemiMixedTypes="0" containsString="0" containsMixedTypes="0" containsNumber="1" containsInteger="1" count="0"/>
    </cacheField>
    <cacheField name="ENE" numFmtId="165">
      <sharedItems containsSemiMixedTypes="0" containsString="0" containsMixedTypes="0" containsNumber="1" containsInteger="1" count="0"/>
    </cacheField>
    <cacheField name="FEB" numFmtId="165">
      <sharedItems containsSemiMixedTypes="0" containsString="0" containsMixedTypes="0" containsNumber="1" containsInteger="1" count="0"/>
    </cacheField>
    <cacheField name="MAR" numFmtId="165">
      <sharedItems containsSemiMixedTypes="0" containsString="0" containsMixedTypes="0" containsNumber="1" containsInteger="1" count="0"/>
    </cacheField>
    <cacheField name="ABR" numFmtId="165">
      <sharedItems containsSemiMixedTypes="0" containsString="0" containsMixedTypes="0" containsNumber="1" containsInteger="1" count="0"/>
    </cacheField>
    <cacheField name="MAY" numFmtId="165">
      <sharedItems containsSemiMixedTypes="0" containsString="0" containsMixedTypes="0" containsNumber="1" containsInteger="1" count="0"/>
    </cacheField>
    <cacheField name="JUN" numFmtId="165">
      <sharedItems containsSemiMixedTypes="0" containsString="0" containsMixedTypes="0" containsNumber="1" containsInteger="1" count="0"/>
    </cacheField>
    <cacheField name="JUL" numFmtId="165">
      <sharedItems containsSemiMixedTypes="0" containsString="0" containsMixedTypes="0" containsNumber="1" containsInteger="1" count="0"/>
    </cacheField>
    <cacheField name="AGO" numFmtId="165">
      <sharedItems containsString="0" containsBlank="1" containsMixedTypes="0" containsNumber="1" containsInteger="1" count="0"/>
    </cacheField>
    <cacheField name="SEP" numFmtId="165">
      <sharedItems containsSemiMixedTypes="0" containsString="0" containsMixedTypes="0" containsNumber="1" containsInteger="1" count="0"/>
    </cacheField>
    <cacheField name="OCT" numFmtId="165">
      <sharedItems containsSemiMixedTypes="0" containsString="0" containsMixedTypes="0" containsNumber="1" containsInteger="1" count="0"/>
    </cacheField>
    <cacheField name="NOV" numFmtId="165">
      <sharedItems containsSemiMixedTypes="0" containsString="0" containsMixedTypes="0" containsNumber="1" containsInteger="1" count="0"/>
    </cacheField>
    <cacheField name="DIC" numFmtId="165">
      <sharedItems containsString="0" containsBlank="1" containsMixedTypes="0" containsNumber="1" containsInteger="1" count="0"/>
    </cacheField>
    <cacheField name="TOTAL PROGRAMADO" numFmtId="165">
      <sharedItems containsSemiMixedTypes="0" containsString="0" containsMixedTypes="0" containsNumber="1" containsInteger="1" count="0"/>
    </cacheField>
    <cacheField name="REVISIÓN DE SUMAS" numFmtId="165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3:B7" firstHeaderRow="1" firstDataRow="1" firstDataCol="1"/>
  <pivotFields count="4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6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 numFmtId="165"/>
    <pivotField showAll="0" numFmtId="165"/>
    <pivotField showAll="0" numFmtId="165"/>
    <pivotField showAll="0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 numFmtId="165"/>
    <pivotField showAl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PRESUPUESTO INICIAL" fld="23" baseField="0" baseItem="0" numFmtId="4"/>
  </dataFields>
  <formats count="3">
    <format dxfId="2">
      <pivotArea outline="0" fieldPosition="0" collapsedLevelsAreSubtotals="1"/>
    </format>
    <format dxfId="1">
      <pivotArea outline="0" fieldPosition="0" axis="axisValues" dataOnly="0" labelOnly="1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workbookViewId="0" topLeftCell="A1">
      <selection activeCell="A3" sqref="A3:C7"/>
    </sheetView>
  </sheetViews>
  <sheetFormatPr defaultColWidth="11.421875" defaultRowHeight="15"/>
  <cols>
    <col min="1" max="1" width="17.57421875" style="0" customWidth="1"/>
    <col min="2" max="2" width="29.00390625" style="16" bestFit="1" customWidth="1"/>
  </cols>
  <sheetData>
    <row r="3" spans="1:2" ht="15">
      <c r="A3" s="14" t="s">
        <v>0</v>
      </c>
      <c r="B3" s="16" t="s">
        <v>1</v>
      </c>
    </row>
    <row r="4" spans="1:3" ht="15">
      <c r="A4" s="15">
        <v>51</v>
      </c>
      <c r="B4" s="16">
        <v>3653168</v>
      </c>
      <c r="C4" s="43">
        <f>+GETPIVOTDATA("PRESUPUESTO INICIAL",$A$3,"GG",51)/GETPIVOTDATA("PRESUPUESTO INICIAL",$A$3)</f>
        <v>0.6493660100850205</v>
      </c>
    </row>
    <row r="5" spans="1:3" ht="15">
      <c r="A5" s="15">
        <v>53</v>
      </c>
      <c r="B5" s="16">
        <v>1966545.64</v>
      </c>
      <c r="C5" s="43">
        <f>+GETPIVOTDATA("PRESUPUESTO INICIAL",$A$3,"GG",53)/GETPIVOTDATA("PRESUPUESTO INICIAL",$A$3)</f>
        <v>0.34956177649012943</v>
      </c>
    </row>
    <row r="6" spans="1:3" ht="15">
      <c r="A6" s="15">
        <v>57</v>
      </c>
      <c r="B6" s="16">
        <v>6032</v>
      </c>
      <c r="C6" s="43">
        <f>+GETPIVOTDATA("PRESUPUESTO INICIAL",$A$3,"GG",57)/GETPIVOTDATA("PRESUPUESTO INICIAL",$A$3)</f>
        <v>0.0010722134248501148</v>
      </c>
    </row>
    <row r="7" spans="1:2" ht="15">
      <c r="A7" s="15" t="s">
        <v>2</v>
      </c>
      <c r="B7" s="16">
        <v>5625745.64</v>
      </c>
    </row>
    <row r="8" ht="15">
      <c r="B8"/>
    </row>
    <row r="9" ht="15">
      <c r="B9"/>
    </row>
    <row r="10" ht="15">
      <c r="B10"/>
    </row>
    <row r="11" ht="15"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249"/>
  <sheetViews>
    <sheetView showGridLines="0" tabSelected="1" workbookViewId="0" topLeftCell="A1">
      <selection activeCell="H19" sqref="H19"/>
    </sheetView>
  </sheetViews>
  <sheetFormatPr defaultColWidth="11.421875" defaultRowHeight="15"/>
  <cols>
    <col min="1" max="1" width="10.140625" style="8" customWidth="1"/>
    <col min="2" max="2" width="11.421875" style="8" customWidth="1"/>
    <col min="3" max="3" width="14.140625" style="8" customWidth="1"/>
    <col min="4" max="4" width="20.57421875" style="8" customWidth="1"/>
    <col min="5" max="5" width="15.00390625" style="8" customWidth="1"/>
    <col min="6" max="6" width="18.7109375" style="8" customWidth="1"/>
    <col min="7" max="7" width="22.421875" style="8" customWidth="1"/>
    <col min="8" max="8" width="17.57421875" style="8" customWidth="1"/>
    <col min="9" max="9" width="43.421875" style="8" customWidth="1"/>
    <col min="10" max="10" width="7.7109375" style="3" customWidth="1"/>
    <col min="11" max="11" width="8.421875" style="3" customWidth="1"/>
    <col min="12" max="12" width="5.7109375" style="4" customWidth="1"/>
    <col min="13" max="14" width="5.7109375" style="5" customWidth="1"/>
    <col min="15" max="15" width="7.00390625" style="6" customWidth="1"/>
    <col min="16" max="16" width="11.57421875" style="6" customWidth="1"/>
    <col min="17" max="17" width="7.421875" style="5" customWidth="1"/>
    <col min="18" max="18" width="8.140625" style="6" customWidth="1"/>
    <col min="19" max="19" width="6.7109375" style="6" customWidth="1"/>
    <col min="20" max="20" width="13.421875" style="3" customWidth="1"/>
    <col min="21" max="21" width="5.8515625" style="7" customWidth="1"/>
    <col min="22" max="22" width="8.140625" style="3" customWidth="1"/>
    <col min="23" max="23" width="18.57421875" style="8" customWidth="1"/>
    <col min="24" max="24" width="15.00390625" style="10" customWidth="1"/>
    <col min="25" max="25" width="14.28125" style="10" customWidth="1"/>
    <col min="26" max="37" width="13.8515625" style="11" customWidth="1"/>
    <col min="38" max="38" width="13.28125" style="11" customWidth="1"/>
    <col min="39" max="39" width="13.28125" style="3" customWidth="1"/>
    <col min="40" max="40" width="15.421875" style="2" customWidth="1"/>
    <col min="41" max="41" width="16.00390625" style="2" customWidth="1"/>
    <col min="42" max="16384" width="11.421875" style="2" customWidth="1"/>
  </cols>
  <sheetData>
    <row r="1" spans="1:39" s="1" customFormat="1" ht="26.2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s="1" customFormat="1" ht="26.2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s="27" customFormat="1" ht="12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20"/>
      <c r="M3" s="21"/>
      <c r="N3" s="21"/>
      <c r="O3" s="22"/>
      <c r="P3" s="22"/>
      <c r="Q3" s="21"/>
      <c r="R3" s="22"/>
      <c r="S3" s="22"/>
      <c r="T3" s="19"/>
      <c r="U3" s="23"/>
      <c r="V3" s="19"/>
      <c r="W3" s="18"/>
      <c r="X3" s="24"/>
      <c r="Y3" s="2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4"/>
      <c r="AM3" s="26"/>
    </row>
    <row r="4" spans="1:39" s="26" customFormat="1" ht="24.95" customHeight="1">
      <c r="A4" s="66" t="s">
        <v>5</v>
      </c>
      <c r="B4" s="67"/>
      <c r="C4" s="67"/>
      <c r="D4" s="67"/>
      <c r="E4" s="68" t="s">
        <v>6</v>
      </c>
      <c r="F4" s="68"/>
      <c r="G4" s="68"/>
      <c r="H4" s="69" t="s">
        <v>7</v>
      </c>
      <c r="I4" s="70"/>
      <c r="J4" s="70"/>
      <c r="K4" s="71" t="s">
        <v>8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5" t="s">
        <v>9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41" s="28" customFormat="1" ht="36.75" customHeight="1">
      <c r="A5" s="29" t="s">
        <v>10</v>
      </c>
      <c r="B5" s="29" t="s">
        <v>11</v>
      </c>
      <c r="C5" s="29" t="s">
        <v>12</v>
      </c>
      <c r="D5" s="29" t="s">
        <v>13</v>
      </c>
      <c r="E5" s="30" t="s">
        <v>14</v>
      </c>
      <c r="F5" s="30" t="s">
        <v>15</v>
      </c>
      <c r="G5" s="30" t="s">
        <v>16</v>
      </c>
      <c r="H5" s="31" t="s">
        <v>17</v>
      </c>
      <c r="I5" s="31" t="s">
        <v>18</v>
      </c>
      <c r="J5" s="31" t="s">
        <v>19</v>
      </c>
      <c r="K5" s="32" t="s">
        <v>20</v>
      </c>
      <c r="L5" s="33" t="s">
        <v>21</v>
      </c>
      <c r="M5" s="34" t="s">
        <v>22</v>
      </c>
      <c r="N5" s="34" t="s">
        <v>23</v>
      </c>
      <c r="O5" s="35" t="s">
        <v>24</v>
      </c>
      <c r="P5" s="35" t="s">
        <v>25</v>
      </c>
      <c r="Q5" s="34" t="s">
        <v>26</v>
      </c>
      <c r="R5" s="36" t="s">
        <v>27</v>
      </c>
      <c r="S5" s="36" t="s">
        <v>28</v>
      </c>
      <c r="T5" s="32" t="s">
        <v>29</v>
      </c>
      <c r="U5" s="37" t="s">
        <v>30</v>
      </c>
      <c r="V5" s="38" t="s">
        <v>31</v>
      </c>
      <c r="W5" s="38" t="s">
        <v>32</v>
      </c>
      <c r="X5" s="39" t="s">
        <v>33</v>
      </c>
      <c r="Y5" s="39" t="s">
        <v>34</v>
      </c>
      <c r="Z5" s="40" t="s">
        <v>35</v>
      </c>
      <c r="AA5" s="40" t="s">
        <v>36</v>
      </c>
      <c r="AB5" s="40" t="s">
        <v>37</v>
      </c>
      <c r="AC5" s="40" t="s">
        <v>38</v>
      </c>
      <c r="AD5" s="40" t="s">
        <v>39</v>
      </c>
      <c r="AE5" s="40" t="s">
        <v>40</v>
      </c>
      <c r="AF5" s="40" t="s">
        <v>41</v>
      </c>
      <c r="AG5" s="40" t="s">
        <v>42</v>
      </c>
      <c r="AH5" s="40" t="s">
        <v>43</v>
      </c>
      <c r="AI5" s="40" t="s">
        <v>44</v>
      </c>
      <c r="AJ5" s="40" t="s">
        <v>45</v>
      </c>
      <c r="AK5" s="40" t="s">
        <v>46</v>
      </c>
      <c r="AL5" s="39" t="s">
        <v>47</v>
      </c>
      <c r="AM5" s="41" t="s">
        <v>48</v>
      </c>
      <c r="AN5" s="42" t="s">
        <v>49</v>
      </c>
      <c r="AO5" s="42" t="s">
        <v>50</v>
      </c>
    </row>
    <row r="6" spans="1:41" s="54" customFormat="1" ht="13.5" customHeight="1">
      <c r="A6" s="44" t="s">
        <v>51</v>
      </c>
      <c r="B6" s="44" t="s">
        <v>52</v>
      </c>
      <c r="C6" s="44" t="s">
        <v>53</v>
      </c>
      <c r="D6" s="44" t="s">
        <v>85</v>
      </c>
      <c r="E6" s="44" t="s">
        <v>54</v>
      </c>
      <c r="F6" s="44" t="s">
        <v>124</v>
      </c>
      <c r="G6" s="44" t="s">
        <v>111</v>
      </c>
      <c r="H6" s="44" t="s">
        <v>55</v>
      </c>
      <c r="I6" s="59" t="s">
        <v>86</v>
      </c>
      <c r="J6" s="55">
        <v>1</v>
      </c>
      <c r="K6" s="55" t="s">
        <v>125</v>
      </c>
      <c r="L6" s="46">
        <v>1</v>
      </c>
      <c r="M6" s="47">
        <v>0</v>
      </c>
      <c r="N6" s="47">
        <v>1</v>
      </c>
      <c r="O6" s="48">
        <v>900</v>
      </c>
      <c r="P6" s="48" t="s">
        <v>126</v>
      </c>
      <c r="Q6" s="47">
        <v>1</v>
      </c>
      <c r="R6" s="48">
        <v>0</v>
      </c>
      <c r="S6" s="48">
        <v>0</v>
      </c>
      <c r="T6" s="45" t="s">
        <v>56</v>
      </c>
      <c r="U6" s="49">
        <v>51</v>
      </c>
      <c r="V6" s="45">
        <v>510105</v>
      </c>
      <c r="W6" s="56" t="s">
        <v>87</v>
      </c>
      <c r="X6" s="50">
        <v>300204</v>
      </c>
      <c r="Y6" s="50">
        <f>295790-31626.39-1836.02</f>
        <v>262327.58999999997</v>
      </c>
      <c r="Z6" s="51">
        <v>24649.17</v>
      </c>
      <c r="AA6" s="51">
        <v>24649.17</v>
      </c>
      <c r="AB6" s="51">
        <v>24649.17</v>
      </c>
      <c r="AC6" s="51">
        <v>24649.17</v>
      </c>
      <c r="AD6" s="51">
        <v>24649.17</v>
      </c>
      <c r="AE6" s="51">
        <v>24649.17</v>
      </c>
      <c r="AF6" s="51">
        <v>24649.17</v>
      </c>
      <c r="AG6" s="51">
        <v>24649.17</v>
      </c>
      <c r="AH6" s="51">
        <v>24649.17</v>
      </c>
      <c r="AI6" s="51">
        <v>24649.17</v>
      </c>
      <c r="AJ6" s="51">
        <v>10250</v>
      </c>
      <c r="AK6" s="51">
        <v>5585.89</v>
      </c>
      <c r="AL6" s="52">
        <f aca="true" t="shared" si="0" ref="AL6:AL19">SUBTOTAL(9,Z6:AK6)</f>
        <v>262327.58999999997</v>
      </c>
      <c r="AM6" s="53" t="str">
        <f aca="true" t="shared" si="1" ref="AM6:AM19">IF(AL6=Y6,"OK",Y6-AL6)</f>
        <v>OK</v>
      </c>
      <c r="AN6" s="51">
        <f>135343.39+19950+19950+19950+22547+22040.2+22547</f>
        <v>262327.59</v>
      </c>
      <c r="AO6" s="58">
        <f aca="true" t="shared" si="2" ref="AO6:AO66">+Y6-AN6</f>
        <v>0</v>
      </c>
    </row>
    <row r="7" spans="1:41" s="54" customFormat="1" ht="13.5" customHeight="1">
      <c r="A7" s="44" t="s">
        <v>51</v>
      </c>
      <c r="B7" s="44" t="s">
        <v>52</v>
      </c>
      <c r="C7" s="44" t="s">
        <v>53</v>
      </c>
      <c r="D7" s="44" t="s">
        <v>85</v>
      </c>
      <c r="E7" s="44" t="s">
        <v>54</v>
      </c>
      <c r="F7" s="44" t="s">
        <v>124</v>
      </c>
      <c r="G7" s="44" t="s">
        <v>111</v>
      </c>
      <c r="H7" s="44" t="s">
        <v>55</v>
      </c>
      <c r="I7" s="59" t="s">
        <v>86</v>
      </c>
      <c r="J7" s="55">
        <v>1</v>
      </c>
      <c r="K7" s="55" t="s">
        <v>125</v>
      </c>
      <c r="L7" s="46">
        <v>1</v>
      </c>
      <c r="M7" s="47">
        <v>0</v>
      </c>
      <c r="N7" s="47">
        <v>1</v>
      </c>
      <c r="O7" s="48">
        <v>900</v>
      </c>
      <c r="P7" s="48" t="s">
        <v>126</v>
      </c>
      <c r="Q7" s="47">
        <v>1</v>
      </c>
      <c r="R7" s="48">
        <v>0</v>
      </c>
      <c r="S7" s="48">
        <v>0</v>
      </c>
      <c r="T7" s="45" t="s">
        <v>56</v>
      </c>
      <c r="U7" s="49">
        <v>51</v>
      </c>
      <c r="V7" s="45">
        <v>510106</v>
      </c>
      <c r="W7" s="56" t="s">
        <v>88</v>
      </c>
      <c r="X7" s="50">
        <v>34099</v>
      </c>
      <c r="Y7" s="50">
        <f>37764+823.23-823.23</f>
        <v>37764</v>
      </c>
      <c r="Z7" s="51">
        <v>3147</v>
      </c>
      <c r="AA7" s="51">
        <v>3147</v>
      </c>
      <c r="AB7" s="51">
        <v>3147</v>
      </c>
      <c r="AC7" s="51">
        <v>3147</v>
      </c>
      <c r="AD7" s="51">
        <v>3147</v>
      </c>
      <c r="AE7" s="51">
        <v>3147</v>
      </c>
      <c r="AF7" s="51">
        <v>3147</v>
      </c>
      <c r="AG7" s="51">
        <v>3147</v>
      </c>
      <c r="AH7" s="51">
        <v>3147</v>
      </c>
      <c r="AI7" s="51">
        <v>3147</v>
      </c>
      <c r="AJ7" s="51">
        <v>3147</v>
      </c>
      <c r="AK7" s="51">
        <v>3147</v>
      </c>
      <c r="AL7" s="52">
        <f t="shared" si="0"/>
        <v>37764</v>
      </c>
      <c r="AM7" s="53" t="str">
        <f t="shared" si="1"/>
        <v>OK</v>
      </c>
      <c r="AN7" s="51">
        <f>18882+3147+3147+3147+3147+3147+3147</f>
        <v>37764</v>
      </c>
      <c r="AO7" s="58">
        <f t="shared" si="2"/>
        <v>0</v>
      </c>
    </row>
    <row r="8" spans="1:41" s="54" customFormat="1" ht="13.5" customHeight="1">
      <c r="A8" s="44" t="s">
        <v>51</v>
      </c>
      <c r="B8" s="44" t="s">
        <v>52</v>
      </c>
      <c r="C8" s="44" t="s">
        <v>53</v>
      </c>
      <c r="D8" s="44" t="s">
        <v>85</v>
      </c>
      <c r="E8" s="44" t="s">
        <v>54</v>
      </c>
      <c r="F8" s="44" t="s">
        <v>124</v>
      </c>
      <c r="G8" s="44" t="s">
        <v>111</v>
      </c>
      <c r="H8" s="44" t="s">
        <v>55</v>
      </c>
      <c r="I8" s="59" t="s">
        <v>86</v>
      </c>
      <c r="J8" s="55">
        <v>1</v>
      </c>
      <c r="K8" s="55" t="s">
        <v>125</v>
      </c>
      <c r="L8" s="46">
        <v>1</v>
      </c>
      <c r="M8" s="47">
        <v>0</v>
      </c>
      <c r="N8" s="47">
        <v>1</v>
      </c>
      <c r="O8" s="48">
        <v>900</v>
      </c>
      <c r="P8" s="48" t="s">
        <v>126</v>
      </c>
      <c r="Q8" s="47">
        <v>1</v>
      </c>
      <c r="R8" s="48">
        <v>0</v>
      </c>
      <c r="S8" s="48">
        <v>0</v>
      </c>
      <c r="T8" s="45" t="s">
        <v>56</v>
      </c>
      <c r="U8" s="49">
        <v>51</v>
      </c>
      <c r="V8" s="45">
        <v>510203</v>
      </c>
      <c r="W8" s="56" t="s">
        <v>89</v>
      </c>
      <c r="X8" s="50">
        <v>28442</v>
      </c>
      <c r="Y8" s="50">
        <f>3539.33+85.18+23626.85+78.2</f>
        <v>27329.559999999998</v>
      </c>
      <c r="Z8" s="51">
        <v>294.94</v>
      </c>
      <c r="AA8" s="51">
        <v>294.94</v>
      </c>
      <c r="AB8" s="51">
        <v>294.94</v>
      </c>
      <c r="AC8" s="51">
        <v>294.94</v>
      </c>
      <c r="AD8" s="51">
        <v>294.94</v>
      </c>
      <c r="AE8" s="51">
        <v>294.94</v>
      </c>
      <c r="AF8" s="51">
        <v>294.94</v>
      </c>
      <c r="AG8" s="51">
        <v>294.95</v>
      </c>
      <c r="AH8" s="51">
        <v>294.95</v>
      </c>
      <c r="AI8" s="51">
        <v>294.95</v>
      </c>
      <c r="AJ8" s="51">
        <v>294.95</v>
      </c>
      <c r="AK8" s="51">
        <v>24085.18</v>
      </c>
      <c r="AL8" s="52">
        <f t="shared" si="0"/>
        <v>27329.559999999998</v>
      </c>
      <c r="AM8" s="53" t="str">
        <f t="shared" si="1"/>
        <v>OK</v>
      </c>
      <c r="AN8" s="51">
        <f>357.11+1267.33+134.75+137.13+134.75+134.75-90.5+25254.24</f>
        <v>27329.56</v>
      </c>
      <c r="AO8" s="58">
        <f t="shared" si="2"/>
        <v>0</v>
      </c>
    </row>
    <row r="9" spans="1:41" s="54" customFormat="1" ht="13.5" customHeight="1">
      <c r="A9" s="44" t="s">
        <v>51</v>
      </c>
      <c r="B9" s="44" t="s">
        <v>52</v>
      </c>
      <c r="C9" s="44" t="s">
        <v>53</v>
      </c>
      <c r="D9" s="44" t="s">
        <v>85</v>
      </c>
      <c r="E9" s="44" t="s">
        <v>54</v>
      </c>
      <c r="F9" s="44" t="s">
        <v>124</v>
      </c>
      <c r="G9" s="44" t="s">
        <v>111</v>
      </c>
      <c r="H9" s="44" t="s">
        <v>55</v>
      </c>
      <c r="I9" s="59" t="s">
        <v>86</v>
      </c>
      <c r="J9" s="55">
        <v>1</v>
      </c>
      <c r="K9" s="55" t="s">
        <v>125</v>
      </c>
      <c r="L9" s="46">
        <v>1</v>
      </c>
      <c r="M9" s="47">
        <v>0</v>
      </c>
      <c r="N9" s="47">
        <v>1</v>
      </c>
      <c r="O9" s="48">
        <v>900</v>
      </c>
      <c r="P9" s="48" t="s">
        <v>126</v>
      </c>
      <c r="Q9" s="47">
        <v>1</v>
      </c>
      <c r="R9" s="48">
        <v>0</v>
      </c>
      <c r="S9" s="48">
        <v>0</v>
      </c>
      <c r="T9" s="45" t="s">
        <v>56</v>
      </c>
      <c r="U9" s="49">
        <v>51</v>
      </c>
      <c r="V9" s="45">
        <v>510204</v>
      </c>
      <c r="W9" s="56" t="s">
        <v>90</v>
      </c>
      <c r="X9" s="50">
        <v>9721</v>
      </c>
      <c r="Y9" s="50">
        <f>8827.63+42.7+142+154.25+175.98</f>
        <v>9342.56</v>
      </c>
      <c r="Z9" s="51">
        <v>735.63</v>
      </c>
      <c r="AA9" s="51">
        <v>735.63</v>
      </c>
      <c r="AB9" s="51">
        <v>735.63</v>
      </c>
      <c r="AC9" s="51">
        <v>735.63</v>
      </c>
      <c r="AD9" s="51">
        <v>735.63</v>
      </c>
      <c r="AE9" s="51">
        <v>735.63</v>
      </c>
      <c r="AF9" s="51">
        <v>735.63</v>
      </c>
      <c r="AG9" s="51">
        <v>735.63</v>
      </c>
      <c r="AH9" s="51">
        <v>735.63</v>
      </c>
      <c r="AI9" s="51">
        <v>735.65</v>
      </c>
      <c r="AJ9" s="51">
        <v>735.66</v>
      </c>
      <c r="AK9" s="51">
        <v>1250.58</v>
      </c>
      <c r="AL9" s="52">
        <f t="shared" si="0"/>
        <v>9342.56</v>
      </c>
      <c r="AM9" s="53" t="str">
        <f t="shared" si="1"/>
        <v>OK</v>
      </c>
      <c r="AN9" s="51">
        <f>8870.33+35.42+35.42+35.42+365.97</f>
        <v>9342.56</v>
      </c>
      <c r="AO9" s="58">
        <f t="shared" si="2"/>
        <v>0</v>
      </c>
    </row>
    <row r="10" spans="1:41" s="54" customFormat="1" ht="13.5" customHeight="1">
      <c r="A10" s="44" t="s">
        <v>51</v>
      </c>
      <c r="B10" s="44" t="s">
        <v>52</v>
      </c>
      <c r="C10" s="44" t="s">
        <v>53</v>
      </c>
      <c r="D10" s="44" t="s">
        <v>85</v>
      </c>
      <c r="E10" s="44" t="s">
        <v>54</v>
      </c>
      <c r="F10" s="44" t="s">
        <v>124</v>
      </c>
      <c r="G10" s="44" t="s">
        <v>111</v>
      </c>
      <c r="H10" s="44" t="s">
        <v>55</v>
      </c>
      <c r="I10" s="59" t="s">
        <v>127</v>
      </c>
      <c r="J10" s="55">
        <v>1</v>
      </c>
      <c r="K10" s="55" t="s">
        <v>125</v>
      </c>
      <c r="L10" s="46">
        <v>1</v>
      </c>
      <c r="M10" s="47">
        <v>0</v>
      </c>
      <c r="N10" s="47">
        <v>1</v>
      </c>
      <c r="O10" s="48">
        <v>900</v>
      </c>
      <c r="P10" s="48" t="s">
        <v>126</v>
      </c>
      <c r="Q10" s="47">
        <v>1</v>
      </c>
      <c r="R10" s="48">
        <v>0</v>
      </c>
      <c r="S10" s="48">
        <v>0</v>
      </c>
      <c r="T10" s="45" t="s">
        <v>56</v>
      </c>
      <c r="U10" s="49" t="s">
        <v>128</v>
      </c>
      <c r="V10" s="45">
        <v>510306</v>
      </c>
      <c r="W10" s="56" t="s">
        <v>91</v>
      </c>
      <c r="X10" s="50">
        <v>0</v>
      </c>
      <c r="Y10" s="50">
        <f>825-825</f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2">
        <f t="shared" si="0"/>
        <v>0</v>
      </c>
      <c r="AM10" s="53" t="str">
        <f t="shared" si="1"/>
        <v>OK</v>
      </c>
      <c r="AN10" s="51">
        <v>0</v>
      </c>
      <c r="AO10" s="58">
        <f t="shared" si="2"/>
        <v>0</v>
      </c>
    </row>
    <row r="11" spans="1:41" s="54" customFormat="1" ht="13.5" customHeight="1">
      <c r="A11" s="44" t="s">
        <v>51</v>
      </c>
      <c r="B11" s="44" t="s">
        <v>52</v>
      </c>
      <c r="C11" s="44" t="s">
        <v>53</v>
      </c>
      <c r="D11" s="44" t="s">
        <v>85</v>
      </c>
      <c r="E11" s="44" t="s">
        <v>54</v>
      </c>
      <c r="F11" s="44" t="s">
        <v>124</v>
      </c>
      <c r="G11" s="44" t="s">
        <v>111</v>
      </c>
      <c r="H11" s="44" t="s">
        <v>55</v>
      </c>
      <c r="I11" s="59" t="s">
        <v>129</v>
      </c>
      <c r="J11" s="55">
        <v>1</v>
      </c>
      <c r="K11" s="55" t="s">
        <v>125</v>
      </c>
      <c r="L11" s="46">
        <v>1</v>
      </c>
      <c r="M11" s="47">
        <v>0</v>
      </c>
      <c r="N11" s="47">
        <v>1</v>
      </c>
      <c r="O11" s="48">
        <v>900</v>
      </c>
      <c r="P11" s="48" t="s">
        <v>126</v>
      </c>
      <c r="Q11" s="47">
        <v>1</v>
      </c>
      <c r="R11" s="48">
        <v>0</v>
      </c>
      <c r="S11" s="48">
        <v>0</v>
      </c>
      <c r="T11" s="45" t="s">
        <v>56</v>
      </c>
      <c r="U11" s="49" t="s">
        <v>128</v>
      </c>
      <c r="V11" s="45">
        <v>510401</v>
      </c>
      <c r="W11" s="56" t="s">
        <v>92</v>
      </c>
      <c r="X11" s="50">
        <v>0</v>
      </c>
      <c r="Y11" s="50">
        <f>127.5-127.5</f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2">
        <f t="shared" si="0"/>
        <v>0</v>
      </c>
      <c r="AM11" s="53" t="str">
        <f t="shared" si="1"/>
        <v>OK</v>
      </c>
      <c r="AN11" s="51">
        <v>0</v>
      </c>
      <c r="AO11" s="58">
        <f t="shared" si="2"/>
        <v>0</v>
      </c>
    </row>
    <row r="12" spans="1:41" s="54" customFormat="1" ht="13.5" customHeight="1">
      <c r="A12" s="44" t="s">
        <v>51</v>
      </c>
      <c r="B12" s="44" t="s">
        <v>52</v>
      </c>
      <c r="C12" s="44" t="s">
        <v>53</v>
      </c>
      <c r="D12" s="44" t="s">
        <v>85</v>
      </c>
      <c r="E12" s="44" t="s">
        <v>54</v>
      </c>
      <c r="F12" s="44" t="s">
        <v>124</v>
      </c>
      <c r="G12" s="44" t="s">
        <v>111</v>
      </c>
      <c r="H12" s="44" t="s">
        <v>55</v>
      </c>
      <c r="I12" s="59" t="s">
        <v>130</v>
      </c>
      <c r="J12" s="55">
        <v>1</v>
      </c>
      <c r="K12" s="55" t="s">
        <v>125</v>
      </c>
      <c r="L12" s="46">
        <v>1</v>
      </c>
      <c r="M12" s="47">
        <v>0</v>
      </c>
      <c r="N12" s="47">
        <v>1</v>
      </c>
      <c r="O12" s="48">
        <v>900</v>
      </c>
      <c r="P12" s="48" t="s">
        <v>126</v>
      </c>
      <c r="Q12" s="47">
        <v>1</v>
      </c>
      <c r="R12" s="48">
        <v>0</v>
      </c>
      <c r="S12" s="48">
        <v>0</v>
      </c>
      <c r="T12" s="45" t="s">
        <v>56</v>
      </c>
      <c r="U12" s="49">
        <v>51</v>
      </c>
      <c r="V12" s="45">
        <v>510408</v>
      </c>
      <c r="W12" s="56" t="s">
        <v>93</v>
      </c>
      <c r="X12" s="50">
        <v>0</v>
      </c>
      <c r="Y12" s="50">
        <f>110.78-110.78</f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2">
        <f t="shared" si="0"/>
        <v>0</v>
      </c>
      <c r="AM12" s="53" t="str">
        <f t="shared" si="1"/>
        <v>OK</v>
      </c>
      <c r="AN12" s="51">
        <v>0</v>
      </c>
      <c r="AO12" s="58">
        <f t="shared" si="2"/>
        <v>0</v>
      </c>
    </row>
    <row r="13" spans="1:41" s="54" customFormat="1" ht="13.5" customHeight="1">
      <c r="A13" s="44" t="s">
        <v>51</v>
      </c>
      <c r="B13" s="44" t="s">
        <v>52</v>
      </c>
      <c r="C13" s="44" t="s">
        <v>53</v>
      </c>
      <c r="D13" s="44" t="s">
        <v>85</v>
      </c>
      <c r="E13" s="44" t="s">
        <v>54</v>
      </c>
      <c r="F13" s="44" t="s">
        <v>124</v>
      </c>
      <c r="G13" s="44" t="s">
        <v>111</v>
      </c>
      <c r="H13" s="44" t="s">
        <v>55</v>
      </c>
      <c r="I13" s="59" t="s">
        <v>86</v>
      </c>
      <c r="J13" s="55">
        <v>1</v>
      </c>
      <c r="K13" s="55" t="s">
        <v>125</v>
      </c>
      <c r="L13" s="46">
        <v>1</v>
      </c>
      <c r="M13" s="47">
        <v>0</v>
      </c>
      <c r="N13" s="47">
        <v>1</v>
      </c>
      <c r="O13" s="48">
        <v>900</v>
      </c>
      <c r="P13" s="48" t="s">
        <v>126</v>
      </c>
      <c r="Q13" s="47">
        <v>1</v>
      </c>
      <c r="R13" s="48">
        <v>0</v>
      </c>
      <c r="S13" s="48">
        <v>0</v>
      </c>
      <c r="T13" s="45" t="s">
        <v>56</v>
      </c>
      <c r="U13" s="49">
        <v>51</v>
      </c>
      <c r="V13" s="45">
        <v>510509</v>
      </c>
      <c r="W13" s="56" t="s">
        <v>94</v>
      </c>
      <c r="X13" s="50">
        <v>3000</v>
      </c>
      <c r="Y13" s="50">
        <f>2000+1257.91+341.68</f>
        <v>3599.5899999999997</v>
      </c>
      <c r="Z13" s="51">
        <v>166.67</v>
      </c>
      <c r="AA13" s="51">
        <v>166.67</v>
      </c>
      <c r="AB13" s="51">
        <v>166.67</v>
      </c>
      <c r="AC13" s="51">
        <v>166.67</v>
      </c>
      <c r="AD13" s="51">
        <v>166.67</v>
      </c>
      <c r="AE13" s="51">
        <v>166.67</v>
      </c>
      <c r="AF13" s="51">
        <v>166.67</v>
      </c>
      <c r="AG13" s="51">
        <v>166.67</v>
      </c>
      <c r="AH13" s="51">
        <v>166.67</v>
      </c>
      <c r="AI13" s="51">
        <v>166.67</v>
      </c>
      <c r="AJ13" s="51">
        <v>166.67</v>
      </c>
      <c r="AK13" s="51">
        <v>1766.22</v>
      </c>
      <c r="AL13" s="52">
        <f t="shared" si="0"/>
        <v>3599.59</v>
      </c>
      <c r="AM13" s="53" t="str">
        <f t="shared" si="1"/>
        <v>OK</v>
      </c>
      <c r="AN13" s="51">
        <f>735.9+248.88+673.13+1941.68</f>
        <v>3599.59</v>
      </c>
      <c r="AO13" s="58">
        <f t="shared" si="2"/>
        <v>0</v>
      </c>
    </row>
    <row r="14" spans="1:41" s="54" customFormat="1" ht="13.5" customHeight="1">
      <c r="A14" s="44" t="s">
        <v>51</v>
      </c>
      <c r="B14" s="44" t="s">
        <v>52</v>
      </c>
      <c r="C14" s="44" t="s">
        <v>53</v>
      </c>
      <c r="D14" s="44" t="s">
        <v>85</v>
      </c>
      <c r="E14" s="44" t="s">
        <v>54</v>
      </c>
      <c r="F14" s="44" t="s">
        <v>124</v>
      </c>
      <c r="G14" s="44" t="s">
        <v>111</v>
      </c>
      <c r="H14" s="44" t="s">
        <v>55</v>
      </c>
      <c r="I14" s="59" t="s">
        <v>86</v>
      </c>
      <c r="J14" s="55">
        <v>1</v>
      </c>
      <c r="K14" s="55" t="s">
        <v>125</v>
      </c>
      <c r="L14" s="46">
        <v>1</v>
      </c>
      <c r="M14" s="47">
        <v>0</v>
      </c>
      <c r="N14" s="47">
        <v>1</v>
      </c>
      <c r="O14" s="48">
        <v>900</v>
      </c>
      <c r="P14" s="48" t="s">
        <v>126</v>
      </c>
      <c r="Q14" s="47">
        <v>1</v>
      </c>
      <c r="R14" s="48">
        <v>0</v>
      </c>
      <c r="S14" s="48">
        <v>0</v>
      </c>
      <c r="T14" s="45" t="s">
        <v>56</v>
      </c>
      <c r="U14" s="49">
        <v>51</v>
      </c>
      <c r="V14" s="45">
        <v>510513</v>
      </c>
      <c r="W14" s="56" t="s">
        <v>99</v>
      </c>
      <c r="X14" s="50">
        <v>2500</v>
      </c>
      <c r="Y14" s="50">
        <f>1246-1246+176-15.7</f>
        <v>160.3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160.3</v>
      </c>
      <c r="AJ14" s="51">
        <v>0</v>
      </c>
      <c r="AK14" s="51">
        <v>0</v>
      </c>
      <c r="AL14" s="52">
        <f t="shared" si="0"/>
        <v>160.3</v>
      </c>
      <c r="AM14" s="53" t="str">
        <f t="shared" si="1"/>
        <v>OK</v>
      </c>
      <c r="AN14" s="51">
        <v>160.3</v>
      </c>
      <c r="AO14" s="58">
        <f t="shared" si="2"/>
        <v>0</v>
      </c>
    </row>
    <row r="15" spans="1:41" s="54" customFormat="1" ht="13.5" customHeight="1">
      <c r="A15" s="44" t="s">
        <v>51</v>
      </c>
      <c r="B15" s="44" t="s">
        <v>52</v>
      </c>
      <c r="C15" s="44" t="s">
        <v>53</v>
      </c>
      <c r="D15" s="44" t="s">
        <v>85</v>
      </c>
      <c r="E15" s="44" t="s">
        <v>54</v>
      </c>
      <c r="F15" s="44" t="s">
        <v>124</v>
      </c>
      <c r="G15" s="44" t="s">
        <v>111</v>
      </c>
      <c r="H15" s="44" t="s">
        <v>55</v>
      </c>
      <c r="I15" s="59" t="s">
        <v>86</v>
      </c>
      <c r="J15" s="55">
        <v>1</v>
      </c>
      <c r="K15" s="55" t="s">
        <v>125</v>
      </c>
      <c r="L15" s="46">
        <v>1</v>
      </c>
      <c r="M15" s="47">
        <v>0</v>
      </c>
      <c r="N15" s="47">
        <v>1</v>
      </c>
      <c r="O15" s="48">
        <v>900</v>
      </c>
      <c r="P15" s="48" t="s">
        <v>126</v>
      </c>
      <c r="Q15" s="47">
        <v>1</v>
      </c>
      <c r="R15" s="48">
        <v>0</v>
      </c>
      <c r="S15" s="48">
        <v>0</v>
      </c>
      <c r="T15" s="45" t="s">
        <v>56</v>
      </c>
      <c r="U15" s="49">
        <v>51</v>
      </c>
      <c r="V15" s="45">
        <v>510601</v>
      </c>
      <c r="W15" s="56" t="s">
        <v>95</v>
      </c>
      <c r="X15" s="50">
        <v>33971</v>
      </c>
      <c r="Y15" s="50">
        <f>33432-139-386-1798.42-624.73</f>
        <v>30483.850000000002</v>
      </c>
      <c r="Z15" s="51">
        <v>2786</v>
      </c>
      <c r="AA15" s="51">
        <v>2786</v>
      </c>
      <c r="AB15" s="51">
        <v>2786</v>
      </c>
      <c r="AC15" s="51">
        <v>2786</v>
      </c>
      <c r="AD15" s="51">
        <v>2786</v>
      </c>
      <c r="AE15" s="51">
        <v>2786</v>
      </c>
      <c r="AF15" s="51">
        <v>2786</v>
      </c>
      <c r="AG15" s="51">
        <v>2786</v>
      </c>
      <c r="AH15" s="51">
        <v>2786</v>
      </c>
      <c r="AI15" s="51">
        <v>2786</v>
      </c>
      <c r="AJ15" s="51">
        <v>2161.27</v>
      </c>
      <c r="AK15" s="51">
        <v>462.58</v>
      </c>
      <c r="AL15" s="52">
        <f t="shared" si="0"/>
        <v>30483.850000000002</v>
      </c>
      <c r="AM15" s="53" t="str">
        <f t="shared" si="1"/>
        <v>OK</v>
      </c>
      <c r="AN15" s="51">
        <f>15571.93+2336.9+2307.59+2337.82+2610.68+2524.78+2794.15</f>
        <v>30483.850000000002</v>
      </c>
      <c r="AO15" s="58">
        <f t="shared" si="2"/>
        <v>0</v>
      </c>
    </row>
    <row r="16" spans="1:41" s="54" customFormat="1" ht="13.5" customHeight="1">
      <c r="A16" s="44" t="s">
        <v>51</v>
      </c>
      <c r="B16" s="44" t="s">
        <v>52</v>
      </c>
      <c r="C16" s="44" t="s">
        <v>53</v>
      </c>
      <c r="D16" s="44" t="s">
        <v>85</v>
      </c>
      <c r="E16" s="44" t="s">
        <v>54</v>
      </c>
      <c r="F16" s="44" t="s">
        <v>124</v>
      </c>
      <c r="G16" s="44" t="s">
        <v>111</v>
      </c>
      <c r="H16" s="44" t="s">
        <v>55</v>
      </c>
      <c r="I16" s="59" t="s">
        <v>86</v>
      </c>
      <c r="J16" s="55">
        <v>1</v>
      </c>
      <c r="K16" s="55" t="s">
        <v>125</v>
      </c>
      <c r="L16" s="46">
        <v>1</v>
      </c>
      <c r="M16" s="47">
        <v>0</v>
      </c>
      <c r="N16" s="47">
        <v>1</v>
      </c>
      <c r="O16" s="48">
        <v>900</v>
      </c>
      <c r="P16" s="48" t="s">
        <v>126</v>
      </c>
      <c r="Q16" s="47">
        <v>1</v>
      </c>
      <c r="R16" s="48">
        <v>0</v>
      </c>
      <c r="S16" s="48">
        <v>0</v>
      </c>
      <c r="T16" s="45" t="s">
        <v>56</v>
      </c>
      <c r="U16" s="49">
        <v>51</v>
      </c>
      <c r="V16" s="45">
        <v>510602</v>
      </c>
      <c r="W16" s="56" t="s">
        <v>96</v>
      </c>
      <c r="X16" s="50">
        <v>20331</v>
      </c>
      <c r="Y16" s="50">
        <f>20331-3030+1185+198.62+1665.48</f>
        <v>20350.1</v>
      </c>
      <c r="Z16" s="51">
        <v>1694</v>
      </c>
      <c r="AA16" s="51">
        <v>1694</v>
      </c>
      <c r="AB16" s="51">
        <v>1694</v>
      </c>
      <c r="AC16" s="51">
        <v>1694</v>
      </c>
      <c r="AD16" s="51">
        <v>1694</v>
      </c>
      <c r="AE16" s="51">
        <v>1694</v>
      </c>
      <c r="AF16" s="51">
        <v>1694</v>
      </c>
      <c r="AG16" s="51">
        <v>1694</v>
      </c>
      <c r="AH16" s="51">
        <v>1694</v>
      </c>
      <c r="AI16" s="51">
        <v>1694</v>
      </c>
      <c r="AJ16" s="51">
        <v>150</v>
      </c>
      <c r="AK16" s="51">
        <v>3260.1</v>
      </c>
      <c r="AL16" s="52">
        <f t="shared" si="0"/>
        <v>20350.1</v>
      </c>
      <c r="AM16" s="53" t="str">
        <f t="shared" si="1"/>
        <v>OK</v>
      </c>
      <c r="AN16" s="51">
        <f>7479.77+1490.03+1490.03+1490.03+235.24+1953.96+2063.17+4147.87</f>
        <v>20350.100000000002</v>
      </c>
      <c r="AO16" s="58">
        <f t="shared" si="2"/>
        <v>0</v>
      </c>
    </row>
    <row r="17" spans="1:41" s="54" customFormat="1" ht="13.5" customHeight="1">
      <c r="A17" s="44" t="s">
        <v>51</v>
      </c>
      <c r="B17" s="44" t="s">
        <v>52</v>
      </c>
      <c r="C17" s="44" t="s">
        <v>53</v>
      </c>
      <c r="D17" s="44" t="s">
        <v>85</v>
      </c>
      <c r="E17" s="44" t="s">
        <v>54</v>
      </c>
      <c r="F17" s="44" t="s">
        <v>124</v>
      </c>
      <c r="G17" s="44" t="s">
        <v>111</v>
      </c>
      <c r="H17" s="44" t="s">
        <v>55</v>
      </c>
      <c r="I17" s="59" t="s">
        <v>86</v>
      </c>
      <c r="J17" s="55">
        <v>1</v>
      </c>
      <c r="K17" s="55" t="s">
        <v>125</v>
      </c>
      <c r="L17" s="46">
        <v>1</v>
      </c>
      <c r="M17" s="47">
        <v>0</v>
      </c>
      <c r="N17" s="47">
        <v>1</v>
      </c>
      <c r="O17" s="48">
        <v>900</v>
      </c>
      <c r="P17" s="48" t="s">
        <v>126</v>
      </c>
      <c r="Q17" s="47">
        <v>1</v>
      </c>
      <c r="R17" s="48">
        <v>0</v>
      </c>
      <c r="S17" s="48">
        <v>0</v>
      </c>
      <c r="T17" s="45" t="s">
        <v>56</v>
      </c>
      <c r="U17" s="49">
        <v>51</v>
      </c>
      <c r="V17" s="45">
        <v>510707</v>
      </c>
      <c r="W17" s="56" t="s">
        <v>103</v>
      </c>
      <c r="X17" s="50">
        <v>0</v>
      </c>
      <c r="Y17" s="50">
        <f>1305.58+187-98.39</f>
        <v>1394.1899999999998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220.6</v>
      </c>
      <c r="AG17" s="51">
        <v>217.6</v>
      </c>
      <c r="AH17" s="51">
        <v>217.6</v>
      </c>
      <c r="AI17" s="51">
        <v>217.6</v>
      </c>
      <c r="AJ17" s="51">
        <v>217.6</v>
      </c>
      <c r="AK17" s="51">
        <v>303.19</v>
      </c>
      <c r="AL17" s="52">
        <f t="shared" si="0"/>
        <v>1394.19</v>
      </c>
      <c r="AM17" s="53" t="str">
        <f t="shared" si="1"/>
        <v>OK</v>
      </c>
      <c r="AN17" s="51">
        <f>1305.58+88.61</f>
        <v>1394.1899999999998</v>
      </c>
      <c r="AO17" s="58">
        <f t="shared" si="2"/>
        <v>0</v>
      </c>
    </row>
    <row r="18" spans="1:41" s="54" customFormat="1" ht="13.5" customHeight="1">
      <c r="A18" s="44" t="s">
        <v>51</v>
      </c>
      <c r="B18" s="44" t="s">
        <v>52</v>
      </c>
      <c r="C18" s="44" t="s">
        <v>80</v>
      </c>
      <c r="D18" s="44" t="s">
        <v>114</v>
      </c>
      <c r="E18" s="44" t="s">
        <v>54</v>
      </c>
      <c r="F18" s="44" t="s">
        <v>124</v>
      </c>
      <c r="G18" s="44" t="s">
        <v>111</v>
      </c>
      <c r="H18" s="44" t="s">
        <v>55</v>
      </c>
      <c r="I18" s="59" t="s">
        <v>105</v>
      </c>
      <c r="J18" s="55">
        <v>1</v>
      </c>
      <c r="K18" s="55" t="s">
        <v>125</v>
      </c>
      <c r="L18" s="46">
        <v>1</v>
      </c>
      <c r="M18" s="47">
        <v>0</v>
      </c>
      <c r="N18" s="47">
        <v>1</v>
      </c>
      <c r="O18" s="48">
        <v>900</v>
      </c>
      <c r="P18" s="48" t="s">
        <v>126</v>
      </c>
      <c r="Q18" s="47">
        <v>1</v>
      </c>
      <c r="R18" s="48">
        <v>0</v>
      </c>
      <c r="S18" s="48">
        <v>0</v>
      </c>
      <c r="T18" s="45" t="s">
        <v>56</v>
      </c>
      <c r="U18" s="49" t="s">
        <v>131</v>
      </c>
      <c r="V18" s="45">
        <v>990101</v>
      </c>
      <c r="W18" s="56" t="s">
        <v>105</v>
      </c>
      <c r="X18" s="50">
        <v>0</v>
      </c>
      <c r="Y18" s="50">
        <f>3150-26.85</f>
        <v>3123.15</v>
      </c>
      <c r="Z18" s="51">
        <v>0</v>
      </c>
      <c r="AA18" s="51">
        <v>0</v>
      </c>
      <c r="AB18" s="51">
        <v>0</v>
      </c>
      <c r="AC18" s="51">
        <v>0</v>
      </c>
      <c r="AD18" s="51">
        <v>3123.15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2">
        <f t="shared" si="0"/>
        <v>3123.15</v>
      </c>
      <c r="AM18" s="53" t="str">
        <f t="shared" si="1"/>
        <v>OK</v>
      </c>
      <c r="AN18" s="51">
        <v>3123.15</v>
      </c>
      <c r="AO18" s="58">
        <f t="shared" si="2"/>
        <v>0</v>
      </c>
    </row>
    <row r="19" spans="1:41" s="54" customFormat="1" ht="13.5" customHeight="1">
      <c r="A19" s="44" t="s">
        <v>78</v>
      </c>
      <c r="B19" s="44" t="s">
        <v>79</v>
      </c>
      <c r="C19" s="44" t="s">
        <v>53</v>
      </c>
      <c r="D19" s="44" t="s">
        <v>85</v>
      </c>
      <c r="E19" s="44" t="s">
        <v>54</v>
      </c>
      <c r="F19" s="44" t="s">
        <v>124</v>
      </c>
      <c r="G19" s="44" t="s">
        <v>123</v>
      </c>
      <c r="H19" s="44" t="s">
        <v>98</v>
      </c>
      <c r="I19" s="59" t="s">
        <v>86</v>
      </c>
      <c r="J19" s="55">
        <v>1</v>
      </c>
      <c r="K19" s="55" t="s">
        <v>125</v>
      </c>
      <c r="L19" s="46">
        <v>55</v>
      </c>
      <c r="M19" s="47">
        <v>0</v>
      </c>
      <c r="N19" s="47">
        <v>2</v>
      </c>
      <c r="O19" s="48">
        <v>900</v>
      </c>
      <c r="P19" s="48" t="s">
        <v>126</v>
      </c>
      <c r="Q19" s="47">
        <v>1</v>
      </c>
      <c r="R19" s="48">
        <v>0</v>
      </c>
      <c r="S19" s="48">
        <v>0</v>
      </c>
      <c r="T19" s="45" t="s">
        <v>56</v>
      </c>
      <c r="U19" s="49">
        <v>51</v>
      </c>
      <c r="V19" s="45">
        <v>510105</v>
      </c>
      <c r="W19" s="56" t="s">
        <v>87</v>
      </c>
      <c r="X19" s="50">
        <v>1633483</v>
      </c>
      <c r="Y19" s="50">
        <f>1642597.07-5767.69-596.21</f>
        <v>1636233.1700000002</v>
      </c>
      <c r="Z19" s="51">
        <v>134122</v>
      </c>
      <c r="AA19" s="51">
        <v>134122</v>
      </c>
      <c r="AB19" s="51">
        <v>134122</v>
      </c>
      <c r="AC19" s="51">
        <v>134122</v>
      </c>
      <c r="AD19" s="51">
        <v>134122</v>
      </c>
      <c r="AE19" s="51">
        <v>134122</v>
      </c>
      <c r="AF19" s="51">
        <v>134122</v>
      </c>
      <c r="AG19" s="51">
        <v>134122</v>
      </c>
      <c r="AH19" s="51">
        <v>134122</v>
      </c>
      <c r="AI19" s="51">
        <v>134122</v>
      </c>
      <c r="AJ19" s="51">
        <v>150688.54</v>
      </c>
      <c r="AK19" s="51">
        <v>144324.63</v>
      </c>
      <c r="AL19" s="52">
        <f t="shared" si="0"/>
        <v>1636233.17</v>
      </c>
      <c r="AM19" s="53" t="str">
        <f t="shared" si="1"/>
        <v>OK</v>
      </c>
      <c r="AN19" s="51">
        <f>818000.04+137160+135186.67+137509.48+135522.97+135694.01+137160</f>
        <v>1636233.17</v>
      </c>
      <c r="AO19" s="58">
        <f t="shared" si="2"/>
        <v>0</v>
      </c>
    </row>
    <row r="20" spans="1:41" s="54" customFormat="1" ht="13.5" customHeight="1">
      <c r="A20" s="44" t="s">
        <v>78</v>
      </c>
      <c r="B20" s="44" t="s">
        <v>79</v>
      </c>
      <c r="C20" s="44" t="s">
        <v>53</v>
      </c>
      <c r="D20" s="44" t="s">
        <v>85</v>
      </c>
      <c r="E20" s="44" t="s">
        <v>54</v>
      </c>
      <c r="F20" s="44" t="s">
        <v>124</v>
      </c>
      <c r="G20" s="44" t="s">
        <v>123</v>
      </c>
      <c r="H20" s="44" t="s">
        <v>98</v>
      </c>
      <c r="I20" s="59" t="s">
        <v>86</v>
      </c>
      <c r="J20" s="55">
        <v>1</v>
      </c>
      <c r="K20" s="55" t="s">
        <v>125</v>
      </c>
      <c r="L20" s="46">
        <v>55</v>
      </c>
      <c r="M20" s="47">
        <v>0</v>
      </c>
      <c r="N20" s="47">
        <v>2</v>
      </c>
      <c r="O20" s="48">
        <v>900</v>
      </c>
      <c r="P20" s="48" t="s">
        <v>126</v>
      </c>
      <c r="Q20" s="47">
        <v>1</v>
      </c>
      <c r="R20" s="48">
        <v>0</v>
      </c>
      <c r="S20" s="48">
        <v>0</v>
      </c>
      <c r="T20" s="45" t="s">
        <v>56</v>
      </c>
      <c r="U20" s="49">
        <v>51</v>
      </c>
      <c r="V20" s="45">
        <v>510203</v>
      </c>
      <c r="W20" s="56" t="s">
        <v>89</v>
      </c>
      <c r="X20" s="50">
        <v>138162</v>
      </c>
      <c r="Y20" s="50">
        <f>135960+2431+12932.76-12237.04-1352.86</f>
        <v>137733.86000000002</v>
      </c>
      <c r="Z20" s="51">
        <v>11330</v>
      </c>
      <c r="AA20" s="51">
        <v>11330</v>
      </c>
      <c r="AB20" s="51">
        <v>11330</v>
      </c>
      <c r="AC20" s="51">
        <v>11330</v>
      </c>
      <c r="AD20" s="51">
        <v>11330</v>
      </c>
      <c r="AE20" s="51">
        <v>11330</v>
      </c>
      <c r="AF20" s="51">
        <v>11330</v>
      </c>
      <c r="AG20" s="51">
        <v>11330</v>
      </c>
      <c r="AH20" s="51">
        <v>11330</v>
      </c>
      <c r="AI20" s="51">
        <v>11330</v>
      </c>
      <c r="AJ20" s="51">
        <v>19011.88</v>
      </c>
      <c r="AK20" s="51">
        <v>5421.98</v>
      </c>
      <c r="AL20" s="52">
        <f aca="true" t="shared" si="3" ref="AL20:AL83">SUBTOTAL(9,Z20:AK20)</f>
        <v>137733.86000000002</v>
      </c>
      <c r="AM20" s="53" t="str">
        <f aca="true" t="shared" si="4" ref="AM20:AM83">IF(AL20=Y20,"OK",Y20-AL20)</f>
        <v>OK</v>
      </c>
      <c r="AN20" s="51">
        <f>7527.1+1160.52+1160.52+2574.74+1588.11+1588.11+122134.76</f>
        <v>137733.86</v>
      </c>
      <c r="AO20" s="58">
        <f t="shared" si="2"/>
        <v>0</v>
      </c>
    </row>
    <row r="21" spans="1:41" s="54" customFormat="1" ht="13.5" customHeight="1">
      <c r="A21" s="44" t="s">
        <v>78</v>
      </c>
      <c r="B21" s="44" t="s">
        <v>79</v>
      </c>
      <c r="C21" s="44" t="s">
        <v>53</v>
      </c>
      <c r="D21" s="44" t="s">
        <v>85</v>
      </c>
      <c r="E21" s="44" t="s">
        <v>54</v>
      </c>
      <c r="F21" s="44" t="s">
        <v>124</v>
      </c>
      <c r="G21" s="44" t="s">
        <v>123</v>
      </c>
      <c r="H21" s="44" t="s">
        <v>98</v>
      </c>
      <c r="I21" s="59" t="s">
        <v>86</v>
      </c>
      <c r="J21" s="55">
        <v>1</v>
      </c>
      <c r="K21" s="55" t="s">
        <v>125</v>
      </c>
      <c r="L21" s="46">
        <v>55</v>
      </c>
      <c r="M21" s="47">
        <v>0</v>
      </c>
      <c r="N21" s="47">
        <v>2</v>
      </c>
      <c r="O21" s="48">
        <v>900</v>
      </c>
      <c r="P21" s="48" t="s">
        <v>126</v>
      </c>
      <c r="Q21" s="47">
        <v>1</v>
      </c>
      <c r="R21" s="48">
        <v>0</v>
      </c>
      <c r="S21" s="48">
        <v>0</v>
      </c>
      <c r="T21" s="45" t="s">
        <v>56</v>
      </c>
      <c r="U21" s="49">
        <v>51</v>
      </c>
      <c r="V21" s="45">
        <v>510204</v>
      </c>
      <c r="W21" s="56" t="s">
        <v>90</v>
      </c>
      <c r="X21" s="50">
        <v>69366</v>
      </c>
      <c r="Y21" s="50">
        <f>75767.17-572+256+290.4-294.96</f>
        <v>75446.60999999999</v>
      </c>
      <c r="Z21" s="51">
        <v>6313.93</v>
      </c>
      <c r="AA21" s="51">
        <v>6313.93</v>
      </c>
      <c r="AB21" s="51">
        <v>6313.93</v>
      </c>
      <c r="AC21" s="51">
        <v>6313.93</v>
      </c>
      <c r="AD21" s="51">
        <v>6313.93</v>
      </c>
      <c r="AE21" s="51">
        <v>6313.93</v>
      </c>
      <c r="AF21" s="51">
        <v>6313.93</v>
      </c>
      <c r="AG21" s="51">
        <v>6313.93</v>
      </c>
      <c r="AH21" s="51">
        <v>6313.93</v>
      </c>
      <c r="AI21" s="51">
        <v>6313.93</v>
      </c>
      <c r="AJ21" s="51">
        <v>6313.94</v>
      </c>
      <c r="AK21" s="51">
        <v>5993.37</v>
      </c>
      <c r="AL21" s="52">
        <f t="shared" si="3"/>
        <v>75446.61</v>
      </c>
      <c r="AM21" s="53" t="str">
        <f t="shared" si="4"/>
        <v>OK</v>
      </c>
      <c r="AN21" s="51">
        <f>71048.68+672.98+672.98+820.55+814.64+814.64+602.14</f>
        <v>75446.60999999999</v>
      </c>
      <c r="AO21" s="58">
        <f t="shared" si="2"/>
        <v>0</v>
      </c>
    </row>
    <row r="22" spans="1:41" s="54" customFormat="1" ht="13.5" customHeight="1">
      <c r="A22" s="44" t="s">
        <v>78</v>
      </c>
      <c r="B22" s="44" t="s">
        <v>79</v>
      </c>
      <c r="C22" s="44" t="s">
        <v>53</v>
      </c>
      <c r="D22" s="44" t="s">
        <v>85</v>
      </c>
      <c r="E22" s="44" t="s">
        <v>54</v>
      </c>
      <c r="F22" s="44" t="s">
        <v>124</v>
      </c>
      <c r="G22" s="44" t="s">
        <v>123</v>
      </c>
      <c r="H22" s="44" t="s">
        <v>98</v>
      </c>
      <c r="I22" s="59" t="s">
        <v>86</v>
      </c>
      <c r="J22" s="55">
        <v>1</v>
      </c>
      <c r="K22" s="55" t="s">
        <v>125</v>
      </c>
      <c r="L22" s="46">
        <v>55</v>
      </c>
      <c r="M22" s="47">
        <v>0</v>
      </c>
      <c r="N22" s="47">
        <v>2</v>
      </c>
      <c r="O22" s="48">
        <v>900</v>
      </c>
      <c r="P22" s="48" t="s">
        <v>126</v>
      </c>
      <c r="Q22" s="47">
        <v>1</v>
      </c>
      <c r="R22" s="48">
        <v>0</v>
      </c>
      <c r="S22" s="48">
        <v>0</v>
      </c>
      <c r="T22" s="45" t="s">
        <v>56</v>
      </c>
      <c r="U22" s="49">
        <v>51</v>
      </c>
      <c r="V22" s="45">
        <v>510510</v>
      </c>
      <c r="W22" s="56" t="s">
        <v>97</v>
      </c>
      <c r="X22" s="50">
        <v>9565</v>
      </c>
      <c r="Y22" s="50">
        <f>27048+4624-1</f>
        <v>31671</v>
      </c>
      <c r="Z22" s="51">
        <v>2254</v>
      </c>
      <c r="AA22" s="51">
        <v>2254</v>
      </c>
      <c r="AB22" s="51">
        <v>2254</v>
      </c>
      <c r="AC22" s="51">
        <v>2254</v>
      </c>
      <c r="AD22" s="51">
        <v>2254</v>
      </c>
      <c r="AE22" s="51">
        <v>2254</v>
      </c>
      <c r="AF22" s="51">
        <v>2254</v>
      </c>
      <c r="AG22" s="51">
        <v>2254</v>
      </c>
      <c r="AH22" s="51">
        <v>2254</v>
      </c>
      <c r="AI22" s="51">
        <v>2254</v>
      </c>
      <c r="AJ22" s="51">
        <v>2254</v>
      </c>
      <c r="AK22" s="51">
        <v>6877</v>
      </c>
      <c r="AL22" s="52">
        <f t="shared" si="3"/>
        <v>31671</v>
      </c>
      <c r="AM22" s="53" t="str">
        <f t="shared" si="4"/>
        <v>OK</v>
      </c>
      <c r="AN22" s="51">
        <f>19839+1972+1972+1972+1972+1972+1972</f>
        <v>31671</v>
      </c>
      <c r="AO22" s="58">
        <f t="shared" si="2"/>
        <v>0</v>
      </c>
    </row>
    <row r="23" spans="1:41" s="54" customFormat="1" ht="13.5" customHeight="1">
      <c r="A23" s="44" t="s">
        <v>78</v>
      </c>
      <c r="B23" s="44" t="s">
        <v>79</v>
      </c>
      <c r="C23" s="44" t="s">
        <v>53</v>
      </c>
      <c r="D23" s="44" t="s">
        <v>85</v>
      </c>
      <c r="E23" s="44" t="s">
        <v>54</v>
      </c>
      <c r="F23" s="44" t="s">
        <v>124</v>
      </c>
      <c r="G23" s="44" t="s">
        <v>123</v>
      </c>
      <c r="H23" s="44" t="s">
        <v>98</v>
      </c>
      <c r="I23" s="59" t="s">
        <v>86</v>
      </c>
      <c r="J23" s="55">
        <v>1</v>
      </c>
      <c r="K23" s="55" t="s">
        <v>125</v>
      </c>
      <c r="L23" s="46">
        <v>55</v>
      </c>
      <c r="M23" s="47">
        <v>0</v>
      </c>
      <c r="N23" s="47">
        <v>2</v>
      </c>
      <c r="O23" s="48">
        <v>900</v>
      </c>
      <c r="P23" s="48" t="s">
        <v>126</v>
      </c>
      <c r="Q23" s="47">
        <v>1</v>
      </c>
      <c r="R23" s="48">
        <v>0</v>
      </c>
      <c r="S23" s="48">
        <v>0</v>
      </c>
      <c r="T23" s="45" t="s">
        <v>56</v>
      </c>
      <c r="U23" s="49">
        <v>51</v>
      </c>
      <c r="V23" s="45">
        <v>510513</v>
      </c>
      <c r="W23" s="56" t="s">
        <v>99</v>
      </c>
      <c r="X23" s="50">
        <v>0</v>
      </c>
      <c r="Y23" s="50">
        <f>69-0.3</f>
        <v>68.7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68.7</v>
      </c>
      <c r="AJ23" s="51">
        <v>0</v>
      </c>
      <c r="AK23" s="51">
        <v>0</v>
      </c>
      <c r="AL23" s="52">
        <f t="shared" si="3"/>
        <v>68.7</v>
      </c>
      <c r="AM23" s="53" t="str">
        <f t="shared" si="4"/>
        <v>OK</v>
      </c>
      <c r="AN23" s="51">
        <v>68.7</v>
      </c>
      <c r="AO23" s="58">
        <f t="shared" si="2"/>
        <v>0</v>
      </c>
    </row>
    <row r="24" spans="1:41" s="54" customFormat="1" ht="13.5" customHeight="1">
      <c r="A24" s="44" t="s">
        <v>78</v>
      </c>
      <c r="B24" s="44" t="s">
        <v>79</v>
      </c>
      <c r="C24" s="44" t="s">
        <v>53</v>
      </c>
      <c r="D24" s="44" t="s">
        <v>85</v>
      </c>
      <c r="E24" s="44" t="s">
        <v>54</v>
      </c>
      <c r="F24" s="44" t="s">
        <v>124</v>
      </c>
      <c r="G24" s="44" t="s">
        <v>123</v>
      </c>
      <c r="H24" s="44" t="s">
        <v>98</v>
      </c>
      <c r="I24" s="59" t="s">
        <v>86</v>
      </c>
      <c r="J24" s="55">
        <v>1</v>
      </c>
      <c r="K24" s="55" t="s">
        <v>125</v>
      </c>
      <c r="L24" s="46">
        <v>55</v>
      </c>
      <c r="M24" s="47">
        <v>0</v>
      </c>
      <c r="N24" s="47">
        <v>2</v>
      </c>
      <c r="O24" s="48">
        <v>900</v>
      </c>
      <c r="P24" s="48" t="s">
        <v>126</v>
      </c>
      <c r="Q24" s="47">
        <v>1</v>
      </c>
      <c r="R24" s="48">
        <v>0</v>
      </c>
      <c r="S24" s="48">
        <v>0</v>
      </c>
      <c r="T24" s="45" t="s">
        <v>56</v>
      </c>
      <c r="U24" s="49">
        <v>51</v>
      </c>
      <c r="V24" s="45">
        <v>510601</v>
      </c>
      <c r="W24" s="56" t="s">
        <v>95</v>
      </c>
      <c r="X24" s="50">
        <v>159972</v>
      </c>
      <c r="Y24" s="50">
        <f>160796.81-256.35-343.25</f>
        <v>160197.21</v>
      </c>
      <c r="Z24" s="51">
        <v>13399.73</v>
      </c>
      <c r="AA24" s="51">
        <v>13399.73</v>
      </c>
      <c r="AB24" s="51">
        <v>13399.73</v>
      </c>
      <c r="AC24" s="51">
        <v>13399.73</v>
      </c>
      <c r="AD24" s="51">
        <v>13399.73</v>
      </c>
      <c r="AE24" s="51">
        <v>13399.73</v>
      </c>
      <c r="AF24" s="51">
        <v>13399.73</v>
      </c>
      <c r="AG24" s="51">
        <v>13399.73</v>
      </c>
      <c r="AH24" s="51">
        <v>13399.73</v>
      </c>
      <c r="AI24" s="51">
        <v>13399.73</v>
      </c>
      <c r="AJ24" s="51">
        <v>13399.73</v>
      </c>
      <c r="AK24" s="51">
        <v>12800.18</v>
      </c>
      <c r="AL24" s="52">
        <f t="shared" si="3"/>
        <v>160197.21</v>
      </c>
      <c r="AM24" s="53" t="str">
        <f t="shared" si="4"/>
        <v>OK</v>
      </c>
      <c r="AN24" s="51">
        <f>80084.04+13427.12+13236.69+13460.84+13275.76+13285.64+13427.12</f>
        <v>160197.20999999996</v>
      </c>
      <c r="AO24" s="58">
        <f t="shared" si="2"/>
        <v>0</v>
      </c>
    </row>
    <row r="25" spans="1:41" s="54" customFormat="1" ht="13.5" customHeight="1">
      <c r="A25" s="44" t="s">
        <v>78</v>
      </c>
      <c r="B25" s="44" t="s">
        <v>79</v>
      </c>
      <c r="C25" s="44" t="s">
        <v>53</v>
      </c>
      <c r="D25" s="44" t="s">
        <v>85</v>
      </c>
      <c r="E25" s="44" t="s">
        <v>54</v>
      </c>
      <c r="F25" s="44" t="s">
        <v>124</v>
      </c>
      <c r="G25" s="44" t="s">
        <v>123</v>
      </c>
      <c r="H25" s="44" t="s">
        <v>98</v>
      </c>
      <c r="I25" s="59" t="s">
        <v>86</v>
      </c>
      <c r="J25" s="55">
        <v>1</v>
      </c>
      <c r="K25" s="55" t="s">
        <v>125</v>
      </c>
      <c r="L25" s="46">
        <v>55</v>
      </c>
      <c r="M25" s="47">
        <v>0</v>
      </c>
      <c r="N25" s="47">
        <v>2</v>
      </c>
      <c r="O25" s="48">
        <v>900</v>
      </c>
      <c r="P25" s="48" t="s">
        <v>126</v>
      </c>
      <c r="Q25" s="47">
        <v>1</v>
      </c>
      <c r="R25" s="48">
        <v>0</v>
      </c>
      <c r="S25" s="48">
        <v>0</v>
      </c>
      <c r="T25" s="45" t="s">
        <v>56</v>
      </c>
      <c r="U25" s="49">
        <v>51</v>
      </c>
      <c r="V25" s="45">
        <v>510602</v>
      </c>
      <c r="W25" s="56" t="s">
        <v>96</v>
      </c>
      <c r="X25" s="50">
        <v>121964</v>
      </c>
      <c r="Y25" s="50">
        <f>121964-4788+9228+9847.43</f>
        <v>136251.43</v>
      </c>
      <c r="Z25" s="51">
        <v>10163</v>
      </c>
      <c r="AA25" s="51">
        <v>10163</v>
      </c>
      <c r="AB25" s="51">
        <v>10163</v>
      </c>
      <c r="AC25" s="51">
        <v>10163</v>
      </c>
      <c r="AD25" s="51">
        <v>9565.5</v>
      </c>
      <c r="AE25" s="51">
        <v>9565.5</v>
      </c>
      <c r="AF25" s="51">
        <v>9565.5</v>
      </c>
      <c r="AG25" s="51">
        <v>9565.5</v>
      </c>
      <c r="AH25" s="51">
        <v>9565.5</v>
      </c>
      <c r="AI25" s="51">
        <v>9565.5</v>
      </c>
      <c r="AJ25" s="51">
        <v>14724</v>
      </c>
      <c r="AK25" s="51">
        <v>23482.43</v>
      </c>
      <c r="AL25" s="52">
        <f t="shared" si="3"/>
        <v>136251.43</v>
      </c>
      <c r="AM25" s="53" t="str">
        <f t="shared" si="4"/>
        <v>OK</v>
      </c>
      <c r="AN25" s="51">
        <f>58776.91+11223.46+11223.46+11223.46-42.23+11026.21+11011.98+21808.18</f>
        <v>136251.43</v>
      </c>
      <c r="AO25" s="58">
        <f t="shared" si="2"/>
        <v>0</v>
      </c>
    </row>
    <row r="26" spans="1:41" s="54" customFormat="1" ht="13.5" customHeight="1">
      <c r="A26" s="44" t="s">
        <v>78</v>
      </c>
      <c r="B26" s="44" t="s">
        <v>79</v>
      </c>
      <c r="C26" s="44" t="s">
        <v>53</v>
      </c>
      <c r="D26" s="44" t="s">
        <v>85</v>
      </c>
      <c r="E26" s="44" t="s">
        <v>54</v>
      </c>
      <c r="F26" s="44" t="s">
        <v>124</v>
      </c>
      <c r="G26" s="44" t="s">
        <v>123</v>
      </c>
      <c r="H26" s="44" t="s">
        <v>98</v>
      </c>
      <c r="I26" s="59" t="s">
        <v>86</v>
      </c>
      <c r="J26" s="55">
        <v>1</v>
      </c>
      <c r="K26" s="55" t="s">
        <v>125</v>
      </c>
      <c r="L26" s="46">
        <v>55</v>
      </c>
      <c r="M26" s="47">
        <v>0</v>
      </c>
      <c r="N26" s="47">
        <v>2</v>
      </c>
      <c r="O26" s="48">
        <v>900</v>
      </c>
      <c r="P26" s="48" t="s">
        <v>126</v>
      </c>
      <c r="Q26" s="47">
        <v>1</v>
      </c>
      <c r="R26" s="48">
        <v>0</v>
      </c>
      <c r="S26" s="48">
        <v>0</v>
      </c>
      <c r="T26" s="45" t="s">
        <v>56</v>
      </c>
      <c r="U26" s="49">
        <v>51</v>
      </c>
      <c r="V26" s="45">
        <v>510707</v>
      </c>
      <c r="W26" s="56" t="s">
        <v>103</v>
      </c>
      <c r="X26" s="50">
        <v>0</v>
      </c>
      <c r="Y26" s="50">
        <f>883+411+221.28-493.02</f>
        <v>1022.26</v>
      </c>
      <c r="Z26" s="51">
        <v>0</v>
      </c>
      <c r="AA26" s="51">
        <v>80.27</v>
      </c>
      <c r="AB26" s="51">
        <v>80.27</v>
      </c>
      <c r="AC26" s="51">
        <v>80.27</v>
      </c>
      <c r="AD26" s="51">
        <v>80.27</v>
      </c>
      <c r="AE26" s="51">
        <v>80.27</v>
      </c>
      <c r="AF26" s="51">
        <v>80.27</v>
      </c>
      <c r="AG26" s="51">
        <v>80.29</v>
      </c>
      <c r="AH26" s="51">
        <v>80.27</v>
      </c>
      <c r="AI26" s="51">
        <v>80.27</v>
      </c>
      <c r="AJ26" s="51">
        <v>80.28</v>
      </c>
      <c r="AK26" s="51">
        <v>219.53</v>
      </c>
      <c r="AL26" s="52">
        <f t="shared" si="3"/>
        <v>1022.2599999999999</v>
      </c>
      <c r="AM26" s="53" t="str">
        <f t="shared" si="4"/>
        <v>OK</v>
      </c>
      <c r="AN26" s="51">
        <f>391.73+401.93+228.6</f>
        <v>1022.2600000000001</v>
      </c>
      <c r="AO26" s="58">
        <f t="shared" si="2"/>
        <v>0</v>
      </c>
    </row>
    <row r="27" spans="1:41" s="54" customFormat="1" ht="13.5" customHeight="1">
      <c r="A27" s="44" t="s">
        <v>78</v>
      </c>
      <c r="B27" s="44" t="s">
        <v>79</v>
      </c>
      <c r="C27" s="44" t="s">
        <v>53</v>
      </c>
      <c r="D27" s="44" t="s">
        <v>85</v>
      </c>
      <c r="E27" s="44" t="s">
        <v>54</v>
      </c>
      <c r="F27" s="44" t="s">
        <v>124</v>
      </c>
      <c r="G27" s="44" t="s">
        <v>100</v>
      </c>
      <c r="H27" s="44" t="s">
        <v>81</v>
      </c>
      <c r="I27" s="59" t="s">
        <v>86</v>
      </c>
      <c r="J27" s="55">
        <v>1</v>
      </c>
      <c r="K27" s="55" t="s">
        <v>125</v>
      </c>
      <c r="L27" s="46">
        <v>55</v>
      </c>
      <c r="M27" s="47">
        <v>0</v>
      </c>
      <c r="N27" s="47">
        <v>3</v>
      </c>
      <c r="O27" s="48">
        <v>900</v>
      </c>
      <c r="P27" s="48" t="s">
        <v>126</v>
      </c>
      <c r="Q27" s="47">
        <v>1</v>
      </c>
      <c r="R27" s="48">
        <v>0</v>
      </c>
      <c r="S27" s="48">
        <v>0</v>
      </c>
      <c r="T27" s="45" t="s">
        <v>56</v>
      </c>
      <c r="U27" s="49">
        <v>51</v>
      </c>
      <c r="V27" s="45">
        <v>510105</v>
      </c>
      <c r="W27" s="56" t="s">
        <v>87</v>
      </c>
      <c r="X27" s="50">
        <v>103603</v>
      </c>
      <c r="Y27" s="50">
        <f>106704-4139.61-2964.39</f>
        <v>99600</v>
      </c>
      <c r="Z27" s="51">
        <v>8892</v>
      </c>
      <c r="AA27" s="51">
        <v>8892</v>
      </c>
      <c r="AB27" s="51">
        <v>8892</v>
      </c>
      <c r="AC27" s="51">
        <v>8892</v>
      </c>
      <c r="AD27" s="51">
        <v>8892</v>
      </c>
      <c r="AE27" s="51">
        <v>8892</v>
      </c>
      <c r="AF27" s="51">
        <v>8892</v>
      </c>
      <c r="AG27" s="51">
        <v>8892</v>
      </c>
      <c r="AH27" s="51">
        <v>8892</v>
      </c>
      <c r="AI27" s="51">
        <v>8892</v>
      </c>
      <c r="AJ27" s="51">
        <v>8892</v>
      </c>
      <c r="AK27" s="51">
        <v>1788</v>
      </c>
      <c r="AL27" s="52">
        <f t="shared" si="3"/>
        <v>99600</v>
      </c>
      <c r="AM27" s="53" t="str">
        <f t="shared" si="4"/>
        <v>OK</v>
      </c>
      <c r="AN27" s="51">
        <f>53352+8892+8892+8892+6524+6524+6524</f>
        <v>99600</v>
      </c>
      <c r="AO27" s="58">
        <f t="shared" si="2"/>
        <v>0</v>
      </c>
    </row>
    <row r="28" spans="1:41" s="54" customFormat="1" ht="13.5" customHeight="1">
      <c r="A28" s="44" t="s">
        <v>78</v>
      </c>
      <c r="B28" s="44" t="s">
        <v>79</v>
      </c>
      <c r="C28" s="44" t="s">
        <v>53</v>
      </c>
      <c r="D28" s="44" t="s">
        <v>85</v>
      </c>
      <c r="E28" s="44" t="s">
        <v>54</v>
      </c>
      <c r="F28" s="44" t="s">
        <v>124</v>
      </c>
      <c r="G28" s="44" t="s">
        <v>100</v>
      </c>
      <c r="H28" s="44" t="s">
        <v>81</v>
      </c>
      <c r="I28" s="59" t="s">
        <v>86</v>
      </c>
      <c r="J28" s="55">
        <v>1</v>
      </c>
      <c r="K28" s="55" t="s">
        <v>125</v>
      </c>
      <c r="L28" s="46">
        <v>55</v>
      </c>
      <c r="M28" s="47">
        <v>0</v>
      </c>
      <c r="N28" s="47">
        <v>3</v>
      </c>
      <c r="O28" s="48">
        <v>900</v>
      </c>
      <c r="P28" s="48" t="s">
        <v>126</v>
      </c>
      <c r="Q28" s="47">
        <v>1</v>
      </c>
      <c r="R28" s="48">
        <v>0</v>
      </c>
      <c r="S28" s="48">
        <v>0</v>
      </c>
      <c r="T28" s="45" t="s">
        <v>56</v>
      </c>
      <c r="U28" s="49">
        <v>51</v>
      </c>
      <c r="V28" s="45">
        <v>510203</v>
      </c>
      <c r="W28" s="56" t="s">
        <v>89</v>
      </c>
      <c r="X28" s="50">
        <v>10104</v>
      </c>
      <c r="Y28" s="50">
        <f>4220.33+1415+2498+306.16-534.33</f>
        <v>7905.16</v>
      </c>
      <c r="Z28" s="51">
        <v>351.69</v>
      </c>
      <c r="AA28" s="51">
        <v>351.69</v>
      </c>
      <c r="AB28" s="51">
        <v>351.69</v>
      </c>
      <c r="AC28" s="51">
        <v>351.69</v>
      </c>
      <c r="AD28" s="51">
        <v>351.69</v>
      </c>
      <c r="AE28" s="51">
        <v>351.69</v>
      </c>
      <c r="AF28" s="51">
        <v>351.69</v>
      </c>
      <c r="AG28" s="51">
        <v>351.69</v>
      </c>
      <c r="AH28" s="51">
        <v>351.7</v>
      </c>
      <c r="AI28" s="51">
        <v>823.37</v>
      </c>
      <c r="AJ28" s="51">
        <v>2044.36</v>
      </c>
      <c r="AK28" s="51">
        <v>1872.21</v>
      </c>
      <c r="AL28" s="52">
        <f t="shared" si="3"/>
        <v>7905.16</v>
      </c>
      <c r="AM28" s="53" t="str">
        <f t="shared" si="4"/>
        <v>OK</v>
      </c>
      <c r="AN28" s="51">
        <f>606+101+101+101+101+101+6794.16</f>
        <v>7905.16</v>
      </c>
      <c r="AO28" s="58">
        <f t="shared" si="2"/>
        <v>0</v>
      </c>
    </row>
    <row r="29" spans="1:41" s="54" customFormat="1" ht="13.5" customHeight="1">
      <c r="A29" s="44" t="s">
        <v>78</v>
      </c>
      <c r="B29" s="44" t="s">
        <v>79</v>
      </c>
      <c r="C29" s="44" t="s">
        <v>53</v>
      </c>
      <c r="D29" s="44" t="s">
        <v>85</v>
      </c>
      <c r="E29" s="44" t="s">
        <v>54</v>
      </c>
      <c r="F29" s="44" t="s">
        <v>124</v>
      </c>
      <c r="G29" s="44" t="s">
        <v>100</v>
      </c>
      <c r="H29" s="44" t="s">
        <v>81</v>
      </c>
      <c r="I29" s="59" t="s">
        <v>86</v>
      </c>
      <c r="J29" s="55">
        <v>1</v>
      </c>
      <c r="K29" s="55" t="s">
        <v>125</v>
      </c>
      <c r="L29" s="46">
        <v>55</v>
      </c>
      <c r="M29" s="47">
        <v>0</v>
      </c>
      <c r="N29" s="47">
        <v>3</v>
      </c>
      <c r="O29" s="48">
        <v>900</v>
      </c>
      <c r="P29" s="48" t="s">
        <v>126</v>
      </c>
      <c r="Q29" s="47">
        <v>1</v>
      </c>
      <c r="R29" s="48">
        <v>0</v>
      </c>
      <c r="S29" s="48">
        <v>0</v>
      </c>
      <c r="T29" s="45" t="s">
        <v>56</v>
      </c>
      <c r="U29" s="49">
        <v>51</v>
      </c>
      <c r="V29" s="45">
        <v>510204</v>
      </c>
      <c r="W29" s="56" t="s">
        <v>90</v>
      </c>
      <c r="X29" s="50">
        <v>2664</v>
      </c>
      <c r="Y29" s="50">
        <f>3081.25+185-180-4.97</f>
        <v>3081.28</v>
      </c>
      <c r="Z29" s="51">
        <v>256.77</v>
      </c>
      <c r="AA29" s="51">
        <v>256.77</v>
      </c>
      <c r="AB29" s="51">
        <v>256.77</v>
      </c>
      <c r="AC29" s="51">
        <v>256.77</v>
      </c>
      <c r="AD29" s="51">
        <v>256.77</v>
      </c>
      <c r="AE29" s="51">
        <v>256.77</v>
      </c>
      <c r="AF29" s="51">
        <v>256.77</v>
      </c>
      <c r="AG29" s="51">
        <v>256.77</v>
      </c>
      <c r="AH29" s="51">
        <v>256.77</v>
      </c>
      <c r="AI29" s="51">
        <v>256.77</v>
      </c>
      <c r="AJ29" s="51">
        <v>256.78</v>
      </c>
      <c r="AK29" s="51">
        <v>256.8</v>
      </c>
      <c r="AL29" s="52">
        <f t="shared" si="3"/>
        <v>3081.2799999999997</v>
      </c>
      <c r="AM29" s="53" t="str">
        <f t="shared" si="4"/>
        <v>OK</v>
      </c>
      <c r="AN29" s="51">
        <f>2868.76+35.42+35.42+35.42+35.42+35.42+162.89-127.47</f>
        <v>3081.2800000000007</v>
      </c>
      <c r="AO29" s="58">
        <f t="shared" si="2"/>
        <v>0</v>
      </c>
    </row>
    <row r="30" spans="1:41" s="54" customFormat="1" ht="13.5" customHeight="1">
      <c r="A30" s="44" t="s">
        <v>78</v>
      </c>
      <c r="B30" s="44" t="s">
        <v>79</v>
      </c>
      <c r="C30" s="44" t="s">
        <v>53</v>
      </c>
      <c r="D30" s="44" t="s">
        <v>85</v>
      </c>
      <c r="E30" s="44" t="s">
        <v>54</v>
      </c>
      <c r="F30" s="44" t="s">
        <v>124</v>
      </c>
      <c r="G30" s="44" t="s">
        <v>100</v>
      </c>
      <c r="H30" s="44" t="s">
        <v>81</v>
      </c>
      <c r="I30" s="59" t="s">
        <v>86</v>
      </c>
      <c r="J30" s="55">
        <v>1</v>
      </c>
      <c r="K30" s="55" t="s">
        <v>125</v>
      </c>
      <c r="L30" s="46">
        <v>55</v>
      </c>
      <c r="M30" s="47">
        <v>0</v>
      </c>
      <c r="N30" s="47">
        <v>3</v>
      </c>
      <c r="O30" s="48">
        <v>900</v>
      </c>
      <c r="P30" s="48" t="s">
        <v>126</v>
      </c>
      <c r="Q30" s="47">
        <v>1</v>
      </c>
      <c r="R30" s="48">
        <v>0</v>
      </c>
      <c r="S30" s="48">
        <v>0</v>
      </c>
      <c r="T30" s="45" t="s">
        <v>56</v>
      </c>
      <c r="U30" s="49">
        <v>51</v>
      </c>
      <c r="V30" s="45">
        <v>510510</v>
      </c>
      <c r="W30" s="56" t="s">
        <v>97</v>
      </c>
      <c r="X30" s="50">
        <v>445</v>
      </c>
      <c r="Y30" s="50">
        <f>10908-479-733</f>
        <v>9696</v>
      </c>
      <c r="Z30" s="51">
        <v>909</v>
      </c>
      <c r="AA30" s="51">
        <v>909</v>
      </c>
      <c r="AB30" s="51">
        <v>909</v>
      </c>
      <c r="AC30" s="51">
        <v>909</v>
      </c>
      <c r="AD30" s="51">
        <v>909</v>
      </c>
      <c r="AE30" s="51">
        <v>909</v>
      </c>
      <c r="AF30" s="51">
        <v>909</v>
      </c>
      <c r="AG30" s="51">
        <v>909</v>
      </c>
      <c r="AH30" s="51">
        <v>909</v>
      </c>
      <c r="AI30" s="51">
        <v>909</v>
      </c>
      <c r="AJ30" s="51">
        <v>301</v>
      </c>
      <c r="AK30" s="51">
        <v>305</v>
      </c>
      <c r="AL30" s="52">
        <f t="shared" si="3"/>
        <v>9696</v>
      </c>
      <c r="AM30" s="53" t="str">
        <f t="shared" si="4"/>
        <v>OK</v>
      </c>
      <c r="AN30" s="51">
        <f>2424+1212+1212+1212+1212+1212+1212</f>
        <v>9696</v>
      </c>
      <c r="AO30" s="58">
        <f t="shared" si="2"/>
        <v>0</v>
      </c>
    </row>
    <row r="31" spans="1:41" s="54" customFormat="1" ht="13.5" customHeight="1">
      <c r="A31" s="44" t="s">
        <v>78</v>
      </c>
      <c r="B31" s="44" t="s">
        <v>79</v>
      </c>
      <c r="C31" s="44" t="s">
        <v>53</v>
      </c>
      <c r="D31" s="44" t="s">
        <v>85</v>
      </c>
      <c r="E31" s="44" t="s">
        <v>54</v>
      </c>
      <c r="F31" s="44" t="s">
        <v>124</v>
      </c>
      <c r="G31" s="44" t="s">
        <v>100</v>
      </c>
      <c r="H31" s="44" t="s">
        <v>81</v>
      </c>
      <c r="I31" s="59" t="s">
        <v>86</v>
      </c>
      <c r="J31" s="55">
        <v>1</v>
      </c>
      <c r="K31" s="55" t="s">
        <v>125</v>
      </c>
      <c r="L31" s="46">
        <v>55</v>
      </c>
      <c r="M31" s="47">
        <v>0</v>
      </c>
      <c r="N31" s="47">
        <v>3</v>
      </c>
      <c r="O31" s="48">
        <v>900</v>
      </c>
      <c r="P31" s="48" t="s">
        <v>126</v>
      </c>
      <c r="Q31" s="47">
        <v>1</v>
      </c>
      <c r="R31" s="48">
        <v>0</v>
      </c>
      <c r="S31" s="48">
        <v>0</v>
      </c>
      <c r="T31" s="45" t="s">
        <v>56</v>
      </c>
      <c r="U31" s="49">
        <v>51</v>
      </c>
      <c r="V31" s="45">
        <v>510512</v>
      </c>
      <c r="W31" s="56" t="s">
        <v>102</v>
      </c>
      <c r="X31" s="50">
        <v>3000</v>
      </c>
      <c r="Y31" s="50">
        <f>1246-766-480</f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2">
        <f t="shared" si="3"/>
        <v>0</v>
      </c>
      <c r="AM31" s="53" t="str">
        <f t="shared" si="4"/>
        <v>OK</v>
      </c>
      <c r="AN31" s="51">
        <v>0</v>
      </c>
      <c r="AO31" s="58">
        <f t="shared" si="2"/>
        <v>0</v>
      </c>
    </row>
    <row r="32" spans="1:41" s="54" customFormat="1" ht="13.5" customHeight="1">
      <c r="A32" s="44" t="s">
        <v>78</v>
      </c>
      <c r="B32" s="44" t="s">
        <v>79</v>
      </c>
      <c r="C32" s="44" t="s">
        <v>53</v>
      </c>
      <c r="D32" s="44" t="s">
        <v>85</v>
      </c>
      <c r="E32" s="44" t="s">
        <v>54</v>
      </c>
      <c r="F32" s="44" t="s">
        <v>124</v>
      </c>
      <c r="G32" s="44" t="s">
        <v>100</v>
      </c>
      <c r="H32" s="44" t="s">
        <v>81</v>
      </c>
      <c r="I32" s="59" t="s">
        <v>86</v>
      </c>
      <c r="J32" s="55">
        <v>1</v>
      </c>
      <c r="K32" s="55" t="s">
        <v>125</v>
      </c>
      <c r="L32" s="46">
        <v>55</v>
      </c>
      <c r="M32" s="47">
        <v>0</v>
      </c>
      <c r="N32" s="47">
        <v>3</v>
      </c>
      <c r="O32" s="48">
        <v>900</v>
      </c>
      <c r="P32" s="48" t="s">
        <v>126</v>
      </c>
      <c r="Q32" s="47">
        <v>1</v>
      </c>
      <c r="R32" s="48">
        <v>0</v>
      </c>
      <c r="S32" s="48">
        <v>0</v>
      </c>
      <c r="T32" s="45" t="s">
        <v>56</v>
      </c>
      <c r="U32" s="49">
        <v>51</v>
      </c>
      <c r="V32" s="45">
        <v>510513</v>
      </c>
      <c r="W32" s="56" t="s">
        <v>99</v>
      </c>
      <c r="X32" s="50">
        <v>0</v>
      </c>
      <c r="Y32" s="50">
        <f>396.93+875+1367.87-16+32</f>
        <v>2655.8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211.98</v>
      </c>
      <c r="AG32" s="51">
        <v>211.98</v>
      </c>
      <c r="AH32" s="51">
        <v>211.98</v>
      </c>
      <c r="AI32" s="51">
        <v>211.98</v>
      </c>
      <c r="AJ32" s="51">
        <v>211.98</v>
      </c>
      <c r="AK32" s="51">
        <v>1595.9</v>
      </c>
      <c r="AL32" s="52">
        <f t="shared" si="3"/>
        <v>2655.8</v>
      </c>
      <c r="AM32" s="53" t="str">
        <f t="shared" si="4"/>
        <v>OK</v>
      </c>
      <c r="AN32" s="51">
        <f>396.93+874.87+1384</f>
        <v>2655.8</v>
      </c>
      <c r="AO32" s="58">
        <f t="shared" si="2"/>
        <v>0</v>
      </c>
    </row>
    <row r="33" spans="1:41" s="54" customFormat="1" ht="13.5" customHeight="1">
      <c r="A33" s="44" t="s">
        <v>78</v>
      </c>
      <c r="B33" s="44" t="s">
        <v>79</v>
      </c>
      <c r="C33" s="44" t="s">
        <v>53</v>
      </c>
      <c r="D33" s="44" t="s">
        <v>85</v>
      </c>
      <c r="E33" s="44" t="s">
        <v>54</v>
      </c>
      <c r="F33" s="44" t="s">
        <v>124</v>
      </c>
      <c r="G33" s="44" t="s">
        <v>100</v>
      </c>
      <c r="H33" s="44" t="s">
        <v>81</v>
      </c>
      <c r="I33" s="59" t="s">
        <v>86</v>
      </c>
      <c r="J33" s="55">
        <v>1</v>
      </c>
      <c r="K33" s="55" t="s">
        <v>125</v>
      </c>
      <c r="L33" s="46">
        <v>55</v>
      </c>
      <c r="M33" s="47">
        <v>0</v>
      </c>
      <c r="N33" s="47">
        <v>3</v>
      </c>
      <c r="O33" s="48">
        <v>900</v>
      </c>
      <c r="P33" s="48" t="s">
        <v>126</v>
      </c>
      <c r="Q33" s="47">
        <v>1</v>
      </c>
      <c r="R33" s="48">
        <v>0</v>
      </c>
      <c r="S33" s="48">
        <v>0</v>
      </c>
      <c r="T33" s="45" t="s">
        <v>56</v>
      </c>
      <c r="U33" s="49">
        <v>51</v>
      </c>
      <c r="V33" s="45">
        <v>510601</v>
      </c>
      <c r="W33" s="56" t="s">
        <v>95</v>
      </c>
      <c r="X33" s="50">
        <v>11700</v>
      </c>
      <c r="Y33" s="50">
        <f>11700.44+39+18-46.26-439.94</f>
        <v>11271.24</v>
      </c>
      <c r="Z33" s="51">
        <v>975.03</v>
      </c>
      <c r="AA33" s="51">
        <v>975.03</v>
      </c>
      <c r="AB33" s="51">
        <v>975.03</v>
      </c>
      <c r="AC33" s="51">
        <v>975.03</v>
      </c>
      <c r="AD33" s="51">
        <v>975.03</v>
      </c>
      <c r="AE33" s="51">
        <v>975.03</v>
      </c>
      <c r="AF33" s="51">
        <v>975.03</v>
      </c>
      <c r="AG33" s="51">
        <v>975.03</v>
      </c>
      <c r="AH33" s="51">
        <v>975.03</v>
      </c>
      <c r="AI33" s="51">
        <v>975.03</v>
      </c>
      <c r="AJ33" s="51">
        <v>975.13</v>
      </c>
      <c r="AK33" s="51">
        <v>545.81</v>
      </c>
      <c r="AL33" s="52">
        <f t="shared" si="3"/>
        <v>11271.239999999998</v>
      </c>
      <c r="AM33" s="53" t="str">
        <f t="shared" si="4"/>
        <v>OK</v>
      </c>
      <c r="AN33" s="51">
        <f>5850.24+975.04+1013.34+975.04+830.96+746.53+880.09</f>
        <v>11271.24</v>
      </c>
      <c r="AO33" s="58">
        <f t="shared" si="2"/>
        <v>0</v>
      </c>
    </row>
    <row r="34" spans="1:41" s="54" customFormat="1" ht="13.5" customHeight="1">
      <c r="A34" s="44" t="s">
        <v>78</v>
      </c>
      <c r="B34" s="44" t="s">
        <v>79</v>
      </c>
      <c r="C34" s="44" t="s">
        <v>53</v>
      </c>
      <c r="D34" s="44" t="s">
        <v>85</v>
      </c>
      <c r="E34" s="44" t="s">
        <v>54</v>
      </c>
      <c r="F34" s="44" t="s">
        <v>124</v>
      </c>
      <c r="G34" s="44" t="s">
        <v>100</v>
      </c>
      <c r="H34" s="44" t="s">
        <v>81</v>
      </c>
      <c r="I34" s="59" t="s">
        <v>86</v>
      </c>
      <c r="J34" s="55">
        <v>1</v>
      </c>
      <c r="K34" s="55" t="s">
        <v>125</v>
      </c>
      <c r="L34" s="46">
        <v>55</v>
      </c>
      <c r="M34" s="47">
        <v>0</v>
      </c>
      <c r="N34" s="47">
        <v>3</v>
      </c>
      <c r="O34" s="48">
        <v>900</v>
      </c>
      <c r="P34" s="48" t="s">
        <v>126</v>
      </c>
      <c r="Q34" s="47">
        <v>1</v>
      </c>
      <c r="R34" s="48">
        <v>0</v>
      </c>
      <c r="S34" s="48">
        <v>0</v>
      </c>
      <c r="T34" s="45" t="s">
        <v>56</v>
      </c>
      <c r="U34" s="49">
        <v>51</v>
      </c>
      <c r="V34" s="45">
        <v>510602</v>
      </c>
      <c r="W34" s="56" t="s">
        <v>96</v>
      </c>
      <c r="X34" s="50">
        <v>9109</v>
      </c>
      <c r="Y34" s="50">
        <f>9109+776+503.89</f>
        <v>10388.89</v>
      </c>
      <c r="Z34" s="51">
        <v>759</v>
      </c>
      <c r="AA34" s="51">
        <v>759</v>
      </c>
      <c r="AB34" s="51">
        <v>759</v>
      </c>
      <c r="AC34" s="51">
        <v>759</v>
      </c>
      <c r="AD34" s="51">
        <v>759</v>
      </c>
      <c r="AE34" s="51">
        <v>759</v>
      </c>
      <c r="AF34" s="51">
        <v>759</v>
      </c>
      <c r="AG34" s="51">
        <v>759</v>
      </c>
      <c r="AH34" s="51">
        <v>759</v>
      </c>
      <c r="AI34" s="51">
        <v>759</v>
      </c>
      <c r="AJ34" s="51">
        <v>759</v>
      </c>
      <c r="AK34" s="51">
        <v>2039.89</v>
      </c>
      <c r="AL34" s="52">
        <f t="shared" si="3"/>
        <v>10388.89</v>
      </c>
      <c r="AM34" s="53" t="str">
        <f t="shared" si="4"/>
        <v>OK</v>
      </c>
      <c r="AN34" s="51">
        <f>4867.7+841.66+874.74+841.66+914.56+644.41+1404.16</f>
        <v>10388.89</v>
      </c>
      <c r="AO34" s="58">
        <f t="shared" si="2"/>
        <v>0</v>
      </c>
    </row>
    <row r="35" spans="1:41" s="54" customFormat="1" ht="13.5" customHeight="1">
      <c r="A35" s="44" t="s">
        <v>78</v>
      </c>
      <c r="B35" s="44" t="s">
        <v>79</v>
      </c>
      <c r="C35" s="44" t="s">
        <v>53</v>
      </c>
      <c r="D35" s="44" t="s">
        <v>85</v>
      </c>
      <c r="E35" s="44" t="s">
        <v>54</v>
      </c>
      <c r="F35" s="44" t="s">
        <v>124</v>
      </c>
      <c r="G35" s="44" t="s">
        <v>100</v>
      </c>
      <c r="H35" s="44" t="s">
        <v>81</v>
      </c>
      <c r="I35" s="59" t="s">
        <v>86</v>
      </c>
      <c r="J35" s="55">
        <v>1</v>
      </c>
      <c r="K35" s="55" t="s">
        <v>125</v>
      </c>
      <c r="L35" s="46">
        <v>55</v>
      </c>
      <c r="M35" s="47">
        <v>0</v>
      </c>
      <c r="N35" s="47">
        <v>3</v>
      </c>
      <c r="O35" s="48">
        <v>900</v>
      </c>
      <c r="P35" s="48" t="s">
        <v>126</v>
      </c>
      <c r="Q35" s="47">
        <v>1</v>
      </c>
      <c r="R35" s="48">
        <v>0</v>
      </c>
      <c r="S35" s="48">
        <v>0</v>
      </c>
      <c r="T35" s="45" t="s">
        <v>56</v>
      </c>
      <c r="U35" s="49">
        <v>51</v>
      </c>
      <c r="V35" s="45">
        <v>510707</v>
      </c>
      <c r="W35" s="56" t="s">
        <v>103</v>
      </c>
      <c r="X35" s="50">
        <v>0</v>
      </c>
      <c r="Y35" s="50">
        <f>1400-31.82</f>
        <v>1368.18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420</v>
      </c>
      <c r="AJ35" s="51">
        <v>420</v>
      </c>
      <c r="AK35" s="51">
        <v>528.18</v>
      </c>
      <c r="AL35" s="52">
        <f t="shared" si="3"/>
        <v>1368.1799999999998</v>
      </c>
      <c r="AM35" s="53" t="str">
        <f t="shared" si="4"/>
        <v>OK</v>
      </c>
      <c r="AN35" s="51">
        <v>1368.18</v>
      </c>
      <c r="AO35" s="58">
        <f t="shared" si="2"/>
        <v>0</v>
      </c>
    </row>
    <row r="36" spans="1:41" s="54" customFormat="1" ht="13.5" customHeight="1">
      <c r="A36" s="44" t="s">
        <v>51</v>
      </c>
      <c r="B36" s="44" t="s">
        <v>52</v>
      </c>
      <c r="C36" s="44" t="s">
        <v>53</v>
      </c>
      <c r="D36" s="44" t="s">
        <v>114</v>
      </c>
      <c r="E36" s="44" t="s">
        <v>120</v>
      </c>
      <c r="F36" s="44" t="s">
        <v>124</v>
      </c>
      <c r="G36" s="44" t="s">
        <v>111</v>
      </c>
      <c r="H36" s="44" t="s">
        <v>55</v>
      </c>
      <c r="I36" s="59" t="s">
        <v>132</v>
      </c>
      <c r="J36" s="55">
        <v>1</v>
      </c>
      <c r="K36" s="55" t="s">
        <v>125</v>
      </c>
      <c r="L36" s="46">
        <v>1</v>
      </c>
      <c r="M36" s="47">
        <v>0</v>
      </c>
      <c r="N36" s="47">
        <v>1</v>
      </c>
      <c r="O36" s="48">
        <v>916</v>
      </c>
      <c r="P36" s="48" t="s">
        <v>126</v>
      </c>
      <c r="Q36" s="47">
        <v>1</v>
      </c>
      <c r="R36" s="48">
        <v>0</v>
      </c>
      <c r="S36" s="48">
        <v>0</v>
      </c>
      <c r="T36" s="45" t="s">
        <v>56</v>
      </c>
      <c r="U36" s="49">
        <v>53</v>
      </c>
      <c r="V36" s="45">
        <v>530101</v>
      </c>
      <c r="W36" s="56" t="s">
        <v>57</v>
      </c>
      <c r="X36" s="50">
        <v>3120</v>
      </c>
      <c r="Y36" s="50">
        <f>3120-881.53+881.53+350</f>
        <v>3470</v>
      </c>
      <c r="Z36" s="51">
        <v>0</v>
      </c>
      <c r="AA36" s="51">
        <v>0</v>
      </c>
      <c r="AB36" s="51">
        <v>519</v>
      </c>
      <c r="AC36" s="51">
        <v>260</v>
      </c>
      <c r="AD36" s="51">
        <v>260</v>
      </c>
      <c r="AE36" s="51">
        <v>171.35</v>
      </c>
      <c r="AF36" s="51">
        <v>171.35</v>
      </c>
      <c r="AG36" s="51">
        <v>347.66</v>
      </c>
      <c r="AH36" s="51">
        <v>347.66</v>
      </c>
      <c r="AI36" s="51">
        <v>347.66</v>
      </c>
      <c r="AJ36" s="51">
        <v>522</v>
      </c>
      <c r="AK36" s="51">
        <v>523.32</v>
      </c>
      <c r="AL36" s="52">
        <f t="shared" si="3"/>
        <v>3470</v>
      </c>
      <c r="AM36" s="53" t="str">
        <f t="shared" si="4"/>
        <v>OK</v>
      </c>
      <c r="AN36" s="51">
        <f>1200+247.2+1200-407.91-0.82+300-12.68+944.21</f>
        <v>3470</v>
      </c>
      <c r="AO36" s="58">
        <f t="shared" si="2"/>
        <v>0</v>
      </c>
    </row>
    <row r="37" spans="1:41" s="54" customFormat="1" ht="13.5" customHeight="1">
      <c r="A37" s="44" t="s">
        <v>51</v>
      </c>
      <c r="B37" s="44" t="s">
        <v>52</v>
      </c>
      <c r="C37" s="44" t="s">
        <v>53</v>
      </c>
      <c r="D37" s="44" t="s">
        <v>114</v>
      </c>
      <c r="E37" s="44" t="s">
        <v>120</v>
      </c>
      <c r="F37" s="44" t="s">
        <v>124</v>
      </c>
      <c r="G37" s="44" t="s">
        <v>111</v>
      </c>
      <c r="H37" s="44" t="s">
        <v>55</v>
      </c>
      <c r="I37" s="59" t="s">
        <v>133</v>
      </c>
      <c r="J37" s="55">
        <v>1</v>
      </c>
      <c r="K37" s="55" t="s">
        <v>125</v>
      </c>
      <c r="L37" s="46">
        <v>1</v>
      </c>
      <c r="M37" s="47">
        <v>0</v>
      </c>
      <c r="N37" s="47">
        <v>1</v>
      </c>
      <c r="O37" s="48">
        <v>916</v>
      </c>
      <c r="P37" s="48" t="s">
        <v>126</v>
      </c>
      <c r="Q37" s="47">
        <v>1</v>
      </c>
      <c r="R37" s="48">
        <v>0</v>
      </c>
      <c r="S37" s="48">
        <v>0</v>
      </c>
      <c r="T37" s="45" t="s">
        <v>56</v>
      </c>
      <c r="U37" s="49">
        <v>53</v>
      </c>
      <c r="V37" s="45">
        <v>530104</v>
      </c>
      <c r="W37" s="56" t="s">
        <v>58</v>
      </c>
      <c r="X37" s="50">
        <v>150000</v>
      </c>
      <c r="Y37" s="50">
        <f>149552-36000-17857.14+17857.14+40664.49</f>
        <v>154216.49</v>
      </c>
      <c r="Z37" s="51">
        <v>0</v>
      </c>
      <c r="AA37" s="51">
        <v>0</v>
      </c>
      <c r="AB37" s="51">
        <v>23000</v>
      </c>
      <c r="AC37" s="51">
        <v>12500</v>
      </c>
      <c r="AD37" s="51">
        <v>10000</v>
      </c>
      <c r="AE37" s="51">
        <v>10000</v>
      </c>
      <c r="AF37" s="51">
        <v>10000</v>
      </c>
      <c r="AG37" s="51">
        <v>10000</v>
      </c>
      <c r="AH37" s="51">
        <v>19679.12</v>
      </c>
      <c r="AI37" s="51">
        <v>19679.12</v>
      </c>
      <c r="AJ37" s="51">
        <v>19679.12</v>
      </c>
      <c r="AK37" s="51">
        <v>19679.13</v>
      </c>
      <c r="AL37" s="52">
        <f t="shared" si="3"/>
        <v>154216.49</v>
      </c>
      <c r="AM37" s="53" t="str">
        <f t="shared" si="4"/>
        <v>OK</v>
      </c>
      <c r="AN37" s="51">
        <f>50000+11705.62+50000-15909.82-100.94+9000+3000+47203.62-681.99</f>
        <v>154216.49</v>
      </c>
      <c r="AO37" s="58">
        <f t="shared" si="2"/>
        <v>0</v>
      </c>
    </row>
    <row r="38" spans="1:41" s="54" customFormat="1" ht="13.5" customHeight="1">
      <c r="A38" s="44" t="s">
        <v>51</v>
      </c>
      <c r="B38" s="44" t="s">
        <v>52</v>
      </c>
      <c r="C38" s="44" t="s">
        <v>53</v>
      </c>
      <c r="D38" s="44" t="s">
        <v>114</v>
      </c>
      <c r="E38" s="44" t="s">
        <v>120</v>
      </c>
      <c r="F38" s="44" t="s">
        <v>124</v>
      </c>
      <c r="G38" s="44" t="s">
        <v>111</v>
      </c>
      <c r="H38" s="44" t="s">
        <v>55</v>
      </c>
      <c r="I38" s="59" t="s">
        <v>134</v>
      </c>
      <c r="J38" s="55">
        <v>2</v>
      </c>
      <c r="K38" s="55" t="s">
        <v>125</v>
      </c>
      <c r="L38" s="46">
        <v>1</v>
      </c>
      <c r="M38" s="47">
        <v>0</v>
      </c>
      <c r="N38" s="47">
        <v>1</v>
      </c>
      <c r="O38" s="48">
        <v>916</v>
      </c>
      <c r="P38" s="48" t="s">
        <v>126</v>
      </c>
      <c r="Q38" s="47">
        <v>1</v>
      </c>
      <c r="R38" s="48">
        <v>0</v>
      </c>
      <c r="S38" s="48">
        <v>0</v>
      </c>
      <c r="T38" s="45" t="s">
        <v>56</v>
      </c>
      <c r="U38" s="49">
        <v>53</v>
      </c>
      <c r="V38" s="45">
        <v>530106</v>
      </c>
      <c r="W38" s="56" t="s">
        <v>59</v>
      </c>
      <c r="X38" s="50">
        <v>0</v>
      </c>
      <c r="Y38" s="50">
        <f>1000-327.5</f>
        <v>672.5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672.5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2">
        <f t="shared" si="3"/>
        <v>672.5</v>
      </c>
      <c r="AM38" s="53" t="str">
        <f t="shared" si="4"/>
        <v>OK</v>
      </c>
      <c r="AN38" s="51">
        <v>672.5</v>
      </c>
      <c r="AO38" s="58">
        <f t="shared" si="2"/>
        <v>0</v>
      </c>
    </row>
    <row r="39" spans="1:41" s="54" customFormat="1" ht="13.5" customHeight="1">
      <c r="A39" s="44" t="s">
        <v>51</v>
      </c>
      <c r="B39" s="44" t="s">
        <v>52</v>
      </c>
      <c r="C39" s="44" t="s">
        <v>53</v>
      </c>
      <c r="D39" s="44" t="s">
        <v>114</v>
      </c>
      <c r="E39" s="44" t="s">
        <v>120</v>
      </c>
      <c r="F39" s="44" t="s">
        <v>124</v>
      </c>
      <c r="G39" s="44" t="s">
        <v>111</v>
      </c>
      <c r="H39" s="44" t="s">
        <v>55</v>
      </c>
      <c r="I39" s="59" t="s">
        <v>135</v>
      </c>
      <c r="J39" s="55">
        <v>1</v>
      </c>
      <c r="K39" s="55" t="s">
        <v>125</v>
      </c>
      <c r="L39" s="46">
        <v>1</v>
      </c>
      <c r="M39" s="47">
        <v>0</v>
      </c>
      <c r="N39" s="47">
        <v>1</v>
      </c>
      <c r="O39" s="48">
        <v>916</v>
      </c>
      <c r="P39" s="48" t="s">
        <v>126</v>
      </c>
      <c r="Q39" s="47">
        <v>1</v>
      </c>
      <c r="R39" s="48">
        <v>0</v>
      </c>
      <c r="S39" s="48">
        <v>0</v>
      </c>
      <c r="T39" s="45" t="s">
        <v>56</v>
      </c>
      <c r="U39" s="49">
        <v>53</v>
      </c>
      <c r="V39" s="45">
        <v>530201</v>
      </c>
      <c r="W39" s="56" t="s">
        <v>60</v>
      </c>
      <c r="X39" s="50">
        <v>145000</v>
      </c>
      <c r="Y39" s="50">
        <f>143913.56+42000+392-4396.21-12909.23-0.12+1</f>
        <v>169001</v>
      </c>
      <c r="Z39" s="51">
        <v>0</v>
      </c>
      <c r="AA39" s="51">
        <v>0</v>
      </c>
      <c r="AB39" s="51">
        <v>18630.56</v>
      </c>
      <c r="AC39" s="51">
        <v>18630.56</v>
      </c>
      <c r="AD39" s="51">
        <v>18630.56</v>
      </c>
      <c r="AE39" s="51">
        <v>18630.56</v>
      </c>
      <c r="AF39" s="51">
        <v>18630.56</v>
      </c>
      <c r="AG39" s="51">
        <v>18630.56</v>
      </c>
      <c r="AH39" s="51">
        <v>18630.56</v>
      </c>
      <c r="AI39" s="51">
        <v>17315.14</v>
      </c>
      <c r="AJ39" s="51">
        <v>17315.14</v>
      </c>
      <c r="AK39" s="51">
        <v>3956.8</v>
      </c>
      <c r="AL39" s="52">
        <f t="shared" si="3"/>
        <v>169001</v>
      </c>
      <c r="AM39" s="53" t="str">
        <f t="shared" si="4"/>
        <v>OK</v>
      </c>
      <c r="AN39" s="51">
        <f>111305.44-17305.44+75000+1</f>
        <v>169001</v>
      </c>
      <c r="AO39" s="58">
        <f t="shared" si="2"/>
        <v>0</v>
      </c>
    </row>
    <row r="40" spans="1:41" s="54" customFormat="1" ht="13.5" customHeight="1">
      <c r="A40" s="44" t="s">
        <v>51</v>
      </c>
      <c r="B40" s="44" t="s">
        <v>52</v>
      </c>
      <c r="C40" s="44" t="s">
        <v>53</v>
      </c>
      <c r="D40" s="44" t="s">
        <v>114</v>
      </c>
      <c r="E40" s="44" t="s">
        <v>120</v>
      </c>
      <c r="F40" s="44" t="s">
        <v>124</v>
      </c>
      <c r="G40" s="44" t="s">
        <v>111</v>
      </c>
      <c r="H40" s="44" t="s">
        <v>55</v>
      </c>
      <c r="I40" s="59" t="s">
        <v>136</v>
      </c>
      <c r="J40" s="55">
        <v>1</v>
      </c>
      <c r="K40" s="55" t="s">
        <v>125</v>
      </c>
      <c r="L40" s="46">
        <v>1</v>
      </c>
      <c r="M40" s="47">
        <v>0</v>
      </c>
      <c r="N40" s="47">
        <v>1</v>
      </c>
      <c r="O40" s="48">
        <v>916</v>
      </c>
      <c r="P40" s="48" t="s">
        <v>126</v>
      </c>
      <c r="Q40" s="47">
        <v>1</v>
      </c>
      <c r="R40" s="48">
        <v>0</v>
      </c>
      <c r="S40" s="48">
        <v>0</v>
      </c>
      <c r="T40" s="45" t="s">
        <v>56</v>
      </c>
      <c r="U40" s="49">
        <v>53</v>
      </c>
      <c r="V40" s="45">
        <v>530203</v>
      </c>
      <c r="W40" s="56" t="s">
        <v>61</v>
      </c>
      <c r="X40" s="50">
        <v>447.99999999999994</v>
      </c>
      <c r="Y40" s="50">
        <f>448+699.68-1147.68</f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2">
        <f t="shared" si="3"/>
        <v>0</v>
      </c>
      <c r="AM40" s="53" t="str">
        <f t="shared" si="4"/>
        <v>OK</v>
      </c>
      <c r="AN40" s="51">
        <v>0</v>
      </c>
      <c r="AO40" s="58">
        <f t="shared" si="2"/>
        <v>0</v>
      </c>
    </row>
    <row r="41" spans="1:41" s="54" customFormat="1" ht="13.5" customHeight="1">
      <c r="A41" s="44" t="s">
        <v>51</v>
      </c>
      <c r="B41" s="44" t="s">
        <v>52</v>
      </c>
      <c r="C41" s="44" t="s">
        <v>53</v>
      </c>
      <c r="D41" s="44" t="s">
        <v>114</v>
      </c>
      <c r="E41" s="44" t="s">
        <v>120</v>
      </c>
      <c r="F41" s="44" t="s">
        <v>124</v>
      </c>
      <c r="G41" s="44" t="s">
        <v>111</v>
      </c>
      <c r="H41" s="44" t="s">
        <v>55</v>
      </c>
      <c r="I41" s="59" t="s">
        <v>137</v>
      </c>
      <c r="J41" s="55">
        <v>1</v>
      </c>
      <c r="K41" s="55" t="s">
        <v>125</v>
      </c>
      <c r="L41" s="46">
        <v>1</v>
      </c>
      <c r="M41" s="47">
        <v>0</v>
      </c>
      <c r="N41" s="47">
        <v>1</v>
      </c>
      <c r="O41" s="48">
        <v>916</v>
      </c>
      <c r="P41" s="48" t="s">
        <v>126</v>
      </c>
      <c r="Q41" s="47">
        <v>1</v>
      </c>
      <c r="R41" s="48">
        <v>0</v>
      </c>
      <c r="S41" s="48">
        <v>0</v>
      </c>
      <c r="T41" s="45" t="s">
        <v>56</v>
      </c>
      <c r="U41" s="49">
        <v>53</v>
      </c>
      <c r="V41" s="45">
        <v>530203</v>
      </c>
      <c r="W41" s="56" t="s">
        <v>61</v>
      </c>
      <c r="X41" s="50">
        <v>6399.68</v>
      </c>
      <c r="Y41" s="50">
        <f>6399.68-699.68</f>
        <v>5700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5700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2">
        <f t="shared" si="3"/>
        <v>5700</v>
      </c>
      <c r="AM41" s="53" t="str">
        <f t="shared" si="4"/>
        <v>OK</v>
      </c>
      <c r="AN41" s="51">
        <v>5700</v>
      </c>
      <c r="AO41" s="58">
        <f t="shared" si="2"/>
        <v>0</v>
      </c>
    </row>
    <row r="42" spans="1:41" s="54" customFormat="1" ht="13.5" customHeight="1">
      <c r="A42" s="44" t="s">
        <v>51</v>
      </c>
      <c r="B42" s="44" t="s">
        <v>52</v>
      </c>
      <c r="C42" s="44" t="s">
        <v>53</v>
      </c>
      <c r="D42" s="44" t="s">
        <v>114</v>
      </c>
      <c r="E42" s="44" t="s">
        <v>54</v>
      </c>
      <c r="F42" s="44" t="s">
        <v>124</v>
      </c>
      <c r="G42" s="44" t="s">
        <v>111</v>
      </c>
      <c r="H42" s="44" t="s">
        <v>55</v>
      </c>
      <c r="I42" s="59" t="s">
        <v>138</v>
      </c>
      <c r="J42" s="55">
        <v>1</v>
      </c>
      <c r="K42" s="55" t="s">
        <v>125</v>
      </c>
      <c r="L42" s="46">
        <v>1</v>
      </c>
      <c r="M42" s="47">
        <v>0</v>
      </c>
      <c r="N42" s="47">
        <v>1</v>
      </c>
      <c r="O42" s="48">
        <v>916</v>
      </c>
      <c r="P42" s="48" t="s">
        <v>126</v>
      </c>
      <c r="Q42" s="47">
        <v>1</v>
      </c>
      <c r="R42" s="48">
        <v>0</v>
      </c>
      <c r="S42" s="48">
        <v>0</v>
      </c>
      <c r="T42" s="45" t="s">
        <v>56</v>
      </c>
      <c r="U42" s="49">
        <v>53</v>
      </c>
      <c r="V42" s="45">
        <v>530204</v>
      </c>
      <c r="W42" s="56" t="s">
        <v>62</v>
      </c>
      <c r="X42" s="50">
        <v>0</v>
      </c>
      <c r="Y42" s="50">
        <f>7000-1402.43</f>
        <v>5597.57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5597.57</v>
      </c>
      <c r="AJ42" s="51">
        <v>0</v>
      </c>
      <c r="AK42" s="51">
        <v>0</v>
      </c>
      <c r="AL42" s="52">
        <f t="shared" si="3"/>
        <v>5597.57</v>
      </c>
      <c r="AM42" s="53" t="str">
        <f t="shared" si="4"/>
        <v>OK</v>
      </c>
      <c r="AN42" s="51">
        <v>5597.57</v>
      </c>
      <c r="AO42" s="58">
        <f t="shared" si="2"/>
        <v>0</v>
      </c>
    </row>
    <row r="43" spans="1:41" s="54" customFormat="1" ht="13.5" customHeight="1">
      <c r="A43" s="44" t="s">
        <v>51</v>
      </c>
      <c r="B43" s="44" t="s">
        <v>52</v>
      </c>
      <c r="C43" s="44" t="s">
        <v>53</v>
      </c>
      <c r="D43" s="44" t="s">
        <v>114</v>
      </c>
      <c r="E43" s="44" t="s">
        <v>54</v>
      </c>
      <c r="F43" s="44" t="s">
        <v>124</v>
      </c>
      <c r="G43" s="44" t="s">
        <v>111</v>
      </c>
      <c r="H43" s="44" t="s">
        <v>55</v>
      </c>
      <c r="I43" s="59" t="s">
        <v>139</v>
      </c>
      <c r="J43" s="55">
        <v>1</v>
      </c>
      <c r="K43" s="55" t="s">
        <v>125</v>
      </c>
      <c r="L43" s="46">
        <v>1</v>
      </c>
      <c r="M43" s="47">
        <v>0</v>
      </c>
      <c r="N43" s="47">
        <v>1</v>
      </c>
      <c r="O43" s="48">
        <v>916</v>
      </c>
      <c r="P43" s="48" t="s">
        <v>126</v>
      </c>
      <c r="Q43" s="47">
        <v>1</v>
      </c>
      <c r="R43" s="48">
        <v>0</v>
      </c>
      <c r="S43" s="48">
        <v>0</v>
      </c>
      <c r="T43" s="45" t="s">
        <v>56</v>
      </c>
      <c r="U43" s="49">
        <v>53</v>
      </c>
      <c r="V43" s="45">
        <v>530204</v>
      </c>
      <c r="W43" s="56" t="s">
        <v>62</v>
      </c>
      <c r="X43" s="50">
        <v>0</v>
      </c>
      <c r="Y43" s="50">
        <f>7000-600</f>
        <v>6400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6400</v>
      </c>
      <c r="AJ43" s="51">
        <v>0</v>
      </c>
      <c r="AK43" s="51">
        <v>0</v>
      </c>
      <c r="AL43" s="52">
        <f t="shared" si="3"/>
        <v>6400</v>
      </c>
      <c r="AM43" s="53" t="str">
        <f t="shared" si="4"/>
        <v>OK</v>
      </c>
      <c r="AN43" s="51">
        <v>6400</v>
      </c>
      <c r="AO43" s="58">
        <f t="shared" si="2"/>
        <v>0</v>
      </c>
    </row>
    <row r="44" spans="1:41" s="54" customFormat="1" ht="13.5" customHeight="1">
      <c r="A44" s="44" t="s">
        <v>51</v>
      </c>
      <c r="B44" s="44" t="s">
        <v>52</v>
      </c>
      <c r="C44" s="44" t="s">
        <v>53</v>
      </c>
      <c r="D44" s="44" t="s">
        <v>114</v>
      </c>
      <c r="E44" s="44" t="s">
        <v>54</v>
      </c>
      <c r="F44" s="44" t="s">
        <v>124</v>
      </c>
      <c r="G44" s="44" t="s">
        <v>111</v>
      </c>
      <c r="H44" s="44" t="s">
        <v>55</v>
      </c>
      <c r="I44" s="59" t="s">
        <v>140</v>
      </c>
      <c r="J44" s="55">
        <v>1</v>
      </c>
      <c r="K44" s="55" t="s">
        <v>125</v>
      </c>
      <c r="L44" s="46">
        <v>1</v>
      </c>
      <c r="M44" s="47">
        <v>0</v>
      </c>
      <c r="N44" s="47">
        <v>1</v>
      </c>
      <c r="O44" s="48">
        <v>916</v>
      </c>
      <c r="P44" s="48" t="s">
        <v>126</v>
      </c>
      <c r="Q44" s="47">
        <v>1</v>
      </c>
      <c r="R44" s="48">
        <v>0</v>
      </c>
      <c r="S44" s="48">
        <v>0</v>
      </c>
      <c r="T44" s="45" t="s">
        <v>56</v>
      </c>
      <c r="U44" s="49">
        <v>53</v>
      </c>
      <c r="V44" s="45">
        <v>530207</v>
      </c>
      <c r="W44" s="56" t="s">
        <v>122</v>
      </c>
      <c r="X44" s="50">
        <v>4479.999999999999</v>
      </c>
      <c r="Y44" s="50">
        <f>4480-480</f>
        <v>4000</v>
      </c>
      <c r="Z44" s="51">
        <v>0</v>
      </c>
      <c r="AA44" s="51">
        <v>0</v>
      </c>
      <c r="AB44" s="51">
        <v>0</v>
      </c>
      <c r="AC44" s="51">
        <v>0</v>
      </c>
      <c r="AD44" s="51">
        <v>4000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2">
        <f t="shared" si="3"/>
        <v>4000</v>
      </c>
      <c r="AM44" s="53" t="str">
        <f t="shared" si="4"/>
        <v>OK</v>
      </c>
      <c r="AN44" s="51">
        <v>4000</v>
      </c>
      <c r="AO44" s="58">
        <f t="shared" si="2"/>
        <v>0</v>
      </c>
    </row>
    <row r="45" spans="1:41" s="54" customFormat="1" ht="13.5" customHeight="1">
      <c r="A45" s="44" t="s">
        <v>51</v>
      </c>
      <c r="B45" s="44" t="s">
        <v>52</v>
      </c>
      <c r="C45" s="44" t="s">
        <v>53</v>
      </c>
      <c r="D45" s="44" t="s">
        <v>114</v>
      </c>
      <c r="E45" s="44" t="s">
        <v>120</v>
      </c>
      <c r="F45" s="44" t="s">
        <v>124</v>
      </c>
      <c r="G45" s="44" t="s">
        <v>111</v>
      </c>
      <c r="H45" s="44" t="s">
        <v>55</v>
      </c>
      <c r="I45" s="59" t="s">
        <v>141</v>
      </c>
      <c r="J45" s="55">
        <v>1</v>
      </c>
      <c r="K45" s="55" t="s">
        <v>125</v>
      </c>
      <c r="L45" s="46">
        <v>1</v>
      </c>
      <c r="M45" s="47">
        <v>0</v>
      </c>
      <c r="N45" s="47">
        <v>1</v>
      </c>
      <c r="O45" s="48">
        <v>916</v>
      </c>
      <c r="P45" s="48" t="s">
        <v>126</v>
      </c>
      <c r="Q45" s="47">
        <v>1</v>
      </c>
      <c r="R45" s="48">
        <v>0</v>
      </c>
      <c r="S45" s="48">
        <v>0</v>
      </c>
      <c r="T45" s="45" t="s">
        <v>56</v>
      </c>
      <c r="U45" s="49">
        <v>53</v>
      </c>
      <c r="V45" s="45">
        <v>530208</v>
      </c>
      <c r="W45" s="56" t="s">
        <v>101</v>
      </c>
      <c r="X45" s="50">
        <v>115000.48</v>
      </c>
      <c r="Y45" s="50">
        <f>82000.48+8014.21-6012.3-550.39-1</f>
        <v>83451</v>
      </c>
      <c r="Z45" s="51">
        <v>0</v>
      </c>
      <c r="AA45" s="51">
        <v>0</v>
      </c>
      <c r="AB45" s="51">
        <v>7321.47</v>
      </c>
      <c r="AC45" s="51">
        <v>7321.47</v>
      </c>
      <c r="AD45" s="51">
        <v>7321.47</v>
      </c>
      <c r="AE45" s="51">
        <v>7321.47</v>
      </c>
      <c r="AF45" s="51">
        <v>7321.47</v>
      </c>
      <c r="AG45" s="51">
        <v>7321.47</v>
      </c>
      <c r="AH45" s="51">
        <v>10018.39</v>
      </c>
      <c r="AI45" s="51">
        <v>10018.39</v>
      </c>
      <c r="AJ45" s="51">
        <v>10018.39</v>
      </c>
      <c r="AK45" s="51">
        <v>9467.01</v>
      </c>
      <c r="AL45" s="52">
        <f t="shared" si="3"/>
        <v>83450.99999999999</v>
      </c>
      <c r="AM45" s="53" t="str">
        <f t="shared" si="4"/>
        <v>OK</v>
      </c>
      <c r="AN45" s="51">
        <f>33900+50102.39-550.39-1</f>
        <v>83451</v>
      </c>
      <c r="AO45" s="58">
        <f t="shared" si="2"/>
        <v>0</v>
      </c>
    </row>
    <row r="46" spans="1:41" s="54" customFormat="1" ht="13.5" customHeight="1">
      <c r="A46" s="44" t="s">
        <v>51</v>
      </c>
      <c r="B46" s="44" t="s">
        <v>52</v>
      </c>
      <c r="C46" s="44" t="s">
        <v>53</v>
      </c>
      <c r="D46" s="44" t="s">
        <v>114</v>
      </c>
      <c r="E46" s="44" t="s">
        <v>120</v>
      </c>
      <c r="F46" s="44" t="s">
        <v>124</v>
      </c>
      <c r="G46" s="44" t="s">
        <v>111</v>
      </c>
      <c r="H46" s="44" t="s">
        <v>55</v>
      </c>
      <c r="I46" s="59" t="s">
        <v>142</v>
      </c>
      <c r="J46" s="55">
        <v>1</v>
      </c>
      <c r="K46" s="55" t="s">
        <v>125</v>
      </c>
      <c r="L46" s="46">
        <v>1</v>
      </c>
      <c r="M46" s="47">
        <v>0</v>
      </c>
      <c r="N46" s="47">
        <v>1</v>
      </c>
      <c r="O46" s="48">
        <v>916</v>
      </c>
      <c r="P46" s="48" t="s">
        <v>126</v>
      </c>
      <c r="Q46" s="47">
        <v>1</v>
      </c>
      <c r="R46" s="48">
        <v>0</v>
      </c>
      <c r="S46" s="48">
        <v>0</v>
      </c>
      <c r="T46" s="45" t="s">
        <v>56</v>
      </c>
      <c r="U46" s="49">
        <v>53</v>
      </c>
      <c r="V46" s="45">
        <v>530209</v>
      </c>
      <c r="W46" s="56" t="s">
        <v>63</v>
      </c>
      <c r="X46" s="50">
        <v>59999.52</v>
      </c>
      <c r="Y46" s="50">
        <f>80214.49-1069+1</f>
        <v>79146.49</v>
      </c>
      <c r="Z46" s="51">
        <v>0</v>
      </c>
      <c r="AA46" s="51">
        <v>0</v>
      </c>
      <c r="AB46" s="51">
        <v>7162</v>
      </c>
      <c r="AC46" s="51">
        <v>7162</v>
      </c>
      <c r="AD46" s="51">
        <v>7162</v>
      </c>
      <c r="AE46" s="51">
        <v>7162</v>
      </c>
      <c r="AF46" s="51">
        <v>7162</v>
      </c>
      <c r="AG46" s="51">
        <v>8880.89</v>
      </c>
      <c r="AH46" s="51">
        <v>8880.89</v>
      </c>
      <c r="AI46" s="51">
        <v>8880.89</v>
      </c>
      <c r="AJ46" s="51">
        <v>8880.89</v>
      </c>
      <c r="AK46" s="51">
        <v>7812.93</v>
      </c>
      <c r="AL46" s="52">
        <f t="shared" si="3"/>
        <v>79146.48999999999</v>
      </c>
      <c r="AM46" s="53" t="str">
        <f t="shared" si="4"/>
        <v>OK</v>
      </c>
      <c r="AN46" s="51">
        <f>45601.5+32572.5+2040.49-1069+1</f>
        <v>79146.49</v>
      </c>
      <c r="AO46" s="58">
        <f t="shared" si="2"/>
        <v>0</v>
      </c>
    </row>
    <row r="47" spans="1:41" s="54" customFormat="1" ht="13.5" customHeight="1">
      <c r="A47" s="44" t="s">
        <v>51</v>
      </c>
      <c r="B47" s="44" t="s">
        <v>52</v>
      </c>
      <c r="C47" s="44" t="s">
        <v>53</v>
      </c>
      <c r="D47" s="44" t="s">
        <v>114</v>
      </c>
      <c r="E47" s="44" t="s">
        <v>120</v>
      </c>
      <c r="F47" s="44" t="s">
        <v>124</v>
      </c>
      <c r="G47" s="44" t="s">
        <v>111</v>
      </c>
      <c r="H47" s="44" t="s">
        <v>55</v>
      </c>
      <c r="I47" s="59" t="s">
        <v>143</v>
      </c>
      <c r="J47" s="55">
        <v>1</v>
      </c>
      <c r="K47" s="55" t="s">
        <v>125</v>
      </c>
      <c r="L47" s="46">
        <v>1</v>
      </c>
      <c r="M47" s="47">
        <v>0</v>
      </c>
      <c r="N47" s="47">
        <v>1</v>
      </c>
      <c r="O47" s="48">
        <v>916</v>
      </c>
      <c r="P47" s="48" t="s">
        <v>126</v>
      </c>
      <c r="Q47" s="47">
        <v>1</v>
      </c>
      <c r="R47" s="48">
        <v>0</v>
      </c>
      <c r="S47" s="48">
        <v>0</v>
      </c>
      <c r="T47" s="45" t="s">
        <v>56</v>
      </c>
      <c r="U47" s="49">
        <v>53</v>
      </c>
      <c r="V47" s="45">
        <v>530209</v>
      </c>
      <c r="W47" s="56" t="s">
        <v>63</v>
      </c>
      <c r="X47" s="50">
        <v>3161.76</v>
      </c>
      <c r="Y47" s="50">
        <v>3161.76</v>
      </c>
      <c r="Z47" s="51">
        <v>0</v>
      </c>
      <c r="AA47" s="51">
        <v>0</v>
      </c>
      <c r="AB47" s="51">
        <v>0</v>
      </c>
      <c r="AC47" s="51">
        <v>313.67</v>
      </c>
      <c r="AD47" s="51">
        <v>313.67</v>
      </c>
      <c r="AE47" s="51">
        <v>313.67</v>
      </c>
      <c r="AF47" s="51">
        <v>313.67</v>
      </c>
      <c r="AG47" s="51">
        <v>381.42</v>
      </c>
      <c r="AH47" s="51">
        <v>381.42</v>
      </c>
      <c r="AI47" s="51">
        <v>381.42</v>
      </c>
      <c r="AJ47" s="51">
        <v>381.42</v>
      </c>
      <c r="AK47" s="51">
        <v>381.4</v>
      </c>
      <c r="AL47" s="52">
        <f t="shared" si="3"/>
        <v>3161.76</v>
      </c>
      <c r="AM47" s="53" t="str">
        <f t="shared" si="4"/>
        <v>OK</v>
      </c>
      <c r="AN47" s="51">
        <f>4133.25+2037.75-3009.24</f>
        <v>3161.76</v>
      </c>
      <c r="AO47" s="58">
        <f t="shared" si="2"/>
        <v>0</v>
      </c>
    </row>
    <row r="48" spans="1:41" s="54" customFormat="1" ht="13.5" customHeight="1">
      <c r="A48" s="44" t="s">
        <v>51</v>
      </c>
      <c r="B48" s="44" t="s">
        <v>52</v>
      </c>
      <c r="C48" s="44" t="s">
        <v>53</v>
      </c>
      <c r="D48" s="44" t="s">
        <v>114</v>
      </c>
      <c r="E48" s="44" t="s">
        <v>120</v>
      </c>
      <c r="F48" s="44" t="s">
        <v>124</v>
      </c>
      <c r="G48" s="44" t="s">
        <v>111</v>
      </c>
      <c r="H48" s="44" t="s">
        <v>55</v>
      </c>
      <c r="I48" s="59" t="s">
        <v>144</v>
      </c>
      <c r="J48" s="55">
        <v>1</v>
      </c>
      <c r="K48" s="55" t="s">
        <v>125</v>
      </c>
      <c r="L48" s="46">
        <v>1</v>
      </c>
      <c r="M48" s="47">
        <v>0</v>
      </c>
      <c r="N48" s="47">
        <v>1</v>
      </c>
      <c r="O48" s="48">
        <v>916</v>
      </c>
      <c r="P48" s="48" t="s">
        <v>126</v>
      </c>
      <c r="Q48" s="47">
        <v>1</v>
      </c>
      <c r="R48" s="48">
        <v>0</v>
      </c>
      <c r="S48" s="48">
        <v>0</v>
      </c>
      <c r="T48" s="45" t="s">
        <v>56</v>
      </c>
      <c r="U48" s="49">
        <v>53</v>
      </c>
      <c r="V48" s="45">
        <v>530246</v>
      </c>
      <c r="W48" s="56" t="s">
        <v>104</v>
      </c>
      <c r="X48" s="50">
        <v>0</v>
      </c>
      <c r="Y48" s="50">
        <f>2000-151.18-228.82</f>
        <v>1620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1620</v>
      </c>
      <c r="AH48" s="51">
        <v>0</v>
      </c>
      <c r="AI48" s="51">
        <v>0</v>
      </c>
      <c r="AJ48" s="51">
        <v>0</v>
      </c>
      <c r="AK48" s="51">
        <v>0</v>
      </c>
      <c r="AL48" s="52">
        <f t="shared" si="3"/>
        <v>1620</v>
      </c>
      <c r="AM48" s="53" t="str">
        <f t="shared" si="4"/>
        <v>OK</v>
      </c>
      <c r="AN48" s="51">
        <v>1620</v>
      </c>
      <c r="AO48" s="58">
        <f t="shared" si="2"/>
        <v>0</v>
      </c>
    </row>
    <row r="49" spans="1:41" s="54" customFormat="1" ht="13.5" customHeight="1">
      <c r="A49" s="44" t="s">
        <v>51</v>
      </c>
      <c r="B49" s="44" t="s">
        <v>52</v>
      </c>
      <c r="C49" s="44" t="s">
        <v>53</v>
      </c>
      <c r="D49" s="44" t="s">
        <v>114</v>
      </c>
      <c r="E49" s="44" t="s">
        <v>120</v>
      </c>
      <c r="F49" s="44" t="s">
        <v>124</v>
      </c>
      <c r="G49" s="44" t="s">
        <v>111</v>
      </c>
      <c r="H49" s="44" t="s">
        <v>55</v>
      </c>
      <c r="I49" s="59" t="s">
        <v>145</v>
      </c>
      <c r="J49" s="55">
        <v>1</v>
      </c>
      <c r="K49" s="55" t="s">
        <v>125</v>
      </c>
      <c r="L49" s="46">
        <v>1</v>
      </c>
      <c r="M49" s="47">
        <v>0</v>
      </c>
      <c r="N49" s="47">
        <v>1</v>
      </c>
      <c r="O49" s="48">
        <v>916</v>
      </c>
      <c r="P49" s="48" t="s">
        <v>126</v>
      </c>
      <c r="Q49" s="47">
        <v>1</v>
      </c>
      <c r="R49" s="48">
        <v>0</v>
      </c>
      <c r="S49" s="48">
        <v>0</v>
      </c>
      <c r="T49" s="45" t="s">
        <v>56</v>
      </c>
      <c r="U49" s="49">
        <v>53</v>
      </c>
      <c r="V49" s="45">
        <v>530301</v>
      </c>
      <c r="W49" s="56" t="s">
        <v>64</v>
      </c>
      <c r="X49" s="50">
        <v>0</v>
      </c>
      <c r="Y49" s="50">
        <f>50+1024.39</f>
        <v>1074.39</v>
      </c>
      <c r="Z49" s="51">
        <v>0</v>
      </c>
      <c r="AA49" s="51">
        <v>0</v>
      </c>
      <c r="AB49" s="51">
        <v>0</v>
      </c>
      <c r="AC49" s="51">
        <v>50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1024.39</v>
      </c>
      <c r="AL49" s="52">
        <f t="shared" si="3"/>
        <v>1074.39</v>
      </c>
      <c r="AM49" s="53" t="str">
        <f t="shared" si="4"/>
        <v>OK</v>
      </c>
      <c r="AN49" s="51">
        <f>50-375.61+1400-1400+1400</f>
        <v>1074.3899999999999</v>
      </c>
      <c r="AO49" s="58">
        <f t="shared" si="2"/>
        <v>0</v>
      </c>
    </row>
    <row r="50" spans="1:41" s="54" customFormat="1" ht="13.5" customHeight="1">
      <c r="A50" s="44" t="s">
        <v>51</v>
      </c>
      <c r="B50" s="44" t="s">
        <v>52</v>
      </c>
      <c r="C50" s="44" t="s">
        <v>53</v>
      </c>
      <c r="D50" s="44" t="s">
        <v>114</v>
      </c>
      <c r="E50" s="44" t="s">
        <v>120</v>
      </c>
      <c r="F50" s="44" t="s">
        <v>124</v>
      </c>
      <c r="G50" s="44" t="s">
        <v>111</v>
      </c>
      <c r="H50" s="44" t="s">
        <v>55</v>
      </c>
      <c r="I50" s="59" t="s">
        <v>146</v>
      </c>
      <c r="J50" s="55">
        <v>1</v>
      </c>
      <c r="K50" s="55" t="s">
        <v>125</v>
      </c>
      <c r="L50" s="46">
        <v>1</v>
      </c>
      <c r="M50" s="47">
        <v>0</v>
      </c>
      <c r="N50" s="47">
        <v>1</v>
      </c>
      <c r="O50" s="48">
        <v>916</v>
      </c>
      <c r="P50" s="48" t="s">
        <v>126</v>
      </c>
      <c r="Q50" s="47">
        <v>1</v>
      </c>
      <c r="R50" s="48">
        <v>0</v>
      </c>
      <c r="S50" s="48">
        <v>0</v>
      </c>
      <c r="T50" s="45" t="s">
        <v>56</v>
      </c>
      <c r="U50" s="49">
        <v>53</v>
      </c>
      <c r="V50" s="45">
        <v>530301</v>
      </c>
      <c r="W50" s="56" t="s">
        <v>64</v>
      </c>
      <c r="X50" s="50">
        <v>2559.2</v>
      </c>
      <c r="Y50" s="50">
        <f>2559.2-274.2</f>
        <v>2285</v>
      </c>
      <c r="Z50" s="51">
        <v>0</v>
      </c>
      <c r="AA50" s="51">
        <v>0</v>
      </c>
      <c r="AB50" s="51">
        <v>0</v>
      </c>
      <c r="AC50" s="51">
        <v>0</v>
      </c>
      <c r="AD50" s="51">
        <v>457</v>
      </c>
      <c r="AE50" s="51">
        <v>0</v>
      </c>
      <c r="AF50" s="51">
        <v>457</v>
      </c>
      <c r="AG50" s="51">
        <v>0</v>
      </c>
      <c r="AH50" s="51">
        <v>548.4</v>
      </c>
      <c r="AI50" s="51">
        <v>548.4</v>
      </c>
      <c r="AJ50" s="51">
        <v>274.2</v>
      </c>
      <c r="AK50" s="51">
        <v>0</v>
      </c>
      <c r="AL50" s="52">
        <f t="shared" si="3"/>
        <v>2285</v>
      </c>
      <c r="AM50" s="53" t="str">
        <f t="shared" si="4"/>
        <v>OK</v>
      </c>
      <c r="AN50" s="51">
        <v>2285</v>
      </c>
      <c r="AO50" s="58">
        <f t="shared" si="2"/>
        <v>0</v>
      </c>
    </row>
    <row r="51" spans="1:41" s="54" customFormat="1" ht="13.5" customHeight="1">
      <c r="A51" s="44" t="s">
        <v>51</v>
      </c>
      <c r="B51" s="44" t="s">
        <v>52</v>
      </c>
      <c r="C51" s="44" t="s">
        <v>53</v>
      </c>
      <c r="D51" s="44" t="s">
        <v>114</v>
      </c>
      <c r="E51" s="44" t="s">
        <v>54</v>
      </c>
      <c r="F51" s="44" t="s">
        <v>124</v>
      </c>
      <c r="G51" s="44" t="s">
        <v>111</v>
      </c>
      <c r="H51" s="44" t="s">
        <v>55</v>
      </c>
      <c r="I51" s="59" t="s">
        <v>147</v>
      </c>
      <c r="J51" s="55">
        <v>1</v>
      </c>
      <c r="K51" s="55" t="s">
        <v>125</v>
      </c>
      <c r="L51" s="46">
        <v>1</v>
      </c>
      <c r="M51" s="47">
        <v>0</v>
      </c>
      <c r="N51" s="47">
        <v>1</v>
      </c>
      <c r="O51" s="48">
        <v>916</v>
      </c>
      <c r="P51" s="48" t="s">
        <v>126</v>
      </c>
      <c r="Q51" s="47">
        <v>1</v>
      </c>
      <c r="R51" s="48">
        <v>0</v>
      </c>
      <c r="S51" s="48">
        <v>0</v>
      </c>
      <c r="T51" s="45" t="s">
        <v>56</v>
      </c>
      <c r="U51" s="49">
        <v>53</v>
      </c>
      <c r="V51" s="45">
        <v>530303</v>
      </c>
      <c r="W51" s="56" t="s">
        <v>66</v>
      </c>
      <c r="X51" s="50">
        <v>0</v>
      </c>
      <c r="Y51" s="50">
        <f>1500+144+1500+1500+1252.77-168</f>
        <v>5728.77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944</v>
      </c>
      <c r="AG51" s="51">
        <v>0</v>
      </c>
      <c r="AH51" s="51">
        <v>300</v>
      </c>
      <c r="AI51" s="51">
        <v>0</v>
      </c>
      <c r="AJ51" s="51">
        <v>1900</v>
      </c>
      <c r="AK51" s="51">
        <v>2584.77</v>
      </c>
      <c r="AL51" s="52">
        <f t="shared" si="3"/>
        <v>5728.77</v>
      </c>
      <c r="AM51" s="53" t="str">
        <f t="shared" si="4"/>
        <v>OK</v>
      </c>
      <c r="AN51" s="51">
        <f>1500-461.74+605.74+1500+416+1084-1808.8+2893.57</f>
        <v>5728.77</v>
      </c>
      <c r="AO51" s="58">
        <f t="shared" si="2"/>
        <v>0</v>
      </c>
    </row>
    <row r="52" spans="1:41" s="54" customFormat="1" ht="13.5" customHeight="1">
      <c r="A52" s="44" t="s">
        <v>51</v>
      </c>
      <c r="B52" s="44" t="s">
        <v>52</v>
      </c>
      <c r="C52" s="44" t="s">
        <v>53</v>
      </c>
      <c r="D52" s="44" t="s">
        <v>114</v>
      </c>
      <c r="E52" s="44" t="s">
        <v>120</v>
      </c>
      <c r="F52" s="44" t="s">
        <v>124</v>
      </c>
      <c r="G52" s="44" t="s">
        <v>111</v>
      </c>
      <c r="H52" s="44" t="s">
        <v>55</v>
      </c>
      <c r="I52" s="59" t="s">
        <v>148</v>
      </c>
      <c r="J52" s="55">
        <v>1</v>
      </c>
      <c r="K52" s="55" t="s">
        <v>125</v>
      </c>
      <c r="L52" s="46">
        <v>1</v>
      </c>
      <c r="M52" s="47">
        <v>0</v>
      </c>
      <c r="N52" s="47">
        <v>1</v>
      </c>
      <c r="O52" s="48">
        <v>916</v>
      </c>
      <c r="P52" s="48" t="s">
        <v>126</v>
      </c>
      <c r="Q52" s="47">
        <v>1</v>
      </c>
      <c r="R52" s="48">
        <v>0</v>
      </c>
      <c r="S52" s="48">
        <v>0</v>
      </c>
      <c r="T52" s="45" t="s">
        <v>56</v>
      </c>
      <c r="U52" s="49">
        <v>53</v>
      </c>
      <c r="V52" s="45">
        <v>530402</v>
      </c>
      <c r="W52" s="56" t="s">
        <v>67</v>
      </c>
      <c r="X52" s="50">
        <v>64000.16</v>
      </c>
      <c r="Y52" s="50">
        <f>64000.16-10000+36000+39316.22-3252.49-7593.54-2860.63-27460.18-350-3000-248.82-9401.47</f>
        <v>75149.25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35561.7</v>
      </c>
      <c r="AG52" s="51">
        <v>0</v>
      </c>
      <c r="AH52" s="51">
        <v>31251.56</v>
      </c>
      <c r="AI52" s="51">
        <v>124.53</v>
      </c>
      <c r="AJ52" s="51">
        <v>8211.46</v>
      </c>
      <c r="AK52" s="51">
        <v>0</v>
      </c>
      <c r="AL52" s="52">
        <f t="shared" si="3"/>
        <v>75149.25</v>
      </c>
      <c r="AM52" s="53" t="str">
        <f t="shared" si="4"/>
        <v>OK</v>
      </c>
      <c r="AN52" s="51">
        <f>115460.18+149.54-27460.18-3598.82-9401.47</f>
        <v>75149.24999999997</v>
      </c>
      <c r="AO52" s="58">
        <f t="shared" si="2"/>
        <v>0</v>
      </c>
    </row>
    <row r="53" spans="1:41" s="54" customFormat="1" ht="13.5" customHeight="1">
      <c r="A53" s="44" t="s">
        <v>51</v>
      </c>
      <c r="B53" s="44" t="s">
        <v>52</v>
      </c>
      <c r="C53" s="44" t="s">
        <v>53</v>
      </c>
      <c r="D53" s="44" t="s">
        <v>114</v>
      </c>
      <c r="E53" s="44" t="s">
        <v>120</v>
      </c>
      <c r="F53" s="44" t="s">
        <v>124</v>
      </c>
      <c r="G53" s="44" t="s">
        <v>111</v>
      </c>
      <c r="H53" s="44" t="s">
        <v>55</v>
      </c>
      <c r="I53" s="59" t="s">
        <v>149</v>
      </c>
      <c r="J53" s="55">
        <v>1</v>
      </c>
      <c r="K53" s="55" t="s">
        <v>125</v>
      </c>
      <c r="L53" s="46">
        <v>1</v>
      </c>
      <c r="M53" s="47">
        <v>0</v>
      </c>
      <c r="N53" s="47">
        <v>1</v>
      </c>
      <c r="O53" s="48">
        <v>916</v>
      </c>
      <c r="P53" s="48" t="s">
        <v>126</v>
      </c>
      <c r="Q53" s="47">
        <v>1</v>
      </c>
      <c r="R53" s="48">
        <v>0</v>
      </c>
      <c r="S53" s="48">
        <v>0</v>
      </c>
      <c r="T53" s="45" t="s">
        <v>56</v>
      </c>
      <c r="U53" s="49">
        <v>53</v>
      </c>
      <c r="V53" s="45">
        <v>530402</v>
      </c>
      <c r="W53" s="56" t="s">
        <v>67</v>
      </c>
      <c r="X53" s="50">
        <v>2815.68</v>
      </c>
      <c r="Y53" s="50">
        <f>2815.68+1118.22-421.49</f>
        <v>3512.41</v>
      </c>
      <c r="Z53" s="51">
        <v>0</v>
      </c>
      <c r="AA53" s="51">
        <v>0</v>
      </c>
      <c r="AB53" s="51">
        <v>0</v>
      </c>
      <c r="AC53" s="51">
        <v>0</v>
      </c>
      <c r="AD53" s="51">
        <v>439.05</v>
      </c>
      <c r="AE53" s="51">
        <v>439.05</v>
      </c>
      <c r="AF53" s="51">
        <v>439.05</v>
      </c>
      <c r="AG53" s="51">
        <v>523.35</v>
      </c>
      <c r="AH53" s="51">
        <v>878.1</v>
      </c>
      <c r="AI53" s="51">
        <v>264.6</v>
      </c>
      <c r="AJ53" s="51">
        <v>264.6</v>
      </c>
      <c r="AK53" s="51">
        <v>264.61</v>
      </c>
      <c r="AL53" s="52">
        <f t="shared" si="3"/>
        <v>3512.41</v>
      </c>
      <c r="AM53" s="53" t="str">
        <f t="shared" si="4"/>
        <v>OK</v>
      </c>
      <c r="AN53" s="51">
        <v>3512.41</v>
      </c>
      <c r="AO53" s="58">
        <f t="shared" si="2"/>
        <v>0</v>
      </c>
    </row>
    <row r="54" spans="1:41" s="54" customFormat="1" ht="13.5" customHeight="1">
      <c r="A54" s="44" t="s">
        <v>51</v>
      </c>
      <c r="B54" s="44" t="s">
        <v>52</v>
      </c>
      <c r="C54" s="44" t="s">
        <v>53</v>
      </c>
      <c r="D54" s="44" t="s">
        <v>114</v>
      </c>
      <c r="E54" s="44" t="s">
        <v>120</v>
      </c>
      <c r="F54" s="44" t="s">
        <v>124</v>
      </c>
      <c r="G54" s="44" t="s">
        <v>111</v>
      </c>
      <c r="H54" s="44" t="s">
        <v>55</v>
      </c>
      <c r="I54" s="59" t="s">
        <v>150</v>
      </c>
      <c r="J54" s="55">
        <v>1</v>
      </c>
      <c r="K54" s="55" t="s">
        <v>125</v>
      </c>
      <c r="L54" s="46">
        <v>1</v>
      </c>
      <c r="M54" s="47">
        <v>0</v>
      </c>
      <c r="N54" s="47">
        <v>1</v>
      </c>
      <c r="O54" s="48">
        <v>916</v>
      </c>
      <c r="P54" s="48" t="s">
        <v>126</v>
      </c>
      <c r="Q54" s="47">
        <v>1</v>
      </c>
      <c r="R54" s="48">
        <v>0</v>
      </c>
      <c r="S54" s="48">
        <v>0</v>
      </c>
      <c r="T54" s="45" t="s">
        <v>56</v>
      </c>
      <c r="U54" s="49">
        <v>53</v>
      </c>
      <c r="V54" s="45">
        <v>530402</v>
      </c>
      <c r="W54" s="56" t="s">
        <v>67</v>
      </c>
      <c r="X54" s="50">
        <v>29440.32</v>
      </c>
      <c r="Y54" s="50">
        <f>29440.32+4611.52-51.55-1000</f>
        <v>33000.28999999999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33000.29</v>
      </c>
      <c r="AL54" s="52">
        <f t="shared" si="3"/>
        <v>33000.29</v>
      </c>
      <c r="AM54" s="53" t="str">
        <f t="shared" si="4"/>
        <v>OK</v>
      </c>
      <c r="AN54" s="51">
        <f>30403.02-30403.02+30401.47+3598.82-1000-9401.47+9401.47</f>
        <v>33000.29</v>
      </c>
      <c r="AO54" s="58">
        <f t="shared" si="2"/>
        <v>0</v>
      </c>
    </row>
    <row r="55" spans="1:41" s="54" customFormat="1" ht="13.5" customHeight="1">
      <c r="A55" s="44" t="s">
        <v>51</v>
      </c>
      <c r="B55" s="44" t="s">
        <v>52</v>
      </c>
      <c r="C55" s="44" t="s">
        <v>53</v>
      </c>
      <c r="D55" s="44" t="s">
        <v>114</v>
      </c>
      <c r="E55" s="44" t="s">
        <v>54</v>
      </c>
      <c r="F55" s="44" t="s">
        <v>124</v>
      </c>
      <c r="G55" s="44" t="s">
        <v>111</v>
      </c>
      <c r="H55" s="44" t="s">
        <v>55</v>
      </c>
      <c r="I55" s="59" t="s">
        <v>151</v>
      </c>
      <c r="J55" s="55">
        <v>1</v>
      </c>
      <c r="K55" s="55" t="s">
        <v>125</v>
      </c>
      <c r="L55" s="46">
        <v>1</v>
      </c>
      <c r="M55" s="47">
        <v>0</v>
      </c>
      <c r="N55" s="47">
        <v>1</v>
      </c>
      <c r="O55" s="48">
        <v>916</v>
      </c>
      <c r="P55" s="48" t="s">
        <v>126</v>
      </c>
      <c r="Q55" s="47">
        <v>1</v>
      </c>
      <c r="R55" s="48">
        <v>0</v>
      </c>
      <c r="S55" s="48">
        <v>0</v>
      </c>
      <c r="T55" s="45" t="s">
        <v>56</v>
      </c>
      <c r="U55" s="49">
        <v>53</v>
      </c>
      <c r="V55" s="45">
        <v>530403</v>
      </c>
      <c r="W55" s="56" t="s">
        <v>68</v>
      </c>
      <c r="X55" s="50">
        <v>0</v>
      </c>
      <c r="Y55" s="50">
        <f>3000-325</f>
        <v>2675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2675</v>
      </c>
      <c r="AJ55" s="51">
        <v>0</v>
      </c>
      <c r="AK55" s="51">
        <v>0</v>
      </c>
      <c r="AL55" s="52">
        <f t="shared" si="3"/>
        <v>2675</v>
      </c>
      <c r="AM55" s="53" t="str">
        <f t="shared" si="4"/>
        <v>OK</v>
      </c>
      <c r="AN55" s="51">
        <v>2675</v>
      </c>
      <c r="AO55" s="58">
        <f t="shared" si="2"/>
        <v>0</v>
      </c>
    </row>
    <row r="56" spans="1:41" s="54" customFormat="1" ht="13.5" customHeight="1">
      <c r="A56" s="44" t="s">
        <v>51</v>
      </c>
      <c r="B56" s="44" t="s">
        <v>52</v>
      </c>
      <c r="C56" s="44" t="s">
        <v>53</v>
      </c>
      <c r="D56" s="44" t="s">
        <v>114</v>
      </c>
      <c r="E56" s="44" t="s">
        <v>54</v>
      </c>
      <c r="F56" s="44" t="s">
        <v>124</v>
      </c>
      <c r="G56" s="44" t="s">
        <v>111</v>
      </c>
      <c r="H56" s="44" t="s">
        <v>55</v>
      </c>
      <c r="I56" s="59" t="s">
        <v>152</v>
      </c>
      <c r="J56" s="55">
        <v>1</v>
      </c>
      <c r="K56" s="55" t="s">
        <v>125</v>
      </c>
      <c r="L56" s="46">
        <v>1</v>
      </c>
      <c r="M56" s="47">
        <v>0</v>
      </c>
      <c r="N56" s="47">
        <v>1</v>
      </c>
      <c r="O56" s="48">
        <v>916</v>
      </c>
      <c r="P56" s="48" t="s">
        <v>126</v>
      </c>
      <c r="Q56" s="47">
        <v>1</v>
      </c>
      <c r="R56" s="48">
        <v>0</v>
      </c>
      <c r="S56" s="48">
        <v>0</v>
      </c>
      <c r="T56" s="45" t="s">
        <v>56</v>
      </c>
      <c r="U56" s="49">
        <v>53</v>
      </c>
      <c r="V56" s="45">
        <v>530404</v>
      </c>
      <c r="W56" s="56" t="s">
        <v>112</v>
      </c>
      <c r="X56" s="50">
        <v>0</v>
      </c>
      <c r="Y56" s="50">
        <f>3000-3000</f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2">
        <f t="shared" si="3"/>
        <v>0</v>
      </c>
      <c r="AM56" s="53" t="str">
        <f t="shared" si="4"/>
        <v>OK</v>
      </c>
      <c r="AN56" s="51">
        <v>0</v>
      </c>
      <c r="AO56" s="58">
        <f t="shared" si="2"/>
        <v>0</v>
      </c>
    </row>
    <row r="57" spans="1:41" s="54" customFormat="1" ht="13.5" customHeight="1">
      <c r="A57" s="44" t="s">
        <v>51</v>
      </c>
      <c r="B57" s="44" t="s">
        <v>52</v>
      </c>
      <c r="C57" s="44" t="s">
        <v>53</v>
      </c>
      <c r="D57" s="44" t="s">
        <v>114</v>
      </c>
      <c r="E57" s="44" t="s">
        <v>54</v>
      </c>
      <c r="F57" s="44" t="s">
        <v>124</v>
      </c>
      <c r="G57" s="44" t="s">
        <v>111</v>
      </c>
      <c r="H57" s="44" t="s">
        <v>55</v>
      </c>
      <c r="I57" s="59" t="s">
        <v>153</v>
      </c>
      <c r="J57" s="55">
        <v>1</v>
      </c>
      <c r="K57" s="55" t="s">
        <v>125</v>
      </c>
      <c r="L57" s="46">
        <v>1</v>
      </c>
      <c r="M57" s="47">
        <v>0</v>
      </c>
      <c r="N57" s="47">
        <v>1</v>
      </c>
      <c r="O57" s="48">
        <v>916</v>
      </c>
      <c r="P57" s="48" t="s">
        <v>126</v>
      </c>
      <c r="Q57" s="47">
        <v>1</v>
      </c>
      <c r="R57" s="48">
        <v>0</v>
      </c>
      <c r="S57" s="48">
        <v>0</v>
      </c>
      <c r="T57" s="45" t="s">
        <v>56</v>
      </c>
      <c r="U57" s="49">
        <v>53</v>
      </c>
      <c r="V57" s="45">
        <v>530404</v>
      </c>
      <c r="W57" s="56" t="s">
        <v>112</v>
      </c>
      <c r="X57" s="50">
        <v>0</v>
      </c>
      <c r="Y57" s="50">
        <f>65986.86-617.52-2369.34</f>
        <v>63000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63000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2">
        <f t="shared" si="3"/>
        <v>63000</v>
      </c>
      <c r="AM57" s="53" t="str">
        <f t="shared" si="4"/>
        <v>OK</v>
      </c>
      <c r="AN57" s="51">
        <f>65986.86-2986.86</f>
        <v>63000</v>
      </c>
      <c r="AO57" s="58">
        <f t="shared" si="2"/>
        <v>0</v>
      </c>
    </row>
    <row r="58" spans="1:41" s="54" customFormat="1" ht="13.5" customHeight="1">
      <c r="A58" s="44" t="s">
        <v>51</v>
      </c>
      <c r="B58" s="44" t="s">
        <v>52</v>
      </c>
      <c r="C58" s="44" t="s">
        <v>53</v>
      </c>
      <c r="D58" s="44" t="s">
        <v>114</v>
      </c>
      <c r="E58" s="44" t="s">
        <v>120</v>
      </c>
      <c r="F58" s="44" t="s">
        <v>124</v>
      </c>
      <c r="G58" s="44" t="s">
        <v>111</v>
      </c>
      <c r="H58" s="44" t="s">
        <v>55</v>
      </c>
      <c r="I58" s="59" t="s">
        <v>154</v>
      </c>
      <c r="J58" s="55">
        <v>1</v>
      </c>
      <c r="K58" s="55" t="s">
        <v>125</v>
      </c>
      <c r="L58" s="46">
        <v>1</v>
      </c>
      <c r="M58" s="47">
        <v>0</v>
      </c>
      <c r="N58" s="47">
        <v>1</v>
      </c>
      <c r="O58" s="48">
        <v>916</v>
      </c>
      <c r="P58" s="48" t="s">
        <v>126</v>
      </c>
      <c r="Q58" s="47">
        <v>1</v>
      </c>
      <c r="R58" s="48">
        <v>0</v>
      </c>
      <c r="S58" s="48">
        <v>0</v>
      </c>
      <c r="T58" s="45" t="s">
        <v>56</v>
      </c>
      <c r="U58" s="49">
        <v>53</v>
      </c>
      <c r="V58" s="45">
        <v>530405</v>
      </c>
      <c r="W58" s="56" t="s">
        <v>69</v>
      </c>
      <c r="X58" s="50">
        <v>6399.68</v>
      </c>
      <c r="Y58" s="50">
        <f>6399.68+6336-2196.07-1819.77</f>
        <v>8719.84</v>
      </c>
      <c r="Z58" s="51">
        <v>0</v>
      </c>
      <c r="AA58" s="51">
        <v>0</v>
      </c>
      <c r="AB58" s="51">
        <v>0</v>
      </c>
      <c r="AC58" s="51">
        <v>1895.19</v>
      </c>
      <c r="AD58" s="51">
        <v>0</v>
      </c>
      <c r="AE58" s="51">
        <v>1252.53</v>
      </c>
      <c r="AF58" s="51">
        <v>0</v>
      </c>
      <c r="AG58" s="51">
        <v>2463.96</v>
      </c>
      <c r="AH58" s="51">
        <v>0</v>
      </c>
      <c r="AI58" s="51">
        <v>2463.96</v>
      </c>
      <c r="AJ58" s="51">
        <v>0</v>
      </c>
      <c r="AK58" s="51">
        <v>644.2</v>
      </c>
      <c r="AL58" s="52">
        <f t="shared" si="3"/>
        <v>8719.84</v>
      </c>
      <c r="AM58" s="53" t="str">
        <f t="shared" si="4"/>
        <v>OK</v>
      </c>
      <c r="AN58" s="51">
        <f>11371.14-2651.3</f>
        <v>8719.84</v>
      </c>
      <c r="AO58" s="58">
        <f t="shared" si="2"/>
        <v>0</v>
      </c>
    </row>
    <row r="59" spans="1:41" s="54" customFormat="1" ht="13.5" customHeight="1">
      <c r="A59" s="44" t="s">
        <v>51</v>
      </c>
      <c r="B59" s="44" t="s">
        <v>52</v>
      </c>
      <c r="C59" s="44" t="s">
        <v>53</v>
      </c>
      <c r="D59" s="44" t="s">
        <v>114</v>
      </c>
      <c r="E59" s="44" t="s">
        <v>120</v>
      </c>
      <c r="F59" s="44" t="s">
        <v>124</v>
      </c>
      <c r="G59" s="44" t="s">
        <v>111</v>
      </c>
      <c r="H59" s="44" t="s">
        <v>55</v>
      </c>
      <c r="I59" s="59" t="s">
        <v>155</v>
      </c>
      <c r="J59" s="55">
        <v>1</v>
      </c>
      <c r="K59" s="55" t="s">
        <v>125</v>
      </c>
      <c r="L59" s="46">
        <v>1</v>
      </c>
      <c r="M59" s="47">
        <v>0</v>
      </c>
      <c r="N59" s="47">
        <v>1</v>
      </c>
      <c r="O59" s="48">
        <v>916</v>
      </c>
      <c r="P59" s="48" t="s">
        <v>126</v>
      </c>
      <c r="Q59" s="47">
        <v>1</v>
      </c>
      <c r="R59" s="48">
        <v>0</v>
      </c>
      <c r="S59" s="48">
        <v>0</v>
      </c>
      <c r="T59" s="45" t="s">
        <v>56</v>
      </c>
      <c r="U59" s="49">
        <v>53</v>
      </c>
      <c r="V59" s="45">
        <v>530405</v>
      </c>
      <c r="W59" s="56" t="s">
        <v>69</v>
      </c>
      <c r="X59" s="50">
        <v>0</v>
      </c>
      <c r="Y59" s="50">
        <v>70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20</v>
      </c>
      <c r="AG59" s="51">
        <v>0</v>
      </c>
      <c r="AH59" s="51">
        <v>20</v>
      </c>
      <c r="AI59" s="51">
        <v>0</v>
      </c>
      <c r="AJ59" s="51">
        <v>30</v>
      </c>
      <c r="AK59" s="51">
        <v>0</v>
      </c>
      <c r="AL59" s="52">
        <f t="shared" si="3"/>
        <v>70</v>
      </c>
      <c r="AM59" s="53" t="str">
        <f t="shared" si="4"/>
        <v>OK</v>
      </c>
      <c r="AN59" s="51">
        <v>70</v>
      </c>
      <c r="AO59" s="58">
        <f t="shared" si="2"/>
        <v>0</v>
      </c>
    </row>
    <row r="60" spans="1:41" s="54" customFormat="1" ht="13.5" customHeight="1">
      <c r="A60" s="44" t="s">
        <v>51</v>
      </c>
      <c r="B60" s="44" t="s">
        <v>52</v>
      </c>
      <c r="C60" s="44" t="s">
        <v>53</v>
      </c>
      <c r="D60" s="44" t="s">
        <v>114</v>
      </c>
      <c r="E60" s="44" t="s">
        <v>120</v>
      </c>
      <c r="F60" s="44" t="s">
        <v>124</v>
      </c>
      <c r="G60" s="44" t="s">
        <v>111</v>
      </c>
      <c r="H60" s="44" t="s">
        <v>55</v>
      </c>
      <c r="I60" s="59" t="s">
        <v>156</v>
      </c>
      <c r="J60" s="55">
        <v>1</v>
      </c>
      <c r="K60" s="55" t="s">
        <v>125</v>
      </c>
      <c r="L60" s="46">
        <v>1</v>
      </c>
      <c r="M60" s="47">
        <v>0</v>
      </c>
      <c r="N60" s="47">
        <v>1</v>
      </c>
      <c r="O60" s="48">
        <v>916</v>
      </c>
      <c r="P60" s="48" t="s">
        <v>126</v>
      </c>
      <c r="Q60" s="47">
        <v>1</v>
      </c>
      <c r="R60" s="48">
        <v>0</v>
      </c>
      <c r="S60" s="48">
        <v>0</v>
      </c>
      <c r="T60" s="45" t="s">
        <v>56</v>
      </c>
      <c r="U60" s="49">
        <v>53</v>
      </c>
      <c r="V60" s="45">
        <v>530405</v>
      </c>
      <c r="W60" s="56" t="s">
        <v>69</v>
      </c>
      <c r="X60" s="50">
        <v>1280.16</v>
      </c>
      <c r="Y60" s="50">
        <v>1280.16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285</v>
      </c>
      <c r="AG60" s="51">
        <v>286</v>
      </c>
      <c r="AH60" s="51">
        <v>354.58</v>
      </c>
      <c r="AI60" s="51">
        <v>0</v>
      </c>
      <c r="AJ60" s="51">
        <v>354.58</v>
      </c>
      <c r="AK60" s="51">
        <v>0</v>
      </c>
      <c r="AL60" s="52">
        <f t="shared" si="3"/>
        <v>1280.1599999999999</v>
      </c>
      <c r="AM60" s="53" t="str">
        <f t="shared" si="4"/>
        <v>OK</v>
      </c>
      <c r="AN60" s="51">
        <f>448.63+831.53</f>
        <v>1280.1599999999999</v>
      </c>
      <c r="AO60" s="58">
        <f t="shared" si="2"/>
        <v>0</v>
      </c>
    </row>
    <row r="61" spans="1:41" s="54" customFormat="1" ht="13.5" customHeight="1">
      <c r="A61" s="44" t="s">
        <v>51</v>
      </c>
      <c r="B61" s="44" t="s">
        <v>52</v>
      </c>
      <c r="C61" s="44" t="s">
        <v>53</v>
      </c>
      <c r="D61" s="44" t="s">
        <v>114</v>
      </c>
      <c r="E61" s="44" t="s">
        <v>120</v>
      </c>
      <c r="F61" s="44" t="s">
        <v>124</v>
      </c>
      <c r="G61" s="44" t="s">
        <v>111</v>
      </c>
      <c r="H61" s="44" t="s">
        <v>55</v>
      </c>
      <c r="I61" s="59" t="s">
        <v>157</v>
      </c>
      <c r="J61" s="55">
        <v>1</v>
      </c>
      <c r="K61" s="55" t="s">
        <v>125</v>
      </c>
      <c r="L61" s="46">
        <v>1</v>
      </c>
      <c r="M61" s="47">
        <v>0</v>
      </c>
      <c r="N61" s="47">
        <v>1</v>
      </c>
      <c r="O61" s="48">
        <v>916</v>
      </c>
      <c r="P61" s="48" t="s">
        <v>126</v>
      </c>
      <c r="Q61" s="47">
        <v>1</v>
      </c>
      <c r="R61" s="48">
        <v>0</v>
      </c>
      <c r="S61" s="48">
        <v>0</v>
      </c>
      <c r="T61" s="45" t="s">
        <v>56</v>
      </c>
      <c r="U61" s="49">
        <v>53</v>
      </c>
      <c r="V61" s="45">
        <v>530604</v>
      </c>
      <c r="W61" s="56" t="s">
        <v>157</v>
      </c>
      <c r="X61" s="50">
        <v>448</v>
      </c>
      <c r="Y61" s="50">
        <f>448-48</f>
        <v>400</v>
      </c>
      <c r="Z61" s="51">
        <v>400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2">
        <f t="shared" si="3"/>
        <v>400</v>
      </c>
      <c r="AM61" s="53" t="str">
        <f t="shared" si="4"/>
        <v>OK</v>
      </c>
      <c r="AN61" s="51">
        <v>400</v>
      </c>
      <c r="AO61" s="58">
        <f t="shared" si="2"/>
        <v>0</v>
      </c>
    </row>
    <row r="62" spans="1:41" s="54" customFormat="1" ht="13.5" customHeight="1">
      <c r="A62" s="44" t="s">
        <v>51</v>
      </c>
      <c r="B62" s="44" t="s">
        <v>52</v>
      </c>
      <c r="C62" s="44" t="s">
        <v>53</v>
      </c>
      <c r="D62" s="44" t="s">
        <v>114</v>
      </c>
      <c r="E62" s="44" t="s">
        <v>120</v>
      </c>
      <c r="F62" s="44" t="s">
        <v>124</v>
      </c>
      <c r="G62" s="44" t="s">
        <v>111</v>
      </c>
      <c r="H62" s="44" t="s">
        <v>55</v>
      </c>
      <c r="I62" s="59" t="s">
        <v>158</v>
      </c>
      <c r="J62" s="55">
        <v>1</v>
      </c>
      <c r="K62" s="55" t="s">
        <v>125</v>
      </c>
      <c r="L62" s="46">
        <v>1</v>
      </c>
      <c r="M62" s="47">
        <v>0</v>
      </c>
      <c r="N62" s="47">
        <v>1</v>
      </c>
      <c r="O62" s="48">
        <v>916</v>
      </c>
      <c r="P62" s="48" t="s">
        <v>126</v>
      </c>
      <c r="Q62" s="47">
        <v>1</v>
      </c>
      <c r="R62" s="48">
        <v>0</v>
      </c>
      <c r="S62" s="48">
        <v>0</v>
      </c>
      <c r="T62" s="45" t="s">
        <v>56</v>
      </c>
      <c r="U62" s="49">
        <v>53</v>
      </c>
      <c r="V62" s="45">
        <v>530803</v>
      </c>
      <c r="W62" s="56" t="s">
        <v>70</v>
      </c>
      <c r="X62" s="50">
        <v>3999.52</v>
      </c>
      <c r="Y62" s="50">
        <f>3999.52-3999.52+3999.52-428.52</f>
        <v>3571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3571</v>
      </c>
      <c r="AH62" s="51">
        <v>0</v>
      </c>
      <c r="AI62" s="51">
        <v>0</v>
      </c>
      <c r="AJ62" s="51">
        <v>0</v>
      </c>
      <c r="AK62" s="51">
        <v>0</v>
      </c>
      <c r="AL62" s="52">
        <f t="shared" si="3"/>
        <v>3571</v>
      </c>
      <c r="AM62" s="53" t="str">
        <f t="shared" si="4"/>
        <v>OK</v>
      </c>
      <c r="AN62" s="51">
        <v>3571</v>
      </c>
      <c r="AO62" s="58">
        <f t="shared" si="2"/>
        <v>0</v>
      </c>
    </row>
    <row r="63" spans="1:41" s="54" customFormat="1" ht="13.5" customHeight="1">
      <c r="A63" s="44" t="s">
        <v>51</v>
      </c>
      <c r="B63" s="44" t="s">
        <v>52</v>
      </c>
      <c r="C63" s="44" t="s">
        <v>53</v>
      </c>
      <c r="D63" s="44" t="s">
        <v>114</v>
      </c>
      <c r="E63" s="44" t="s">
        <v>120</v>
      </c>
      <c r="F63" s="44" t="s">
        <v>124</v>
      </c>
      <c r="G63" s="44" t="s">
        <v>111</v>
      </c>
      <c r="H63" s="44" t="s">
        <v>55</v>
      </c>
      <c r="I63" s="59" t="s">
        <v>159</v>
      </c>
      <c r="J63" s="55">
        <v>1</v>
      </c>
      <c r="K63" s="55" t="s">
        <v>125</v>
      </c>
      <c r="L63" s="46">
        <v>1</v>
      </c>
      <c r="M63" s="47">
        <v>0</v>
      </c>
      <c r="N63" s="47">
        <v>1</v>
      </c>
      <c r="O63" s="48">
        <v>916</v>
      </c>
      <c r="P63" s="48" t="s">
        <v>126</v>
      </c>
      <c r="Q63" s="47">
        <v>1</v>
      </c>
      <c r="R63" s="48">
        <v>0</v>
      </c>
      <c r="S63" s="48">
        <v>0</v>
      </c>
      <c r="T63" s="45" t="s">
        <v>56</v>
      </c>
      <c r="U63" s="49">
        <v>53</v>
      </c>
      <c r="V63" s="45">
        <v>530804</v>
      </c>
      <c r="W63" s="56" t="s">
        <v>71</v>
      </c>
      <c r="X63" s="50">
        <v>1280.16</v>
      </c>
      <c r="Y63" s="50">
        <f>1280.16-139.96-5.55</f>
        <v>1134.65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1134.65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f t="shared" si="3"/>
        <v>1134.65</v>
      </c>
      <c r="AM63" s="53" t="str">
        <f t="shared" si="4"/>
        <v>OK</v>
      </c>
      <c r="AN63" s="51">
        <f>445.7+694.5-5.55</f>
        <v>1134.65</v>
      </c>
      <c r="AO63" s="58">
        <f t="shared" si="2"/>
        <v>0</v>
      </c>
    </row>
    <row r="64" spans="1:41" s="54" customFormat="1" ht="13.5" customHeight="1">
      <c r="A64" s="44" t="s">
        <v>51</v>
      </c>
      <c r="B64" s="44" t="s">
        <v>52</v>
      </c>
      <c r="C64" s="44" t="s">
        <v>53</v>
      </c>
      <c r="D64" s="44" t="s">
        <v>114</v>
      </c>
      <c r="E64" s="44" t="s">
        <v>120</v>
      </c>
      <c r="F64" s="44" t="s">
        <v>124</v>
      </c>
      <c r="G64" s="44" t="s">
        <v>111</v>
      </c>
      <c r="H64" s="44" t="s">
        <v>55</v>
      </c>
      <c r="I64" s="59" t="s">
        <v>160</v>
      </c>
      <c r="J64" s="55">
        <v>1</v>
      </c>
      <c r="K64" s="55" t="s">
        <v>125</v>
      </c>
      <c r="L64" s="46">
        <v>1</v>
      </c>
      <c r="M64" s="47">
        <v>0</v>
      </c>
      <c r="N64" s="47">
        <v>1</v>
      </c>
      <c r="O64" s="48">
        <v>916</v>
      </c>
      <c r="P64" s="48" t="s">
        <v>126</v>
      </c>
      <c r="Q64" s="47">
        <v>1</v>
      </c>
      <c r="R64" s="48">
        <v>0</v>
      </c>
      <c r="S64" s="48">
        <v>0</v>
      </c>
      <c r="T64" s="45" t="s">
        <v>56</v>
      </c>
      <c r="U64" s="49">
        <v>53</v>
      </c>
      <c r="V64" s="45">
        <v>530804</v>
      </c>
      <c r="W64" s="56" t="s">
        <v>71</v>
      </c>
      <c r="X64" s="50">
        <v>1919.68</v>
      </c>
      <c r="Y64" s="50">
        <f>1919.68-144-61.68</f>
        <v>1714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1714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f t="shared" si="3"/>
        <v>1714</v>
      </c>
      <c r="AM64" s="53" t="str">
        <f t="shared" si="4"/>
        <v>OK</v>
      </c>
      <c r="AN64" s="51">
        <v>1714</v>
      </c>
      <c r="AO64" s="58">
        <f t="shared" si="2"/>
        <v>0</v>
      </c>
    </row>
    <row r="65" spans="1:41" s="54" customFormat="1" ht="13.5" customHeight="1">
      <c r="A65" s="44" t="s">
        <v>51</v>
      </c>
      <c r="B65" s="44" t="s">
        <v>52</v>
      </c>
      <c r="C65" s="44" t="s">
        <v>53</v>
      </c>
      <c r="D65" s="44" t="s">
        <v>114</v>
      </c>
      <c r="E65" s="44" t="s">
        <v>120</v>
      </c>
      <c r="F65" s="44" t="s">
        <v>124</v>
      </c>
      <c r="G65" s="44" t="s">
        <v>111</v>
      </c>
      <c r="H65" s="44" t="s">
        <v>55</v>
      </c>
      <c r="I65" s="59" t="s">
        <v>161</v>
      </c>
      <c r="J65" s="55">
        <v>1</v>
      </c>
      <c r="K65" s="55" t="s">
        <v>125</v>
      </c>
      <c r="L65" s="46">
        <v>1</v>
      </c>
      <c r="M65" s="47">
        <v>0</v>
      </c>
      <c r="N65" s="47">
        <v>1</v>
      </c>
      <c r="O65" s="48">
        <v>916</v>
      </c>
      <c r="P65" s="48" t="s">
        <v>126</v>
      </c>
      <c r="Q65" s="47">
        <v>1</v>
      </c>
      <c r="R65" s="48">
        <v>0</v>
      </c>
      <c r="S65" s="48">
        <v>0</v>
      </c>
      <c r="T65" s="45" t="s">
        <v>56</v>
      </c>
      <c r="U65" s="49">
        <v>53</v>
      </c>
      <c r="V65" s="45">
        <v>530805</v>
      </c>
      <c r="W65" s="56" t="s">
        <v>72</v>
      </c>
      <c r="X65" s="50">
        <v>575.68</v>
      </c>
      <c r="Y65" s="50">
        <f>575.68-514-61.68</f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2">
        <f t="shared" si="3"/>
        <v>0</v>
      </c>
      <c r="AM65" s="53" t="str">
        <f t="shared" si="4"/>
        <v>OK</v>
      </c>
      <c r="AN65" s="51">
        <v>0</v>
      </c>
      <c r="AO65" s="58">
        <f t="shared" si="2"/>
        <v>0</v>
      </c>
    </row>
    <row r="66" spans="1:41" s="54" customFormat="1" ht="13.5" customHeight="1">
      <c r="A66" s="44" t="s">
        <v>51</v>
      </c>
      <c r="B66" s="44" t="s">
        <v>52</v>
      </c>
      <c r="C66" s="44" t="s">
        <v>53</v>
      </c>
      <c r="D66" s="44" t="s">
        <v>114</v>
      </c>
      <c r="E66" s="44" t="s">
        <v>120</v>
      </c>
      <c r="F66" s="44" t="s">
        <v>124</v>
      </c>
      <c r="G66" s="44" t="s">
        <v>111</v>
      </c>
      <c r="H66" s="44" t="s">
        <v>55</v>
      </c>
      <c r="I66" s="59" t="s">
        <v>162</v>
      </c>
      <c r="J66" s="55">
        <v>1</v>
      </c>
      <c r="K66" s="55" t="s">
        <v>125</v>
      </c>
      <c r="L66" s="46">
        <v>1</v>
      </c>
      <c r="M66" s="47">
        <v>0</v>
      </c>
      <c r="N66" s="47">
        <v>1</v>
      </c>
      <c r="O66" s="48">
        <v>916</v>
      </c>
      <c r="P66" s="48" t="s">
        <v>126</v>
      </c>
      <c r="Q66" s="47">
        <v>1</v>
      </c>
      <c r="R66" s="48">
        <v>0</v>
      </c>
      <c r="S66" s="48">
        <v>0</v>
      </c>
      <c r="T66" s="45" t="s">
        <v>56</v>
      </c>
      <c r="U66" s="49">
        <v>53</v>
      </c>
      <c r="V66" s="45">
        <v>530811</v>
      </c>
      <c r="W66" s="56" t="s">
        <v>73</v>
      </c>
      <c r="X66" s="50">
        <v>0</v>
      </c>
      <c r="Y66" s="50">
        <f>340-41.46</f>
        <v>298.54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298.54</v>
      </c>
      <c r="AI66" s="51">
        <v>0</v>
      </c>
      <c r="AJ66" s="51">
        <v>0</v>
      </c>
      <c r="AK66" s="51">
        <v>0</v>
      </c>
      <c r="AL66" s="52">
        <f t="shared" si="3"/>
        <v>298.54</v>
      </c>
      <c r="AM66" s="53" t="str">
        <f t="shared" si="4"/>
        <v>OK</v>
      </c>
      <c r="AN66" s="51">
        <v>298.54</v>
      </c>
      <c r="AO66" s="58">
        <f t="shared" si="2"/>
        <v>0</v>
      </c>
    </row>
    <row r="67" spans="1:41" s="54" customFormat="1" ht="13.5" customHeight="1">
      <c r="A67" s="44" t="s">
        <v>51</v>
      </c>
      <c r="B67" s="44" t="s">
        <v>52</v>
      </c>
      <c r="C67" s="44" t="s">
        <v>53</v>
      </c>
      <c r="D67" s="44" t="s">
        <v>114</v>
      </c>
      <c r="E67" s="44" t="s">
        <v>120</v>
      </c>
      <c r="F67" s="44" t="s">
        <v>124</v>
      </c>
      <c r="G67" s="44" t="s">
        <v>111</v>
      </c>
      <c r="H67" s="44" t="s">
        <v>55</v>
      </c>
      <c r="I67" s="59" t="s">
        <v>163</v>
      </c>
      <c r="J67" s="55">
        <v>1</v>
      </c>
      <c r="K67" s="55" t="s">
        <v>125</v>
      </c>
      <c r="L67" s="46">
        <v>1</v>
      </c>
      <c r="M67" s="47">
        <v>0</v>
      </c>
      <c r="N67" s="47">
        <v>1</v>
      </c>
      <c r="O67" s="48">
        <v>916</v>
      </c>
      <c r="P67" s="48" t="s">
        <v>126</v>
      </c>
      <c r="Q67" s="47">
        <v>1</v>
      </c>
      <c r="R67" s="48">
        <v>0</v>
      </c>
      <c r="S67" s="48">
        <v>0</v>
      </c>
      <c r="T67" s="45" t="s">
        <v>56</v>
      </c>
      <c r="U67" s="49">
        <v>53</v>
      </c>
      <c r="V67" s="45">
        <v>530811</v>
      </c>
      <c r="W67" s="56" t="s">
        <v>73</v>
      </c>
      <c r="X67" s="50">
        <v>0</v>
      </c>
      <c r="Y67" s="50">
        <f>3200.48+10080-340-1082.91-592.89</f>
        <v>11264.68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11264.68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2">
        <f t="shared" si="3"/>
        <v>11264.68</v>
      </c>
      <c r="AM67" s="53" t="str">
        <f t="shared" si="4"/>
        <v>OK</v>
      </c>
      <c r="AN67" s="51">
        <f>11857.57-592.89</f>
        <v>11264.68</v>
      </c>
      <c r="AO67" s="58">
        <f aca="true" t="shared" si="5" ref="AO67:AO130">+Y67-AN67</f>
        <v>0</v>
      </c>
    </row>
    <row r="68" spans="1:41" s="54" customFormat="1" ht="13.5" customHeight="1">
      <c r="A68" s="44" t="s">
        <v>51</v>
      </c>
      <c r="B68" s="44" t="s">
        <v>52</v>
      </c>
      <c r="C68" s="44" t="s">
        <v>53</v>
      </c>
      <c r="D68" s="44" t="s">
        <v>114</v>
      </c>
      <c r="E68" s="44" t="s">
        <v>54</v>
      </c>
      <c r="F68" s="44" t="s">
        <v>124</v>
      </c>
      <c r="G68" s="44" t="s">
        <v>111</v>
      </c>
      <c r="H68" s="44" t="s">
        <v>55</v>
      </c>
      <c r="I68" s="59" t="s">
        <v>164</v>
      </c>
      <c r="J68" s="55">
        <v>1</v>
      </c>
      <c r="K68" s="55" t="s">
        <v>125</v>
      </c>
      <c r="L68" s="46">
        <v>1</v>
      </c>
      <c r="M68" s="47">
        <v>0</v>
      </c>
      <c r="N68" s="47">
        <v>1</v>
      </c>
      <c r="O68" s="48">
        <v>916</v>
      </c>
      <c r="P68" s="48" t="s">
        <v>126</v>
      </c>
      <c r="Q68" s="47">
        <v>1</v>
      </c>
      <c r="R68" s="48">
        <v>0</v>
      </c>
      <c r="S68" s="48">
        <v>0</v>
      </c>
      <c r="T68" s="45" t="s">
        <v>56</v>
      </c>
      <c r="U68" s="49">
        <v>53</v>
      </c>
      <c r="V68" s="45">
        <v>530811</v>
      </c>
      <c r="W68" s="56" t="s">
        <v>73</v>
      </c>
      <c r="X68" s="50">
        <v>0</v>
      </c>
      <c r="Y68" s="50">
        <v>98.16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35</v>
      </c>
      <c r="AG68" s="51">
        <v>0</v>
      </c>
      <c r="AH68" s="51">
        <v>35</v>
      </c>
      <c r="AI68" s="51">
        <v>0</v>
      </c>
      <c r="AJ68" s="51">
        <v>28.16</v>
      </c>
      <c r="AK68" s="51">
        <v>0</v>
      </c>
      <c r="AL68" s="52">
        <f t="shared" si="3"/>
        <v>98.16</v>
      </c>
      <c r="AM68" s="53" t="str">
        <f t="shared" si="4"/>
        <v>OK</v>
      </c>
      <c r="AN68" s="51">
        <v>98.16</v>
      </c>
      <c r="AO68" s="58">
        <f t="shared" si="5"/>
        <v>0</v>
      </c>
    </row>
    <row r="69" spans="1:41" s="54" customFormat="1" ht="13.5" customHeight="1">
      <c r="A69" s="44" t="s">
        <v>51</v>
      </c>
      <c r="B69" s="44" t="s">
        <v>52</v>
      </c>
      <c r="C69" s="44" t="s">
        <v>53</v>
      </c>
      <c r="D69" s="44" t="s">
        <v>114</v>
      </c>
      <c r="E69" s="44" t="s">
        <v>120</v>
      </c>
      <c r="F69" s="44" t="s">
        <v>124</v>
      </c>
      <c r="G69" s="44" t="s">
        <v>111</v>
      </c>
      <c r="H69" s="44" t="s">
        <v>55</v>
      </c>
      <c r="I69" s="59" t="s">
        <v>165</v>
      </c>
      <c r="J69" s="55">
        <v>1</v>
      </c>
      <c r="K69" s="55" t="s">
        <v>125</v>
      </c>
      <c r="L69" s="46">
        <v>1</v>
      </c>
      <c r="M69" s="47">
        <v>0</v>
      </c>
      <c r="N69" s="47">
        <v>1</v>
      </c>
      <c r="O69" s="48">
        <v>916</v>
      </c>
      <c r="P69" s="48" t="s">
        <v>126</v>
      </c>
      <c r="Q69" s="47">
        <v>1</v>
      </c>
      <c r="R69" s="48">
        <v>0</v>
      </c>
      <c r="S69" s="48">
        <v>0</v>
      </c>
      <c r="T69" s="45" t="s">
        <v>56</v>
      </c>
      <c r="U69" s="49">
        <v>53</v>
      </c>
      <c r="V69" s="45">
        <v>530813</v>
      </c>
      <c r="W69" s="56" t="s">
        <v>74</v>
      </c>
      <c r="X69" s="50">
        <v>2560.32</v>
      </c>
      <c r="Y69" s="50">
        <f>2308.93-362.43</f>
        <v>1946.4999999999998</v>
      </c>
      <c r="Z69" s="51">
        <v>0</v>
      </c>
      <c r="AA69" s="51">
        <v>0</v>
      </c>
      <c r="AB69" s="51">
        <v>0</v>
      </c>
      <c r="AC69" s="51">
        <v>1946.5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2">
        <f t="shared" si="3"/>
        <v>1946.5</v>
      </c>
      <c r="AM69" s="53" t="str">
        <f t="shared" si="4"/>
        <v>OK</v>
      </c>
      <c r="AN69" s="51">
        <v>1946.5</v>
      </c>
      <c r="AO69" s="58">
        <f t="shared" si="5"/>
        <v>0</v>
      </c>
    </row>
    <row r="70" spans="1:41" s="54" customFormat="1" ht="13.5" customHeight="1">
      <c r="A70" s="44" t="s">
        <v>51</v>
      </c>
      <c r="B70" s="44" t="s">
        <v>52</v>
      </c>
      <c r="C70" s="44" t="s">
        <v>53</v>
      </c>
      <c r="D70" s="44" t="s">
        <v>114</v>
      </c>
      <c r="E70" s="44" t="s">
        <v>120</v>
      </c>
      <c r="F70" s="44" t="s">
        <v>124</v>
      </c>
      <c r="G70" s="44" t="s">
        <v>111</v>
      </c>
      <c r="H70" s="44" t="s">
        <v>55</v>
      </c>
      <c r="I70" s="59" t="s">
        <v>166</v>
      </c>
      <c r="J70" s="55">
        <v>2</v>
      </c>
      <c r="K70" s="55" t="s">
        <v>125</v>
      </c>
      <c r="L70" s="46">
        <v>1</v>
      </c>
      <c r="M70" s="47">
        <v>0</v>
      </c>
      <c r="N70" s="47">
        <v>1</v>
      </c>
      <c r="O70" s="48">
        <v>916</v>
      </c>
      <c r="P70" s="48" t="s">
        <v>126</v>
      </c>
      <c r="Q70" s="47">
        <v>1</v>
      </c>
      <c r="R70" s="48">
        <v>0</v>
      </c>
      <c r="S70" s="48">
        <v>0</v>
      </c>
      <c r="T70" s="45" t="s">
        <v>56</v>
      </c>
      <c r="U70" s="49">
        <v>53</v>
      </c>
      <c r="V70" s="45">
        <v>530829</v>
      </c>
      <c r="W70" s="56" t="s">
        <v>167</v>
      </c>
      <c r="X70" s="50">
        <v>2560.32</v>
      </c>
      <c r="Y70" s="50">
        <f>2560.32-2000+2141.68-1370.3</f>
        <v>1331.7</v>
      </c>
      <c r="Z70" s="51">
        <v>0</v>
      </c>
      <c r="AA70" s="51">
        <v>0</v>
      </c>
      <c r="AB70" s="51">
        <v>0</v>
      </c>
      <c r="AC70" s="51">
        <v>560.32</v>
      </c>
      <c r="AD70" s="51">
        <v>0</v>
      </c>
      <c r="AE70" s="51">
        <v>0</v>
      </c>
      <c r="AF70" s="51">
        <v>0</v>
      </c>
      <c r="AG70" s="51">
        <v>0</v>
      </c>
      <c r="AH70" s="51">
        <v>771.38</v>
      </c>
      <c r="AI70" s="51">
        <v>0</v>
      </c>
      <c r="AJ70" s="51">
        <v>0</v>
      </c>
      <c r="AK70" s="51">
        <v>0</v>
      </c>
      <c r="AL70" s="52">
        <f t="shared" si="3"/>
        <v>1331.7</v>
      </c>
      <c r="AM70" s="53" t="str">
        <f t="shared" si="4"/>
        <v>OK</v>
      </c>
      <c r="AN70" s="51">
        <f>1389.6-57.9</f>
        <v>1331.6999999999998</v>
      </c>
      <c r="AO70" s="58">
        <f t="shared" si="5"/>
        <v>0</v>
      </c>
    </row>
    <row r="71" spans="1:41" s="54" customFormat="1" ht="13.5" customHeight="1">
      <c r="A71" s="44" t="s">
        <v>51</v>
      </c>
      <c r="B71" s="44" t="s">
        <v>52</v>
      </c>
      <c r="C71" s="44" t="s">
        <v>53</v>
      </c>
      <c r="D71" s="44" t="s">
        <v>114</v>
      </c>
      <c r="E71" s="44" t="s">
        <v>54</v>
      </c>
      <c r="F71" s="44" t="s">
        <v>124</v>
      </c>
      <c r="G71" s="44" t="s">
        <v>111</v>
      </c>
      <c r="H71" s="44" t="s">
        <v>55</v>
      </c>
      <c r="I71" s="59" t="s">
        <v>168</v>
      </c>
      <c r="J71" s="55">
        <v>1</v>
      </c>
      <c r="K71" s="55" t="s">
        <v>125</v>
      </c>
      <c r="L71" s="46">
        <v>1</v>
      </c>
      <c r="M71" s="47">
        <v>0</v>
      </c>
      <c r="N71" s="47">
        <v>1</v>
      </c>
      <c r="O71" s="48">
        <v>916</v>
      </c>
      <c r="P71" s="48" t="s">
        <v>126</v>
      </c>
      <c r="Q71" s="47">
        <v>1</v>
      </c>
      <c r="R71" s="48">
        <v>0</v>
      </c>
      <c r="S71" s="48">
        <v>0</v>
      </c>
      <c r="T71" s="45" t="s">
        <v>56</v>
      </c>
      <c r="U71" s="49">
        <v>57</v>
      </c>
      <c r="V71" s="45">
        <v>570102</v>
      </c>
      <c r="W71" s="56" t="s">
        <v>77</v>
      </c>
      <c r="X71" s="50">
        <v>0</v>
      </c>
      <c r="Y71" s="50">
        <f>50+50</f>
        <v>100</v>
      </c>
      <c r="Z71" s="51">
        <v>0</v>
      </c>
      <c r="AA71" s="51">
        <v>50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50</v>
      </c>
      <c r="AL71" s="52">
        <f t="shared" si="3"/>
        <v>100</v>
      </c>
      <c r="AM71" s="53" t="str">
        <f t="shared" si="4"/>
        <v>OK</v>
      </c>
      <c r="AN71" s="51">
        <f>50+50</f>
        <v>100</v>
      </c>
      <c r="AO71" s="58">
        <f t="shared" si="5"/>
        <v>0</v>
      </c>
    </row>
    <row r="72" spans="1:41" s="54" customFormat="1" ht="13.5" customHeight="1">
      <c r="A72" s="44" t="s">
        <v>51</v>
      </c>
      <c r="B72" s="44" t="s">
        <v>52</v>
      </c>
      <c r="C72" s="44" t="s">
        <v>53</v>
      </c>
      <c r="D72" s="44" t="s">
        <v>114</v>
      </c>
      <c r="E72" s="44" t="s">
        <v>54</v>
      </c>
      <c r="F72" s="44" t="s">
        <v>124</v>
      </c>
      <c r="G72" s="44" t="s">
        <v>111</v>
      </c>
      <c r="H72" s="44" t="s">
        <v>55</v>
      </c>
      <c r="I72" s="59" t="s">
        <v>169</v>
      </c>
      <c r="J72" s="55">
        <v>1</v>
      </c>
      <c r="K72" s="55" t="s">
        <v>125</v>
      </c>
      <c r="L72" s="46">
        <v>1</v>
      </c>
      <c r="M72" s="47">
        <v>0</v>
      </c>
      <c r="N72" s="47">
        <v>1</v>
      </c>
      <c r="O72" s="48">
        <v>916</v>
      </c>
      <c r="P72" s="48" t="s">
        <v>126</v>
      </c>
      <c r="Q72" s="47">
        <v>1</v>
      </c>
      <c r="R72" s="48">
        <v>0</v>
      </c>
      <c r="S72" s="48">
        <v>0</v>
      </c>
      <c r="T72" s="45" t="s">
        <v>56</v>
      </c>
      <c r="U72" s="49">
        <v>57</v>
      </c>
      <c r="V72" s="45">
        <v>570102</v>
      </c>
      <c r="W72" s="56" t="s">
        <v>77</v>
      </c>
      <c r="X72" s="50">
        <v>0</v>
      </c>
      <c r="Y72" s="50">
        <v>400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400</v>
      </c>
      <c r="AJ72" s="51">
        <v>0</v>
      </c>
      <c r="AK72" s="51">
        <v>0</v>
      </c>
      <c r="AL72" s="52">
        <f t="shared" si="3"/>
        <v>400</v>
      </c>
      <c r="AM72" s="53" t="str">
        <f t="shared" si="4"/>
        <v>OK</v>
      </c>
      <c r="AN72" s="51">
        <v>400</v>
      </c>
      <c r="AO72" s="58">
        <f t="shared" si="5"/>
        <v>0</v>
      </c>
    </row>
    <row r="73" spans="1:41" s="54" customFormat="1" ht="13.5" customHeight="1">
      <c r="A73" s="44" t="s">
        <v>51</v>
      </c>
      <c r="B73" s="44" t="s">
        <v>52</v>
      </c>
      <c r="C73" s="44" t="s">
        <v>53</v>
      </c>
      <c r="D73" s="44" t="s">
        <v>114</v>
      </c>
      <c r="E73" s="44" t="s">
        <v>54</v>
      </c>
      <c r="F73" s="44" t="s">
        <v>124</v>
      </c>
      <c r="G73" s="44" t="s">
        <v>111</v>
      </c>
      <c r="H73" s="44" t="s">
        <v>55</v>
      </c>
      <c r="I73" s="59" t="s">
        <v>170</v>
      </c>
      <c r="J73" s="55">
        <v>1</v>
      </c>
      <c r="K73" s="55" t="s">
        <v>125</v>
      </c>
      <c r="L73" s="46">
        <v>1</v>
      </c>
      <c r="M73" s="47">
        <v>0</v>
      </c>
      <c r="N73" s="47">
        <v>1</v>
      </c>
      <c r="O73" s="48">
        <v>916</v>
      </c>
      <c r="P73" s="48" t="s">
        <v>126</v>
      </c>
      <c r="Q73" s="47">
        <v>1</v>
      </c>
      <c r="R73" s="48">
        <v>0</v>
      </c>
      <c r="S73" s="48">
        <v>0</v>
      </c>
      <c r="T73" s="45" t="s">
        <v>56</v>
      </c>
      <c r="U73" s="49">
        <v>57</v>
      </c>
      <c r="V73" s="45">
        <v>570102</v>
      </c>
      <c r="W73" s="56" t="s">
        <v>77</v>
      </c>
      <c r="X73" s="50">
        <v>0</v>
      </c>
      <c r="Y73" s="50">
        <f>600+70-4.78</f>
        <v>665.22</v>
      </c>
      <c r="Z73" s="51">
        <v>0</v>
      </c>
      <c r="AA73" s="51">
        <v>500</v>
      </c>
      <c r="AB73" s="51">
        <v>165.22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2">
        <f t="shared" si="3"/>
        <v>665.22</v>
      </c>
      <c r="AM73" s="53" t="str">
        <f t="shared" si="4"/>
        <v>OK</v>
      </c>
      <c r="AN73" s="51">
        <f>122.17+343.05+200</f>
        <v>665.22</v>
      </c>
      <c r="AO73" s="58">
        <f t="shared" si="5"/>
        <v>0</v>
      </c>
    </row>
    <row r="74" spans="1:41" s="54" customFormat="1" ht="13.5" customHeight="1">
      <c r="A74" s="44" t="s">
        <v>51</v>
      </c>
      <c r="B74" s="44" t="s">
        <v>52</v>
      </c>
      <c r="C74" s="44" t="s">
        <v>53</v>
      </c>
      <c r="D74" s="44" t="s">
        <v>114</v>
      </c>
      <c r="E74" s="44" t="s">
        <v>54</v>
      </c>
      <c r="F74" s="44" t="s">
        <v>124</v>
      </c>
      <c r="G74" s="44" t="s">
        <v>111</v>
      </c>
      <c r="H74" s="44" t="s">
        <v>55</v>
      </c>
      <c r="I74" s="59" t="s">
        <v>171</v>
      </c>
      <c r="J74" s="55">
        <v>1</v>
      </c>
      <c r="K74" s="55" t="s">
        <v>125</v>
      </c>
      <c r="L74" s="46">
        <v>1</v>
      </c>
      <c r="M74" s="47">
        <v>0</v>
      </c>
      <c r="N74" s="47">
        <v>1</v>
      </c>
      <c r="O74" s="48">
        <v>916</v>
      </c>
      <c r="P74" s="48" t="s">
        <v>126</v>
      </c>
      <c r="Q74" s="47">
        <v>1</v>
      </c>
      <c r="R74" s="48">
        <v>0</v>
      </c>
      <c r="S74" s="48">
        <v>0</v>
      </c>
      <c r="T74" s="45" t="s">
        <v>56</v>
      </c>
      <c r="U74" s="49">
        <v>57</v>
      </c>
      <c r="V74" s="45">
        <v>570199</v>
      </c>
      <c r="W74" s="56" t="s">
        <v>172</v>
      </c>
      <c r="X74" s="50">
        <v>0</v>
      </c>
      <c r="Y74" s="50">
        <f>50-50</f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2">
        <f t="shared" si="3"/>
        <v>0</v>
      </c>
      <c r="AM74" s="53" t="str">
        <f t="shared" si="4"/>
        <v>OK</v>
      </c>
      <c r="AN74" s="51">
        <v>0</v>
      </c>
      <c r="AO74" s="58">
        <f t="shared" si="5"/>
        <v>0</v>
      </c>
    </row>
    <row r="75" spans="1:41" s="54" customFormat="1" ht="13.5" customHeight="1">
      <c r="A75" s="44" t="s">
        <v>51</v>
      </c>
      <c r="B75" s="44" t="s">
        <v>52</v>
      </c>
      <c r="C75" s="44" t="s">
        <v>53</v>
      </c>
      <c r="D75" s="44" t="s">
        <v>114</v>
      </c>
      <c r="E75" s="44" t="s">
        <v>54</v>
      </c>
      <c r="F75" s="44" t="s">
        <v>124</v>
      </c>
      <c r="G75" s="44" t="s">
        <v>111</v>
      </c>
      <c r="H75" s="44" t="s">
        <v>55</v>
      </c>
      <c r="I75" s="59" t="s">
        <v>106</v>
      </c>
      <c r="J75" s="55">
        <v>1</v>
      </c>
      <c r="K75" s="55" t="s">
        <v>125</v>
      </c>
      <c r="L75" s="46">
        <v>1</v>
      </c>
      <c r="M75" s="47">
        <v>0</v>
      </c>
      <c r="N75" s="47">
        <v>1</v>
      </c>
      <c r="O75" s="48">
        <v>916</v>
      </c>
      <c r="P75" s="48" t="s">
        <v>126</v>
      </c>
      <c r="Q75" s="47">
        <v>1</v>
      </c>
      <c r="R75" s="48">
        <v>0</v>
      </c>
      <c r="S75" s="48">
        <v>0</v>
      </c>
      <c r="T75" s="45" t="s">
        <v>56</v>
      </c>
      <c r="U75" s="49">
        <v>57</v>
      </c>
      <c r="V75" s="45">
        <v>570216</v>
      </c>
      <c r="W75" s="56" t="s">
        <v>106</v>
      </c>
      <c r="X75" s="50">
        <v>0</v>
      </c>
      <c r="Y75" s="50">
        <v>1950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1950</v>
      </c>
      <c r="AJ75" s="51">
        <v>0</v>
      </c>
      <c r="AK75" s="51">
        <v>0</v>
      </c>
      <c r="AL75" s="52">
        <f t="shared" si="3"/>
        <v>1950</v>
      </c>
      <c r="AM75" s="53" t="str">
        <f t="shared" si="4"/>
        <v>OK</v>
      </c>
      <c r="AN75" s="51">
        <v>1950</v>
      </c>
      <c r="AO75" s="58">
        <f t="shared" si="5"/>
        <v>0</v>
      </c>
    </row>
    <row r="76" spans="1:41" s="54" customFormat="1" ht="13.5" customHeight="1">
      <c r="A76" s="44" t="s">
        <v>51</v>
      </c>
      <c r="B76" s="44" t="s">
        <v>52</v>
      </c>
      <c r="C76" s="44" t="s">
        <v>53</v>
      </c>
      <c r="D76" s="44" t="s">
        <v>114</v>
      </c>
      <c r="E76" s="44" t="s">
        <v>54</v>
      </c>
      <c r="F76" s="44" t="s">
        <v>124</v>
      </c>
      <c r="G76" s="44" t="s">
        <v>111</v>
      </c>
      <c r="H76" s="44" t="s">
        <v>55</v>
      </c>
      <c r="I76" s="59" t="s">
        <v>107</v>
      </c>
      <c r="J76" s="55">
        <v>1</v>
      </c>
      <c r="K76" s="55" t="s">
        <v>125</v>
      </c>
      <c r="L76" s="46">
        <v>1</v>
      </c>
      <c r="M76" s="47">
        <v>0</v>
      </c>
      <c r="N76" s="47">
        <v>1</v>
      </c>
      <c r="O76" s="48">
        <v>916</v>
      </c>
      <c r="P76" s="48" t="s">
        <v>126</v>
      </c>
      <c r="Q76" s="47">
        <v>1</v>
      </c>
      <c r="R76" s="48">
        <v>0</v>
      </c>
      <c r="S76" s="48">
        <v>0</v>
      </c>
      <c r="T76" s="45" t="s">
        <v>56</v>
      </c>
      <c r="U76" s="49">
        <v>57</v>
      </c>
      <c r="V76" s="45">
        <v>570218</v>
      </c>
      <c r="W76" s="56" t="s">
        <v>107</v>
      </c>
      <c r="X76" s="50">
        <v>0</v>
      </c>
      <c r="Y76" s="50">
        <f>600+3000-1950-50+50-50</f>
        <v>1600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400</v>
      </c>
      <c r="AF76" s="51">
        <v>0</v>
      </c>
      <c r="AG76" s="51">
        <v>0</v>
      </c>
      <c r="AH76" s="51">
        <v>0</v>
      </c>
      <c r="AI76" s="51">
        <v>1200</v>
      </c>
      <c r="AJ76" s="51">
        <v>0</v>
      </c>
      <c r="AK76" s="51">
        <v>0</v>
      </c>
      <c r="AL76" s="52">
        <f t="shared" si="3"/>
        <v>1600</v>
      </c>
      <c r="AM76" s="53" t="str">
        <f t="shared" si="4"/>
        <v>OK</v>
      </c>
      <c r="AN76" s="51">
        <f>600+1000</f>
        <v>1600</v>
      </c>
      <c r="AO76" s="58">
        <f t="shared" si="5"/>
        <v>0</v>
      </c>
    </row>
    <row r="77" spans="1:41" s="54" customFormat="1" ht="13.5" customHeight="1">
      <c r="A77" s="44" t="s">
        <v>78</v>
      </c>
      <c r="B77" s="44" t="s">
        <v>79</v>
      </c>
      <c r="C77" s="44" t="s">
        <v>80</v>
      </c>
      <c r="D77" s="44" t="s">
        <v>114</v>
      </c>
      <c r="E77" s="44" t="s">
        <v>54</v>
      </c>
      <c r="F77" s="44" t="s">
        <v>124</v>
      </c>
      <c r="G77" s="44" t="s">
        <v>123</v>
      </c>
      <c r="H77" s="44" t="s">
        <v>98</v>
      </c>
      <c r="I77" s="59" t="s">
        <v>173</v>
      </c>
      <c r="J77" s="55">
        <v>1</v>
      </c>
      <c r="K77" s="55" t="s">
        <v>125</v>
      </c>
      <c r="L77" s="46">
        <v>55</v>
      </c>
      <c r="M77" s="47">
        <v>0</v>
      </c>
      <c r="N77" s="47">
        <v>2</v>
      </c>
      <c r="O77" s="48">
        <v>916</v>
      </c>
      <c r="P77" s="48" t="s">
        <v>126</v>
      </c>
      <c r="Q77" s="47">
        <v>1</v>
      </c>
      <c r="R77" s="48">
        <v>0</v>
      </c>
      <c r="S77" s="48">
        <v>0</v>
      </c>
      <c r="T77" s="45" t="s">
        <v>56</v>
      </c>
      <c r="U77" s="49" t="s">
        <v>131</v>
      </c>
      <c r="V77" s="45">
        <v>990102</v>
      </c>
      <c r="W77" s="56" t="s">
        <v>173</v>
      </c>
      <c r="X77" s="50">
        <v>0</v>
      </c>
      <c r="Y77" s="50">
        <v>80</v>
      </c>
      <c r="Z77" s="51">
        <v>0</v>
      </c>
      <c r="AA77" s="51">
        <v>0</v>
      </c>
      <c r="AB77" s="51">
        <v>80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2">
        <f t="shared" si="3"/>
        <v>80</v>
      </c>
      <c r="AM77" s="53" t="str">
        <f t="shared" si="4"/>
        <v>OK</v>
      </c>
      <c r="AN77" s="51">
        <v>80</v>
      </c>
      <c r="AO77" s="58">
        <f t="shared" si="5"/>
        <v>0</v>
      </c>
    </row>
    <row r="78" spans="1:41" s="54" customFormat="1" ht="13.5" customHeight="1">
      <c r="A78" s="44" t="s">
        <v>78</v>
      </c>
      <c r="B78" s="44" t="s">
        <v>79</v>
      </c>
      <c r="C78" s="44" t="s">
        <v>80</v>
      </c>
      <c r="D78" s="44" t="s">
        <v>114</v>
      </c>
      <c r="E78" s="44" t="s">
        <v>54</v>
      </c>
      <c r="F78" s="44" t="s">
        <v>124</v>
      </c>
      <c r="G78" s="44" t="s">
        <v>100</v>
      </c>
      <c r="H78" s="44" t="s">
        <v>81</v>
      </c>
      <c r="I78" s="59" t="s">
        <v>174</v>
      </c>
      <c r="J78" s="55">
        <v>1</v>
      </c>
      <c r="K78" s="55" t="s">
        <v>125</v>
      </c>
      <c r="L78" s="46">
        <v>55</v>
      </c>
      <c r="M78" s="47">
        <v>0</v>
      </c>
      <c r="N78" s="47">
        <v>3</v>
      </c>
      <c r="O78" s="48">
        <v>916</v>
      </c>
      <c r="P78" s="48" t="s">
        <v>126</v>
      </c>
      <c r="Q78" s="47">
        <v>1</v>
      </c>
      <c r="R78" s="48">
        <v>0</v>
      </c>
      <c r="S78" s="48">
        <v>0</v>
      </c>
      <c r="T78" s="45" t="s">
        <v>56</v>
      </c>
      <c r="U78" s="49">
        <v>53</v>
      </c>
      <c r="V78" s="45">
        <v>530105</v>
      </c>
      <c r="W78" s="56" t="s">
        <v>82</v>
      </c>
      <c r="X78" s="50">
        <v>446951.68</v>
      </c>
      <c r="Y78" s="50">
        <f>456404.31-12909.23-30586.99-22536.03-2141.68-2300-7000-7000-3000-7414.32-1500.5-1500-50-24284.43+12315.11</f>
        <v>346496.24000000005</v>
      </c>
      <c r="Z78" s="51">
        <v>33958.66</v>
      </c>
      <c r="AA78" s="51">
        <v>33958.66</v>
      </c>
      <c r="AB78" s="51">
        <v>33958.66</v>
      </c>
      <c r="AC78" s="51">
        <v>33958.66</v>
      </c>
      <c r="AD78" s="51">
        <v>33958.66</v>
      </c>
      <c r="AE78" s="51">
        <v>28410.66</v>
      </c>
      <c r="AF78" s="51">
        <v>28410.66</v>
      </c>
      <c r="AG78" s="51">
        <v>28410.66</v>
      </c>
      <c r="AH78" s="51">
        <v>33836.7</v>
      </c>
      <c r="AI78" s="51">
        <v>33836.7</v>
      </c>
      <c r="AJ78" s="51">
        <v>5487</v>
      </c>
      <c r="AK78" s="51">
        <v>18310.56</v>
      </c>
      <c r="AL78" s="52">
        <f t="shared" si="3"/>
        <v>346496.24000000005</v>
      </c>
      <c r="AM78" s="53" t="str">
        <f t="shared" si="4"/>
        <v>OK</v>
      </c>
      <c r="AN78" s="51">
        <f>412908.09-26977.71-25914.82-1550-24284.43+12315.11</f>
        <v>346496.24</v>
      </c>
      <c r="AO78" s="58">
        <f t="shared" si="5"/>
        <v>0</v>
      </c>
    </row>
    <row r="79" spans="1:41" s="54" customFormat="1" ht="13.5" customHeight="1">
      <c r="A79" s="44" t="s">
        <v>78</v>
      </c>
      <c r="B79" s="44" t="s">
        <v>79</v>
      </c>
      <c r="C79" s="44" t="s">
        <v>80</v>
      </c>
      <c r="D79" s="44" t="s">
        <v>114</v>
      </c>
      <c r="E79" s="44" t="s">
        <v>54</v>
      </c>
      <c r="F79" s="44" t="s">
        <v>124</v>
      </c>
      <c r="G79" s="44" t="s">
        <v>100</v>
      </c>
      <c r="H79" s="44" t="s">
        <v>81</v>
      </c>
      <c r="I79" s="59" t="s">
        <v>175</v>
      </c>
      <c r="J79" s="55">
        <v>1</v>
      </c>
      <c r="K79" s="55" t="s">
        <v>125</v>
      </c>
      <c r="L79" s="46">
        <v>55</v>
      </c>
      <c r="M79" s="47">
        <v>0</v>
      </c>
      <c r="N79" s="47">
        <v>3</v>
      </c>
      <c r="O79" s="48">
        <v>916</v>
      </c>
      <c r="P79" s="48" t="s">
        <v>126</v>
      </c>
      <c r="Q79" s="47">
        <v>1</v>
      </c>
      <c r="R79" s="48">
        <v>0</v>
      </c>
      <c r="S79" s="48">
        <v>0</v>
      </c>
      <c r="T79" s="45" t="s">
        <v>56</v>
      </c>
      <c r="U79" s="49">
        <v>53</v>
      </c>
      <c r="V79" s="45">
        <v>530704</v>
      </c>
      <c r="W79" s="56" t="s">
        <v>84</v>
      </c>
      <c r="X79" s="50">
        <v>284999.68</v>
      </c>
      <c r="Y79" s="50">
        <f>251892.62+2432.02-12077.04-487.7-12176.73</f>
        <v>229583.16999999995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76338</v>
      </c>
      <c r="AF79" s="51">
        <v>24244.93</v>
      </c>
      <c r="AG79" s="51">
        <v>24244.93</v>
      </c>
      <c r="AH79" s="51">
        <v>29233.04</v>
      </c>
      <c r="AI79" s="51">
        <v>29233.04</v>
      </c>
      <c r="AJ79" s="51">
        <v>29233.04</v>
      </c>
      <c r="AK79" s="51">
        <v>17056.19</v>
      </c>
      <c r="AL79" s="52">
        <f t="shared" si="3"/>
        <v>229583.17</v>
      </c>
      <c r="AM79" s="53" t="str">
        <f t="shared" si="4"/>
        <v>OK</v>
      </c>
      <c r="AN79" s="51">
        <f>254324.64-15655.02-9086.45</f>
        <v>229583.17</v>
      </c>
      <c r="AO79" s="58">
        <f t="shared" si="5"/>
        <v>0</v>
      </c>
    </row>
    <row r="80" spans="1:41" s="54" customFormat="1" ht="13.5" customHeight="1">
      <c r="A80" s="44" t="s">
        <v>78</v>
      </c>
      <c r="B80" s="44" t="s">
        <v>79</v>
      </c>
      <c r="C80" s="44" t="s">
        <v>80</v>
      </c>
      <c r="D80" s="44" t="s">
        <v>114</v>
      </c>
      <c r="E80" s="44" t="s">
        <v>54</v>
      </c>
      <c r="F80" s="44" t="s">
        <v>124</v>
      </c>
      <c r="G80" s="44" t="s">
        <v>100</v>
      </c>
      <c r="H80" s="44" t="s">
        <v>81</v>
      </c>
      <c r="I80" s="59" t="s">
        <v>176</v>
      </c>
      <c r="J80" s="55">
        <v>1</v>
      </c>
      <c r="K80" s="55" t="s">
        <v>125</v>
      </c>
      <c r="L80" s="46">
        <v>55</v>
      </c>
      <c r="M80" s="47">
        <v>0</v>
      </c>
      <c r="N80" s="47">
        <v>3</v>
      </c>
      <c r="O80" s="48">
        <v>916</v>
      </c>
      <c r="P80" s="48" t="s">
        <v>126</v>
      </c>
      <c r="Q80" s="47">
        <v>1</v>
      </c>
      <c r="R80" s="48">
        <v>0</v>
      </c>
      <c r="S80" s="48">
        <v>0</v>
      </c>
      <c r="T80" s="45" t="s">
        <v>56</v>
      </c>
      <c r="U80" s="49">
        <v>53</v>
      </c>
      <c r="V80" s="45">
        <v>530704</v>
      </c>
      <c r="W80" s="56" t="s">
        <v>84</v>
      </c>
      <c r="X80" s="50">
        <v>6999.999999999999</v>
      </c>
      <c r="Y80" s="50">
        <f>7000-2432.02-3090.28</f>
        <v>1477.6999999999994</v>
      </c>
      <c r="Z80" s="51">
        <v>0</v>
      </c>
      <c r="AA80" s="51">
        <v>0</v>
      </c>
      <c r="AB80" s="51">
        <v>990</v>
      </c>
      <c r="AC80" s="51">
        <v>0</v>
      </c>
      <c r="AD80" s="51">
        <v>0</v>
      </c>
      <c r="AE80" s="51">
        <v>0</v>
      </c>
      <c r="AF80" s="51">
        <v>487.7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2">
        <f t="shared" si="3"/>
        <v>1477.7</v>
      </c>
      <c r="AM80" s="53" t="str">
        <f t="shared" si="4"/>
        <v>OK</v>
      </c>
      <c r="AN80" s="51">
        <f>990+3577.98-3090.28</f>
        <v>1477.6999999999994</v>
      </c>
      <c r="AO80" s="58">
        <f t="shared" si="5"/>
        <v>0</v>
      </c>
    </row>
    <row r="81" spans="1:41" s="54" customFormat="1" ht="13.5" customHeight="1">
      <c r="A81" s="44" t="s">
        <v>78</v>
      </c>
      <c r="B81" s="44" t="s">
        <v>79</v>
      </c>
      <c r="C81" s="44" t="s">
        <v>80</v>
      </c>
      <c r="D81" s="44" t="s">
        <v>114</v>
      </c>
      <c r="E81" s="44" t="s">
        <v>120</v>
      </c>
      <c r="F81" s="44" t="s">
        <v>124</v>
      </c>
      <c r="G81" s="44" t="s">
        <v>100</v>
      </c>
      <c r="H81" s="44" t="s">
        <v>81</v>
      </c>
      <c r="I81" s="59" t="s">
        <v>177</v>
      </c>
      <c r="J81" s="55">
        <v>1</v>
      </c>
      <c r="K81" s="55" t="s">
        <v>125</v>
      </c>
      <c r="L81" s="46">
        <v>55</v>
      </c>
      <c r="M81" s="47">
        <v>0</v>
      </c>
      <c r="N81" s="47">
        <v>3</v>
      </c>
      <c r="O81" s="48">
        <v>916</v>
      </c>
      <c r="P81" s="48" t="s">
        <v>126</v>
      </c>
      <c r="Q81" s="47">
        <v>1</v>
      </c>
      <c r="R81" s="48">
        <v>0</v>
      </c>
      <c r="S81" s="48">
        <v>0</v>
      </c>
      <c r="T81" s="45" t="s">
        <v>56</v>
      </c>
      <c r="U81" s="49" t="s">
        <v>65</v>
      </c>
      <c r="V81" s="45">
        <v>530813</v>
      </c>
      <c r="W81" s="56" t="s">
        <v>74</v>
      </c>
      <c r="X81" s="50">
        <v>4479.999999999999</v>
      </c>
      <c r="Y81" s="50">
        <f>550.42-550.42</f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2">
        <f t="shared" si="3"/>
        <v>0</v>
      </c>
      <c r="AM81" s="53" t="str">
        <f t="shared" si="4"/>
        <v>OK</v>
      </c>
      <c r="AN81" s="51">
        <v>0</v>
      </c>
      <c r="AO81" s="58">
        <f t="shared" si="5"/>
        <v>0</v>
      </c>
    </row>
    <row r="82" spans="1:41" s="54" customFormat="1" ht="13.5" customHeight="1">
      <c r="A82" s="44" t="s">
        <v>78</v>
      </c>
      <c r="B82" s="44" t="s">
        <v>79</v>
      </c>
      <c r="C82" s="44" t="s">
        <v>80</v>
      </c>
      <c r="D82" s="44" t="s">
        <v>114</v>
      </c>
      <c r="E82" s="44" t="s">
        <v>54</v>
      </c>
      <c r="F82" s="44" t="s">
        <v>124</v>
      </c>
      <c r="G82" s="44" t="s">
        <v>100</v>
      </c>
      <c r="H82" s="44" t="s">
        <v>81</v>
      </c>
      <c r="I82" s="59" t="s">
        <v>178</v>
      </c>
      <c r="J82" s="55">
        <v>1</v>
      </c>
      <c r="K82" s="55" t="s">
        <v>125</v>
      </c>
      <c r="L82" s="46">
        <v>55</v>
      </c>
      <c r="M82" s="47">
        <v>0</v>
      </c>
      <c r="N82" s="47">
        <v>3</v>
      </c>
      <c r="O82" s="48">
        <v>916</v>
      </c>
      <c r="P82" s="48" t="s">
        <v>126</v>
      </c>
      <c r="Q82" s="47">
        <v>1</v>
      </c>
      <c r="R82" s="48">
        <v>0</v>
      </c>
      <c r="S82" s="48">
        <v>0</v>
      </c>
      <c r="T82" s="45" t="s">
        <v>56</v>
      </c>
      <c r="U82" s="49" t="s">
        <v>65</v>
      </c>
      <c r="V82" s="45">
        <v>530813</v>
      </c>
      <c r="W82" s="56" t="s">
        <v>74</v>
      </c>
      <c r="X82" s="50">
        <v>0</v>
      </c>
      <c r="Y82" s="50">
        <f>6516.88-851.7+550.42-6215.6</f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2">
        <f t="shared" si="3"/>
        <v>0</v>
      </c>
      <c r="AM82" s="53" t="str">
        <f t="shared" si="4"/>
        <v>OK</v>
      </c>
      <c r="AN82" s="51">
        <f>6214.48-1126.26-90-4998.22</f>
        <v>0</v>
      </c>
      <c r="AO82" s="58">
        <f t="shared" si="5"/>
        <v>0</v>
      </c>
    </row>
    <row r="83" spans="1:41" s="54" customFormat="1" ht="13.5" customHeight="1">
      <c r="A83" s="44" t="s">
        <v>78</v>
      </c>
      <c r="B83" s="44" t="s">
        <v>79</v>
      </c>
      <c r="C83" s="44" t="s">
        <v>80</v>
      </c>
      <c r="D83" s="44" t="s">
        <v>114</v>
      </c>
      <c r="E83" s="44" t="s">
        <v>54</v>
      </c>
      <c r="F83" s="44" t="s">
        <v>124</v>
      </c>
      <c r="G83" s="44" t="s">
        <v>100</v>
      </c>
      <c r="H83" s="44" t="s">
        <v>81</v>
      </c>
      <c r="I83" s="59" t="s">
        <v>179</v>
      </c>
      <c r="J83" s="55">
        <v>1</v>
      </c>
      <c r="K83" s="55" t="s">
        <v>125</v>
      </c>
      <c r="L83" s="46">
        <v>55</v>
      </c>
      <c r="M83" s="47">
        <v>0</v>
      </c>
      <c r="N83" s="47">
        <v>3</v>
      </c>
      <c r="O83" s="48">
        <v>916</v>
      </c>
      <c r="P83" s="48" t="s">
        <v>126</v>
      </c>
      <c r="Q83" s="47">
        <v>1</v>
      </c>
      <c r="R83" s="48">
        <v>0</v>
      </c>
      <c r="S83" s="48">
        <v>0</v>
      </c>
      <c r="T83" s="45" t="s">
        <v>56</v>
      </c>
      <c r="U83" s="49" t="s">
        <v>65</v>
      </c>
      <c r="V83" s="45">
        <v>530813</v>
      </c>
      <c r="W83" s="56" t="s">
        <v>74</v>
      </c>
      <c r="X83" s="50">
        <v>0</v>
      </c>
      <c r="Y83" s="50">
        <f>7593.54-7593.54</f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2">
        <f t="shared" si="3"/>
        <v>0</v>
      </c>
      <c r="AM83" s="53" t="str">
        <f t="shared" si="4"/>
        <v>OK</v>
      </c>
      <c r="AN83" s="51">
        <f>5985+912.85-6897.85</f>
        <v>0</v>
      </c>
      <c r="AO83" s="58">
        <f t="shared" si="5"/>
        <v>0</v>
      </c>
    </row>
    <row r="84" spans="1:41" s="54" customFormat="1" ht="13.5" customHeight="1">
      <c r="A84" s="44" t="s">
        <v>78</v>
      </c>
      <c r="B84" s="44" t="s">
        <v>79</v>
      </c>
      <c r="C84" s="44" t="s">
        <v>80</v>
      </c>
      <c r="D84" s="44" t="s">
        <v>114</v>
      </c>
      <c r="E84" s="44" t="s">
        <v>54</v>
      </c>
      <c r="F84" s="44" t="s">
        <v>124</v>
      </c>
      <c r="G84" s="44" t="s">
        <v>100</v>
      </c>
      <c r="H84" s="44" t="s">
        <v>81</v>
      </c>
      <c r="I84" s="59" t="s">
        <v>180</v>
      </c>
      <c r="J84" s="55">
        <v>1</v>
      </c>
      <c r="K84" s="55" t="s">
        <v>125</v>
      </c>
      <c r="L84" s="46">
        <v>55</v>
      </c>
      <c r="M84" s="47">
        <v>0</v>
      </c>
      <c r="N84" s="47">
        <v>3</v>
      </c>
      <c r="O84" s="48">
        <v>916</v>
      </c>
      <c r="P84" s="48" t="s">
        <v>126</v>
      </c>
      <c r="Q84" s="47">
        <v>1</v>
      </c>
      <c r="R84" s="48">
        <v>0</v>
      </c>
      <c r="S84" s="48">
        <v>0</v>
      </c>
      <c r="T84" s="45" t="s">
        <v>56</v>
      </c>
      <c r="U84" s="49" t="s">
        <v>65</v>
      </c>
      <c r="V84" s="45">
        <v>530813</v>
      </c>
      <c r="W84" s="56" t="s">
        <v>74</v>
      </c>
      <c r="X84" s="50">
        <v>19999.84</v>
      </c>
      <c r="Y84" s="50">
        <f>15546.91+10800.15-813.42</f>
        <v>25533.64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25533.64</v>
      </c>
      <c r="AJ84" s="51">
        <v>0</v>
      </c>
      <c r="AK84" s="51">
        <v>0</v>
      </c>
      <c r="AL84" s="52">
        <f aca="true" t="shared" si="6" ref="AL84:AL147">SUBTOTAL(9,Z84:AK84)</f>
        <v>25533.64</v>
      </c>
      <c r="AM84" s="53" t="str">
        <f aca="true" t="shared" si="7" ref="AM84:AM147">IF(AL84=Y84,"OK",Y84-AL84)</f>
        <v>OK</v>
      </c>
      <c r="AN84" s="51">
        <f>15546.91+23524.16-15546.91-362.43+2371.91</f>
        <v>25533.64</v>
      </c>
      <c r="AO84" s="58">
        <f t="shared" si="5"/>
        <v>0</v>
      </c>
    </row>
    <row r="85" spans="1:41" s="54" customFormat="1" ht="13.5" customHeight="1">
      <c r="A85" s="44" t="s">
        <v>78</v>
      </c>
      <c r="B85" s="44" t="s">
        <v>79</v>
      </c>
      <c r="C85" s="44" t="s">
        <v>80</v>
      </c>
      <c r="D85" s="44" t="s">
        <v>114</v>
      </c>
      <c r="E85" s="44" t="s">
        <v>54</v>
      </c>
      <c r="F85" s="44" t="s">
        <v>124</v>
      </c>
      <c r="G85" s="44" t="s">
        <v>100</v>
      </c>
      <c r="H85" s="44" t="s">
        <v>81</v>
      </c>
      <c r="I85" s="59" t="s">
        <v>181</v>
      </c>
      <c r="J85" s="55">
        <v>1</v>
      </c>
      <c r="K85" s="55" t="s">
        <v>125</v>
      </c>
      <c r="L85" s="46">
        <v>55</v>
      </c>
      <c r="M85" s="47">
        <v>0</v>
      </c>
      <c r="N85" s="47">
        <v>3</v>
      </c>
      <c r="O85" s="48">
        <v>916</v>
      </c>
      <c r="P85" s="48" t="s">
        <v>126</v>
      </c>
      <c r="Q85" s="47">
        <v>1</v>
      </c>
      <c r="R85" s="48">
        <v>0</v>
      </c>
      <c r="S85" s="48">
        <v>0</v>
      </c>
      <c r="T85" s="45" t="s">
        <v>56</v>
      </c>
      <c r="U85" s="49">
        <v>53</v>
      </c>
      <c r="V85" s="45">
        <v>531407</v>
      </c>
      <c r="W85" s="56" t="s">
        <v>83</v>
      </c>
      <c r="X85" s="50">
        <v>23999.36</v>
      </c>
      <c r="Y85" s="50">
        <f>19125.54-168.16-4457.38</f>
        <v>14500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14500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2">
        <f t="shared" si="6"/>
        <v>14500</v>
      </c>
      <c r="AM85" s="53" t="str">
        <f t="shared" si="7"/>
        <v>OK</v>
      </c>
      <c r="AN85" s="51">
        <f>19125.54-4625.54-5098.4+5098.4</f>
        <v>14500</v>
      </c>
      <c r="AO85" s="58">
        <f t="shared" si="5"/>
        <v>0</v>
      </c>
    </row>
    <row r="86" spans="1:41" s="54" customFormat="1" ht="13.5" customHeight="1">
      <c r="A86" s="44" t="s">
        <v>51</v>
      </c>
      <c r="B86" s="44" t="s">
        <v>52</v>
      </c>
      <c r="C86" s="44" t="s">
        <v>53</v>
      </c>
      <c r="D86" s="44" t="s">
        <v>85</v>
      </c>
      <c r="E86" s="44" t="s">
        <v>54</v>
      </c>
      <c r="F86" s="44" t="s">
        <v>124</v>
      </c>
      <c r="G86" s="44" t="s">
        <v>115</v>
      </c>
      <c r="H86" s="44" t="s">
        <v>55</v>
      </c>
      <c r="I86" s="59" t="s">
        <v>86</v>
      </c>
      <c r="J86" s="55">
        <v>1</v>
      </c>
      <c r="K86" s="55" t="s">
        <v>125</v>
      </c>
      <c r="L86" s="46">
        <v>1</v>
      </c>
      <c r="M86" s="47">
        <v>0</v>
      </c>
      <c r="N86" s="47">
        <v>1</v>
      </c>
      <c r="O86" s="48">
        <v>1200</v>
      </c>
      <c r="P86" s="48" t="s">
        <v>182</v>
      </c>
      <c r="Q86" s="47">
        <v>1</v>
      </c>
      <c r="R86" s="48">
        <v>0</v>
      </c>
      <c r="S86" s="48">
        <v>0</v>
      </c>
      <c r="T86" s="45" t="s">
        <v>56</v>
      </c>
      <c r="U86" s="49">
        <v>51</v>
      </c>
      <c r="V86" s="45">
        <v>510105</v>
      </c>
      <c r="W86" s="56" t="s">
        <v>87</v>
      </c>
      <c r="X86" s="50">
        <v>129471</v>
      </c>
      <c r="Y86" s="50">
        <v>129552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10796</v>
      </c>
      <c r="AF86" s="51">
        <v>19792.66</v>
      </c>
      <c r="AG86" s="51">
        <v>19792.66</v>
      </c>
      <c r="AH86" s="51">
        <v>19792.66</v>
      </c>
      <c r="AI86" s="51">
        <v>19792.66</v>
      </c>
      <c r="AJ86" s="51">
        <v>19792.66</v>
      </c>
      <c r="AK86" s="51">
        <v>19792.7</v>
      </c>
      <c r="AL86" s="52">
        <f t="shared" si="6"/>
        <v>129552</v>
      </c>
      <c r="AM86" s="53" t="str">
        <f t="shared" si="7"/>
        <v>OK</v>
      </c>
      <c r="AN86" s="51">
        <f>64776+10796+10796+10796+10796+10796+10796</f>
        <v>129552</v>
      </c>
      <c r="AO86" s="58">
        <f t="shared" si="5"/>
        <v>0</v>
      </c>
    </row>
    <row r="87" spans="1:41" s="54" customFormat="1" ht="13.5" customHeight="1">
      <c r="A87" s="44" t="s">
        <v>51</v>
      </c>
      <c r="B87" s="44" t="s">
        <v>52</v>
      </c>
      <c r="C87" s="44" t="s">
        <v>53</v>
      </c>
      <c r="D87" s="44" t="s">
        <v>85</v>
      </c>
      <c r="E87" s="44" t="s">
        <v>54</v>
      </c>
      <c r="F87" s="44" t="s">
        <v>124</v>
      </c>
      <c r="G87" s="44" t="s">
        <v>115</v>
      </c>
      <c r="H87" s="44" t="s">
        <v>55</v>
      </c>
      <c r="I87" s="59" t="s">
        <v>86</v>
      </c>
      <c r="J87" s="55">
        <v>1</v>
      </c>
      <c r="K87" s="55" t="s">
        <v>125</v>
      </c>
      <c r="L87" s="46">
        <v>1</v>
      </c>
      <c r="M87" s="47">
        <v>0</v>
      </c>
      <c r="N87" s="47">
        <v>1</v>
      </c>
      <c r="O87" s="48">
        <v>1200</v>
      </c>
      <c r="P87" s="48" t="s">
        <v>182</v>
      </c>
      <c r="Q87" s="47">
        <v>1</v>
      </c>
      <c r="R87" s="48">
        <v>0</v>
      </c>
      <c r="S87" s="48">
        <v>0</v>
      </c>
      <c r="T87" s="45" t="s">
        <v>56</v>
      </c>
      <c r="U87" s="49">
        <v>51</v>
      </c>
      <c r="V87" s="45">
        <v>510106</v>
      </c>
      <c r="W87" s="56" t="s">
        <v>88</v>
      </c>
      <c r="X87" s="50">
        <v>28752</v>
      </c>
      <c r="Y87" s="50">
        <f>28752+707.28-707.28</f>
        <v>28752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2396</v>
      </c>
      <c r="AF87" s="51">
        <v>4392.67</v>
      </c>
      <c r="AG87" s="51">
        <v>4392.67</v>
      </c>
      <c r="AH87" s="51">
        <v>4392.67</v>
      </c>
      <c r="AI87" s="51">
        <v>4392.67</v>
      </c>
      <c r="AJ87" s="51">
        <v>4392.67</v>
      </c>
      <c r="AK87" s="51">
        <v>4392.65</v>
      </c>
      <c r="AL87" s="52">
        <f t="shared" si="6"/>
        <v>28752</v>
      </c>
      <c r="AM87" s="53" t="str">
        <f t="shared" si="7"/>
        <v>OK</v>
      </c>
      <c r="AN87" s="51">
        <f>14376+2396+2396+2396+2396+2396+2396</f>
        <v>28752</v>
      </c>
      <c r="AO87" s="58">
        <f t="shared" si="5"/>
        <v>0</v>
      </c>
    </row>
    <row r="88" spans="1:41" s="54" customFormat="1" ht="13.5" customHeight="1">
      <c r="A88" s="44" t="s">
        <v>51</v>
      </c>
      <c r="B88" s="44" t="s">
        <v>52</v>
      </c>
      <c r="C88" s="44" t="s">
        <v>53</v>
      </c>
      <c r="D88" s="44" t="s">
        <v>85</v>
      </c>
      <c r="E88" s="44" t="s">
        <v>54</v>
      </c>
      <c r="F88" s="44" t="s">
        <v>124</v>
      </c>
      <c r="G88" s="44" t="s">
        <v>115</v>
      </c>
      <c r="H88" s="44" t="s">
        <v>55</v>
      </c>
      <c r="I88" s="59" t="s">
        <v>86</v>
      </c>
      <c r="J88" s="55">
        <v>1</v>
      </c>
      <c r="K88" s="55" t="s">
        <v>125</v>
      </c>
      <c r="L88" s="46">
        <v>1</v>
      </c>
      <c r="M88" s="47">
        <v>0</v>
      </c>
      <c r="N88" s="47">
        <v>1</v>
      </c>
      <c r="O88" s="48">
        <v>1200</v>
      </c>
      <c r="P88" s="48" t="s">
        <v>182</v>
      </c>
      <c r="Q88" s="47">
        <v>1</v>
      </c>
      <c r="R88" s="48">
        <v>0</v>
      </c>
      <c r="S88" s="48">
        <v>0</v>
      </c>
      <c r="T88" s="45" t="s">
        <v>56</v>
      </c>
      <c r="U88" s="49">
        <v>51</v>
      </c>
      <c r="V88" s="45">
        <v>510203</v>
      </c>
      <c r="W88" s="56" t="s">
        <v>89</v>
      </c>
      <c r="X88" s="50">
        <v>13208</v>
      </c>
      <c r="Y88" s="50">
        <f>3994.34+9755.36-412.4</f>
        <v>13337.300000000001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332.86</v>
      </c>
      <c r="AF88" s="51">
        <v>610.25</v>
      </c>
      <c r="AG88" s="51">
        <v>610.25</v>
      </c>
      <c r="AH88" s="51">
        <v>610.25</v>
      </c>
      <c r="AI88" s="51">
        <v>610.25</v>
      </c>
      <c r="AJ88" s="51">
        <v>610.25</v>
      </c>
      <c r="AK88" s="51">
        <v>9953.19</v>
      </c>
      <c r="AL88" s="52">
        <f t="shared" si="6"/>
        <v>13337.300000000001</v>
      </c>
      <c r="AM88" s="53" t="str">
        <f t="shared" si="7"/>
        <v>OK</v>
      </c>
      <c r="AN88" s="51">
        <f>493.02+82.17+82.11+82.17+82.17+82.17+12433.49</f>
        <v>13337.3</v>
      </c>
      <c r="AO88" s="58">
        <f t="shared" si="5"/>
        <v>0</v>
      </c>
    </row>
    <row r="89" spans="1:41" s="54" customFormat="1" ht="13.5" customHeight="1">
      <c r="A89" s="44" t="s">
        <v>51</v>
      </c>
      <c r="B89" s="44" t="s">
        <v>52</v>
      </c>
      <c r="C89" s="44" t="s">
        <v>53</v>
      </c>
      <c r="D89" s="44" t="s">
        <v>85</v>
      </c>
      <c r="E89" s="44" t="s">
        <v>54</v>
      </c>
      <c r="F89" s="44" t="s">
        <v>124</v>
      </c>
      <c r="G89" s="44" t="s">
        <v>115</v>
      </c>
      <c r="H89" s="44" t="s">
        <v>55</v>
      </c>
      <c r="I89" s="59" t="s">
        <v>86</v>
      </c>
      <c r="J89" s="55">
        <v>1</v>
      </c>
      <c r="K89" s="55" t="s">
        <v>125</v>
      </c>
      <c r="L89" s="46">
        <v>1</v>
      </c>
      <c r="M89" s="47">
        <v>0</v>
      </c>
      <c r="N89" s="47">
        <v>1</v>
      </c>
      <c r="O89" s="48">
        <v>1200</v>
      </c>
      <c r="P89" s="48" t="s">
        <v>182</v>
      </c>
      <c r="Q89" s="47">
        <v>1</v>
      </c>
      <c r="R89" s="48">
        <v>0</v>
      </c>
      <c r="S89" s="48">
        <v>0</v>
      </c>
      <c r="T89" s="45" t="s">
        <v>56</v>
      </c>
      <c r="U89" s="49">
        <v>51</v>
      </c>
      <c r="V89" s="45">
        <v>510204</v>
      </c>
      <c r="W89" s="56" t="s">
        <v>90</v>
      </c>
      <c r="X89" s="50">
        <v>5003</v>
      </c>
      <c r="Y89" s="50">
        <f>5758.39+142-0.32</f>
        <v>5900.070000000001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479.86</v>
      </c>
      <c r="AF89" s="51">
        <v>879.75</v>
      </c>
      <c r="AG89" s="51">
        <v>879.75</v>
      </c>
      <c r="AH89" s="51">
        <v>879.75</v>
      </c>
      <c r="AI89" s="51">
        <v>879.75</v>
      </c>
      <c r="AJ89" s="51">
        <v>879.75</v>
      </c>
      <c r="AK89" s="51">
        <v>1021.46</v>
      </c>
      <c r="AL89" s="52">
        <f t="shared" si="6"/>
        <v>5900.070000000001</v>
      </c>
      <c r="AM89" s="53" t="str">
        <f t="shared" si="7"/>
        <v>OK</v>
      </c>
      <c r="AN89" s="51">
        <f>5687.58+35.42+35.39+35.03+35.81+35.42+35.42</f>
        <v>5900.070000000001</v>
      </c>
      <c r="AO89" s="58">
        <f t="shared" si="5"/>
        <v>0</v>
      </c>
    </row>
    <row r="90" spans="1:41" s="54" customFormat="1" ht="13.5" customHeight="1">
      <c r="A90" s="44" t="s">
        <v>51</v>
      </c>
      <c r="B90" s="44" t="s">
        <v>52</v>
      </c>
      <c r="C90" s="44" t="s">
        <v>53</v>
      </c>
      <c r="D90" s="44" t="s">
        <v>85</v>
      </c>
      <c r="E90" s="44" t="s">
        <v>54</v>
      </c>
      <c r="F90" s="44" t="s">
        <v>124</v>
      </c>
      <c r="G90" s="44" t="s">
        <v>115</v>
      </c>
      <c r="H90" s="44" t="s">
        <v>55</v>
      </c>
      <c r="I90" s="59" t="s">
        <v>183</v>
      </c>
      <c r="J90" s="55">
        <v>1</v>
      </c>
      <c r="K90" s="55" t="s">
        <v>125</v>
      </c>
      <c r="L90" s="46">
        <v>1</v>
      </c>
      <c r="M90" s="47">
        <v>0</v>
      </c>
      <c r="N90" s="47">
        <v>1</v>
      </c>
      <c r="O90" s="48">
        <v>1200</v>
      </c>
      <c r="P90" s="48" t="s">
        <v>182</v>
      </c>
      <c r="Q90" s="47">
        <v>1</v>
      </c>
      <c r="R90" s="48">
        <v>0</v>
      </c>
      <c r="S90" s="48">
        <v>0</v>
      </c>
      <c r="T90" s="45" t="s">
        <v>56</v>
      </c>
      <c r="U90" s="49" t="s">
        <v>128</v>
      </c>
      <c r="V90" s="45">
        <v>510304</v>
      </c>
      <c r="W90" s="56" t="s">
        <v>119</v>
      </c>
      <c r="X90" s="50">
        <v>0</v>
      </c>
      <c r="Y90" s="50">
        <f>132-132</f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2">
        <f t="shared" si="6"/>
        <v>0</v>
      </c>
      <c r="AM90" s="53" t="str">
        <f t="shared" si="7"/>
        <v>OK</v>
      </c>
      <c r="AN90" s="51">
        <v>0</v>
      </c>
      <c r="AO90" s="58">
        <f t="shared" si="5"/>
        <v>0</v>
      </c>
    </row>
    <row r="91" spans="1:41" s="54" customFormat="1" ht="13.5" customHeight="1">
      <c r="A91" s="44" t="s">
        <v>51</v>
      </c>
      <c r="B91" s="44" t="s">
        <v>52</v>
      </c>
      <c r="C91" s="44" t="s">
        <v>53</v>
      </c>
      <c r="D91" s="44" t="s">
        <v>85</v>
      </c>
      <c r="E91" s="44" t="s">
        <v>54</v>
      </c>
      <c r="F91" s="44" t="s">
        <v>124</v>
      </c>
      <c r="G91" s="44" t="s">
        <v>115</v>
      </c>
      <c r="H91" s="44" t="s">
        <v>55</v>
      </c>
      <c r="I91" s="59" t="s">
        <v>127</v>
      </c>
      <c r="J91" s="55">
        <v>1</v>
      </c>
      <c r="K91" s="55" t="s">
        <v>125</v>
      </c>
      <c r="L91" s="46">
        <v>1</v>
      </c>
      <c r="M91" s="47">
        <v>0</v>
      </c>
      <c r="N91" s="47">
        <v>1</v>
      </c>
      <c r="O91" s="48">
        <v>1200</v>
      </c>
      <c r="P91" s="48" t="s">
        <v>182</v>
      </c>
      <c r="Q91" s="47">
        <v>1</v>
      </c>
      <c r="R91" s="48">
        <v>0</v>
      </c>
      <c r="S91" s="48">
        <v>0</v>
      </c>
      <c r="T91" s="45" t="s">
        <v>56</v>
      </c>
      <c r="U91" s="49" t="s">
        <v>128</v>
      </c>
      <c r="V91" s="45">
        <v>510306</v>
      </c>
      <c r="W91" s="56" t="s">
        <v>91</v>
      </c>
      <c r="X91" s="50">
        <v>0</v>
      </c>
      <c r="Y91" s="50">
        <f>660-660</f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2">
        <f t="shared" si="6"/>
        <v>0</v>
      </c>
      <c r="AM91" s="53" t="str">
        <f t="shared" si="7"/>
        <v>OK</v>
      </c>
      <c r="AN91" s="51">
        <v>0</v>
      </c>
      <c r="AO91" s="58">
        <f t="shared" si="5"/>
        <v>0</v>
      </c>
    </row>
    <row r="92" spans="1:41" s="54" customFormat="1" ht="13.5" customHeight="1">
      <c r="A92" s="44" t="s">
        <v>51</v>
      </c>
      <c r="B92" s="44" t="s">
        <v>52</v>
      </c>
      <c r="C92" s="44" t="s">
        <v>53</v>
      </c>
      <c r="D92" s="44" t="s">
        <v>85</v>
      </c>
      <c r="E92" s="44" t="s">
        <v>54</v>
      </c>
      <c r="F92" s="44" t="s">
        <v>124</v>
      </c>
      <c r="G92" s="44" t="s">
        <v>115</v>
      </c>
      <c r="H92" s="44" t="s">
        <v>55</v>
      </c>
      <c r="I92" s="59" t="s">
        <v>129</v>
      </c>
      <c r="J92" s="55">
        <v>1</v>
      </c>
      <c r="K92" s="55" t="s">
        <v>125</v>
      </c>
      <c r="L92" s="46">
        <v>1</v>
      </c>
      <c r="M92" s="47">
        <v>0</v>
      </c>
      <c r="N92" s="47">
        <v>1</v>
      </c>
      <c r="O92" s="48">
        <v>1200</v>
      </c>
      <c r="P92" s="48" t="s">
        <v>182</v>
      </c>
      <c r="Q92" s="47">
        <v>1</v>
      </c>
      <c r="R92" s="48">
        <v>0</v>
      </c>
      <c r="S92" s="48">
        <v>0</v>
      </c>
      <c r="T92" s="45" t="s">
        <v>56</v>
      </c>
      <c r="U92" s="49">
        <v>51</v>
      </c>
      <c r="V92" s="45">
        <v>510401</v>
      </c>
      <c r="W92" s="56" t="s">
        <v>92</v>
      </c>
      <c r="X92" s="50">
        <v>0</v>
      </c>
      <c r="Y92" s="50">
        <f>63.75-63.75</f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2">
        <f t="shared" si="6"/>
        <v>0</v>
      </c>
      <c r="AM92" s="53" t="str">
        <f t="shared" si="7"/>
        <v>OK</v>
      </c>
      <c r="AN92" s="51"/>
      <c r="AO92" s="58">
        <f t="shared" si="5"/>
        <v>0</v>
      </c>
    </row>
    <row r="93" spans="1:41" s="54" customFormat="1" ht="13.5" customHeight="1">
      <c r="A93" s="44" t="s">
        <v>51</v>
      </c>
      <c r="B93" s="44" t="s">
        <v>52</v>
      </c>
      <c r="C93" s="44" t="s">
        <v>53</v>
      </c>
      <c r="D93" s="44" t="s">
        <v>85</v>
      </c>
      <c r="E93" s="44" t="s">
        <v>54</v>
      </c>
      <c r="F93" s="44" t="s">
        <v>124</v>
      </c>
      <c r="G93" s="44" t="s">
        <v>115</v>
      </c>
      <c r="H93" s="44" t="s">
        <v>55</v>
      </c>
      <c r="I93" s="59" t="s">
        <v>130</v>
      </c>
      <c r="J93" s="55">
        <v>1</v>
      </c>
      <c r="K93" s="55" t="s">
        <v>125</v>
      </c>
      <c r="L93" s="46">
        <v>1</v>
      </c>
      <c r="M93" s="47">
        <v>0</v>
      </c>
      <c r="N93" s="47">
        <v>1</v>
      </c>
      <c r="O93" s="48">
        <v>1200</v>
      </c>
      <c r="P93" s="48" t="s">
        <v>182</v>
      </c>
      <c r="Q93" s="47">
        <v>1</v>
      </c>
      <c r="R93" s="48">
        <v>0</v>
      </c>
      <c r="S93" s="48">
        <v>0</v>
      </c>
      <c r="T93" s="45" t="s">
        <v>56</v>
      </c>
      <c r="U93" s="49">
        <v>51</v>
      </c>
      <c r="V93" s="45">
        <v>510408</v>
      </c>
      <c r="W93" s="56" t="s">
        <v>93</v>
      </c>
      <c r="X93" s="50">
        <v>0</v>
      </c>
      <c r="Y93" s="50">
        <f>135.4-135.4</f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2">
        <f t="shared" si="6"/>
        <v>0</v>
      </c>
      <c r="AM93" s="53" t="str">
        <f t="shared" si="7"/>
        <v>OK</v>
      </c>
      <c r="AN93" s="51">
        <v>0</v>
      </c>
      <c r="AO93" s="58">
        <f t="shared" si="5"/>
        <v>0</v>
      </c>
    </row>
    <row r="94" spans="1:41" s="54" customFormat="1" ht="13.5" customHeight="1">
      <c r="A94" s="44" t="s">
        <v>51</v>
      </c>
      <c r="B94" s="44" t="s">
        <v>52</v>
      </c>
      <c r="C94" s="44" t="s">
        <v>53</v>
      </c>
      <c r="D94" s="44" t="s">
        <v>85</v>
      </c>
      <c r="E94" s="44" t="s">
        <v>54</v>
      </c>
      <c r="F94" s="44" t="s">
        <v>124</v>
      </c>
      <c r="G94" s="44" t="s">
        <v>115</v>
      </c>
      <c r="H94" s="44" t="s">
        <v>55</v>
      </c>
      <c r="I94" s="59" t="s">
        <v>86</v>
      </c>
      <c r="J94" s="55">
        <v>1</v>
      </c>
      <c r="K94" s="55" t="s">
        <v>125</v>
      </c>
      <c r="L94" s="46">
        <v>1</v>
      </c>
      <c r="M94" s="47">
        <v>0</v>
      </c>
      <c r="N94" s="47">
        <v>1</v>
      </c>
      <c r="O94" s="48">
        <v>1200</v>
      </c>
      <c r="P94" s="48" t="s">
        <v>182</v>
      </c>
      <c r="Q94" s="47">
        <v>1</v>
      </c>
      <c r="R94" s="48">
        <v>0</v>
      </c>
      <c r="S94" s="48">
        <v>0</v>
      </c>
      <c r="T94" s="45" t="s">
        <v>56</v>
      </c>
      <c r="U94" s="49">
        <v>51</v>
      </c>
      <c r="V94" s="45">
        <v>510509</v>
      </c>
      <c r="W94" s="56" t="s">
        <v>94</v>
      </c>
      <c r="X94" s="50">
        <v>2000</v>
      </c>
      <c r="Y94" s="50">
        <f>1000+500+123.13-2.95</f>
        <v>1620.18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83.33</v>
      </c>
      <c r="AF94" s="51">
        <v>152.78</v>
      </c>
      <c r="AG94" s="51">
        <v>152.78</v>
      </c>
      <c r="AH94" s="51">
        <v>152.78</v>
      </c>
      <c r="AI94" s="51">
        <v>152.78</v>
      </c>
      <c r="AJ94" s="51">
        <v>152.78</v>
      </c>
      <c r="AK94" s="51">
        <v>772.95</v>
      </c>
      <c r="AL94" s="52">
        <f t="shared" si="6"/>
        <v>1620.1799999999998</v>
      </c>
      <c r="AM94" s="53" t="str">
        <f t="shared" si="7"/>
        <v>OK</v>
      </c>
      <c r="AN94" s="51">
        <f>618.35+167.26+115.69+411.05+123.39+184.44</f>
        <v>1620.18</v>
      </c>
      <c r="AO94" s="58">
        <f t="shared" si="5"/>
        <v>0</v>
      </c>
    </row>
    <row r="95" spans="1:41" s="54" customFormat="1" ht="13.5" customHeight="1">
      <c r="A95" s="44" t="s">
        <v>51</v>
      </c>
      <c r="B95" s="44" t="s">
        <v>52</v>
      </c>
      <c r="C95" s="44" t="s">
        <v>53</v>
      </c>
      <c r="D95" s="44" t="s">
        <v>85</v>
      </c>
      <c r="E95" s="44" t="s">
        <v>54</v>
      </c>
      <c r="F95" s="44" t="s">
        <v>124</v>
      </c>
      <c r="G95" s="44" t="s">
        <v>115</v>
      </c>
      <c r="H95" s="44" t="s">
        <v>55</v>
      </c>
      <c r="I95" s="59" t="s">
        <v>86</v>
      </c>
      <c r="J95" s="55">
        <v>1</v>
      </c>
      <c r="K95" s="55" t="s">
        <v>125</v>
      </c>
      <c r="L95" s="46">
        <v>1</v>
      </c>
      <c r="M95" s="47">
        <v>0</v>
      </c>
      <c r="N95" s="47">
        <v>1</v>
      </c>
      <c r="O95" s="48">
        <v>1200</v>
      </c>
      <c r="P95" s="48" t="s">
        <v>182</v>
      </c>
      <c r="Q95" s="47">
        <v>1</v>
      </c>
      <c r="R95" s="48">
        <v>0</v>
      </c>
      <c r="S95" s="48">
        <v>0</v>
      </c>
      <c r="T95" s="45" t="s">
        <v>56</v>
      </c>
      <c r="U95" s="49">
        <v>51</v>
      </c>
      <c r="V95" s="45">
        <v>510601</v>
      </c>
      <c r="W95" s="56" t="s">
        <v>95</v>
      </c>
      <c r="X95" s="50">
        <v>15988</v>
      </c>
      <c r="Y95" s="50">
        <f>16013.2+80+98+273.48-272.31</f>
        <v>16192.37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1334.43</v>
      </c>
      <c r="AF95" s="51">
        <v>2446.46</v>
      </c>
      <c r="AG95" s="51">
        <v>2446.46</v>
      </c>
      <c r="AH95" s="51">
        <v>2446.46</v>
      </c>
      <c r="AI95" s="51">
        <v>2446.46</v>
      </c>
      <c r="AJ95" s="51">
        <v>2446.46</v>
      </c>
      <c r="AK95" s="51">
        <v>2625.64</v>
      </c>
      <c r="AL95" s="52">
        <f t="shared" si="6"/>
        <v>16192.369999999999</v>
      </c>
      <c r="AM95" s="53" t="str">
        <f t="shared" si="7"/>
        <v>OK</v>
      </c>
      <c r="AN95" s="51">
        <f>8072.88+1355.37+1332.96+1353.31+1347.02+1382.88+1347.95</f>
        <v>16192.369999999999</v>
      </c>
      <c r="AO95" s="58">
        <f t="shared" si="5"/>
        <v>0</v>
      </c>
    </row>
    <row r="96" spans="1:41" s="54" customFormat="1" ht="13.5" customHeight="1">
      <c r="A96" s="44" t="s">
        <v>51</v>
      </c>
      <c r="B96" s="44" t="s">
        <v>52</v>
      </c>
      <c r="C96" s="44" t="s">
        <v>53</v>
      </c>
      <c r="D96" s="44" t="s">
        <v>85</v>
      </c>
      <c r="E96" s="44" t="s">
        <v>54</v>
      </c>
      <c r="F96" s="44" t="s">
        <v>124</v>
      </c>
      <c r="G96" s="44" t="s">
        <v>115</v>
      </c>
      <c r="H96" s="44" t="s">
        <v>55</v>
      </c>
      <c r="I96" s="59" t="s">
        <v>86</v>
      </c>
      <c r="J96" s="55">
        <v>1</v>
      </c>
      <c r="K96" s="55" t="s">
        <v>125</v>
      </c>
      <c r="L96" s="46">
        <v>1</v>
      </c>
      <c r="M96" s="47">
        <v>0</v>
      </c>
      <c r="N96" s="47">
        <v>1</v>
      </c>
      <c r="O96" s="48">
        <v>1200</v>
      </c>
      <c r="P96" s="48" t="s">
        <v>182</v>
      </c>
      <c r="Q96" s="47">
        <v>1</v>
      </c>
      <c r="R96" s="48">
        <v>0</v>
      </c>
      <c r="S96" s="48">
        <v>0</v>
      </c>
      <c r="T96" s="45" t="s">
        <v>56</v>
      </c>
      <c r="U96" s="49">
        <v>51</v>
      </c>
      <c r="V96" s="45">
        <v>510602</v>
      </c>
      <c r="W96" s="56" t="s">
        <v>96</v>
      </c>
      <c r="X96" s="50">
        <v>10989</v>
      </c>
      <c r="Y96" s="50">
        <f>10989+1151+328+155.52+903.64</f>
        <v>13527.16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916</v>
      </c>
      <c r="AF96" s="51">
        <v>1678.83</v>
      </c>
      <c r="AG96" s="51">
        <v>1678.83</v>
      </c>
      <c r="AH96" s="51">
        <v>1678.83</v>
      </c>
      <c r="AI96" s="51">
        <v>1678.83</v>
      </c>
      <c r="AJ96" s="51">
        <v>2375</v>
      </c>
      <c r="AK96" s="51">
        <v>3520.84</v>
      </c>
      <c r="AL96" s="52">
        <f t="shared" si="6"/>
        <v>13527.16</v>
      </c>
      <c r="AM96" s="53" t="str">
        <f t="shared" si="7"/>
        <v>OK</v>
      </c>
      <c r="AN96" s="51">
        <f>5546.21+1098.88+1098.88+1098.88+1387.67+1098.88+2197.76</f>
        <v>13527.160000000002</v>
      </c>
      <c r="AO96" s="58">
        <f t="shared" si="5"/>
        <v>0</v>
      </c>
    </row>
    <row r="97" spans="1:41" s="54" customFormat="1" ht="13.5" customHeight="1">
      <c r="A97" s="44" t="s">
        <v>51</v>
      </c>
      <c r="B97" s="44" t="s">
        <v>52</v>
      </c>
      <c r="C97" s="44" t="s">
        <v>53</v>
      </c>
      <c r="D97" s="44" t="s">
        <v>85</v>
      </c>
      <c r="E97" s="44" t="s">
        <v>54</v>
      </c>
      <c r="F97" s="44" t="s">
        <v>124</v>
      </c>
      <c r="G97" s="44" t="s">
        <v>115</v>
      </c>
      <c r="H97" s="44" t="s">
        <v>55</v>
      </c>
      <c r="I97" s="59" t="s">
        <v>86</v>
      </c>
      <c r="J97" s="55">
        <v>1</v>
      </c>
      <c r="K97" s="55" t="s">
        <v>125</v>
      </c>
      <c r="L97" s="46">
        <v>1</v>
      </c>
      <c r="M97" s="47">
        <v>0</v>
      </c>
      <c r="N97" s="47">
        <v>2</v>
      </c>
      <c r="O97" s="48">
        <v>1200</v>
      </c>
      <c r="P97" s="48" t="s">
        <v>182</v>
      </c>
      <c r="Q97" s="47">
        <v>1</v>
      </c>
      <c r="R97" s="48">
        <v>0</v>
      </c>
      <c r="S97" s="48">
        <v>0</v>
      </c>
      <c r="T97" s="45" t="s">
        <v>56</v>
      </c>
      <c r="U97" s="49">
        <v>51</v>
      </c>
      <c r="V97" s="45">
        <v>510203</v>
      </c>
      <c r="W97" s="56" t="s">
        <v>89</v>
      </c>
      <c r="X97" s="50">
        <v>6597</v>
      </c>
      <c r="Y97" s="50">
        <f>6492-3900-405.24-232.12</f>
        <v>1954.6400000000003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53.5</v>
      </c>
      <c r="AF97" s="51">
        <v>423.08</v>
      </c>
      <c r="AG97" s="51">
        <v>423.08</v>
      </c>
      <c r="AH97" s="51">
        <v>423.08</v>
      </c>
      <c r="AI97" s="51">
        <v>288</v>
      </c>
      <c r="AJ97" s="51">
        <v>288</v>
      </c>
      <c r="AK97" s="51">
        <v>55.9</v>
      </c>
      <c r="AL97" s="52">
        <f t="shared" si="6"/>
        <v>1954.64</v>
      </c>
      <c r="AM97" s="53" t="str">
        <f t="shared" si="7"/>
        <v>OK</v>
      </c>
      <c r="AN97" s="51">
        <f>1710.31+244.33</f>
        <v>1954.6399999999999</v>
      </c>
      <c r="AO97" s="58">
        <f t="shared" si="5"/>
        <v>0</v>
      </c>
    </row>
    <row r="98" spans="1:41" s="54" customFormat="1" ht="13.5" customHeight="1">
      <c r="A98" s="44" t="s">
        <v>51</v>
      </c>
      <c r="B98" s="44" t="s">
        <v>52</v>
      </c>
      <c r="C98" s="44" t="s">
        <v>53</v>
      </c>
      <c r="D98" s="44" t="s">
        <v>85</v>
      </c>
      <c r="E98" s="44" t="s">
        <v>54</v>
      </c>
      <c r="F98" s="44" t="s">
        <v>124</v>
      </c>
      <c r="G98" s="44" t="s">
        <v>115</v>
      </c>
      <c r="H98" s="44" t="s">
        <v>55</v>
      </c>
      <c r="I98" s="59" t="s">
        <v>86</v>
      </c>
      <c r="J98" s="55">
        <v>1</v>
      </c>
      <c r="K98" s="55" t="s">
        <v>125</v>
      </c>
      <c r="L98" s="46">
        <v>1</v>
      </c>
      <c r="M98" s="47">
        <v>0</v>
      </c>
      <c r="N98" s="47">
        <v>2</v>
      </c>
      <c r="O98" s="48">
        <v>1200</v>
      </c>
      <c r="P98" s="48" t="s">
        <v>182</v>
      </c>
      <c r="Q98" s="47">
        <v>1</v>
      </c>
      <c r="R98" s="48">
        <v>0</v>
      </c>
      <c r="S98" s="48">
        <v>0</v>
      </c>
      <c r="T98" s="45" t="s">
        <v>56</v>
      </c>
      <c r="U98" s="49">
        <v>51</v>
      </c>
      <c r="V98" s="45">
        <v>510204</v>
      </c>
      <c r="W98" s="56" t="s">
        <v>90</v>
      </c>
      <c r="X98" s="50">
        <v>2809</v>
      </c>
      <c r="Y98" s="50">
        <f>1192+1542+636.87-64-6.83</f>
        <v>3300.04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292.08</v>
      </c>
      <c r="AF98" s="51">
        <v>406.98</v>
      </c>
      <c r="AG98" s="51">
        <v>406.98</v>
      </c>
      <c r="AH98" s="51">
        <v>566.21</v>
      </c>
      <c r="AI98" s="51">
        <v>566.21</v>
      </c>
      <c r="AJ98" s="51">
        <v>566.21</v>
      </c>
      <c r="AK98" s="51">
        <v>495.37</v>
      </c>
      <c r="AL98" s="52">
        <f t="shared" si="6"/>
        <v>3300.04</v>
      </c>
      <c r="AM98" s="53" t="str">
        <f t="shared" si="7"/>
        <v>OK</v>
      </c>
      <c r="AN98" s="51">
        <f>2733.4+495.81+70.83</f>
        <v>3300.04</v>
      </c>
      <c r="AO98" s="58">
        <f t="shared" si="5"/>
        <v>0</v>
      </c>
    </row>
    <row r="99" spans="1:41" s="54" customFormat="1" ht="13.5" customHeight="1">
      <c r="A99" s="44" t="s">
        <v>51</v>
      </c>
      <c r="B99" s="44" t="s">
        <v>52</v>
      </c>
      <c r="C99" s="44" t="s">
        <v>53</v>
      </c>
      <c r="D99" s="44" t="s">
        <v>85</v>
      </c>
      <c r="E99" s="44" t="s">
        <v>54</v>
      </c>
      <c r="F99" s="44" t="s">
        <v>124</v>
      </c>
      <c r="G99" s="44" t="s">
        <v>115</v>
      </c>
      <c r="H99" s="44" t="s">
        <v>55</v>
      </c>
      <c r="I99" s="59" t="s">
        <v>86</v>
      </c>
      <c r="J99" s="55">
        <v>1</v>
      </c>
      <c r="K99" s="55" t="s">
        <v>125</v>
      </c>
      <c r="L99" s="46">
        <v>1</v>
      </c>
      <c r="M99" s="47">
        <v>0</v>
      </c>
      <c r="N99" s="47">
        <v>2</v>
      </c>
      <c r="O99" s="48">
        <v>1200</v>
      </c>
      <c r="P99" s="48" t="s">
        <v>182</v>
      </c>
      <c r="Q99" s="47">
        <v>1</v>
      </c>
      <c r="R99" s="48">
        <v>0</v>
      </c>
      <c r="S99" s="48">
        <v>0</v>
      </c>
      <c r="T99" s="45" t="s">
        <v>56</v>
      </c>
      <c r="U99" s="49">
        <v>51</v>
      </c>
      <c r="V99" s="45">
        <v>510510</v>
      </c>
      <c r="W99" s="56" t="s">
        <v>97</v>
      </c>
      <c r="X99" s="50">
        <v>65065</v>
      </c>
      <c r="Y99" s="50">
        <f>87198-40422.4</f>
        <v>46775.6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7266.5</v>
      </c>
      <c r="AF99" s="51">
        <v>6584.85</v>
      </c>
      <c r="AG99" s="51">
        <v>6584.85</v>
      </c>
      <c r="AH99" s="51">
        <v>6584.85</v>
      </c>
      <c r="AI99" s="51">
        <v>6584.85</v>
      </c>
      <c r="AJ99" s="51">
        <v>6584.85</v>
      </c>
      <c r="AK99" s="51">
        <v>6584.85</v>
      </c>
      <c r="AL99" s="52">
        <f t="shared" si="6"/>
        <v>46775.6</v>
      </c>
      <c r="AM99" s="53" t="str">
        <f t="shared" si="7"/>
        <v>OK</v>
      </c>
      <c r="AN99" s="51">
        <v>46775.6</v>
      </c>
      <c r="AO99" s="58">
        <f t="shared" si="5"/>
        <v>0</v>
      </c>
    </row>
    <row r="100" spans="1:41" s="54" customFormat="1" ht="13.5" customHeight="1">
      <c r="A100" s="44" t="s">
        <v>51</v>
      </c>
      <c r="B100" s="44" t="s">
        <v>52</v>
      </c>
      <c r="C100" s="44" t="s">
        <v>53</v>
      </c>
      <c r="D100" s="44" t="s">
        <v>85</v>
      </c>
      <c r="E100" s="44" t="s">
        <v>54</v>
      </c>
      <c r="F100" s="44" t="s">
        <v>124</v>
      </c>
      <c r="G100" s="44" t="s">
        <v>115</v>
      </c>
      <c r="H100" s="44" t="s">
        <v>55</v>
      </c>
      <c r="I100" s="59" t="s">
        <v>86</v>
      </c>
      <c r="J100" s="55">
        <v>1</v>
      </c>
      <c r="K100" s="55" t="s">
        <v>125</v>
      </c>
      <c r="L100" s="46">
        <v>1</v>
      </c>
      <c r="M100" s="47">
        <v>0</v>
      </c>
      <c r="N100" s="47">
        <v>2</v>
      </c>
      <c r="O100" s="48">
        <v>1200</v>
      </c>
      <c r="P100" s="48" t="s">
        <v>182</v>
      </c>
      <c r="Q100" s="47">
        <v>1</v>
      </c>
      <c r="R100" s="48">
        <v>0</v>
      </c>
      <c r="S100" s="48">
        <v>0</v>
      </c>
      <c r="T100" s="45" t="s">
        <v>56</v>
      </c>
      <c r="U100" s="49">
        <v>51</v>
      </c>
      <c r="V100" s="45">
        <v>510601</v>
      </c>
      <c r="W100" s="56" t="s">
        <v>95</v>
      </c>
      <c r="X100" s="50">
        <v>7639</v>
      </c>
      <c r="Y100" s="50">
        <f>6790.64-4526.96</f>
        <v>2263.6800000000003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188.64</v>
      </c>
      <c r="AF100" s="51">
        <v>345.84</v>
      </c>
      <c r="AG100" s="51">
        <v>345.84</v>
      </c>
      <c r="AH100" s="51">
        <v>345.84</v>
      </c>
      <c r="AI100" s="51">
        <v>345.84</v>
      </c>
      <c r="AJ100" s="51">
        <v>345.84</v>
      </c>
      <c r="AK100" s="51">
        <v>345.84</v>
      </c>
      <c r="AL100" s="52">
        <f t="shared" si="6"/>
        <v>2263.68</v>
      </c>
      <c r="AM100" s="53" t="str">
        <f t="shared" si="7"/>
        <v>OK</v>
      </c>
      <c r="AN100" s="51">
        <v>2263.68</v>
      </c>
      <c r="AO100" s="58">
        <f t="shared" si="5"/>
        <v>0</v>
      </c>
    </row>
    <row r="101" spans="1:41" s="54" customFormat="1" ht="13.5" customHeight="1">
      <c r="A101" s="44" t="s">
        <v>51</v>
      </c>
      <c r="B101" s="44" t="s">
        <v>52</v>
      </c>
      <c r="C101" s="44" t="s">
        <v>53</v>
      </c>
      <c r="D101" s="44" t="s">
        <v>85</v>
      </c>
      <c r="E101" s="44" t="s">
        <v>54</v>
      </c>
      <c r="F101" s="44" t="s">
        <v>124</v>
      </c>
      <c r="G101" s="44" t="s">
        <v>115</v>
      </c>
      <c r="H101" s="44" t="s">
        <v>55</v>
      </c>
      <c r="I101" s="59" t="s">
        <v>86</v>
      </c>
      <c r="J101" s="55">
        <v>1</v>
      </c>
      <c r="K101" s="55" t="s">
        <v>125</v>
      </c>
      <c r="L101" s="46">
        <v>1</v>
      </c>
      <c r="M101" s="47">
        <v>0</v>
      </c>
      <c r="N101" s="47">
        <v>2</v>
      </c>
      <c r="O101" s="48">
        <v>1200</v>
      </c>
      <c r="P101" s="48" t="s">
        <v>182</v>
      </c>
      <c r="Q101" s="47">
        <v>1</v>
      </c>
      <c r="R101" s="48">
        <v>0</v>
      </c>
      <c r="S101" s="48">
        <v>0</v>
      </c>
      <c r="T101" s="45" t="s">
        <v>56</v>
      </c>
      <c r="U101" s="49">
        <v>51</v>
      </c>
      <c r="V101" s="45">
        <v>510602</v>
      </c>
      <c r="W101" s="56" t="s">
        <v>96</v>
      </c>
      <c r="X101" s="50">
        <v>3500</v>
      </c>
      <c r="Y101" s="50">
        <f>3500-1500-534.56+549.72-120-2.16</f>
        <v>1893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37.68</v>
      </c>
      <c r="AF101" s="51">
        <v>237.96</v>
      </c>
      <c r="AG101" s="51">
        <v>237.96</v>
      </c>
      <c r="AH101" s="51">
        <v>375.39</v>
      </c>
      <c r="AI101" s="51">
        <v>375.39</v>
      </c>
      <c r="AJ101" s="51">
        <v>375.39</v>
      </c>
      <c r="AK101" s="51">
        <v>253.23</v>
      </c>
      <c r="AL101" s="52">
        <f t="shared" si="6"/>
        <v>1893</v>
      </c>
      <c r="AM101" s="53" t="str">
        <f t="shared" si="7"/>
        <v>OK</v>
      </c>
      <c r="AN101" s="51">
        <f>1465.44+427.56</f>
        <v>1893</v>
      </c>
      <c r="AO101" s="58">
        <f t="shared" si="5"/>
        <v>0</v>
      </c>
    </row>
    <row r="102" spans="1:41" s="54" customFormat="1" ht="13.5" customHeight="1">
      <c r="A102" s="44" t="s">
        <v>78</v>
      </c>
      <c r="B102" s="44" t="s">
        <v>79</v>
      </c>
      <c r="C102" s="44" t="s">
        <v>53</v>
      </c>
      <c r="D102" s="44" t="s">
        <v>85</v>
      </c>
      <c r="E102" s="44" t="s">
        <v>54</v>
      </c>
      <c r="F102" s="44" t="s">
        <v>124</v>
      </c>
      <c r="G102" s="44" t="s">
        <v>116</v>
      </c>
      <c r="H102" s="44" t="s">
        <v>98</v>
      </c>
      <c r="I102" s="59" t="s">
        <v>86</v>
      </c>
      <c r="J102" s="55">
        <v>1</v>
      </c>
      <c r="K102" s="55" t="s">
        <v>125</v>
      </c>
      <c r="L102" s="46">
        <v>55</v>
      </c>
      <c r="M102" s="47">
        <v>0</v>
      </c>
      <c r="N102" s="47">
        <v>2</v>
      </c>
      <c r="O102" s="48">
        <v>1200</v>
      </c>
      <c r="P102" s="48" t="s">
        <v>182</v>
      </c>
      <c r="Q102" s="47">
        <v>1</v>
      </c>
      <c r="R102" s="48">
        <v>0</v>
      </c>
      <c r="S102" s="48">
        <v>0</v>
      </c>
      <c r="T102" s="45" t="s">
        <v>56</v>
      </c>
      <c r="U102" s="49">
        <v>51</v>
      </c>
      <c r="V102" s="45">
        <v>510105</v>
      </c>
      <c r="W102" s="56" t="s">
        <v>87</v>
      </c>
      <c r="X102" s="50">
        <v>597876</v>
      </c>
      <c r="Y102" s="50">
        <f>589085-1268.36</f>
        <v>587816.64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49090.42</v>
      </c>
      <c r="AF102" s="51">
        <v>89999.1</v>
      </c>
      <c r="AG102" s="51">
        <v>89999.1</v>
      </c>
      <c r="AH102" s="51">
        <v>89999.1</v>
      </c>
      <c r="AI102" s="51">
        <v>89999.1</v>
      </c>
      <c r="AJ102" s="51">
        <v>89999.1</v>
      </c>
      <c r="AK102" s="51">
        <v>88730.72</v>
      </c>
      <c r="AL102" s="52">
        <f t="shared" si="6"/>
        <v>587816.64</v>
      </c>
      <c r="AM102" s="53" t="str">
        <f t="shared" si="7"/>
        <v>OK</v>
      </c>
      <c r="AN102" s="51">
        <f>293506.71+49090+49090+49090+49090+48859.93+49090</f>
        <v>587816.64</v>
      </c>
      <c r="AO102" s="58">
        <f t="shared" si="5"/>
        <v>0</v>
      </c>
    </row>
    <row r="103" spans="1:41" s="54" customFormat="1" ht="13.5" customHeight="1">
      <c r="A103" s="44" t="s">
        <v>78</v>
      </c>
      <c r="B103" s="44" t="s">
        <v>79</v>
      </c>
      <c r="C103" s="44" t="s">
        <v>53</v>
      </c>
      <c r="D103" s="44" t="s">
        <v>85</v>
      </c>
      <c r="E103" s="44" t="s">
        <v>54</v>
      </c>
      <c r="F103" s="44" t="s">
        <v>124</v>
      </c>
      <c r="G103" s="44" t="s">
        <v>116</v>
      </c>
      <c r="H103" s="44" t="s">
        <v>98</v>
      </c>
      <c r="I103" s="59" t="s">
        <v>86</v>
      </c>
      <c r="J103" s="55">
        <v>1</v>
      </c>
      <c r="K103" s="55" t="s">
        <v>125</v>
      </c>
      <c r="L103" s="46">
        <v>55</v>
      </c>
      <c r="M103" s="47">
        <v>0</v>
      </c>
      <c r="N103" s="47">
        <v>2</v>
      </c>
      <c r="O103" s="48">
        <v>1200</v>
      </c>
      <c r="P103" s="48" t="s">
        <v>182</v>
      </c>
      <c r="Q103" s="47">
        <v>1</v>
      </c>
      <c r="R103" s="48">
        <v>0</v>
      </c>
      <c r="S103" s="48">
        <v>0</v>
      </c>
      <c r="T103" s="45" t="s">
        <v>56</v>
      </c>
      <c r="U103" s="49">
        <v>51</v>
      </c>
      <c r="V103" s="45">
        <v>510203</v>
      </c>
      <c r="W103" s="56" t="s">
        <v>89</v>
      </c>
      <c r="X103" s="50">
        <v>51279</v>
      </c>
      <c r="Y103" s="50">
        <f>6836.49+2370.37+46893.26-965</f>
        <v>55135.12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569.7</v>
      </c>
      <c r="AF103" s="51">
        <v>1044.47</v>
      </c>
      <c r="AG103" s="51">
        <v>1044.47</v>
      </c>
      <c r="AH103" s="51">
        <v>1044.47</v>
      </c>
      <c r="AI103" s="51">
        <v>1044.47</v>
      </c>
      <c r="AJ103" s="51">
        <v>2229.64</v>
      </c>
      <c r="AK103" s="51">
        <v>48157.9</v>
      </c>
      <c r="AL103" s="52">
        <f t="shared" si="6"/>
        <v>55135.12</v>
      </c>
      <c r="AM103" s="53" t="str">
        <f t="shared" si="7"/>
        <v>OK</v>
      </c>
      <c r="AN103" s="51">
        <f>2440.4+493.95+261.83+555.03+750.49+322.91+50310.51</f>
        <v>55135.12</v>
      </c>
      <c r="AO103" s="58">
        <f t="shared" si="5"/>
        <v>0</v>
      </c>
    </row>
    <row r="104" spans="1:41" s="54" customFormat="1" ht="13.5" customHeight="1">
      <c r="A104" s="44" t="s">
        <v>78</v>
      </c>
      <c r="B104" s="44" t="s">
        <v>79</v>
      </c>
      <c r="C104" s="44" t="s">
        <v>53</v>
      </c>
      <c r="D104" s="44" t="s">
        <v>85</v>
      </c>
      <c r="E104" s="44" t="s">
        <v>54</v>
      </c>
      <c r="F104" s="44" t="s">
        <v>124</v>
      </c>
      <c r="G104" s="44" t="s">
        <v>116</v>
      </c>
      <c r="H104" s="44" t="s">
        <v>98</v>
      </c>
      <c r="I104" s="59" t="s">
        <v>86</v>
      </c>
      <c r="J104" s="55">
        <v>1</v>
      </c>
      <c r="K104" s="55" t="s">
        <v>125</v>
      </c>
      <c r="L104" s="46">
        <v>55</v>
      </c>
      <c r="M104" s="47">
        <v>0</v>
      </c>
      <c r="N104" s="47">
        <v>2</v>
      </c>
      <c r="O104" s="48">
        <v>1200</v>
      </c>
      <c r="P104" s="48" t="s">
        <v>182</v>
      </c>
      <c r="Q104" s="47">
        <v>1</v>
      </c>
      <c r="R104" s="48">
        <v>0</v>
      </c>
      <c r="S104" s="48">
        <v>0</v>
      </c>
      <c r="T104" s="45" t="s">
        <v>56</v>
      </c>
      <c r="U104" s="49">
        <v>51</v>
      </c>
      <c r="V104" s="45">
        <v>510204</v>
      </c>
      <c r="W104" s="56" t="s">
        <v>90</v>
      </c>
      <c r="X104" s="50">
        <v>24734</v>
      </c>
      <c r="Y104" s="50">
        <f>26590+193+302.98-303.3</f>
        <v>26782.68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2215.83</v>
      </c>
      <c r="AF104" s="51">
        <v>4062.36</v>
      </c>
      <c r="AG104" s="51">
        <v>4062.36</v>
      </c>
      <c r="AH104" s="51">
        <v>4062.36</v>
      </c>
      <c r="AI104" s="51">
        <v>4062.36</v>
      </c>
      <c r="AJ104" s="51">
        <v>4062.36</v>
      </c>
      <c r="AK104" s="51">
        <v>4255.05</v>
      </c>
      <c r="AL104" s="52">
        <f t="shared" si="6"/>
        <v>26782.68</v>
      </c>
      <c r="AM104" s="53" t="str">
        <f t="shared" si="7"/>
        <v>OK</v>
      </c>
      <c r="AN104" s="51">
        <f>25613.86+177.09+106.26+212.51+389.6+141.68+141.68</f>
        <v>26782.679999999997</v>
      </c>
      <c r="AO104" s="58">
        <f t="shared" si="5"/>
        <v>0</v>
      </c>
    </row>
    <row r="105" spans="1:41" s="54" customFormat="1" ht="13.5" customHeight="1">
      <c r="A105" s="44" t="s">
        <v>78</v>
      </c>
      <c r="B105" s="44" t="s">
        <v>79</v>
      </c>
      <c r="C105" s="44" t="s">
        <v>53</v>
      </c>
      <c r="D105" s="44" t="s">
        <v>85</v>
      </c>
      <c r="E105" s="44" t="s">
        <v>54</v>
      </c>
      <c r="F105" s="44" t="s">
        <v>124</v>
      </c>
      <c r="G105" s="44" t="s">
        <v>116</v>
      </c>
      <c r="H105" s="44" t="s">
        <v>98</v>
      </c>
      <c r="I105" s="59" t="s">
        <v>86</v>
      </c>
      <c r="J105" s="55">
        <v>1</v>
      </c>
      <c r="K105" s="55" t="s">
        <v>125</v>
      </c>
      <c r="L105" s="46">
        <v>55</v>
      </c>
      <c r="M105" s="47">
        <v>0</v>
      </c>
      <c r="N105" s="47">
        <v>2</v>
      </c>
      <c r="O105" s="48">
        <v>1200</v>
      </c>
      <c r="P105" s="48" t="s">
        <v>182</v>
      </c>
      <c r="Q105" s="47">
        <v>1</v>
      </c>
      <c r="R105" s="48">
        <v>0</v>
      </c>
      <c r="S105" s="48">
        <v>0</v>
      </c>
      <c r="T105" s="45" t="s">
        <v>56</v>
      </c>
      <c r="U105" s="49">
        <v>51</v>
      </c>
      <c r="V105" s="45">
        <v>510510</v>
      </c>
      <c r="W105" s="56" t="s">
        <v>97</v>
      </c>
      <c r="X105" s="50">
        <v>3377</v>
      </c>
      <c r="Y105" s="50">
        <f>28752+40422.4-6002.76-4591.64-733</f>
        <v>57846.99999999999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2396</v>
      </c>
      <c r="AF105" s="51">
        <v>11129.73</v>
      </c>
      <c r="AG105" s="51">
        <v>11129.73</v>
      </c>
      <c r="AH105" s="51">
        <v>11129.73</v>
      </c>
      <c r="AI105" s="51">
        <v>11129.73</v>
      </c>
      <c r="AJ105" s="51">
        <v>5642</v>
      </c>
      <c r="AK105" s="51">
        <v>5290.08</v>
      </c>
      <c r="AL105" s="52">
        <f t="shared" si="6"/>
        <v>57847</v>
      </c>
      <c r="AM105" s="53" t="str">
        <f t="shared" si="7"/>
        <v>OK</v>
      </c>
      <c r="AN105" s="51">
        <f>10993+7809+7809+7809+7809+7809+7809</f>
        <v>57847</v>
      </c>
      <c r="AO105" s="58">
        <f t="shared" si="5"/>
        <v>0</v>
      </c>
    </row>
    <row r="106" spans="1:41" s="54" customFormat="1" ht="13.5" customHeight="1">
      <c r="A106" s="44" t="s">
        <v>78</v>
      </c>
      <c r="B106" s="44" t="s">
        <v>79</v>
      </c>
      <c r="C106" s="44" t="s">
        <v>53</v>
      </c>
      <c r="D106" s="44" t="s">
        <v>85</v>
      </c>
      <c r="E106" s="44" t="s">
        <v>54</v>
      </c>
      <c r="F106" s="44" t="s">
        <v>124</v>
      </c>
      <c r="G106" s="44" t="s">
        <v>116</v>
      </c>
      <c r="H106" s="44" t="s">
        <v>98</v>
      </c>
      <c r="I106" s="59" t="s">
        <v>86</v>
      </c>
      <c r="J106" s="55">
        <v>1</v>
      </c>
      <c r="K106" s="55" t="s">
        <v>125</v>
      </c>
      <c r="L106" s="46">
        <v>55</v>
      </c>
      <c r="M106" s="47">
        <v>0</v>
      </c>
      <c r="N106" s="47">
        <v>2</v>
      </c>
      <c r="O106" s="48">
        <v>1200</v>
      </c>
      <c r="P106" s="48" t="s">
        <v>182</v>
      </c>
      <c r="Q106" s="47">
        <v>1</v>
      </c>
      <c r="R106" s="48">
        <v>0</v>
      </c>
      <c r="S106" s="48">
        <v>0</v>
      </c>
      <c r="T106" s="45" t="s">
        <v>56</v>
      </c>
      <c r="U106" s="49">
        <v>51</v>
      </c>
      <c r="V106" s="45">
        <v>510512</v>
      </c>
      <c r="W106" s="56" t="s">
        <v>102</v>
      </c>
      <c r="X106" s="50">
        <v>0</v>
      </c>
      <c r="Y106" s="50">
        <f>369.07-207.6</f>
        <v>161.47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61.52</v>
      </c>
      <c r="AG106" s="51">
        <v>61.52</v>
      </c>
      <c r="AH106" s="51">
        <v>0</v>
      </c>
      <c r="AI106" s="51">
        <v>0</v>
      </c>
      <c r="AJ106" s="51">
        <v>0</v>
      </c>
      <c r="AK106" s="51">
        <v>38.43</v>
      </c>
      <c r="AL106" s="52">
        <f t="shared" si="6"/>
        <v>161.47</v>
      </c>
      <c r="AM106" s="53" t="str">
        <f t="shared" si="7"/>
        <v>OK</v>
      </c>
      <c r="AN106" s="51">
        <v>161.47</v>
      </c>
      <c r="AO106" s="58">
        <f t="shared" si="5"/>
        <v>0</v>
      </c>
    </row>
    <row r="107" spans="1:41" s="54" customFormat="1" ht="13.5" customHeight="1">
      <c r="A107" s="44" t="s">
        <v>78</v>
      </c>
      <c r="B107" s="44" t="s">
        <v>79</v>
      </c>
      <c r="C107" s="44" t="s">
        <v>53</v>
      </c>
      <c r="D107" s="44" t="s">
        <v>85</v>
      </c>
      <c r="E107" s="44" t="s">
        <v>54</v>
      </c>
      <c r="F107" s="44" t="s">
        <v>124</v>
      </c>
      <c r="G107" s="44" t="s">
        <v>116</v>
      </c>
      <c r="H107" s="44" t="s">
        <v>98</v>
      </c>
      <c r="I107" s="59" t="s">
        <v>86</v>
      </c>
      <c r="J107" s="55">
        <v>1</v>
      </c>
      <c r="K107" s="55" t="s">
        <v>125</v>
      </c>
      <c r="L107" s="46">
        <v>55</v>
      </c>
      <c r="M107" s="47">
        <v>0</v>
      </c>
      <c r="N107" s="47">
        <v>2</v>
      </c>
      <c r="O107" s="48">
        <v>1200</v>
      </c>
      <c r="P107" s="48" t="s">
        <v>182</v>
      </c>
      <c r="Q107" s="47">
        <v>1</v>
      </c>
      <c r="R107" s="48">
        <v>0</v>
      </c>
      <c r="S107" s="48">
        <v>0</v>
      </c>
      <c r="T107" s="45" t="s">
        <v>56</v>
      </c>
      <c r="U107" s="49">
        <v>51</v>
      </c>
      <c r="V107" s="45">
        <v>510601</v>
      </c>
      <c r="W107" s="56" t="s">
        <v>95</v>
      </c>
      <c r="X107" s="50">
        <v>59382</v>
      </c>
      <c r="Y107" s="50">
        <f>59877.5+4526.96-925.92-421.68</f>
        <v>63056.86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4989.79</v>
      </c>
      <c r="AF107" s="51">
        <v>9902.44</v>
      </c>
      <c r="AG107" s="51">
        <v>9902.44</v>
      </c>
      <c r="AH107" s="51">
        <v>9902.44</v>
      </c>
      <c r="AI107" s="51">
        <v>9902.44</v>
      </c>
      <c r="AJ107" s="51">
        <v>9902.44</v>
      </c>
      <c r="AK107" s="51">
        <v>8554.87</v>
      </c>
      <c r="AL107" s="52">
        <f t="shared" si="6"/>
        <v>63056.86000000001</v>
      </c>
      <c r="AM107" s="53" t="str">
        <f t="shared" si="7"/>
        <v>OK</v>
      </c>
      <c r="AN107" s="51">
        <f>30116.94+5491.09+5491.09+5491.09+5491.09+5468.89+5506.67</f>
        <v>63056.859999999986</v>
      </c>
      <c r="AO107" s="58">
        <f t="shared" si="5"/>
        <v>0</v>
      </c>
    </row>
    <row r="108" spans="1:41" s="54" customFormat="1" ht="13.5" customHeight="1">
      <c r="A108" s="44" t="s">
        <v>78</v>
      </c>
      <c r="B108" s="44" t="s">
        <v>79</v>
      </c>
      <c r="C108" s="44" t="s">
        <v>53</v>
      </c>
      <c r="D108" s="44" t="s">
        <v>85</v>
      </c>
      <c r="E108" s="44" t="s">
        <v>54</v>
      </c>
      <c r="F108" s="44" t="s">
        <v>124</v>
      </c>
      <c r="G108" s="44" t="s">
        <v>116</v>
      </c>
      <c r="H108" s="44" t="s">
        <v>98</v>
      </c>
      <c r="I108" s="59" t="s">
        <v>86</v>
      </c>
      <c r="J108" s="55">
        <v>1</v>
      </c>
      <c r="K108" s="55" t="s">
        <v>125</v>
      </c>
      <c r="L108" s="46">
        <v>55</v>
      </c>
      <c r="M108" s="47">
        <v>0</v>
      </c>
      <c r="N108" s="47">
        <v>2</v>
      </c>
      <c r="O108" s="48">
        <v>1200</v>
      </c>
      <c r="P108" s="48" t="s">
        <v>182</v>
      </c>
      <c r="Q108" s="47">
        <v>1</v>
      </c>
      <c r="R108" s="48">
        <v>0</v>
      </c>
      <c r="S108" s="48">
        <v>0</v>
      </c>
      <c r="T108" s="45" t="s">
        <v>56</v>
      </c>
      <c r="U108" s="49">
        <v>51</v>
      </c>
      <c r="V108" s="45">
        <v>510602</v>
      </c>
      <c r="W108" s="56" t="s">
        <v>96</v>
      </c>
      <c r="X108" s="50">
        <v>41173</v>
      </c>
      <c r="Y108" s="50">
        <f>41173+534.56+5109+1120-385+3747.32</f>
        <v>51298.88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3431</v>
      </c>
      <c r="AF108" s="51">
        <v>6379.43</v>
      </c>
      <c r="AG108" s="51">
        <v>6379.43</v>
      </c>
      <c r="AH108" s="51">
        <v>6379.43</v>
      </c>
      <c r="AI108" s="51">
        <v>6379.43</v>
      </c>
      <c r="AJ108" s="51">
        <v>8436.24</v>
      </c>
      <c r="AK108" s="51">
        <v>13913.92</v>
      </c>
      <c r="AL108" s="52">
        <f t="shared" si="6"/>
        <v>51298.88</v>
      </c>
      <c r="AM108" s="53" t="str">
        <f t="shared" si="7"/>
        <v>OK</v>
      </c>
      <c r="AN108" s="51">
        <f>21695.9+4190.21+4190.19+4251.27+4190.19+4108.06+8673.06</f>
        <v>51298.88</v>
      </c>
      <c r="AO108" s="58">
        <f t="shared" si="5"/>
        <v>0</v>
      </c>
    </row>
    <row r="109" spans="1:41" s="54" customFormat="1" ht="13.5" customHeight="1">
      <c r="A109" s="44" t="s">
        <v>78</v>
      </c>
      <c r="B109" s="44" t="s">
        <v>79</v>
      </c>
      <c r="C109" s="44" t="s">
        <v>53</v>
      </c>
      <c r="D109" s="44" t="s">
        <v>85</v>
      </c>
      <c r="E109" s="44" t="s">
        <v>54</v>
      </c>
      <c r="F109" s="44" t="s">
        <v>124</v>
      </c>
      <c r="G109" s="44" t="s">
        <v>116</v>
      </c>
      <c r="H109" s="44" t="s">
        <v>98</v>
      </c>
      <c r="I109" s="59" t="s">
        <v>86</v>
      </c>
      <c r="J109" s="55">
        <v>1</v>
      </c>
      <c r="K109" s="55" t="s">
        <v>125</v>
      </c>
      <c r="L109" s="46">
        <v>55</v>
      </c>
      <c r="M109" s="47">
        <v>0</v>
      </c>
      <c r="N109" s="47">
        <v>2</v>
      </c>
      <c r="O109" s="48">
        <v>1200</v>
      </c>
      <c r="P109" s="48" t="s">
        <v>182</v>
      </c>
      <c r="Q109" s="47">
        <v>1</v>
      </c>
      <c r="R109" s="48">
        <v>0</v>
      </c>
      <c r="S109" s="48">
        <v>0</v>
      </c>
      <c r="T109" s="45" t="s">
        <v>56</v>
      </c>
      <c r="U109" s="49">
        <v>51</v>
      </c>
      <c r="V109" s="45">
        <v>510707</v>
      </c>
      <c r="W109" s="56" t="s">
        <v>103</v>
      </c>
      <c r="X109" s="50">
        <v>0</v>
      </c>
      <c r="Y109" s="50">
        <f>246+275.76</f>
        <v>521.76</v>
      </c>
      <c r="Z109" s="51">
        <v>0</v>
      </c>
      <c r="AA109" s="51">
        <v>22.36</v>
      </c>
      <c r="AB109" s="51">
        <v>22.36</v>
      </c>
      <c r="AC109" s="51">
        <v>22.36</v>
      </c>
      <c r="AD109" s="51">
        <v>22.36</v>
      </c>
      <c r="AE109" s="51">
        <v>22.36</v>
      </c>
      <c r="AF109" s="51">
        <v>22.36</v>
      </c>
      <c r="AG109" s="51">
        <v>22.36</v>
      </c>
      <c r="AH109" s="51">
        <v>22.36</v>
      </c>
      <c r="AI109" s="51">
        <v>22.36</v>
      </c>
      <c r="AJ109" s="51">
        <v>22.38</v>
      </c>
      <c r="AK109" s="51">
        <v>298.14</v>
      </c>
      <c r="AL109" s="52">
        <f t="shared" si="6"/>
        <v>521.76</v>
      </c>
      <c r="AM109" s="53" t="str">
        <f t="shared" si="7"/>
        <v>OK</v>
      </c>
      <c r="AN109" s="51">
        <f>169.51+352.25</f>
        <v>521.76</v>
      </c>
      <c r="AO109" s="58">
        <f t="shared" si="5"/>
        <v>0</v>
      </c>
    </row>
    <row r="110" spans="1:41" s="54" customFormat="1" ht="13.5" customHeight="1">
      <c r="A110" s="44" t="s">
        <v>78</v>
      </c>
      <c r="B110" s="44" t="s">
        <v>79</v>
      </c>
      <c r="C110" s="44" t="s">
        <v>80</v>
      </c>
      <c r="D110" s="44" t="s">
        <v>114</v>
      </c>
      <c r="E110" s="44" t="s">
        <v>54</v>
      </c>
      <c r="F110" s="44" t="s">
        <v>124</v>
      </c>
      <c r="G110" s="44" t="s">
        <v>116</v>
      </c>
      <c r="H110" s="44" t="s">
        <v>98</v>
      </c>
      <c r="I110" s="59" t="s">
        <v>105</v>
      </c>
      <c r="J110" s="55">
        <v>1</v>
      </c>
      <c r="K110" s="55" t="s">
        <v>125</v>
      </c>
      <c r="L110" s="46">
        <v>55</v>
      </c>
      <c r="M110" s="47">
        <v>0</v>
      </c>
      <c r="N110" s="47">
        <v>2</v>
      </c>
      <c r="O110" s="48">
        <v>1200</v>
      </c>
      <c r="P110" s="48" t="s">
        <v>182</v>
      </c>
      <c r="Q110" s="47">
        <v>1</v>
      </c>
      <c r="R110" s="48">
        <v>0</v>
      </c>
      <c r="S110" s="48">
        <v>0</v>
      </c>
      <c r="T110" s="45" t="s">
        <v>56</v>
      </c>
      <c r="U110" s="49" t="s">
        <v>131</v>
      </c>
      <c r="V110" s="45">
        <v>990101</v>
      </c>
      <c r="W110" s="56" t="s">
        <v>105</v>
      </c>
      <c r="X110" s="50">
        <v>0</v>
      </c>
      <c r="Y110" s="50">
        <f>10527-102.23</f>
        <v>10424.77</v>
      </c>
      <c r="Z110" s="51">
        <v>0</v>
      </c>
      <c r="AA110" s="51">
        <v>0</v>
      </c>
      <c r="AB110" s="51">
        <v>10424.77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2">
        <f t="shared" si="6"/>
        <v>10424.77</v>
      </c>
      <c r="AM110" s="53" t="str">
        <f t="shared" si="7"/>
        <v>OK</v>
      </c>
      <c r="AN110" s="51">
        <v>10424.77</v>
      </c>
      <c r="AO110" s="58">
        <f t="shared" si="5"/>
        <v>0</v>
      </c>
    </row>
    <row r="111" spans="1:41" s="54" customFormat="1" ht="13.5" customHeight="1">
      <c r="A111" s="44" t="s">
        <v>78</v>
      </c>
      <c r="B111" s="44" t="s">
        <v>79</v>
      </c>
      <c r="C111" s="44" t="s">
        <v>53</v>
      </c>
      <c r="D111" s="44" t="s">
        <v>85</v>
      </c>
      <c r="E111" s="44" t="s">
        <v>54</v>
      </c>
      <c r="F111" s="44" t="s">
        <v>124</v>
      </c>
      <c r="G111" s="44" t="s">
        <v>117</v>
      </c>
      <c r="H111" s="44" t="s">
        <v>81</v>
      </c>
      <c r="I111" s="59" t="s">
        <v>86</v>
      </c>
      <c r="J111" s="55">
        <v>1</v>
      </c>
      <c r="K111" s="55" t="s">
        <v>125</v>
      </c>
      <c r="L111" s="46">
        <v>55</v>
      </c>
      <c r="M111" s="47">
        <v>0</v>
      </c>
      <c r="N111" s="47">
        <v>3</v>
      </c>
      <c r="O111" s="48">
        <v>1200</v>
      </c>
      <c r="P111" s="48" t="s">
        <v>182</v>
      </c>
      <c r="Q111" s="47">
        <v>1</v>
      </c>
      <c r="R111" s="48">
        <v>0</v>
      </c>
      <c r="S111" s="48">
        <v>0</v>
      </c>
      <c r="T111" s="45" t="s">
        <v>56</v>
      </c>
      <c r="U111" s="49">
        <v>51</v>
      </c>
      <c r="V111" s="45">
        <v>510105</v>
      </c>
      <c r="W111" s="56" t="s">
        <v>87</v>
      </c>
      <c r="X111" s="50">
        <v>49200</v>
      </c>
      <c r="Y111" s="50">
        <v>49200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4100</v>
      </c>
      <c r="AF111" s="51">
        <v>7516.67</v>
      </c>
      <c r="AG111" s="51">
        <v>7516.67</v>
      </c>
      <c r="AH111" s="51">
        <v>7516.67</v>
      </c>
      <c r="AI111" s="51">
        <v>7516.67</v>
      </c>
      <c r="AJ111" s="51">
        <v>7516.67</v>
      </c>
      <c r="AK111" s="51">
        <v>7516.65</v>
      </c>
      <c r="AL111" s="52">
        <f t="shared" si="6"/>
        <v>49200</v>
      </c>
      <c r="AM111" s="53" t="str">
        <f t="shared" si="7"/>
        <v>OK</v>
      </c>
      <c r="AN111" s="51">
        <f>24600+4100+4100+4100+4100+4100+4100</f>
        <v>49200</v>
      </c>
      <c r="AO111" s="58">
        <f t="shared" si="5"/>
        <v>0</v>
      </c>
    </row>
    <row r="112" spans="1:41" s="54" customFormat="1" ht="13.5" customHeight="1">
      <c r="A112" s="44" t="s">
        <v>78</v>
      </c>
      <c r="B112" s="44" t="s">
        <v>79</v>
      </c>
      <c r="C112" s="44" t="s">
        <v>53</v>
      </c>
      <c r="D112" s="44" t="s">
        <v>85</v>
      </c>
      <c r="E112" s="44" t="s">
        <v>54</v>
      </c>
      <c r="F112" s="44" t="s">
        <v>124</v>
      </c>
      <c r="G112" s="44" t="s">
        <v>117</v>
      </c>
      <c r="H112" s="44" t="s">
        <v>81</v>
      </c>
      <c r="I112" s="59" t="s">
        <v>86</v>
      </c>
      <c r="J112" s="55">
        <v>1</v>
      </c>
      <c r="K112" s="55" t="s">
        <v>125</v>
      </c>
      <c r="L112" s="46">
        <v>55</v>
      </c>
      <c r="M112" s="47">
        <v>0</v>
      </c>
      <c r="N112" s="47">
        <v>3</v>
      </c>
      <c r="O112" s="48">
        <v>1200</v>
      </c>
      <c r="P112" s="48" t="s">
        <v>182</v>
      </c>
      <c r="Q112" s="47">
        <v>1</v>
      </c>
      <c r="R112" s="48">
        <v>0</v>
      </c>
      <c r="S112" s="48">
        <v>0</v>
      </c>
      <c r="T112" s="45" t="s">
        <v>56</v>
      </c>
      <c r="U112" s="49">
        <v>51</v>
      </c>
      <c r="V112" s="45">
        <v>510203</v>
      </c>
      <c r="W112" s="56" t="s">
        <v>89</v>
      </c>
      <c r="X112" s="50">
        <v>5312</v>
      </c>
      <c r="Y112" s="50">
        <f>3008.33+1091.67+0.33-0.33</f>
        <v>4100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250.69</v>
      </c>
      <c r="AF112" s="51">
        <v>641.55</v>
      </c>
      <c r="AG112" s="51">
        <v>641.55</v>
      </c>
      <c r="AH112" s="51">
        <v>641.55</v>
      </c>
      <c r="AI112" s="51">
        <v>641.55</v>
      </c>
      <c r="AJ112" s="51">
        <v>641.55</v>
      </c>
      <c r="AK112" s="51">
        <v>641.56</v>
      </c>
      <c r="AL112" s="52">
        <f t="shared" si="6"/>
        <v>4100</v>
      </c>
      <c r="AM112" s="53" t="str">
        <f t="shared" si="7"/>
        <v>OK</v>
      </c>
      <c r="AN112" s="51">
        <f>4100</f>
        <v>4100</v>
      </c>
      <c r="AO112" s="58">
        <f t="shared" si="5"/>
        <v>0</v>
      </c>
    </row>
    <row r="113" spans="1:41" s="54" customFormat="1" ht="13.5" customHeight="1">
      <c r="A113" s="44" t="s">
        <v>78</v>
      </c>
      <c r="B113" s="44" t="s">
        <v>79</v>
      </c>
      <c r="C113" s="44" t="s">
        <v>53</v>
      </c>
      <c r="D113" s="44" t="s">
        <v>85</v>
      </c>
      <c r="E113" s="44" t="s">
        <v>54</v>
      </c>
      <c r="F113" s="44" t="s">
        <v>124</v>
      </c>
      <c r="G113" s="44" t="s">
        <v>117</v>
      </c>
      <c r="H113" s="44" t="s">
        <v>81</v>
      </c>
      <c r="I113" s="59" t="s">
        <v>86</v>
      </c>
      <c r="J113" s="55">
        <v>1</v>
      </c>
      <c r="K113" s="55" t="s">
        <v>125</v>
      </c>
      <c r="L113" s="46">
        <v>55</v>
      </c>
      <c r="M113" s="47">
        <v>0</v>
      </c>
      <c r="N113" s="47">
        <v>3</v>
      </c>
      <c r="O113" s="48">
        <v>1200</v>
      </c>
      <c r="P113" s="48" t="s">
        <v>182</v>
      </c>
      <c r="Q113" s="47">
        <v>1</v>
      </c>
      <c r="R113" s="48">
        <v>0</v>
      </c>
      <c r="S113" s="48">
        <v>0</v>
      </c>
      <c r="T113" s="45" t="s">
        <v>56</v>
      </c>
      <c r="U113" s="49">
        <v>51</v>
      </c>
      <c r="V113" s="45">
        <v>510204</v>
      </c>
      <c r="W113" s="56" t="s">
        <v>90</v>
      </c>
      <c r="X113" s="50">
        <v>1600</v>
      </c>
      <c r="Y113" s="50">
        <f>1300+142-165-2</f>
        <v>1275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126.08</v>
      </c>
      <c r="AF113" s="51">
        <v>219.32</v>
      </c>
      <c r="AG113" s="51">
        <v>219.32</v>
      </c>
      <c r="AH113" s="51">
        <v>219.32</v>
      </c>
      <c r="AI113" s="51">
        <v>219.32</v>
      </c>
      <c r="AJ113" s="51">
        <v>219.32</v>
      </c>
      <c r="AK113" s="51">
        <v>52.32</v>
      </c>
      <c r="AL113" s="52">
        <f t="shared" si="6"/>
        <v>1274.9999999999998</v>
      </c>
      <c r="AM113" s="53" t="str">
        <f t="shared" si="7"/>
        <v>OK</v>
      </c>
      <c r="AN113" s="51">
        <v>1275</v>
      </c>
      <c r="AO113" s="58">
        <f t="shared" si="5"/>
        <v>0</v>
      </c>
    </row>
    <row r="114" spans="1:41" s="54" customFormat="1" ht="13.5" customHeight="1">
      <c r="A114" s="44" t="s">
        <v>78</v>
      </c>
      <c r="B114" s="44" t="s">
        <v>79</v>
      </c>
      <c r="C114" s="44" t="s">
        <v>53</v>
      </c>
      <c r="D114" s="44" t="s">
        <v>85</v>
      </c>
      <c r="E114" s="44" t="s">
        <v>54</v>
      </c>
      <c r="F114" s="44" t="s">
        <v>124</v>
      </c>
      <c r="G114" s="44" t="s">
        <v>117</v>
      </c>
      <c r="H114" s="44" t="s">
        <v>81</v>
      </c>
      <c r="I114" s="59" t="s">
        <v>86</v>
      </c>
      <c r="J114" s="55">
        <v>1</v>
      </c>
      <c r="K114" s="55" t="s">
        <v>125</v>
      </c>
      <c r="L114" s="46">
        <v>55</v>
      </c>
      <c r="M114" s="47">
        <v>0</v>
      </c>
      <c r="N114" s="47">
        <v>3</v>
      </c>
      <c r="O114" s="48">
        <v>1200</v>
      </c>
      <c r="P114" s="48" t="s">
        <v>182</v>
      </c>
      <c r="Q114" s="47">
        <v>1</v>
      </c>
      <c r="R114" s="48">
        <v>0</v>
      </c>
      <c r="S114" s="48">
        <v>0</v>
      </c>
      <c r="T114" s="45" t="s">
        <v>56</v>
      </c>
      <c r="U114" s="49">
        <v>51</v>
      </c>
      <c r="V114" s="45">
        <v>510510</v>
      </c>
      <c r="W114" s="56" t="s">
        <v>97</v>
      </c>
      <c r="X114" s="50">
        <v>445</v>
      </c>
      <c r="Y114" s="50">
        <f>798-798</f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2">
        <f t="shared" si="6"/>
        <v>0</v>
      </c>
      <c r="AM114" s="53" t="str">
        <f t="shared" si="7"/>
        <v>OK</v>
      </c>
      <c r="AN114" s="51">
        <v>0</v>
      </c>
      <c r="AO114" s="58">
        <f t="shared" si="5"/>
        <v>0</v>
      </c>
    </row>
    <row r="115" spans="1:41" s="54" customFormat="1" ht="13.5" customHeight="1">
      <c r="A115" s="44" t="s">
        <v>78</v>
      </c>
      <c r="B115" s="44" t="s">
        <v>79</v>
      </c>
      <c r="C115" s="44" t="s">
        <v>53</v>
      </c>
      <c r="D115" s="44" t="s">
        <v>85</v>
      </c>
      <c r="E115" s="44" t="s">
        <v>54</v>
      </c>
      <c r="F115" s="44" t="s">
        <v>124</v>
      </c>
      <c r="G115" s="44" t="s">
        <v>117</v>
      </c>
      <c r="H115" s="44" t="s">
        <v>81</v>
      </c>
      <c r="I115" s="59" t="s">
        <v>86</v>
      </c>
      <c r="J115" s="55">
        <v>1</v>
      </c>
      <c r="K115" s="55" t="s">
        <v>125</v>
      </c>
      <c r="L115" s="46">
        <v>55</v>
      </c>
      <c r="M115" s="47">
        <v>0</v>
      </c>
      <c r="N115" s="47">
        <v>3</v>
      </c>
      <c r="O115" s="48">
        <v>1200</v>
      </c>
      <c r="P115" s="48" t="s">
        <v>182</v>
      </c>
      <c r="Q115" s="47">
        <v>1</v>
      </c>
      <c r="R115" s="48">
        <v>0</v>
      </c>
      <c r="S115" s="48">
        <v>0</v>
      </c>
      <c r="T115" s="45" t="s">
        <v>56</v>
      </c>
      <c r="U115" s="49">
        <v>51</v>
      </c>
      <c r="V115" s="45">
        <v>510601</v>
      </c>
      <c r="W115" s="56" t="s">
        <v>95</v>
      </c>
      <c r="X115" s="50">
        <v>6151</v>
      </c>
      <c r="Y115" s="50">
        <f>6053-960.02-345.18</f>
        <v>4747.799999999999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504.42</v>
      </c>
      <c r="AF115" s="51">
        <v>924.76</v>
      </c>
      <c r="AG115" s="51">
        <v>924.76</v>
      </c>
      <c r="AH115" s="51">
        <v>924.76</v>
      </c>
      <c r="AI115" s="51">
        <v>924.76</v>
      </c>
      <c r="AJ115" s="51">
        <v>445</v>
      </c>
      <c r="AK115" s="51">
        <v>99.34</v>
      </c>
      <c r="AL115" s="52">
        <f t="shared" si="6"/>
        <v>4747.8</v>
      </c>
      <c r="AM115" s="53" t="str">
        <f t="shared" si="7"/>
        <v>OK</v>
      </c>
      <c r="AN115" s="51">
        <f>2373.9+395.65+395.65+395.65+395.65+395.83+395.47</f>
        <v>4747.800000000001</v>
      </c>
      <c r="AO115" s="58">
        <f t="shared" si="5"/>
        <v>0</v>
      </c>
    </row>
    <row r="116" spans="1:41" s="54" customFormat="1" ht="13.5" customHeight="1">
      <c r="A116" s="44" t="s">
        <v>78</v>
      </c>
      <c r="B116" s="44" t="s">
        <v>79</v>
      </c>
      <c r="C116" s="44" t="s">
        <v>53</v>
      </c>
      <c r="D116" s="44" t="s">
        <v>85</v>
      </c>
      <c r="E116" s="44" t="s">
        <v>54</v>
      </c>
      <c r="F116" s="44" t="s">
        <v>124</v>
      </c>
      <c r="G116" s="44" t="s">
        <v>117</v>
      </c>
      <c r="H116" s="44" t="s">
        <v>81</v>
      </c>
      <c r="I116" s="59" t="s">
        <v>86</v>
      </c>
      <c r="J116" s="55">
        <v>1</v>
      </c>
      <c r="K116" s="55" t="s">
        <v>125</v>
      </c>
      <c r="L116" s="46">
        <v>55</v>
      </c>
      <c r="M116" s="47">
        <v>0</v>
      </c>
      <c r="N116" s="47">
        <v>3</v>
      </c>
      <c r="O116" s="48">
        <v>1200</v>
      </c>
      <c r="P116" s="48" t="s">
        <v>182</v>
      </c>
      <c r="Q116" s="47">
        <v>1</v>
      </c>
      <c r="R116" s="48">
        <v>0</v>
      </c>
      <c r="S116" s="48">
        <v>0</v>
      </c>
      <c r="T116" s="45" t="s">
        <v>56</v>
      </c>
      <c r="U116" s="49">
        <v>51</v>
      </c>
      <c r="V116" s="45">
        <v>510602</v>
      </c>
      <c r="W116" s="56" t="s">
        <v>96</v>
      </c>
      <c r="X116" s="50">
        <v>5112</v>
      </c>
      <c r="Y116" s="50">
        <f>5112-1000-350+336.36</f>
        <v>4098.36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301</v>
      </c>
      <c r="AF116" s="51">
        <v>635.17</v>
      </c>
      <c r="AG116" s="51">
        <v>635.17</v>
      </c>
      <c r="AH116" s="51">
        <v>635.17</v>
      </c>
      <c r="AI116" s="51">
        <v>635.17</v>
      </c>
      <c r="AJ116" s="51">
        <v>635.17</v>
      </c>
      <c r="AK116" s="51">
        <v>621.51</v>
      </c>
      <c r="AL116" s="52">
        <f t="shared" si="6"/>
        <v>4098.36</v>
      </c>
      <c r="AM116" s="53" t="str">
        <f t="shared" si="7"/>
        <v>OK</v>
      </c>
      <c r="AN116" s="51">
        <f>1707.65+341.53+341.53+341.53+341.53+341.53+683.06</f>
        <v>4098.359999999999</v>
      </c>
      <c r="AO116" s="58">
        <f t="shared" si="5"/>
        <v>0</v>
      </c>
    </row>
    <row r="117" spans="1:41" s="54" customFormat="1" ht="13.5" customHeight="1">
      <c r="A117" s="44" t="s">
        <v>78</v>
      </c>
      <c r="B117" s="44" t="s">
        <v>79</v>
      </c>
      <c r="C117" s="44" t="s">
        <v>80</v>
      </c>
      <c r="D117" s="44" t="s">
        <v>114</v>
      </c>
      <c r="E117" s="44" t="s">
        <v>54</v>
      </c>
      <c r="F117" s="44" t="s">
        <v>124</v>
      </c>
      <c r="G117" s="44" t="s">
        <v>117</v>
      </c>
      <c r="H117" s="44" t="s">
        <v>81</v>
      </c>
      <c r="I117" s="59" t="s">
        <v>105</v>
      </c>
      <c r="J117" s="55">
        <v>1</v>
      </c>
      <c r="K117" s="55" t="s">
        <v>125</v>
      </c>
      <c r="L117" s="46">
        <v>55</v>
      </c>
      <c r="M117" s="47">
        <v>0</v>
      </c>
      <c r="N117" s="47">
        <v>3</v>
      </c>
      <c r="O117" s="48">
        <v>1200</v>
      </c>
      <c r="P117" s="48" t="s">
        <v>182</v>
      </c>
      <c r="Q117" s="47">
        <v>1</v>
      </c>
      <c r="R117" s="48">
        <v>0</v>
      </c>
      <c r="S117" s="48">
        <v>0</v>
      </c>
      <c r="T117" s="45" t="s">
        <v>56</v>
      </c>
      <c r="U117" s="49" t="s">
        <v>131</v>
      </c>
      <c r="V117" s="45">
        <v>990101</v>
      </c>
      <c r="W117" s="56" t="s">
        <v>105</v>
      </c>
      <c r="X117" s="50">
        <v>0</v>
      </c>
      <c r="Y117" s="50">
        <f>31875-5142.72</f>
        <v>26732.28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26732.28</v>
      </c>
      <c r="AI117" s="51">
        <v>0</v>
      </c>
      <c r="AJ117" s="51">
        <v>0</v>
      </c>
      <c r="AK117" s="51">
        <v>0</v>
      </c>
      <c r="AL117" s="52">
        <f t="shared" si="6"/>
        <v>26732.28</v>
      </c>
      <c r="AM117" s="53" t="str">
        <f t="shared" si="7"/>
        <v>OK</v>
      </c>
      <c r="AN117" s="51">
        <v>26732.28</v>
      </c>
      <c r="AO117" s="58">
        <f t="shared" si="5"/>
        <v>0</v>
      </c>
    </row>
    <row r="118" spans="1:41" s="54" customFormat="1" ht="13.5" customHeight="1">
      <c r="A118" s="44" t="s">
        <v>51</v>
      </c>
      <c r="B118" s="44" t="s">
        <v>52</v>
      </c>
      <c r="C118" s="44" t="s">
        <v>53</v>
      </c>
      <c r="D118" s="44" t="s">
        <v>114</v>
      </c>
      <c r="E118" s="44" t="s">
        <v>54</v>
      </c>
      <c r="F118" s="44" t="s">
        <v>124</v>
      </c>
      <c r="G118" s="44" t="s">
        <v>115</v>
      </c>
      <c r="H118" s="44" t="s">
        <v>55</v>
      </c>
      <c r="I118" s="59" t="s">
        <v>184</v>
      </c>
      <c r="J118" s="55">
        <v>1</v>
      </c>
      <c r="K118" s="55" t="s">
        <v>125</v>
      </c>
      <c r="L118" s="46">
        <v>1</v>
      </c>
      <c r="M118" s="47">
        <v>0</v>
      </c>
      <c r="N118" s="47">
        <v>1</v>
      </c>
      <c r="O118" s="48">
        <v>1201</v>
      </c>
      <c r="P118" s="48" t="s">
        <v>182</v>
      </c>
      <c r="Q118" s="47">
        <v>1</v>
      </c>
      <c r="R118" s="48">
        <v>0</v>
      </c>
      <c r="S118" s="48">
        <v>0</v>
      </c>
      <c r="T118" s="45" t="s">
        <v>56</v>
      </c>
      <c r="U118" s="49">
        <v>53</v>
      </c>
      <c r="V118" s="45">
        <v>530101</v>
      </c>
      <c r="W118" s="56" t="s">
        <v>57</v>
      </c>
      <c r="X118" s="50">
        <v>479</v>
      </c>
      <c r="Y118" s="50">
        <f>479-308.55+308.55+100-129.81</f>
        <v>449.19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17</v>
      </c>
      <c r="AF118" s="51">
        <v>77</v>
      </c>
      <c r="AG118" s="51">
        <v>97</v>
      </c>
      <c r="AH118" s="51">
        <v>97</v>
      </c>
      <c r="AI118" s="51">
        <v>97</v>
      </c>
      <c r="AJ118" s="51">
        <v>35.2</v>
      </c>
      <c r="AK118" s="51">
        <v>28.99</v>
      </c>
      <c r="AL118" s="52">
        <f t="shared" si="6"/>
        <v>449.19</v>
      </c>
      <c r="AM118" s="53" t="str">
        <f t="shared" si="7"/>
        <v>OK</v>
      </c>
      <c r="AN118" s="51">
        <f>179.88+299.12-258.1+120+120-11.71</f>
        <v>449.19</v>
      </c>
      <c r="AO118" s="58">
        <f t="shared" si="5"/>
        <v>0</v>
      </c>
    </row>
    <row r="119" spans="1:41" s="54" customFormat="1" ht="13.5" customHeight="1">
      <c r="A119" s="44" t="s">
        <v>51</v>
      </c>
      <c r="B119" s="44" t="s">
        <v>52</v>
      </c>
      <c r="C119" s="44" t="s">
        <v>53</v>
      </c>
      <c r="D119" s="44" t="s">
        <v>114</v>
      </c>
      <c r="E119" s="44" t="s">
        <v>54</v>
      </c>
      <c r="F119" s="44" t="s">
        <v>124</v>
      </c>
      <c r="G119" s="44" t="s">
        <v>115</v>
      </c>
      <c r="H119" s="44" t="s">
        <v>55</v>
      </c>
      <c r="I119" s="59" t="s">
        <v>185</v>
      </c>
      <c r="J119" s="55">
        <v>1</v>
      </c>
      <c r="K119" s="55" t="s">
        <v>125</v>
      </c>
      <c r="L119" s="46">
        <v>1</v>
      </c>
      <c r="M119" s="47">
        <v>0</v>
      </c>
      <c r="N119" s="47">
        <v>1</v>
      </c>
      <c r="O119" s="48">
        <v>1201</v>
      </c>
      <c r="P119" s="48" t="s">
        <v>182</v>
      </c>
      <c r="Q119" s="47">
        <v>1</v>
      </c>
      <c r="R119" s="48">
        <v>0</v>
      </c>
      <c r="S119" s="48">
        <v>0</v>
      </c>
      <c r="T119" s="45" t="s">
        <v>56</v>
      </c>
      <c r="U119" s="49">
        <v>53</v>
      </c>
      <c r="V119" s="45">
        <v>530101</v>
      </c>
      <c r="W119" s="56" t="s">
        <v>57</v>
      </c>
      <c r="X119" s="50">
        <v>479</v>
      </c>
      <c r="Y119" s="50">
        <f>479-308.55+308.55+375-854</f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2">
        <f t="shared" si="6"/>
        <v>0</v>
      </c>
      <c r="AM119" s="53" t="str">
        <f t="shared" si="7"/>
        <v>OK</v>
      </c>
      <c r="AN119" s="51">
        <v>0</v>
      </c>
      <c r="AO119" s="58">
        <f t="shared" si="5"/>
        <v>0</v>
      </c>
    </row>
    <row r="120" spans="1:41" s="54" customFormat="1" ht="13.5" customHeight="1">
      <c r="A120" s="44" t="s">
        <v>51</v>
      </c>
      <c r="B120" s="44" t="s">
        <v>52</v>
      </c>
      <c r="C120" s="44" t="s">
        <v>53</v>
      </c>
      <c r="D120" s="44" t="s">
        <v>114</v>
      </c>
      <c r="E120" s="44" t="s">
        <v>54</v>
      </c>
      <c r="F120" s="44" t="s">
        <v>124</v>
      </c>
      <c r="G120" s="44" t="s">
        <v>115</v>
      </c>
      <c r="H120" s="44" t="s">
        <v>55</v>
      </c>
      <c r="I120" s="59" t="s">
        <v>186</v>
      </c>
      <c r="J120" s="55">
        <v>1</v>
      </c>
      <c r="K120" s="55" t="s">
        <v>125</v>
      </c>
      <c r="L120" s="46">
        <v>1</v>
      </c>
      <c r="M120" s="47">
        <v>0</v>
      </c>
      <c r="N120" s="47">
        <v>1</v>
      </c>
      <c r="O120" s="48">
        <v>1201</v>
      </c>
      <c r="P120" s="48" t="s">
        <v>182</v>
      </c>
      <c r="Q120" s="47">
        <v>1</v>
      </c>
      <c r="R120" s="48">
        <v>0</v>
      </c>
      <c r="S120" s="48">
        <v>0</v>
      </c>
      <c r="T120" s="45" t="s">
        <v>56</v>
      </c>
      <c r="U120" s="49">
        <v>53</v>
      </c>
      <c r="V120" s="45">
        <v>530104</v>
      </c>
      <c r="W120" s="56" t="s">
        <v>58</v>
      </c>
      <c r="X120" s="50">
        <v>48000</v>
      </c>
      <c r="Y120" s="50">
        <f>48000-13483.75+13483.75+1000+6464.94</f>
        <v>55464.94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6000</v>
      </c>
      <c r="AF120" s="51">
        <v>7000</v>
      </c>
      <c r="AG120" s="51">
        <v>7000</v>
      </c>
      <c r="AH120" s="51">
        <v>7000</v>
      </c>
      <c r="AI120" s="51">
        <v>7000</v>
      </c>
      <c r="AJ120" s="51">
        <v>10232.47</v>
      </c>
      <c r="AK120" s="51">
        <v>11232.47</v>
      </c>
      <c r="AL120" s="52">
        <f t="shared" si="6"/>
        <v>55464.94</v>
      </c>
      <c r="AM120" s="53" t="str">
        <f t="shared" si="7"/>
        <v>OK</v>
      </c>
      <c r="AN120" s="51">
        <f>5170.55+20000+20000-6426.37-3645.1-20365.86+20365.86+20365.86</f>
        <v>55464.94</v>
      </c>
      <c r="AO120" s="58">
        <f t="shared" si="5"/>
        <v>0</v>
      </c>
    </row>
    <row r="121" spans="1:41" s="54" customFormat="1" ht="13.5" customHeight="1">
      <c r="A121" s="44" t="s">
        <v>51</v>
      </c>
      <c r="B121" s="44" t="s">
        <v>52</v>
      </c>
      <c r="C121" s="44" t="s">
        <v>53</v>
      </c>
      <c r="D121" s="44" t="s">
        <v>114</v>
      </c>
      <c r="E121" s="44" t="s">
        <v>54</v>
      </c>
      <c r="F121" s="44" t="s">
        <v>124</v>
      </c>
      <c r="G121" s="44" t="s">
        <v>115</v>
      </c>
      <c r="H121" s="44" t="s">
        <v>55</v>
      </c>
      <c r="I121" s="59" t="s">
        <v>187</v>
      </c>
      <c r="J121" s="55">
        <v>1</v>
      </c>
      <c r="K121" s="55" t="s">
        <v>125</v>
      </c>
      <c r="L121" s="46">
        <v>1</v>
      </c>
      <c r="M121" s="47">
        <v>0</v>
      </c>
      <c r="N121" s="47">
        <v>1</v>
      </c>
      <c r="O121" s="48">
        <v>1201</v>
      </c>
      <c r="P121" s="48" t="s">
        <v>182</v>
      </c>
      <c r="Q121" s="47">
        <v>1</v>
      </c>
      <c r="R121" s="48">
        <v>0</v>
      </c>
      <c r="S121" s="48">
        <v>0</v>
      </c>
      <c r="T121" s="45" t="s">
        <v>56</v>
      </c>
      <c r="U121" s="49">
        <v>53</v>
      </c>
      <c r="V121" s="45">
        <v>530104</v>
      </c>
      <c r="W121" s="56" t="s">
        <v>58</v>
      </c>
      <c r="X121" s="50">
        <v>2879</v>
      </c>
      <c r="Y121" s="50">
        <f>2879+699.98-1387.65</f>
        <v>2191.33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200</v>
      </c>
      <c r="AF121" s="51">
        <v>446.5</v>
      </c>
      <c r="AG121" s="51">
        <v>446.5</v>
      </c>
      <c r="AH121" s="51">
        <v>446.5</v>
      </c>
      <c r="AI121" s="51">
        <v>446.5</v>
      </c>
      <c r="AJ121" s="51">
        <v>103</v>
      </c>
      <c r="AK121" s="51">
        <v>102.33</v>
      </c>
      <c r="AL121" s="52">
        <f t="shared" si="6"/>
        <v>2191.33</v>
      </c>
      <c r="AM121" s="53" t="str">
        <f t="shared" si="7"/>
        <v>OK</v>
      </c>
      <c r="AN121" s="51">
        <f>184.38+1000+800-454.31+800-138.74</f>
        <v>2191.33</v>
      </c>
      <c r="AO121" s="58">
        <f t="shared" si="5"/>
        <v>0</v>
      </c>
    </row>
    <row r="122" spans="1:41" s="54" customFormat="1" ht="13.5" customHeight="1">
      <c r="A122" s="44" t="s">
        <v>51</v>
      </c>
      <c r="B122" s="44" t="s">
        <v>52</v>
      </c>
      <c r="C122" s="44" t="s">
        <v>53</v>
      </c>
      <c r="D122" s="44" t="s">
        <v>114</v>
      </c>
      <c r="E122" s="44" t="s">
        <v>54</v>
      </c>
      <c r="F122" s="44" t="s">
        <v>124</v>
      </c>
      <c r="G122" s="44" t="s">
        <v>115</v>
      </c>
      <c r="H122" s="44" t="s">
        <v>55</v>
      </c>
      <c r="I122" s="59" t="s">
        <v>188</v>
      </c>
      <c r="J122" s="55">
        <v>1</v>
      </c>
      <c r="K122" s="55" t="s">
        <v>125</v>
      </c>
      <c r="L122" s="46">
        <v>1</v>
      </c>
      <c r="M122" s="47">
        <v>0</v>
      </c>
      <c r="N122" s="47">
        <v>1</v>
      </c>
      <c r="O122" s="48">
        <v>1201</v>
      </c>
      <c r="P122" s="48" t="s">
        <v>182</v>
      </c>
      <c r="Q122" s="47">
        <v>1</v>
      </c>
      <c r="R122" s="48">
        <v>0</v>
      </c>
      <c r="S122" s="48">
        <v>0</v>
      </c>
      <c r="T122" s="45" t="s">
        <v>56</v>
      </c>
      <c r="U122" s="49">
        <v>53</v>
      </c>
      <c r="V122" s="45">
        <v>530104</v>
      </c>
      <c r="W122" s="56" t="s">
        <v>58</v>
      </c>
      <c r="X122" s="50">
        <v>2879</v>
      </c>
      <c r="Y122" s="50">
        <f>2879+2000-2879-2000</f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2">
        <f t="shared" si="6"/>
        <v>0</v>
      </c>
      <c r="AM122" s="53" t="str">
        <f t="shared" si="7"/>
        <v>OK</v>
      </c>
      <c r="AN122" s="51">
        <v>0</v>
      </c>
      <c r="AO122" s="58">
        <f t="shared" si="5"/>
        <v>0</v>
      </c>
    </row>
    <row r="123" spans="1:41" s="54" customFormat="1" ht="13.5" customHeight="1">
      <c r="A123" s="44" t="s">
        <v>51</v>
      </c>
      <c r="B123" s="44" t="s">
        <v>52</v>
      </c>
      <c r="C123" s="44" t="s">
        <v>80</v>
      </c>
      <c r="D123" s="44" t="s">
        <v>114</v>
      </c>
      <c r="E123" s="44" t="s">
        <v>54</v>
      </c>
      <c r="F123" s="44" t="s">
        <v>124</v>
      </c>
      <c r="G123" s="44" t="s">
        <v>115</v>
      </c>
      <c r="H123" s="44" t="s">
        <v>55</v>
      </c>
      <c r="I123" s="59" t="s">
        <v>189</v>
      </c>
      <c r="J123" s="55">
        <v>1</v>
      </c>
      <c r="K123" s="55" t="s">
        <v>125</v>
      </c>
      <c r="L123" s="46">
        <v>1</v>
      </c>
      <c r="M123" s="47">
        <v>0</v>
      </c>
      <c r="N123" s="47">
        <v>1</v>
      </c>
      <c r="O123" s="48">
        <v>1201</v>
      </c>
      <c r="P123" s="48" t="s">
        <v>182</v>
      </c>
      <c r="Q123" s="47">
        <v>1</v>
      </c>
      <c r="R123" s="48">
        <v>0</v>
      </c>
      <c r="S123" s="48">
        <v>0</v>
      </c>
      <c r="T123" s="45" t="s">
        <v>56</v>
      </c>
      <c r="U123" s="49" t="s">
        <v>65</v>
      </c>
      <c r="V123" s="45">
        <v>530105</v>
      </c>
      <c r="W123" s="56" t="s">
        <v>82</v>
      </c>
      <c r="X123" s="50">
        <v>0</v>
      </c>
      <c r="Y123" s="50">
        <f>3360-3360</f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2">
        <f t="shared" si="6"/>
        <v>0</v>
      </c>
      <c r="AM123" s="53" t="str">
        <f t="shared" si="7"/>
        <v>OK</v>
      </c>
      <c r="AN123" s="51">
        <v>0</v>
      </c>
      <c r="AO123" s="58">
        <f t="shared" si="5"/>
        <v>0</v>
      </c>
    </row>
    <row r="124" spans="1:41" s="54" customFormat="1" ht="13.5" customHeight="1">
      <c r="A124" s="44" t="s">
        <v>51</v>
      </c>
      <c r="B124" s="44" t="s">
        <v>52</v>
      </c>
      <c r="C124" s="44" t="s">
        <v>53</v>
      </c>
      <c r="D124" s="44" t="s">
        <v>114</v>
      </c>
      <c r="E124" s="44" t="s">
        <v>54</v>
      </c>
      <c r="F124" s="44" t="s">
        <v>124</v>
      </c>
      <c r="G124" s="44" t="s">
        <v>115</v>
      </c>
      <c r="H124" s="44" t="s">
        <v>55</v>
      </c>
      <c r="I124" s="59" t="s">
        <v>190</v>
      </c>
      <c r="J124" s="55">
        <v>1</v>
      </c>
      <c r="K124" s="55" t="s">
        <v>125</v>
      </c>
      <c r="L124" s="46">
        <v>1</v>
      </c>
      <c r="M124" s="47">
        <v>0</v>
      </c>
      <c r="N124" s="47">
        <v>1</v>
      </c>
      <c r="O124" s="48">
        <v>1201</v>
      </c>
      <c r="P124" s="48" t="s">
        <v>182</v>
      </c>
      <c r="Q124" s="47">
        <v>1</v>
      </c>
      <c r="R124" s="48">
        <v>0</v>
      </c>
      <c r="S124" s="48">
        <v>0</v>
      </c>
      <c r="T124" s="45" t="s">
        <v>56</v>
      </c>
      <c r="U124" s="49">
        <v>53</v>
      </c>
      <c r="V124" s="45">
        <v>530201</v>
      </c>
      <c r="W124" s="56" t="s">
        <v>60</v>
      </c>
      <c r="X124" s="50">
        <v>20160</v>
      </c>
      <c r="Y124" s="50">
        <f>21246.44+15500-2140.81-692.86-1</f>
        <v>33911.770000000004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9186.61</v>
      </c>
      <c r="AI124" s="51">
        <v>9186.61</v>
      </c>
      <c r="AJ124" s="51">
        <v>9186.61</v>
      </c>
      <c r="AK124" s="51">
        <v>6351.94</v>
      </c>
      <c r="AL124" s="52">
        <f t="shared" si="6"/>
        <v>33911.770000000004</v>
      </c>
      <c r="AM124" s="53" t="str">
        <f t="shared" si="7"/>
        <v>OK</v>
      </c>
      <c r="AN124" s="51">
        <f>21246.44+13359.19-692.86-1</f>
        <v>33911.77</v>
      </c>
      <c r="AO124" s="58">
        <f t="shared" si="5"/>
        <v>0</v>
      </c>
    </row>
    <row r="125" spans="1:41" s="54" customFormat="1" ht="13.5" customHeight="1">
      <c r="A125" s="44" t="s">
        <v>51</v>
      </c>
      <c r="B125" s="44" t="s">
        <v>52</v>
      </c>
      <c r="C125" s="44" t="s">
        <v>53</v>
      </c>
      <c r="D125" s="44" t="s">
        <v>114</v>
      </c>
      <c r="E125" s="44" t="s">
        <v>54</v>
      </c>
      <c r="F125" s="44" t="s">
        <v>124</v>
      </c>
      <c r="G125" s="44" t="s">
        <v>115</v>
      </c>
      <c r="H125" s="44" t="s">
        <v>55</v>
      </c>
      <c r="I125" s="59" t="s">
        <v>191</v>
      </c>
      <c r="J125" s="55">
        <v>1</v>
      </c>
      <c r="K125" s="55" t="s">
        <v>125</v>
      </c>
      <c r="L125" s="46">
        <v>1</v>
      </c>
      <c r="M125" s="47">
        <v>0</v>
      </c>
      <c r="N125" s="47">
        <v>1</v>
      </c>
      <c r="O125" s="48">
        <v>1201</v>
      </c>
      <c r="P125" s="48" t="s">
        <v>182</v>
      </c>
      <c r="Q125" s="47">
        <v>1</v>
      </c>
      <c r="R125" s="48">
        <v>0</v>
      </c>
      <c r="S125" s="48">
        <v>0</v>
      </c>
      <c r="T125" s="45" t="s">
        <v>56</v>
      </c>
      <c r="U125" s="49">
        <v>53</v>
      </c>
      <c r="V125" s="45">
        <v>530203</v>
      </c>
      <c r="W125" s="56" t="s">
        <v>61</v>
      </c>
      <c r="X125" s="50">
        <v>959.84</v>
      </c>
      <c r="Y125" s="50">
        <f>959.84-959.84</f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2">
        <f t="shared" si="6"/>
        <v>0</v>
      </c>
      <c r="AM125" s="53" t="str">
        <f t="shared" si="7"/>
        <v>OK</v>
      </c>
      <c r="AN125" s="51"/>
      <c r="AO125" s="58">
        <f t="shared" si="5"/>
        <v>0</v>
      </c>
    </row>
    <row r="126" spans="1:41" s="54" customFormat="1" ht="13.5" customHeight="1">
      <c r="A126" s="44" t="s">
        <v>51</v>
      </c>
      <c r="B126" s="44" t="s">
        <v>52</v>
      </c>
      <c r="C126" s="44" t="s">
        <v>53</v>
      </c>
      <c r="D126" s="44" t="s">
        <v>114</v>
      </c>
      <c r="E126" s="44" t="s">
        <v>120</v>
      </c>
      <c r="F126" s="44" t="s">
        <v>124</v>
      </c>
      <c r="G126" s="44" t="s">
        <v>115</v>
      </c>
      <c r="H126" s="44" t="s">
        <v>55</v>
      </c>
      <c r="I126" s="59" t="s">
        <v>141</v>
      </c>
      <c r="J126" s="55">
        <v>1</v>
      </c>
      <c r="K126" s="55" t="s">
        <v>125</v>
      </c>
      <c r="L126" s="46">
        <v>1</v>
      </c>
      <c r="M126" s="47">
        <v>0</v>
      </c>
      <c r="N126" s="47">
        <v>1</v>
      </c>
      <c r="O126" s="48">
        <v>1201</v>
      </c>
      <c r="P126" s="48" t="s">
        <v>182</v>
      </c>
      <c r="Q126" s="47">
        <v>1</v>
      </c>
      <c r="R126" s="48">
        <v>0</v>
      </c>
      <c r="S126" s="48">
        <v>0</v>
      </c>
      <c r="T126" s="45" t="s">
        <v>56</v>
      </c>
      <c r="U126" s="49">
        <v>53</v>
      </c>
      <c r="V126" s="45">
        <v>530208</v>
      </c>
      <c r="W126" s="56" t="s">
        <v>101</v>
      </c>
      <c r="X126" s="50">
        <v>0</v>
      </c>
      <c r="Y126" s="50">
        <v>1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1</v>
      </c>
      <c r="AL126" s="52">
        <f t="shared" si="6"/>
        <v>1</v>
      </c>
      <c r="AM126" s="53" t="str">
        <f t="shared" si="7"/>
        <v>OK</v>
      </c>
      <c r="AN126" s="51">
        <v>1</v>
      </c>
      <c r="AO126" s="58">
        <f t="shared" si="5"/>
        <v>0</v>
      </c>
    </row>
    <row r="127" spans="1:41" s="54" customFormat="1" ht="13.5" customHeight="1">
      <c r="A127" s="44" t="s">
        <v>51</v>
      </c>
      <c r="B127" s="44" t="s">
        <v>52</v>
      </c>
      <c r="C127" s="44" t="s">
        <v>53</v>
      </c>
      <c r="D127" s="44" t="s">
        <v>114</v>
      </c>
      <c r="E127" s="44" t="s">
        <v>54</v>
      </c>
      <c r="F127" s="44" t="s">
        <v>124</v>
      </c>
      <c r="G127" s="44" t="s">
        <v>115</v>
      </c>
      <c r="H127" s="44" t="s">
        <v>55</v>
      </c>
      <c r="I127" s="59" t="s">
        <v>192</v>
      </c>
      <c r="J127" s="55">
        <v>1</v>
      </c>
      <c r="K127" s="55" t="s">
        <v>125</v>
      </c>
      <c r="L127" s="46">
        <v>1</v>
      </c>
      <c r="M127" s="47">
        <v>0</v>
      </c>
      <c r="N127" s="47">
        <v>1</v>
      </c>
      <c r="O127" s="48">
        <v>1201</v>
      </c>
      <c r="P127" s="48" t="s">
        <v>182</v>
      </c>
      <c r="Q127" s="47">
        <v>1</v>
      </c>
      <c r="R127" s="48">
        <v>0</v>
      </c>
      <c r="S127" s="48">
        <v>0</v>
      </c>
      <c r="T127" s="45" t="s">
        <v>56</v>
      </c>
      <c r="U127" s="49">
        <v>53</v>
      </c>
      <c r="V127" s="45">
        <v>530209</v>
      </c>
      <c r="W127" s="56" t="s">
        <v>63</v>
      </c>
      <c r="X127" s="50">
        <v>55480.31999999999</v>
      </c>
      <c r="Y127" s="50">
        <f>78285.29-8359.2-548.26-1</f>
        <v>69376.83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7670.99</v>
      </c>
      <c r="AF127" s="51">
        <v>7670.99</v>
      </c>
      <c r="AG127" s="51">
        <v>10961.82</v>
      </c>
      <c r="AH127" s="51">
        <v>10961.82</v>
      </c>
      <c r="AI127" s="51">
        <v>10961.82</v>
      </c>
      <c r="AJ127" s="51">
        <v>10961.82</v>
      </c>
      <c r="AK127" s="51">
        <v>10187.57</v>
      </c>
      <c r="AL127" s="52">
        <f t="shared" si="6"/>
        <v>69376.82999999999</v>
      </c>
      <c r="AM127" s="53" t="str">
        <f t="shared" si="7"/>
        <v>OK</v>
      </c>
      <c r="AN127" s="51">
        <f>40635+29025-283.17</f>
        <v>69376.83</v>
      </c>
      <c r="AO127" s="58">
        <f t="shared" si="5"/>
        <v>0</v>
      </c>
    </row>
    <row r="128" spans="1:41" s="54" customFormat="1" ht="13.5" customHeight="1">
      <c r="A128" s="44" t="s">
        <v>51</v>
      </c>
      <c r="B128" s="44" t="s">
        <v>52</v>
      </c>
      <c r="C128" s="44" t="s">
        <v>53</v>
      </c>
      <c r="D128" s="44" t="s">
        <v>114</v>
      </c>
      <c r="E128" s="44" t="s">
        <v>54</v>
      </c>
      <c r="F128" s="44" t="s">
        <v>124</v>
      </c>
      <c r="G128" s="44" t="s">
        <v>115</v>
      </c>
      <c r="H128" s="44" t="s">
        <v>55</v>
      </c>
      <c r="I128" s="59" t="s">
        <v>193</v>
      </c>
      <c r="J128" s="55">
        <v>1</v>
      </c>
      <c r="K128" s="55" t="s">
        <v>125</v>
      </c>
      <c r="L128" s="46">
        <v>1</v>
      </c>
      <c r="M128" s="47">
        <v>0</v>
      </c>
      <c r="N128" s="47">
        <v>1</v>
      </c>
      <c r="O128" s="48">
        <v>1201</v>
      </c>
      <c r="P128" s="48" t="s">
        <v>182</v>
      </c>
      <c r="Q128" s="47">
        <v>1</v>
      </c>
      <c r="R128" s="48">
        <v>0</v>
      </c>
      <c r="S128" s="48">
        <v>0</v>
      </c>
      <c r="T128" s="45" t="s">
        <v>56</v>
      </c>
      <c r="U128" s="49">
        <v>53</v>
      </c>
      <c r="V128" s="45">
        <v>530209</v>
      </c>
      <c r="W128" s="56" t="s">
        <v>63</v>
      </c>
      <c r="X128" s="50">
        <v>0</v>
      </c>
      <c r="Y128" s="50">
        <f>2310-2310</f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2">
        <f t="shared" si="6"/>
        <v>0</v>
      </c>
      <c r="AM128" s="53" t="str">
        <f t="shared" si="7"/>
        <v>OK</v>
      </c>
      <c r="AN128" s="51">
        <v>0</v>
      </c>
      <c r="AO128" s="58">
        <f t="shared" si="5"/>
        <v>0</v>
      </c>
    </row>
    <row r="129" spans="1:41" s="54" customFormat="1" ht="13.5" customHeight="1">
      <c r="A129" s="44" t="s">
        <v>51</v>
      </c>
      <c r="B129" s="44" t="s">
        <v>52</v>
      </c>
      <c r="C129" s="44" t="s">
        <v>53</v>
      </c>
      <c r="D129" s="44" t="s">
        <v>114</v>
      </c>
      <c r="E129" s="44" t="s">
        <v>54</v>
      </c>
      <c r="F129" s="44" t="s">
        <v>124</v>
      </c>
      <c r="G129" s="44" t="s">
        <v>115</v>
      </c>
      <c r="H129" s="44" t="s">
        <v>55</v>
      </c>
      <c r="I129" s="59" t="s">
        <v>194</v>
      </c>
      <c r="J129" s="55">
        <v>1</v>
      </c>
      <c r="K129" s="55" t="s">
        <v>125</v>
      </c>
      <c r="L129" s="46">
        <v>1</v>
      </c>
      <c r="M129" s="47">
        <v>0</v>
      </c>
      <c r="N129" s="47">
        <v>1</v>
      </c>
      <c r="O129" s="48">
        <v>1201</v>
      </c>
      <c r="P129" s="48" t="s">
        <v>182</v>
      </c>
      <c r="Q129" s="47">
        <v>1</v>
      </c>
      <c r="R129" s="48">
        <v>0</v>
      </c>
      <c r="S129" s="48">
        <v>0</v>
      </c>
      <c r="T129" s="45" t="s">
        <v>56</v>
      </c>
      <c r="U129" s="49">
        <v>53</v>
      </c>
      <c r="V129" s="45">
        <v>530209</v>
      </c>
      <c r="W129" s="56" t="s">
        <v>63</v>
      </c>
      <c r="X129" s="50">
        <v>0</v>
      </c>
      <c r="Y129" s="50">
        <f>500-500</f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2">
        <f t="shared" si="6"/>
        <v>0</v>
      </c>
      <c r="AM129" s="53" t="str">
        <f t="shared" si="7"/>
        <v>OK</v>
      </c>
      <c r="AN129" s="51">
        <v>0</v>
      </c>
      <c r="AO129" s="58">
        <f t="shared" si="5"/>
        <v>0</v>
      </c>
    </row>
    <row r="130" spans="1:41" s="54" customFormat="1" ht="13.5" customHeight="1">
      <c r="A130" s="44" t="s">
        <v>51</v>
      </c>
      <c r="B130" s="44" t="s">
        <v>52</v>
      </c>
      <c r="C130" s="44" t="s">
        <v>53</v>
      </c>
      <c r="D130" s="44" t="s">
        <v>114</v>
      </c>
      <c r="E130" s="44" t="s">
        <v>54</v>
      </c>
      <c r="F130" s="44" t="s">
        <v>124</v>
      </c>
      <c r="G130" s="44" t="s">
        <v>115</v>
      </c>
      <c r="H130" s="44" t="s">
        <v>55</v>
      </c>
      <c r="I130" s="59" t="s">
        <v>195</v>
      </c>
      <c r="J130" s="55">
        <v>1</v>
      </c>
      <c r="K130" s="55" t="s">
        <v>125</v>
      </c>
      <c r="L130" s="46">
        <v>1</v>
      </c>
      <c r="M130" s="47">
        <v>0</v>
      </c>
      <c r="N130" s="47">
        <v>1</v>
      </c>
      <c r="O130" s="48">
        <v>1201</v>
      </c>
      <c r="P130" s="48" t="s">
        <v>182</v>
      </c>
      <c r="Q130" s="47">
        <v>1</v>
      </c>
      <c r="R130" s="48">
        <v>0</v>
      </c>
      <c r="S130" s="48">
        <v>0</v>
      </c>
      <c r="T130" s="45" t="s">
        <v>56</v>
      </c>
      <c r="U130" s="49">
        <v>53</v>
      </c>
      <c r="V130" s="45">
        <v>530209</v>
      </c>
      <c r="W130" s="56" t="s">
        <v>63</v>
      </c>
      <c r="X130" s="50">
        <v>0</v>
      </c>
      <c r="Y130" s="50">
        <v>2872.26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2872.26</v>
      </c>
      <c r="AK130" s="51">
        <v>0</v>
      </c>
      <c r="AL130" s="52">
        <f t="shared" si="6"/>
        <v>2872.26</v>
      </c>
      <c r="AM130" s="53" t="str">
        <f t="shared" si="7"/>
        <v>OK</v>
      </c>
      <c r="AN130" s="51">
        <f>2322+550.26</f>
        <v>2872.26</v>
      </c>
      <c r="AO130" s="58">
        <f t="shared" si="5"/>
        <v>0</v>
      </c>
    </row>
    <row r="131" spans="1:41" s="54" customFormat="1" ht="13.5" customHeight="1">
      <c r="A131" s="44" t="s">
        <v>51</v>
      </c>
      <c r="B131" s="44" t="s">
        <v>52</v>
      </c>
      <c r="C131" s="44" t="s">
        <v>53</v>
      </c>
      <c r="D131" s="44" t="s">
        <v>114</v>
      </c>
      <c r="E131" s="44" t="s">
        <v>54</v>
      </c>
      <c r="F131" s="44" t="s">
        <v>124</v>
      </c>
      <c r="G131" s="44" t="s">
        <v>115</v>
      </c>
      <c r="H131" s="44" t="s">
        <v>55</v>
      </c>
      <c r="I131" s="59" t="s">
        <v>196</v>
      </c>
      <c r="J131" s="55">
        <v>1</v>
      </c>
      <c r="K131" s="55" t="s">
        <v>125</v>
      </c>
      <c r="L131" s="46">
        <v>1</v>
      </c>
      <c r="M131" s="47">
        <v>0</v>
      </c>
      <c r="N131" s="47">
        <v>1</v>
      </c>
      <c r="O131" s="48">
        <v>1201</v>
      </c>
      <c r="P131" s="48" t="s">
        <v>182</v>
      </c>
      <c r="Q131" s="47">
        <v>1</v>
      </c>
      <c r="R131" s="48">
        <v>0</v>
      </c>
      <c r="S131" s="48">
        <v>0</v>
      </c>
      <c r="T131" s="45" t="s">
        <v>56</v>
      </c>
      <c r="U131" s="49">
        <v>53</v>
      </c>
      <c r="V131" s="45">
        <v>530209</v>
      </c>
      <c r="W131" s="56" t="s">
        <v>63</v>
      </c>
      <c r="X131" s="50">
        <v>2303.84</v>
      </c>
      <c r="Y131" s="50">
        <v>1771.66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143.8</v>
      </c>
      <c r="AF131" s="51">
        <v>239.67</v>
      </c>
      <c r="AG131" s="51">
        <v>277.64</v>
      </c>
      <c r="AH131" s="51">
        <v>277.64</v>
      </c>
      <c r="AI131" s="51">
        <v>277.64</v>
      </c>
      <c r="AJ131" s="51">
        <v>277.64</v>
      </c>
      <c r="AK131" s="51">
        <v>277.63</v>
      </c>
      <c r="AL131" s="52">
        <f t="shared" si="6"/>
        <v>1771.6599999999999</v>
      </c>
      <c r="AM131" s="53" t="str">
        <f t="shared" si="7"/>
        <v>OK</v>
      </c>
      <c r="AN131" s="51">
        <f>2037.75-266.09</f>
        <v>1771.66</v>
      </c>
      <c r="AO131" s="58">
        <f aca="true" t="shared" si="8" ref="AO131:AO189">+Y131-AN131</f>
        <v>0</v>
      </c>
    </row>
    <row r="132" spans="1:41" s="54" customFormat="1" ht="13.5" customHeight="1">
      <c r="A132" s="44" t="s">
        <v>51</v>
      </c>
      <c r="B132" s="44" t="s">
        <v>52</v>
      </c>
      <c r="C132" s="44" t="s">
        <v>53</v>
      </c>
      <c r="D132" s="44" t="s">
        <v>114</v>
      </c>
      <c r="E132" s="44" t="s">
        <v>54</v>
      </c>
      <c r="F132" s="44" t="s">
        <v>124</v>
      </c>
      <c r="G132" s="44" t="s">
        <v>115</v>
      </c>
      <c r="H132" s="44" t="s">
        <v>55</v>
      </c>
      <c r="I132" s="59" t="s">
        <v>197</v>
      </c>
      <c r="J132" s="55">
        <v>2</v>
      </c>
      <c r="K132" s="55" t="s">
        <v>125</v>
      </c>
      <c r="L132" s="46">
        <v>1</v>
      </c>
      <c r="M132" s="47">
        <v>0</v>
      </c>
      <c r="N132" s="47">
        <v>1</v>
      </c>
      <c r="O132" s="48">
        <v>1201</v>
      </c>
      <c r="P132" s="48" t="s">
        <v>182</v>
      </c>
      <c r="Q132" s="47">
        <v>1</v>
      </c>
      <c r="R132" s="48">
        <v>0</v>
      </c>
      <c r="S132" s="48">
        <v>0</v>
      </c>
      <c r="T132" s="45" t="s">
        <v>56</v>
      </c>
      <c r="U132" s="49">
        <v>53</v>
      </c>
      <c r="V132" s="45">
        <v>530301</v>
      </c>
      <c r="W132" s="56" t="s">
        <v>64</v>
      </c>
      <c r="X132" s="50">
        <v>60</v>
      </c>
      <c r="Y132" s="50">
        <f>60-60</f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2">
        <f t="shared" si="6"/>
        <v>0</v>
      </c>
      <c r="AM132" s="53" t="str">
        <f t="shared" si="7"/>
        <v>OK</v>
      </c>
      <c r="AN132" s="51">
        <f>60-60</f>
        <v>0</v>
      </c>
      <c r="AO132" s="58">
        <f t="shared" si="8"/>
        <v>0</v>
      </c>
    </row>
    <row r="133" spans="1:41" s="54" customFormat="1" ht="13.5" customHeight="1">
      <c r="A133" s="44" t="s">
        <v>51</v>
      </c>
      <c r="B133" s="44" t="s">
        <v>52</v>
      </c>
      <c r="C133" s="44" t="s">
        <v>53</v>
      </c>
      <c r="D133" s="44" t="s">
        <v>114</v>
      </c>
      <c r="E133" s="44" t="s">
        <v>54</v>
      </c>
      <c r="F133" s="44" t="s">
        <v>124</v>
      </c>
      <c r="G133" s="44" t="s">
        <v>115</v>
      </c>
      <c r="H133" s="44" t="s">
        <v>55</v>
      </c>
      <c r="I133" s="59" t="s">
        <v>198</v>
      </c>
      <c r="J133" s="55">
        <v>2</v>
      </c>
      <c r="K133" s="55" t="s">
        <v>125</v>
      </c>
      <c r="L133" s="46">
        <v>1</v>
      </c>
      <c r="M133" s="47">
        <v>0</v>
      </c>
      <c r="N133" s="47">
        <v>1</v>
      </c>
      <c r="O133" s="48">
        <v>1201</v>
      </c>
      <c r="P133" s="48" t="s">
        <v>182</v>
      </c>
      <c r="Q133" s="47">
        <v>1</v>
      </c>
      <c r="R133" s="48">
        <v>0</v>
      </c>
      <c r="S133" s="48">
        <v>0</v>
      </c>
      <c r="T133" s="45" t="s">
        <v>56</v>
      </c>
      <c r="U133" s="49">
        <v>53</v>
      </c>
      <c r="V133" s="45">
        <v>530301</v>
      </c>
      <c r="W133" s="56" t="s">
        <v>64</v>
      </c>
      <c r="X133" s="50">
        <v>665.28</v>
      </c>
      <c r="Y133" s="50">
        <f>549.36-113.97-252.77</f>
        <v>182.61999999999998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182.62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2">
        <f t="shared" si="6"/>
        <v>182.62</v>
      </c>
      <c r="AM133" s="53" t="str">
        <f t="shared" si="7"/>
        <v>OK</v>
      </c>
      <c r="AN133" s="51">
        <f>549.36-549.36+182.62</f>
        <v>182.62</v>
      </c>
      <c r="AO133" s="58">
        <f t="shared" si="8"/>
        <v>0</v>
      </c>
    </row>
    <row r="134" spans="1:41" s="54" customFormat="1" ht="13.5" customHeight="1">
      <c r="A134" s="44" t="s">
        <v>51</v>
      </c>
      <c r="B134" s="44" t="s">
        <v>52</v>
      </c>
      <c r="C134" s="44" t="s">
        <v>53</v>
      </c>
      <c r="D134" s="44" t="s">
        <v>114</v>
      </c>
      <c r="E134" s="44" t="s">
        <v>54</v>
      </c>
      <c r="F134" s="44" t="s">
        <v>124</v>
      </c>
      <c r="G134" s="44" t="s">
        <v>115</v>
      </c>
      <c r="H134" s="44" t="s">
        <v>55</v>
      </c>
      <c r="I134" s="59" t="s">
        <v>199</v>
      </c>
      <c r="J134" s="55">
        <v>1</v>
      </c>
      <c r="K134" s="55" t="s">
        <v>125</v>
      </c>
      <c r="L134" s="46">
        <v>1</v>
      </c>
      <c r="M134" s="47">
        <v>0</v>
      </c>
      <c r="N134" s="47">
        <v>1</v>
      </c>
      <c r="O134" s="48">
        <v>1201</v>
      </c>
      <c r="P134" s="48" t="s">
        <v>182</v>
      </c>
      <c r="Q134" s="47">
        <v>1</v>
      </c>
      <c r="R134" s="48">
        <v>0</v>
      </c>
      <c r="S134" s="48">
        <v>0</v>
      </c>
      <c r="T134" s="45" t="s">
        <v>56</v>
      </c>
      <c r="U134" s="49">
        <v>53</v>
      </c>
      <c r="V134" s="45">
        <v>530303</v>
      </c>
      <c r="W134" s="56" t="s">
        <v>66</v>
      </c>
      <c r="X134" s="50">
        <v>0</v>
      </c>
      <c r="Y134" s="50">
        <f>1200+1200+500+1000-353.73</f>
        <v>3546.27</v>
      </c>
      <c r="Z134" s="51">
        <v>0</v>
      </c>
      <c r="AA134" s="51">
        <v>0</v>
      </c>
      <c r="AB134" s="51">
        <v>0</v>
      </c>
      <c r="AC134" s="51">
        <v>0</v>
      </c>
      <c r="AD134" s="51">
        <v>600</v>
      </c>
      <c r="AE134" s="51">
        <v>0</v>
      </c>
      <c r="AF134" s="51">
        <v>600</v>
      </c>
      <c r="AG134" s="51">
        <v>0</v>
      </c>
      <c r="AH134" s="51">
        <v>1100</v>
      </c>
      <c r="AI134" s="51">
        <v>0</v>
      </c>
      <c r="AJ134" s="51">
        <v>1246.27</v>
      </c>
      <c r="AK134" s="51">
        <v>0</v>
      </c>
      <c r="AL134" s="52">
        <f t="shared" si="6"/>
        <v>3546.27</v>
      </c>
      <c r="AM134" s="53" t="str">
        <f t="shared" si="7"/>
        <v>OK</v>
      </c>
      <c r="AN134" s="51">
        <f>1040+1206.64-632.93-2.63+788.92+500+720+280-353.73</f>
        <v>3546.2700000000004</v>
      </c>
      <c r="AO134" s="58">
        <f t="shared" si="8"/>
        <v>0</v>
      </c>
    </row>
    <row r="135" spans="1:41" s="54" customFormat="1" ht="13.5" customHeight="1">
      <c r="A135" s="44" t="s">
        <v>51</v>
      </c>
      <c r="B135" s="44" t="s">
        <v>52</v>
      </c>
      <c r="C135" s="44" t="s">
        <v>53</v>
      </c>
      <c r="D135" s="44" t="s">
        <v>114</v>
      </c>
      <c r="E135" s="44" t="s">
        <v>54</v>
      </c>
      <c r="F135" s="44" t="s">
        <v>124</v>
      </c>
      <c r="G135" s="44" t="s">
        <v>115</v>
      </c>
      <c r="H135" s="44" t="s">
        <v>55</v>
      </c>
      <c r="I135" s="59" t="s">
        <v>200</v>
      </c>
      <c r="J135" s="55">
        <v>1</v>
      </c>
      <c r="K135" s="55" t="s">
        <v>125</v>
      </c>
      <c r="L135" s="46">
        <v>1</v>
      </c>
      <c r="M135" s="47">
        <v>0</v>
      </c>
      <c r="N135" s="47">
        <v>1</v>
      </c>
      <c r="O135" s="48">
        <v>1201</v>
      </c>
      <c r="P135" s="48" t="s">
        <v>182</v>
      </c>
      <c r="Q135" s="47">
        <v>1</v>
      </c>
      <c r="R135" s="48">
        <v>0</v>
      </c>
      <c r="S135" s="48">
        <v>0</v>
      </c>
      <c r="T135" s="45" t="s">
        <v>56</v>
      </c>
      <c r="U135" s="49">
        <v>53</v>
      </c>
      <c r="V135" s="45">
        <v>530402</v>
      </c>
      <c r="W135" s="56" t="s">
        <v>67</v>
      </c>
      <c r="X135" s="50">
        <v>2303.84</v>
      </c>
      <c r="Y135" s="50">
        <f>2205.94</f>
        <v>2205.94</v>
      </c>
      <c r="Z135" s="51">
        <v>0</v>
      </c>
      <c r="AA135" s="51">
        <v>2205.94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2">
        <f t="shared" si="6"/>
        <v>2205.94</v>
      </c>
      <c r="AM135" s="53" t="str">
        <f t="shared" si="7"/>
        <v>OK</v>
      </c>
      <c r="AN135" s="51">
        <v>2205.94</v>
      </c>
      <c r="AO135" s="58">
        <f t="shared" si="8"/>
        <v>0</v>
      </c>
    </row>
    <row r="136" spans="1:41" s="54" customFormat="1" ht="13.5" customHeight="1">
      <c r="A136" s="44" t="s">
        <v>51</v>
      </c>
      <c r="B136" s="44" t="s">
        <v>52</v>
      </c>
      <c r="C136" s="44" t="s">
        <v>53</v>
      </c>
      <c r="D136" s="44" t="s">
        <v>114</v>
      </c>
      <c r="E136" s="44" t="s">
        <v>54</v>
      </c>
      <c r="F136" s="44" t="s">
        <v>124</v>
      </c>
      <c r="G136" s="44" t="s">
        <v>115</v>
      </c>
      <c r="H136" s="44" t="s">
        <v>55</v>
      </c>
      <c r="I136" s="59" t="s">
        <v>201</v>
      </c>
      <c r="J136" s="55">
        <v>1</v>
      </c>
      <c r="K136" s="55" t="s">
        <v>125</v>
      </c>
      <c r="L136" s="46">
        <v>1</v>
      </c>
      <c r="M136" s="47">
        <v>0</v>
      </c>
      <c r="N136" s="47">
        <v>1</v>
      </c>
      <c r="O136" s="48">
        <v>1201</v>
      </c>
      <c r="P136" s="48" t="s">
        <v>182</v>
      </c>
      <c r="Q136" s="47">
        <v>1</v>
      </c>
      <c r="R136" s="48">
        <v>0</v>
      </c>
      <c r="S136" s="48">
        <v>0</v>
      </c>
      <c r="T136" s="45" t="s">
        <v>56</v>
      </c>
      <c r="U136" s="49">
        <v>53</v>
      </c>
      <c r="V136" s="45">
        <v>530402</v>
      </c>
      <c r="W136" s="56" t="s">
        <v>67</v>
      </c>
      <c r="X136" s="50">
        <v>0</v>
      </c>
      <c r="Y136" s="50">
        <f>5600-5600</f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2">
        <f t="shared" si="6"/>
        <v>0</v>
      </c>
      <c r="AM136" s="53" t="str">
        <f t="shared" si="7"/>
        <v>OK</v>
      </c>
      <c r="AN136" s="51">
        <v>0</v>
      </c>
      <c r="AO136" s="58">
        <f t="shared" si="8"/>
        <v>0</v>
      </c>
    </row>
    <row r="137" spans="1:41" s="54" customFormat="1" ht="13.5" customHeight="1">
      <c r="A137" s="44" t="s">
        <v>51</v>
      </c>
      <c r="B137" s="44" t="s">
        <v>52</v>
      </c>
      <c r="C137" s="44" t="s">
        <v>53</v>
      </c>
      <c r="D137" s="44" t="s">
        <v>114</v>
      </c>
      <c r="E137" s="44" t="s">
        <v>54</v>
      </c>
      <c r="F137" s="44" t="s">
        <v>124</v>
      </c>
      <c r="G137" s="44" t="s">
        <v>115</v>
      </c>
      <c r="H137" s="44" t="s">
        <v>55</v>
      </c>
      <c r="I137" s="59" t="s">
        <v>202</v>
      </c>
      <c r="J137" s="55">
        <v>1</v>
      </c>
      <c r="K137" s="55" t="s">
        <v>125</v>
      </c>
      <c r="L137" s="46">
        <v>1</v>
      </c>
      <c r="M137" s="47">
        <v>0</v>
      </c>
      <c r="N137" s="47">
        <v>1</v>
      </c>
      <c r="O137" s="48">
        <v>1201</v>
      </c>
      <c r="P137" s="48" t="s">
        <v>182</v>
      </c>
      <c r="Q137" s="47">
        <v>1</v>
      </c>
      <c r="R137" s="48">
        <v>0</v>
      </c>
      <c r="S137" s="48">
        <v>0</v>
      </c>
      <c r="T137" s="45" t="s">
        <v>56</v>
      </c>
      <c r="U137" s="49">
        <v>53</v>
      </c>
      <c r="V137" s="45">
        <v>530402</v>
      </c>
      <c r="W137" s="56" t="s">
        <v>67</v>
      </c>
      <c r="X137" s="50">
        <v>0</v>
      </c>
      <c r="Y137" s="50">
        <f>5000-1156-3118.84</f>
        <v>725.1599999999999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725.16</v>
      </c>
      <c r="AK137" s="51">
        <v>0</v>
      </c>
      <c r="AL137" s="52">
        <f t="shared" si="6"/>
        <v>725.16</v>
      </c>
      <c r="AM137" s="53" t="str">
        <f t="shared" si="7"/>
        <v>OK</v>
      </c>
      <c r="AN137" s="51">
        <f>3844-3118.84</f>
        <v>725.1599999999999</v>
      </c>
      <c r="AO137" s="58">
        <f t="shared" si="8"/>
        <v>0</v>
      </c>
    </row>
    <row r="138" spans="1:41" s="54" customFormat="1" ht="13.5" customHeight="1">
      <c r="A138" s="44" t="s">
        <v>51</v>
      </c>
      <c r="B138" s="44" t="s">
        <v>52</v>
      </c>
      <c r="C138" s="44" t="s">
        <v>53</v>
      </c>
      <c r="D138" s="44" t="s">
        <v>114</v>
      </c>
      <c r="E138" s="44" t="s">
        <v>54</v>
      </c>
      <c r="F138" s="44" t="s">
        <v>124</v>
      </c>
      <c r="G138" s="44" t="s">
        <v>115</v>
      </c>
      <c r="H138" s="44" t="s">
        <v>55</v>
      </c>
      <c r="I138" s="59" t="s">
        <v>203</v>
      </c>
      <c r="J138" s="55">
        <v>1</v>
      </c>
      <c r="K138" s="55" t="s">
        <v>125</v>
      </c>
      <c r="L138" s="46">
        <v>1</v>
      </c>
      <c r="M138" s="47">
        <v>0</v>
      </c>
      <c r="N138" s="47">
        <v>1</v>
      </c>
      <c r="O138" s="48">
        <v>1201</v>
      </c>
      <c r="P138" s="48" t="s">
        <v>182</v>
      </c>
      <c r="Q138" s="47">
        <v>1</v>
      </c>
      <c r="R138" s="48">
        <v>0</v>
      </c>
      <c r="S138" s="48">
        <v>0</v>
      </c>
      <c r="T138" s="45" t="s">
        <v>56</v>
      </c>
      <c r="U138" s="49">
        <v>53</v>
      </c>
      <c r="V138" s="45">
        <v>530402</v>
      </c>
      <c r="W138" s="56" t="s">
        <v>67</v>
      </c>
      <c r="X138" s="50">
        <v>0</v>
      </c>
      <c r="Y138" s="50">
        <v>3000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3000</v>
      </c>
      <c r="AK138" s="51">
        <v>0</v>
      </c>
      <c r="AL138" s="52">
        <f t="shared" si="6"/>
        <v>3000</v>
      </c>
      <c r="AM138" s="53" t="str">
        <f t="shared" si="7"/>
        <v>OK</v>
      </c>
      <c r="AN138" s="51">
        <v>3000</v>
      </c>
      <c r="AO138" s="58">
        <f t="shared" si="8"/>
        <v>0</v>
      </c>
    </row>
    <row r="139" spans="1:41" s="54" customFormat="1" ht="13.5" customHeight="1">
      <c r="A139" s="44" t="s">
        <v>51</v>
      </c>
      <c r="B139" s="44" t="s">
        <v>52</v>
      </c>
      <c r="C139" s="44" t="s">
        <v>53</v>
      </c>
      <c r="D139" s="44" t="s">
        <v>114</v>
      </c>
      <c r="E139" s="44" t="s">
        <v>54</v>
      </c>
      <c r="F139" s="44" t="s">
        <v>124</v>
      </c>
      <c r="G139" s="44" t="s">
        <v>115</v>
      </c>
      <c r="H139" s="44" t="s">
        <v>55</v>
      </c>
      <c r="I139" s="59" t="s">
        <v>204</v>
      </c>
      <c r="J139" s="55">
        <v>1</v>
      </c>
      <c r="K139" s="55" t="s">
        <v>125</v>
      </c>
      <c r="L139" s="46">
        <v>1</v>
      </c>
      <c r="M139" s="47">
        <v>0</v>
      </c>
      <c r="N139" s="47">
        <v>1</v>
      </c>
      <c r="O139" s="48">
        <v>1201</v>
      </c>
      <c r="P139" s="48" t="s">
        <v>182</v>
      </c>
      <c r="Q139" s="47">
        <v>1</v>
      </c>
      <c r="R139" s="48">
        <v>0</v>
      </c>
      <c r="S139" s="48">
        <v>0</v>
      </c>
      <c r="T139" s="45" t="s">
        <v>56</v>
      </c>
      <c r="U139" s="49">
        <v>53</v>
      </c>
      <c r="V139" s="45">
        <v>530402</v>
      </c>
      <c r="W139" s="56" t="s">
        <v>67</v>
      </c>
      <c r="X139" s="50">
        <v>0</v>
      </c>
      <c r="Y139" s="50">
        <f>16335.8-16335.8</f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2">
        <f t="shared" si="6"/>
        <v>0</v>
      </c>
      <c r="AM139" s="53" t="str">
        <f t="shared" si="7"/>
        <v>OK</v>
      </c>
      <c r="AN139" s="51">
        <v>0</v>
      </c>
      <c r="AO139" s="58">
        <f t="shared" si="8"/>
        <v>0</v>
      </c>
    </row>
    <row r="140" spans="1:41" s="54" customFormat="1" ht="13.5" customHeight="1">
      <c r="A140" s="44" t="s">
        <v>51</v>
      </c>
      <c r="B140" s="44" t="s">
        <v>52</v>
      </c>
      <c r="C140" s="44" t="s">
        <v>53</v>
      </c>
      <c r="D140" s="44" t="s">
        <v>114</v>
      </c>
      <c r="E140" s="44" t="s">
        <v>54</v>
      </c>
      <c r="F140" s="44" t="s">
        <v>124</v>
      </c>
      <c r="G140" s="44" t="s">
        <v>115</v>
      </c>
      <c r="H140" s="44" t="s">
        <v>55</v>
      </c>
      <c r="I140" s="59" t="s">
        <v>205</v>
      </c>
      <c r="J140" s="55">
        <v>1</v>
      </c>
      <c r="K140" s="55" t="s">
        <v>125</v>
      </c>
      <c r="L140" s="46">
        <v>1</v>
      </c>
      <c r="M140" s="47">
        <v>0</v>
      </c>
      <c r="N140" s="47">
        <v>1</v>
      </c>
      <c r="O140" s="48">
        <v>1201</v>
      </c>
      <c r="P140" s="48" t="s">
        <v>182</v>
      </c>
      <c r="Q140" s="47">
        <v>1</v>
      </c>
      <c r="R140" s="48">
        <v>0</v>
      </c>
      <c r="S140" s="48">
        <v>0</v>
      </c>
      <c r="T140" s="45" t="s">
        <v>56</v>
      </c>
      <c r="U140" s="49">
        <v>53</v>
      </c>
      <c r="V140" s="45">
        <v>530402</v>
      </c>
      <c r="W140" s="56" t="s">
        <v>67</v>
      </c>
      <c r="X140" s="50">
        <v>12799.36</v>
      </c>
      <c r="Y140" s="50">
        <f>6480.88+16796.75-6245.15-2913.64</f>
        <v>14118.840000000004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14118.84</v>
      </c>
      <c r="AK140" s="51">
        <v>0</v>
      </c>
      <c r="AL140" s="52">
        <f t="shared" si="6"/>
        <v>14118.84</v>
      </c>
      <c r="AM140" s="53" t="str">
        <f t="shared" si="7"/>
        <v>OK</v>
      </c>
      <c r="AN140" s="51">
        <f>16913.64+118.84-2913.64</f>
        <v>14118.84</v>
      </c>
      <c r="AO140" s="58">
        <f t="shared" si="8"/>
        <v>0</v>
      </c>
    </row>
    <row r="141" spans="1:41" s="54" customFormat="1" ht="13.5" customHeight="1">
      <c r="A141" s="44" t="s">
        <v>51</v>
      </c>
      <c r="B141" s="44" t="s">
        <v>52</v>
      </c>
      <c r="C141" s="44" t="s">
        <v>53</v>
      </c>
      <c r="D141" s="44" t="s">
        <v>114</v>
      </c>
      <c r="E141" s="44" t="s">
        <v>54</v>
      </c>
      <c r="F141" s="44" t="s">
        <v>124</v>
      </c>
      <c r="G141" s="44" t="s">
        <v>115</v>
      </c>
      <c r="H141" s="44" t="s">
        <v>55</v>
      </c>
      <c r="I141" s="59" t="s">
        <v>206</v>
      </c>
      <c r="J141" s="55">
        <v>1</v>
      </c>
      <c r="K141" s="55" t="s">
        <v>125</v>
      </c>
      <c r="L141" s="46">
        <v>1</v>
      </c>
      <c r="M141" s="47">
        <v>0</v>
      </c>
      <c r="N141" s="47">
        <v>1</v>
      </c>
      <c r="O141" s="48">
        <v>1201</v>
      </c>
      <c r="P141" s="48" t="s">
        <v>182</v>
      </c>
      <c r="Q141" s="47">
        <v>1</v>
      </c>
      <c r="R141" s="48">
        <v>0</v>
      </c>
      <c r="S141" s="48">
        <v>0</v>
      </c>
      <c r="T141" s="45" t="s">
        <v>56</v>
      </c>
      <c r="U141" s="49">
        <v>53</v>
      </c>
      <c r="V141" s="45">
        <v>530404</v>
      </c>
      <c r="W141" s="56" t="s">
        <v>112</v>
      </c>
      <c r="X141" s="50">
        <v>0</v>
      </c>
      <c r="Y141" s="50">
        <f>2000-2000</f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2">
        <f t="shared" si="6"/>
        <v>0</v>
      </c>
      <c r="AM141" s="53" t="str">
        <f t="shared" si="7"/>
        <v>OK</v>
      </c>
      <c r="AN141" s="51">
        <v>0</v>
      </c>
      <c r="AO141" s="58">
        <f t="shared" si="8"/>
        <v>0</v>
      </c>
    </row>
    <row r="142" spans="1:41" s="54" customFormat="1" ht="13.5" customHeight="1">
      <c r="A142" s="44" t="s">
        <v>51</v>
      </c>
      <c r="B142" s="44" t="s">
        <v>52</v>
      </c>
      <c r="C142" s="44" t="s">
        <v>53</v>
      </c>
      <c r="D142" s="44" t="s">
        <v>114</v>
      </c>
      <c r="E142" s="44" t="s">
        <v>54</v>
      </c>
      <c r="F142" s="44" t="s">
        <v>124</v>
      </c>
      <c r="G142" s="44" t="s">
        <v>115</v>
      </c>
      <c r="H142" s="44" t="s">
        <v>55</v>
      </c>
      <c r="I142" s="59" t="s">
        <v>207</v>
      </c>
      <c r="J142" s="55">
        <v>1</v>
      </c>
      <c r="K142" s="55" t="s">
        <v>125</v>
      </c>
      <c r="L142" s="46">
        <v>1</v>
      </c>
      <c r="M142" s="47">
        <v>0</v>
      </c>
      <c r="N142" s="47">
        <v>1</v>
      </c>
      <c r="O142" s="48">
        <v>1201</v>
      </c>
      <c r="P142" s="48" t="s">
        <v>182</v>
      </c>
      <c r="Q142" s="47">
        <v>1</v>
      </c>
      <c r="R142" s="48">
        <v>0</v>
      </c>
      <c r="S142" s="48">
        <v>0</v>
      </c>
      <c r="T142" s="45" t="s">
        <v>56</v>
      </c>
      <c r="U142" s="49">
        <v>53</v>
      </c>
      <c r="V142" s="45">
        <v>530404</v>
      </c>
      <c r="W142" s="56" t="s">
        <v>112</v>
      </c>
      <c r="X142" s="50">
        <v>1919.68</v>
      </c>
      <c r="Y142" s="50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2">
        <f t="shared" si="6"/>
        <v>0</v>
      </c>
      <c r="AM142" s="53" t="str">
        <f t="shared" si="7"/>
        <v>OK</v>
      </c>
      <c r="AN142" s="51">
        <v>0</v>
      </c>
      <c r="AO142" s="58">
        <f t="shared" si="8"/>
        <v>0</v>
      </c>
    </row>
    <row r="143" spans="1:41" s="54" customFormat="1" ht="13.5" customHeight="1">
      <c r="A143" s="44" t="s">
        <v>51</v>
      </c>
      <c r="B143" s="44" t="s">
        <v>52</v>
      </c>
      <c r="C143" s="44" t="s">
        <v>53</v>
      </c>
      <c r="D143" s="44" t="s">
        <v>114</v>
      </c>
      <c r="E143" s="44" t="s">
        <v>54</v>
      </c>
      <c r="F143" s="44" t="s">
        <v>124</v>
      </c>
      <c r="G143" s="44" t="s">
        <v>115</v>
      </c>
      <c r="H143" s="44" t="s">
        <v>55</v>
      </c>
      <c r="I143" s="59" t="s">
        <v>208</v>
      </c>
      <c r="J143" s="55">
        <v>1</v>
      </c>
      <c r="K143" s="55" t="s">
        <v>125</v>
      </c>
      <c r="L143" s="46">
        <v>1</v>
      </c>
      <c r="M143" s="47">
        <v>0</v>
      </c>
      <c r="N143" s="47">
        <v>1</v>
      </c>
      <c r="O143" s="48">
        <v>1201</v>
      </c>
      <c r="P143" s="48" t="s">
        <v>182</v>
      </c>
      <c r="Q143" s="47">
        <v>1</v>
      </c>
      <c r="R143" s="48">
        <v>0</v>
      </c>
      <c r="S143" s="48">
        <v>0</v>
      </c>
      <c r="T143" s="45" t="s">
        <v>56</v>
      </c>
      <c r="U143" s="49">
        <v>53</v>
      </c>
      <c r="V143" s="45">
        <v>530405</v>
      </c>
      <c r="W143" s="56" t="s">
        <v>69</v>
      </c>
      <c r="X143" s="50">
        <v>7099.68</v>
      </c>
      <c r="Y143" s="50">
        <f>7099.68-760.68</f>
        <v>6339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905.57</v>
      </c>
      <c r="AF143" s="51">
        <v>905.57</v>
      </c>
      <c r="AG143" s="51">
        <v>1057.71</v>
      </c>
      <c r="AH143" s="51">
        <v>1057.71</v>
      </c>
      <c r="AI143" s="51">
        <v>1057.71</v>
      </c>
      <c r="AJ143" s="51">
        <v>1057.71</v>
      </c>
      <c r="AK143" s="51">
        <v>297.02</v>
      </c>
      <c r="AL143" s="52">
        <f t="shared" si="6"/>
        <v>6339</v>
      </c>
      <c r="AM143" s="53" t="str">
        <f t="shared" si="7"/>
        <v>OK</v>
      </c>
      <c r="AN143" s="51">
        <v>6339</v>
      </c>
      <c r="AO143" s="58">
        <f t="shared" si="8"/>
        <v>0</v>
      </c>
    </row>
    <row r="144" spans="1:41" s="54" customFormat="1" ht="13.5" customHeight="1">
      <c r="A144" s="44" t="s">
        <v>51</v>
      </c>
      <c r="B144" s="44" t="s">
        <v>52</v>
      </c>
      <c r="C144" s="44" t="s">
        <v>53</v>
      </c>
      <c r="D144" s="44" t="s">
        <v>114</v>
      </c>
      <c r="E144" s="44" t="s">
        <v>54</v>
      </c>
      <c r="F144" s="44" t="s">
        <v>124</v>
      </c>
      <c r="G144" s="44" t="s">
        <v>115</v>
      </c>
      <c r="H144" s="44" t="s">
        <v>55</v>
      </c>
      <c r="I144" s="59" t="s">
        <v>209</v>
      </c>
      <c r="J144" s="55">
        <v>1</v>
      </c>
      <c r="K144" s="55" t="s">
        <v>125</v>
      </c>
      <c r="L144" s="46">
        <v>1</v>
      </c>
      <c r="M144" s="47">
        <v>0</v>
      </c>
      <c r="N144" s="47">
        <v>1</v>
      </c>
      <c r="O144" s="48">
        <v>1201</v>
      </c>
      <c r="P144" s="48" t="s">
        <v>182</v>
      </c>
      <c r="Q144" s="47">
        <v>1</v>
      </c>
      <c r="R144" s="48">
        <v>0</v>
      </c>
      <c r="S144" s="48">
        <v>0</v>
      </c>
      <c r="T144" s="45" t="s">
        <v>56</v>
      </c>
      <c r="U144" s="49">
        <v>53</v>
      </c>
      <c r="V144" s="45">
        <v>530405</v>
      </c>
      <c r="W144" s="56" t="s">
        <v>69</v>
      </c>
      <c r="X144" s="50">
        <v>2499.84</v>
      </c>
      <c r="Y144" s="50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2">
        <f t="shared" si="6"/>
        <v>0</v>
      </c>
      <c r="AM144" s="53" t="str">
        <f t="shared" si="7"/>
        <v>OK</v>
      </c>
      <c r="AN144" s="51">
        <v>0</v>
      </c>
      <c r="AO144" s="58">
        <f t="shared" si="8"/>
        <v>0</v>
      </c>
    </row>
    <row r="145" spans="1:41" s="54" customFormat="1" ht="13.5" customHeight="1">
      <c r="A145" s="44" t="s">
        <v>51</v>
      </c>
      <c r="B145" s="44" t="s">
        <v>52</v>
      </c>
      <c r="C145" s="44" t="s">
        <v>53</v>
      </c>
      <c r="D145" s="44" t="s">
        <v>114</v>
      </c>
      <c r="E145" s="44" t="s">
        <v>120</v>
      </c>
      <c r="F145" s="44" t="s">
        <v>124</v>
      </c>
      <c r="G145" s="44" t="s">
        <v>115</v>
      </c>
      <c r="H145" s="44" t="s">
        <v>55</v>
      </c>
      <c r="I145" s="59" t="s">
        <v>157</v>
      </c>
      <c r="J145" s="55">
        <v>1</v>
      </c>
      <c r="K145" s="55" t="s">
        <v>125</v>
      </c>
      <c r="L145" s="46">
        <v>1</v>
      </c>
      <c r="M145" s="47">
        <v>0</v>
      </c>
      <c r="N145" s="47">
        <v>1</v>
      </c>
      <c r="O145" s="48">
        <v>1201</v>
      </c>
      <c r="P145" s="48" t="s">
        <v>182</v>
      </c>
      <c r="Q145" s="47">
        <v>1</v>
      </c>
      <c r="R145" s="48">
        <v>0</v>
      </c>
      <c r="S145" s="48">
        <v>0</v>
      </c>
      <c r="T145" s="45" t="s">
        <v>56</v>
      </c>
      <c r="U145" s="49">
        <v>53</v>
      </c>
      <c r="V145" s="45">
        <v>530604</v>
      </c>
      <c r="W145" s="56" t="s">
        <v>157</v>
      </c>
      <c r="X145" s="50">
        <v>0</v>
      </c>
      <c r="Y145" s="50">
        <f>200+336-36</f>
        <v>500</v>
      </c>
      <c r="Z145" s="51">
        <v>0</v>
      </c>
      <c r="AA145" s="51">
        <v>0</v>
      </c>
      <c r="AB145" s="51">
        <v>200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300</v>
      </c>
      <c r="AI145" s="51">
        <v>0</v>
      </c>
      <c r="AJ145" s="51">
        <v>0</v>
      </c>
      <c r="AK145" s="51">
        <v>0</v>
      </c>
      <c r="AL145" s="52">
        <f t="shared" si="6"/>
        <v>500</v>
      </c>
      <c r="AM145" s="53" t="str">
        <f t="shared" si="7"/>
        <v>OK</v>
      </c>
      <c r="AN145" s="51">
        <f>200+300</f>
        <v>500</v>
      </c>
      <c r="AO145" s="58">
        <f t="shared" si="8"/>
        <v>0</v>
      </c>
    </row>
    <row r="146" spans="1:41" s="54" customFormat="1" ht="13.5" customHeight="1">
      <c r="A146" s="44" t="s">
        <v>51</v>
      </c>
      <c r="B146" s="44" t="s">
        <v>52</v>
      </c>
      <c r="C146" s="44" t="s">
        <v>53</v>
      </c>
      <c r="D146" s="44" t="s">
        <v>114</v>
      </c>
      <c r="E146" s="44" t="s">
        <v>54</v>
      </c>
      <c r="F146" s="44" t="s">
        <v>124</v>
      </c>
      <c r="G146" s="44" t="s">
        <v>115</v>
      </c>
      <c r="H146" s="44" t="s">
        <v>55</v>
      </c>
      <c r="I146" s="59" t="s">
        <v>210</v>
      </c>
      <c r="J146" s="55">
        <v>1</v>
      </c>
      <c r="K146" s="55" t="s">
        <v>125</v>
      </c>
      <c r="L146" s="46">
        <v>1</v>
      </c>
      <c r="M146" s="47">
        <v>0</v>
      </c>
      <c r="N146" s="47">
        <v>1</v>
      </c>
      <c r="O146" s="48">
        <v>1201</v>
      </c>
      <c r="P146" s="48" t="s">
        <v>182</v>
      </c>
      <c r="Q146" s="47">
        <v>1</v>
      </c>
      <c r="R146" s="48">
        <v>0</v>
      </c>
      <c r="S146" s="48">
        <v>0</v>
      </c>
      <c r="T146" s="45" t="s">
        <v>56</v>
      </c>
      <c r="U146" s="49">
        <v>53</v>
      </c>
      <c r="V146" s="45">
        <v>530803</v>
      </c>
      <c r="W146" s="56" t="s">
        <v>70</v>
      </c>
      <c r="X146" s="50">
        <v>3999.52</v>
      </c>
      <c r="Y146" s="50">
        <f>3999.52-1327.31+1327.31-456.66</f>
        <v>3542.86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3542.86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2">
        <f t="shared" si="6"/>
        <v>3542.86</v>
      </c>
      <c r="AM146" s="53" t="str">
        <f t="shared" si="7"/>
        <v>OK</v>
      </c>
      <c r="AN146" s="51">
        <v>3542.86</v>
      </c>
      <c r="AO146" s="58">
        <f t="shared" si="8"/>
        <v>0</v>
      </c>
    </row>
    <row r="147" spans="1:41" s="54" customFormat="1" ht="13.5" customHeight="1">
      <c r="A147" s="44" t="s">
        <v>51</v>
      </c>
      <c r="B147" s="44" t="s">
        <v>52</v>
      </c>
      <c r="C147" s="44" t="s">
        <v>53</v>
      </c>
      <c r="D147" s="44" t="s">
        <v>114</v>
      </c>
      <c r="E147" s="44" t="s">
        <v>54</v>
      </c>
      <c r="F147" s="44" t="s">
        <v>124</v>
      </c>
      <c r="G147" s="44" t="s">
        <v>115</v>
      </c>
      <c r="H147" s="44" t="s">
        <v>55</v>
      </c>
      <c r="I147" s="59" t="s">
        <v>211</v>
      </c>
      <c r="J147" s="55">
        <v>1</v>
      </c>
      <c r="K147" s="55" t="s">
        <v>125</v>
      </c>
      <c r="L147" s="46">
        <v>1</v>
      </c>
      <c r="M147" s="47">
        <v>0</v>
      </c>
      <c r="N147" s="47">
        <v>1</v>
      </c>
      <c r="O147" s="48">
        <v>1201</v>
      </c>
      <c r="P147" s="48" t="s">
        <v>182</v>
      </c>
      <c r="Q147" s="47">
        <v>1</v>
      </c>
      <c r="R147" s="48">
        <v>0</v>
      </c>
      <c r="S147" s="48">
        <v>0</v>
      </c>
      <c r="T147" s="45" t="s">
        <v>56</v>
      </c>
      <c r="U147" s="49">
        <v>53</v>
      </c>
      <c r="V147" s="45">
        <v>530803</v>
      </c>
      <c r="W147" s="56" t="s">
        <v>70</v>
      </c>
      <c r="X147" s="50">
        <v>639.52</v>
      </c>
      <c r="Y147" s="50">
        <f>639.52-75.23</f>
        <v>564.29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564.29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2">
        <f t="shared" si="6"/>
        <v>564.29</v>
      </c>
      <c r="AM147" s="53" t="str">
        <f t="shared" si="7"/>
        <v>OK</v>
      </c>
      <c r="AN147" s="51">
        <v>564.29</v>
      </c>
      <c r="AO147" s="58">
        <f t="shared" si="8"/>
        <v>0</v>
      </c>
    </row>
    <row r="148" spans="1:41" s="54" customFormat="1" ht="13.5" customHeight="1">
      <c r="A148" s="44" t="s">
        <v>51</v>
      </c>
      <c r="B148" s="44" t="s">
        <v>52</v>
      </c>
      <c r="C148" s="44" t="s">
        <v>53</v>
      </c>
      <c r="D148" s="44" t="s">
        <v>114</v>
      </c>
      <c r="E148" s="44" t="s">
        <v>54</v>
      </c>
      <c r="F148" s="44" t="s">
        <v>124</v>
      </c>
      <c r="G148" s="44" t="s">
        <v>115</v>
      </c>
      <c r="H148" s="44" t="s">
        <v>55</v>
      </c>
      <c r="I148" s="59" t="s">
        <v>212</v>
      </c>
      <c r="J148" s="55">
        <v>1</v>
      </c>
      <c r="K148" s="55" t="s">
        <v>125</v>
      </c>
      <c r="L148" s="46">
        <v>1</v>
      </c>
      <c r="M148" s="47">
        <v>0</v>
      </c>
      <c r="N148" s="47">
        <v>1</v>
      </c>
      <c r="O148" s="48">
        <v>1201</v>
      </c>
      <c r="P148" s="48" t="s">
        <v>182</v>
      </c>
      <c r="Q148" s="47">
        <v>1</v>
      </c>
      <c r="R148" s="48">
        <v>0</v>
      </c>
      <c r="S148" s="48">
        <v>0</v>
      </c>
      <c r="T148" s="45" t="s">
        <v>56</v>
      </c>
      <c r="U148" s="49">
        <v>53</v>
      </c>
      <c r="V148" s="45">
        <v>530804</v>
      </c>
      <c r="W148" s="56" t="s">
        <v>71</v>
      </c>
      <c r="X148" s="50">
        <v>383.04</v>
      </c>
      <c r="Y148" s="50">
        <f>383.04-383.04</f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2">
        <f aca="true" t="shared" si="9" ref="AL148:AL211">SUBTOTAL(9,Z148:AK148)</f>
        <v>0</v>
      </c>
      <c r="AM148" s="53" t="str">
        <f aca="true" t="shared" si="10" ref="AM148:AM211">IF(AL148=Y148,"OK",Y148-AL148)</f>
        <v>OK</v>
      </c>
      <c r="AN148" s="51">
        <v>0</v>
      </c>
      <c r="AO148" s="58">
        <f t="shared" si="8"/>
        <v>0</v>
      </c>
    </row>
    <row r="149" spans="1:41" s="54" customFormat="1" ht="13.5" customHeight="1">
      <c r="A149" s="44" t="s">
        <v>51</v>
      </c>
      <c r="B149" s="44" t="s">
        <v>52</v>
      </c>
      <c r="C149" s="44" t="s">
        <v>53</v>
      </c>
      <c r="D149" s="44" t="s">
        <v>114</v>
      </c>
      <c r="E149" s="44" t="s">
        <v>54</v>
      </c>
      <c r="F149" s="44" t="s">
        <v>124</v>
      </c>
      <c r="G149" s="44" t="s">
        <v>115</v>
      </c>
      <c r="H149" s="44" t="s">
        <v>55</v>
      </c>
      <c r="I149" s="59" t="s">
        <v>213</v>
      </c>
      <c r="J149" s="55">
        <v>1</v>
      </c>
      <c r="K149" s="55" t="s">
        <v>125</v>
      </c>
      <c r="L149" s="46">
        <v>1</v>
      </c>
      <c r="M149" s="47">
        <v>0</v>
      </c>
      <c r="N149" s="47">
        <v>1</v>
      </c>
      <c r="O149" s="48">
        <v>1201</v>
      </c>
      <c r="P149" s="48" t="s">
        <v>182</v>
      </c>
      <c r="Q149" s="47">
        <v>1</v>
      </c>
      <c r="R149" s="48">
        <v>0</v>
      </c>
      <c r="S149" s="48">
        <v>0</v>
      </c>
      <c r="T149" s="45" t="s">
        <v>56</v>
      </c>
      <c r="U149" s="49">
        <v>53</v>
      </c>
      <c r="V149" s="45">
        <v>530804</v>
      </c>
      <c r="W149" s="56" t="s">
        <v>71</v>
      </c>
      <c r="X149" s="50">
        <v>3999.52</v>
      </c>
      <c r="Y149" s="50">
        <v>2911</v>
      </c>
      <c r="Z149" s="51">
        <v>0</v>
      </c>
      <c r="AA149" s="51">
        <v>0</v>
      </c>
      <c r="AB149" s="51">
        <v>2911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2">
        <f t="shared" si="9"/>
        <v>2911</v>
      </c>
      <c r="AM149" s="53" t="str">
        <f t="shared" si="10"/>
        <v>OK</v>
      </c>
      <c r="AN149" s="51">
        <v>2911</v>
      </c>
      <c r="AO149" s="58">
        <f t="shared" si="8"/>
        <v>0</v>
      </c>
    </row>
    <row r="150" spans="1:41" s="54" customFormat="1" ht="13.5" customHeight="1">
      <c r="A150" s="44" t="s">
        <v>51</v>
      </c>
      <c r="B150" s="44" t="s">
        <v>52</v>
      </c>
      <c r="C150" s="44" t="s">
        <v>53</v>
      </c>
      <c r="D150" s="44" t="s">
        <v>114</v>
      </c>
      <c r="E150" s="44" t="s">
        <v>54</v>
      </c>
      <c r="F150" s="44" t="s">
        <v>124</v>
      </c>
      <c r="G150" s="44" t="s">
        <v>115</v>
      </c>
      <c r="H150" s="44" t="s">
        <v>55</v>
      </c>
      <c r="I150" s="59" t="s">
        <v>214</v>
      </c>
      <c r="J150" s="55">
        <v>1</v>
      </c>
      <c r="K150" s="55" t="s">
        <v>125</v>
      </c>
      <c r="L150" s="46">
        <v>1</v>
      </c>
      <c r="M150" s="47">
        <v>0</v>
      </c>
      <c r="N150" s="47">
        <v>1</v>
      </c>
      <c r="O150" s="48">
        <v>1201</v>
      </c>
      <c r="P150" s="48" t="s">
        <v>182</v>
      </c>
      <c r="Q150" s="47">
        <v>1</v>
      </c>
      <c r="R150" s="48">
        <v>0</v>
      </c>
      <c r="S150" s="48">
        <v>0</v>
      </c>
      <c r="T150" s="45" t="s">
        <v>56</v>
      </c>
      <c r="U150" s="49">
        <v>53</v>
      </c>
      <c r="V150" s="45">
        <v>530804</v>
      </c>
      <c r="W150" s="56" t="s">
        <v>71</v>
      </c>
      <c r="X150" s="50">
        <v>1199.52</v>
      </c>
      <c r="Y150" s="50">
        <f>1199.52-882.43-130.31</f>
        <v>186.78000000000003</v>
      </c>
      <c r="Z150" s="51">
        <v>0</v>
      </c>
      <c r="AA150" s="51">
        <v>0</v>
      </c>
      <c r="AB150" s="51">
        <v>0</v>
      </c>
      <c r="AC150" s="51">
        <v>186.78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2">
        <f t="shared" si="9"/>
        <v>186.78</v>
      </c>
      <c r="AM150" s="53" t="str">
        <f t="shared" si="10"/>
        <v>OK</v>
      </c>
      <c r="AN150" s="51">
        <f>317.09-130.31</f>
        <v>186.77999999999997</v>
      </c>
      <c r="AO150" s="58">
        <f t="shared" si="8"/>
        <v>0</v>
      </c>
    </row>
    <row r="151" spans="1:41" s="54" customFormat="1" ht="13.5" customHeight="1">
      <c r="A151" s="44" t="s">
        <v>51</v>
      </c>
      <c r="B151" s="44" t="s">
        <v>52</v>
      </c>
      <c r="C151" s="44" t="s">
        <v>53</v>
      </c>
      <c r="D151" s="44" t="s">
        <v>114</v>
      </c>
      <c r="E151" s="44" t="s">
        <v>54</v>
      </c>
      <c r="F151" s="44" t="s">
        <v>124</v>
      </c>
      <c r="G151" s="44" t="s">
        <v>115</v>
      </c>
      <c r="H151" s="44" t="s">
        <v>55</v>
      </c>
      <c r="I151" s="59" t="s">
        <v>215</v>
      </c>
      <c r="J151" s="55">
        <v>1</v>
      </c>
      <c r="K151" s="55" t="s">
        <v>125</v>
      </c>
      <c r="L151" s="46">
        <v>1</v>
      </c>
      <c r="M151" s="47">
        <v>0</v>
      </c>
      <c r="N151" s="47">
        <v>1</v>
      </c>
      <c r="O151" s="48">
        <v>1201</v>
      </c>
      <c r="P151" s="48" t="s">
        <v>182</v>
      </c>
      <c r="Q151" s="47">
        <v>1</v>
      </c>
      <c r="R151" s="48">
        <v>0</v>
      </c>
      <c r="S151" s="48">
        <v>0</v>
      </c>
      <c r="T151" s="45" t="s">
        <v>56</v>
      </c>
      <c r="U151" s="49">
        <v>53</v>
      </c>
      <c r="V151" s="45">
        <v>530811</v>
      </c>
      <c r="W151" s="56" t="s">
        <v>73</v>
      </c>
      <c r="X151" s="50">
        <v>0</v>
      </c>
      <c r="Y151" s="50">
        <f>200-200</f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2">
        <f t="shared" si="9"/>
        <v>0</v>
      </c>
      <c r="AM151" s="53" t="str">
        <f t="shared" si="10"/>
        <v>OK</v>
      </c>
      <c r="AN151" s="51">
        <v>0</v>
      </c>
      <c r="AO151" s="58">
        <f t="shared" si="8"/>
        <v>0</v>
      </c>
    </row>
    <row r="152" spans="1:41" s="54" customFormat="1" ht="13.5" customHeight="1">
      <c r="A152" s="44" t="s">
        <v>51</v>
      </c>
      <c r="B152" s="44" t="s">
        <v>52</v>
      </c>
      <c r="C152" s="44" t="s">
        <v>53</v>
      </c>
      <c r="D152" s="44" t="s">
        <v>114</v>
      </c>
      <c r="E152" s="44" t="s">
        <v>54</v>
      </c>
      <c r="F152" s="44" t="s">
        <v>124</v>
      </c>
      <c r="G152" s="44" t="s">
        <v>115</v>
      </c>
      <c r="H152" s="44" t="s">
        <v>55</v>
      </c>
      <c r="I152" s="59" t="s">
        <v>216</v>
      </c>
      <c r="J152" s="55">
        <v>1</v>
      </c>
      <c r="K152" s="55" t="s">
        <v>125</v>
      </c>
      <c r="L152" s="46">
        <v>1</v>
      </c>
      <c r="M152" s="47">
        <v>0</v>
      </c>
      <c r="N152" s="47">
        <v>1</v>
      </c>
      <c r="O152" s="48">
        <v>1201</v>
      </c>
      <c r="P152" s="48" t="s">
        <v>182</v>
      </c>
      <c r="Q152" s="47">
        <v>1</v>
      </c>
      <c r="R152" s="48">
        <v>0</v>
      </c>
      <c r="S152" s="48">
        <v>0</v>
      </c>
      <c r="T152" s="45" t="s">
        <v>56</v>
      </c>
      <c r="U152" s="49">
        <v>53</v>
      </c>
      <c r="V152" s="45">
        <v>530811</v>
      </c>
      <c r="W152" s="56" t="s">
        <v>73</v>
      </c>
      <c r="X152" s="50">
        <v>3000.48</v>
      </c>
      <c r="Y152" s="50">
        <f>3200.48-3200.48</f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2">
        <f t="shared" si="9"/>
        <v>0</v>
      </c>
      <c r="AM152" s="53" t="str">
        <f t="shared" si="10"/>
        <v>OK</v>
      </c>
      <c r="AN152" s="51">
        <v>0</v>
      </c>
      <c r="AO152" s="58">
        <f t="shared" si="8"/>
        <v>0</v>
      </c>
    </row>
    <row r="153" spans="1:41" s="54" customFormat="1" ht="13.5" customHeight="1">
      <c r="A153" s="44" t="s">
        <v>51</v>
      </c>
      <c r="B153" s="44" t="s">
        <v>52</v>
      </c>
      <c r="C153" s="44" t="s">
        <v>53</v>
      </c>
      <c r="D153" s="44" t="s">
        <v>114</v>
      </c>
      <c r="E153" s="44" t="s">
        <v>54</v>
      </c>
      <c r="F153" s="44" t="s">
        <v>124</v>
      </c>
      <c r="G153" s="44" t="s">
        <v>115</v>
      </c>
      <c r="H153" s="44" t="s">
        <v>55</v>
      </c>
      <c r="I153" s="59" t="s">
        <v>217</v>
      </c>
      <c r="J153" s="55">
        <v>1</v>
      </c>
      <c r="K153" s="55" t="s">
        <v>125</v>
      </c>
      <c r="L153" s="46">
        <v>1</v>
      </c>
      <c r="M153" s="47">
        <v>0</v>
      </c>
      <c r="N153" s="47">
        <v>1</v>
      </c>
      <c r="O153" s="48">
        <v>1201</v>
      </c>
      <c r="P153" s="48" t="s">
        <v>182</v>
      </c>
      <c r="Q153" s="47">
        <v>1</v>
      </c>
      <c r="R153" s="48">
        <v>0</v>
      </c>
      <c r="S153" s="48">
        <v>0</v>
      </c>
      <c r="T153" s="45" t="s">
        <v>56</v>
      </c>
      <c r="U153" s="49">
        <v>53</v>
      </c>
      <c r="V153" s="45">
        <v>530813</v>
      </c>
      <c r="W153" s="56" t="s">
        <v>74</v>
      </c>
      <c r="X153" s="50">
        <v>2000.32</v>
      </c>
      <c r="Y153" s="50">
        <f>7500-7500</f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2">
        <f t="shared" si="9"/>
        <v>0</v>
      </c>
      <c r="AM153" s="53" t="str">
        <f t="shared" si="10"/>
        <v>OK</v>
      </c>
      <c r="AN153" s="51">
        <v>0</v>
      </c>
      <c r="AO153" s="58">
        <f t="shared" si="8"/>
        <v>0</v>
      </c>
    </row>
    <row r="154" spans="1:41" s="54" customFormat="1" ht="13.5" customHeight="1">
      <c r="A154" s="44" t="s">
        <v>51</v>
      </c>
      <c r="B154" s="44" t="s">
        <v>52</v>
      </c>
      <c r="C154" s="44" t="s">
        <v>53</v>
      </c>
      <c r="D154" s="44" t="s">
        <v>114</v>
      </c>
      <c r="E154" s="44" t="s">
        <v>54</v>
      </c>
      <c r="F154" s="44" t="s">
        <v>124</v>
      </c>
      <c r="G154" s="44" t="s">
        <v>115</v>
      </c>
      <c r="H154" s="44" t="s">
        <v>55</v>
      </c>
      <c r="I154" s="59" t="s">
        <v>218</v>
      </c>
      <c r="J154" s="55">
        <v>1</v>
      </c>
      <c r="K154" s="55" t="s">
        <v>125</v>
      </c>
      <c r="L154" s="46">
        <v>1</v>
      </c>
      <c r="M154" s="47">
        <v>0</v>
      </c>
      <c r="N154" s="47">
        <v>1</v>
      </c>
      <c r="O154" s="48">
        <v>1201</v>
      </c>
      <c r="P154" s="48" t="s">
        <v>182</v>
      </c>
      <c r="Q154" s="47">
        <v>1</v>
      </c>
      <c r="R154" s="48">
        <v>0</v>
      </c>
      <c r="S154" s="48">
        <v>0</v>
      </c>
      <c r="T154" s="45" t="s">
        <v>56</v>
      </c>
      <c r="U154" s="49">
        <v>53</v>
      </c>
      <c r="V154" s="45">
        <v>530813</v>
      </c>
      <c r="W154" s="56" t="s">
        <v>74</v>
      </c>
      <c r="X154" s="50">
        <v>0</v>
      </c>
      <c r="Y154" s="50">
        <f>1257.76-134.76-311.06</f>
        <v>811.94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811.94</v>
      </c>
      <c r="AI154" s="51">
        <v>0</v>
      </c>
      <c r="AJ154" s="51">
        <v>0</v>
      </c>
      <c r="AK154" s="51">
        <v>0</v>
      </c>
      <c r="AL154" s="52">
        <f t="shared" si="9"/>
        <v>811.94</v>
      </c>
      <c r="AM154" s="53" t="str">
        <f t="shared" si="10"/>
        <v>OK</v>
      </c>
      <c r="AN154" s="51">
        <f>1123-311.06</f>
        <v>811.94</v>
      </c>
      <c r="AO154" s="58">
        <f t="shared" si="8"/>
        <v>0</v>
      </c>
    </row>
    <row r="155" spans="1:41" s="54" customFormat="1" ht="13.5" customHeight="1">
      <c r="A155" s="44" t="s">
        <v>51</v>
      </c>
      <c r="B155" s="44" t="s">
        <v>52</v>
      </c>
      <c r="C155" s="44" t="s">
        <v>53</v>
      </c>
      <c r="D155" s="44" t="s">
        <v>114</v>
      </c>
      <c r="E155" s="44" t="s">
        <v>54</v>
      </c>
      <c r="F155" s="44" t="s">
        <v>124</v>
      </c>
      <c r="G155" s="44" t="s">
        <v>115</v>
      </c>
      <c r="H155" s="44" t="s">
        <v>55</v>
      </c>
      <c r="I155" s="59" t="s">
        <v>219</v>
      </c>
      <c r="J155" s="55">
        <v>1</v>
      </c>
      <c r="K155" s="55" t="s">
        <v>125</v>
      </c>
      <c r="L155" s="46">
        <v>1</v>
      </c>
      <c r="M155" s="47">
        <v>0</v>
      </c>
      <c r="N155" s="47">
        <v>1</v>
      </c>
      <c r="O155" s="48">
        <v>1201</v>
      </c>
      <c r="P155" s="48" t="s">
        <v>182</v>
      </c>
      <c r="Q155" s="47">
        <v>1</v>
      </c>
      <c r="R155" s="48">
        <v>0</v>
      </c>
      <c r="S155" s="48">
        <v>0</v>
      </c>
      <c r="T155" s="45" t="s">
        <v>56</v>
      </c>
      <c r="U155" s="49">
        <v>53</v>
      </c>
      <c r="V155" s="45">
        <v>530813</v>
      </c>
      <c r="W155" s="56" t="s">
        <v>74</v>
      </c>
      <c r="X155" s="50">
        <v>0</v>
      </c>
      <c r="Y155" s="50">
        <v>2787.16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2787.16</v>
      </c>
      <c r="AJ155" s="51">
        <v>0</v>
      </c>
      <c r="AK155" s="51">
        <v>0</v>
      </c>
      <c r="AL155" s="52">
        <f t="shared" si="9"/>
        <v>2787.16</v>
      </c>
      <c r="AM155" s="53" t="str">
        <f t="shared" si="10"/>
        <v>OK</v>
      </c>
      <c r="AN155" s="51">
        <f>2477.34+309.82</f>
        <v>2787.1600000000003</v>
      </c>
      <c r="AO155" s="58">
        <f t="shared" si="8"/>
        <v>0</v>
      </c>
    </row>
    <row r="156" spans="1:41" s="54" customFormat="1" ht="13.5" customHeight="1">
      <c r="A156" s="44" t="s">
        <v>51</v>
      </c>
      <c r="B156" s="44" t="s">
        <v>52</v>
      </c>
      <c r="C156" s="44" t="s">
        <v>53</v>
      </c>
      <c r="D156" s="44" t="s">
        <v>114</v>
      </c>
      <c r="E156" s="44" t="s">
        <v>54</v>
      </c>
      <c r="F156" s="44" t="s">
        <v>124</v>
      </c>
      <c r="G156" s="44" t="s">
        <v>115</v>
      </c>
      <c r="H156" s="44" t="s">
        <v>55</v>
      </c>
      <c r="I156" s="59" t="s">
        <v>220</v>
      </c>
      <c r="J156" s="55">
        <v>1</v>
      </c>
      <c r="K156" s="55" t="s">
        <v>125</v>
      </c>
      <c r="L156" s="46">
        <v>1</v>
      </c>
      <c r="M156" s="47">
        <v>0</v>
      </c>
      <c r="N156" s="47">
        <v>1</v>
      </c>
      <c r="O156" s="48">
        <v>1201</v>
      </c>
      <c r="P156" s="48" t="s">
        <v>182</v>
      </c>
      <c r="Q156" s="47">
        <v>1</v>
      </c>
      <c r="R156" s="48">
        <v>0</v>
      </c>
      <c r="S156" s="48">
        <v>0</v>
      </c>
      <c r="T156" s="45" t="s">
        <v>56</v>
      </c>
      <c r="U156" s="49">
        <v>53</v>
      </c>
      <c r="V156" s="45">
        <v>530813</v>
      </c>
      <c r="W156" s="56" t="s">
        <v>74</v>
      </c>
      <c r="X156" s="50">
        <v>0</v>
      </c>
      <c r="Y156" s="50">
        <f>7500-7500</f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2">
        <f t="shared" si="9"/>
        <v>0</v>
      </c>
      <c r="AM156" s="53" t="str">
        <f t="shared" si="10"/>
        <v>OK</v>
      </c>
      <c r="AN156" s="51">
        <v>0</v>
      </c>
      <c r="AO156" s="58">
        <f t="shared" si="8"/>
        <v>0</v>
      </c>
    </row>
    <row r="157" spans="1:41" s="54" customFormat="1" ht="13.5" customHeight="1">
      <c r="A157" s="44" t="s">
        <v>51</v>
      </c>
      <c r="B157" s="44" t="s">
        <v>52</v>
      </c>
      <c r="C157" s="44" t="s">
        <v>53</v>
      </c>
      <c r="D157" s="44" t="s">
        <v>114</v>
      </c>
      <c r="E157" s="44" t="s">
        <v>54</v>
      </c>
      <c r="F157" s="44" t="s">
        <v>124</v>
      </c>
      <c r="G157" s="44" t="s">
        <v>115</v>
      </c>
      <c r="H157" s="44" t="s">
        <v>55</v>
      </c>
      <c r="I157" s="59" t="s">
        <v>221</v>
      </c>
      <c r="J157" s="55">
        <v>2</v>
      </c>
      <c r="K157" s="55" t="s">
        <v>125</v>
      </c>
      <c r="L157" s="46">
        <v>1</v>
      </c>
      <c r="M157" s="47">
        <v>0</v>
      </c>
      <c r="N157" s="47">
        <v>1</v>
      </c>
      <c r="O157" s="48">
        <v>1201</v>
      </c>
      <c r="P157" s="48" t="s">
        <v>182</v>
      </c>
      <c r="Q157" s="47">
        <v>1</v>
      </c>
      <c r="R157" s="48">
        <v>0</v>
      </c>
      <c r="S157" s="48">
        <v>0</v>
      </c>
      <c r="T157" s="45" t="s">
        <v>56</v>
      </c>
      <c r="U157" s="49">
        <v>53</v>
      </c>
      <c r="V157" s="45">
        <v>530820</v>
      </c>
      <c r="W157" s="56" t="s">
        <v>75</v>
      </c>
      <c r="X157" s="50">
        <v>1023.68</v>
      </c>
      <c r="Y157" s="50">
        <f>1023.68-1023.68</f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2">
        <f t="shared" si="9"/>
        <v>0</v>
      </c>
      <c r="AM157" s="53" t="str">
        <f t="shared" si="10"/>
        <v>OK</v>
      </c>
      <c r="AN157" s="51">
        <v>0</v>
      </c>
      <c r="AO157" s="58">
        <f t="shared" si="8"/>
        <v>0</v>
      </c>
    </row>
    <row r="158" spans="1:41" s="54" customFormat="1" ht="13.5" customHeight="1">
      <c r="A158" s="44" t="s">
        <v>51</v>
      </c>
      <c r="B158" s="44" t="s">
        <v>52</v>
      </c>
      <c r="C158" s="44" t="s">
        <v>53</v>
      </c>
      <c r="D158" s="44" t="s">
        <v>114</v>
      </c>
      <c r="E158" s="44" t="s">
        <v>54</v>
      </c>
      <c r="F158" s="44" t="s">
        <v>124</v>
      </c>
      <c r="G158" s="44" t="s">
        <v>115</v>
      </c>
      <c r="H158" s="44" t="s">
        <v>55</v>
      </c>
      <c r="I158" s="59" t="s">
        <v>222</v>
      </c>
      <c r="J158" s="55">
        <v>2</v>
      </c>
      <c r="K158" s="55" t="s">
        <v>125</v>
      </c>
      <c r="L158" s="46">
        <v>1</v>
      </c>
      <c r="M158" s="47">
        <v>0</v>
      </c>
      <c r="N158" s="47">
        <v>1</v>
      </c>
      <c r="O158" s="48">
        <v>1201</v>
      </c>
      <c r="P158" s="48" t="s">
        <v>182</v>
      </c>
      <c r="Q158" s="47">
        <v>1</v>
      </c>
      <c r="R158" s="48">
        <v>0</v>
      </c>
      <c r="S158" s="48">
        <v>0</v>
      </c>
      <c r="T158" s="45" t="s">
        <v>56</v>
      </c>
      <c r="U158" s="49">
        <v>53</v>
      </c>
      <c r="V158" s="45">
        <v>530829</v>
      </c>
      <c r="W158" s="56" t="s">
        <v>167</v>
      </c>
      <c r="X158" s="50">
        <v>3000.48</v>
      </c>
      <c r="Y158" s="50">
        <f>3000.48-3000.48</f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2">
        <f t="shared" si="9"/>
        <v>0</v>
      </c>
      <c r="AM158" s="53" t="str">
        <f t="shared" si="10"/>
        <v>OK</v>
      </c>
      <c r="AN158" s="51">
        <v>0</v>
      </c>
      <c r="AO158" s="58">
        <f t="shared" si="8"/>
        <v>0</v>
      </c>
    </row>
    <row r="159" spans="1:41" s="54" customFormat="1" ht="13.5" customHeight="1">
      <c r="A159" s="44" t="s">
        <v>51</v>
      </c>
      <c r="B159" s="44" t="s">
        <v>52</v>
      </c>
      <c r="C159" s="44" t="s">
        <v>53</v>
      </c>
      <c r="D159" s="44" t="s">
        <v>114</v>
      </c>
      <c r="E159" s="44" t="s">
        <v>54</v>
      </c>
      <c r="F159" s="44" t="s">
        <v>124</v>
      </c>
      <c r="G159" s="44" t="s">
        <v>115</v>
      </c>
      <c r="H159" s="44" t="s">
        <v>55</v>
      </c>
      <c r="I159" s="59" t="s">
        <v>118</v>
      </c>
      <c r="J159" s="55">
        <v>1</v>
      </c>
      <c r="K159" s="55" t="s">
        <v>125</v>
      </c>
      <c r="L159" s="46">
        <v>1</v>
      </c>
      <c r="M159" s="47">
        <v>0</v>
      </c>
      <c r="N159" s="47">
        <v>1</v>
      </c>
      <c r="O159" s="48">
        <v>1201</v>
      </c>
      <c r="P159" s="48" t="s">
        <v>182</v>
      </c>
      <c r="Q159" s="47">
        <v>1</v>
      </c>
      <c r="R159" s="48">
        <v>0</v>
      </c>
      <c r="S159" s="48">
        <v>0</v>
      </c>
      <c r="T159" s="45" t="s">
        <v>56</v>
      </c>
      <c r="U159" s="49">
        <v>53</v>
      </c>
      <c r="V159" s="45">
        <v>531403</v>
      </c>
      <c r="W159" s="56" t="s">
        <v>118</v>
      </c>
      <c r="X159" s="50">
        <v>2347</v>
      </c>
      <c r="Y159" s="50">
        <f>2096.25+4000-4000</f>
        <v>2096.25</v>
      </c>
      <c r="Z159" s="51">
        <v>0</v>
      </c>
      <c r="AA159" s="51">
        <v>2096.25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2">
        <f t="shared" si="9"/>
        <v>2096.25</v>
      </c>
      <c r="AM159" s="53" t="str">
        <f t="shared" si="10"/>
        <v>OK</v>
      </c>
      <c r="AN159" s="51">
        <v>2096.25</v>
      </c>
      <c r="AO159" s="58">
        <f t="shared" si="8"/>
        <v>0</v>
      </c>
    </row>
    <row r="160" spans="1:41" s="54" customFormat="1" ht="13.5" customHeight="1">
      <c r="A160" s="44" t="s">
        <v>51</v>
      </c>
      <c r="B160" s="44" t="s">
        <v>52</v>
      </c>
      <c r="C160" s="44" t="s">
        <v>53</v>
      </c>
      <c r="D160" s="44" t="s">
        <v>114</v>
      </c>
      <c r="E160" s="44" t="s">
        <v>54</v>
      </c>
      <c r="F160" s="44" t="s">
        <v>124</v>
      </c>
      <c r="G160" s="44" t="s">
        <v>115</v>
      </c>
      <c r="H160" s="44" t="s">
        <v>55</v>
      </c>
      <c r="I160" s="59" t="s">
        <v>223</v>
      </c>
      <c r="J160" s="55">
        <v>1</v>
      </c>
      <c r="K160" s="55" t="s">
        <v>125</v>
      </c>
      <c r="L160" s="46">
        <v>1</v>
      </c>
      <c r="M160" s="47">
        <v>0</v>
      </c>
      <c r="N160" s="47">
        <v>1</v>
      </c>
      <c r="O160" s="48">
        <v>1201</v>
      </c>
      <c r="P160" s="48" t="s">
        <v>182</v>
      </c>
      <c r="Q160" s="47">
        <v>1</v>
      </c>
      <c r="R160" s="48">
        <v>0</v>
      </c>
      <c r="S160" s="48">
        <v>0</v>
      </c>
      <c r="T160" s="45" t="s">
        <v>56</v>
      </c>
      <c r="U160" s="49">
        <v>53</v>
      </c>
      <c r="V160" s="45">
        <v>531407</v>
      </c>
      <c r="W160" s="56" t="s">
        <v>83</v>
      </c>
      <c r="X160" s="50">
        <v>0</v>
      </c>
      <c r="Y160" s="50">
        <f>4903.86-4903.86</f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2">
        <f t="shared" si="9"/>
        <v>0</v>
      </c>
      <c r="AM160" s="53" t="str">
        <f t="shared" si="10"/>
        <v>OK</v>
      </c>
      <c r="AN160" s="51">
        <v>0</v>
      </c>
      <c r="AO160" s="58">
        <f t="shared" si="8"/>
        <v>0</v>
      </c>
    </row>
    <row r="161" spans="1:41" s="54" customFormat="1" ht="13.5" customHeight="1">
      <c r="A161" s="44" t="s">
        <v>51</v>
      </c>
      <c r="B161" s="44" t="s">
        <v>52</v>
      </c>
      <c r="C161" s="44" t="s">
        <v>53</v>
      </c>
      <c r="D161" s="44" t="s">
        <v>114</v>
      </c>
      <c r="E161" s="44" t="s">
        <v>54</v>
      </c>
      <c r="F161" s="44" t="s">
        <v>124</v>
      </c>
      <c r="G161" s="44" t="s">
        <v>115</v>
      </c>
      <c r="H161" s="44" t="s">
        <v>55</v>
      </c>
      <c r="I161" s="59" t="s">
        <v>224</v>
      </c>
      <c r="J161" s="55">
        <v>1</v>
      </c>
      <c r="K161" s="55" t="s">
        <v>125</v>
      </c>
      <c r="L161" s="46">
        <v>1</v>
      </c>
      <c r="M161" s="47">
        <v>0</v>
      </c>
      <c r="N161" s="47">
        <v>1</v>
      </c>
      <c r="O161" s="48">
        <v>1201</v>
      </c>
      <c r="P161" s="48" t="s">
        <v>182</v>
      </c>
      <c r="Q161" s="47">
        <v>1</v>
      </c>
      <c r="R161" s="48">
        <v>0</v>
      </c>
      <c r="S161" s="48">
        <v>0</v>
      </c>
      <c r="T161" s="45" t="s">
        <v>56</v>
      </c>
      <c r="U161" s="49">
        <v>53</v>
      </c>
      <c r="V161" s="45">
        <v>531411</v>
      </c>
      <c r="W161" s="56" t="s">
        <v>121</v>
      </c>
      <c r="X161" s="50">
        <v>1249.92</v>
      </c>
      <c r="Y161" s="50">
        <f>1249.92+20+2775-4044.92</f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2">
        <f t="shared" si="9"/>
        <v>0</v>
      </c>
      <c r="AM161" s="53" t="str">
        <f t="shared" si="10"/>
        <v>OK</v>
      </c>
      <c r="AN161" s="51">
        <v>0</v>
      </c>
      <c r="AO161" s="58">
        <f t="shared" si="8"/>
        <v>0</v>
      </c>
    </row>
    <row r="162" spans="1:41" s="54" customFormat="1" ht="13.5" customHeight="1">
      <c r="A162" s="44" t="s">
        <v>51</v>
      </c>
      <c r="B162" s="44" t="s">
        <v>52</v>
      </c>
      <c r="C162" s="44" t="s">
        <v>53</v>
      </c>
      <c r="D162" s="44" t="s">
        <v>114</v>
      </c>
      <c r="E162" s="44" t="s">
        <v>54</v>
      </c>
      <c r="F162" s="44" t="s">
        <v>124</v>
      </c>
      <c r="G162" s="44" t="s">
        <v>115</v>
      </c>
      <c r="H162" s="44" t="s">
        <v>55</v>
      </c>
      <c r="I162" s="59" t="s">
        <v>225</v>
      </c>
      <c r="J162" s="55">
        <v>1</v>
      </c>
      <c r="K162" s="55" t="s">
        <v>125</v>
      </c>
      <c r="L162" s="46">
        <v>1</v>
      </c>
      <c r="M162" s="47">
        <v>0</v>
      </c>
      <c r="N162" s="47">
        <v>1</v>
      </c>
      <c r="O162" s="48">
        <v>1201</v>
      </c>
      <c r="P162" s="48" t="s">
        <v>182</v>
      </c>
      <c r="Q162" s="47">
        <v>1</v>
      </c>
      <c r="R162" s="48">
        <v>0</v>
      </c>
      <c r="S162" s="48">
        <v>0</v>
      </c>
      <c r="T162" s="45" t="s">
        <v>56</v>
      </c>
      <c r="U162" s="49">
        <v>57</v>
      </c>
      <c r="V162" s="45">
        <v>570102</v>
      </c>
      <c r="W162" s="56" t="s">
        <v>77</v>
      </c>
      <c r="X162" s="50">
        <v>270</v>
      </c>
      <c r="Y162" s="50">
        <f>270-17+16.83</f>
        <v>269.83</v>
      </c>
      <c r="Z162" s="51">
        <v>0</v>
      </c>
      <c r="AA162" s="51">
        <v>0</v>
      </c>
      <c r="AB162" s="51">
        <v>269.83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2">
        <f t="shared" si="9"/>
        <v>269.83</v>
      </c>
      <c r="AM162" s="53" t="str">
        <f t="shared" si="10"/>
        <v>OK</v>
      </c>
      <c r="AN162" s="51">
        <f>269.83-16.83+16.83</f>
        <v>269.83</v>
      </c>
      <c r="AO162" s="58">
        <f t="shared" si="8"/>
        <v>0</v>
      </c>
    </row>
    <row r="163" spans="1:41" s="54" customFormat="1" ht="13.5" customHeight="1">
      <c r="A163" s="44" t="s">
        <v>51</v>
      </c>
      <c r="B163" s="44" t="s">
        <v>52</v>
      </c>
      <c r="C163" s="44" t="s">
        <v>53</v>
      </c>
      <c r="D163" s="44" t="s">
        <v>114</v>
      </c>
      <c r="E163" s="44" t="s">
        <v>54</v>
      </c>
      <c r="F163" s="44" t="s">
        <v>124</v>
      </c>
      <c r="G163" s="44" t="s">
        <v>115</v>
      </c>
      <c r="H163" s="44" t="s">
        <v>55</v>
      </c>
      <c r="I163" s="59" t="s">
        <v>226</v>
      </c>
      <c r="J163" s="55">
        <v>1</v>
      </c>
      <c r="K163" s="55" t="s">
        <v>125</v>
      </c>
      <c r="L163" s="46">
        <v>1</v>
      </c>
      <c r="M163" s="47">
        <v>0</v>
      </c>
      <c r="N163" s="47">
        <v>1</v>
      </c>
      <c r="O163" s="48">
        <v>1201</v>
      </c>
      <c r="P163" s="48" t="s">
        <v>182</v>
      </c>
      <c r="Q163" s="47">
        <v>1</v>
      </c>
      <c r="R163" s="48">
        <v>0</v>
      </c>
      <c r="S163" s="48">
        <v>0</v>
      </c>
      <c r="T163" s="45" t="s">
        <v>56</v>
      </c>
      <c r="U163" s="49">
        <v>57</v>
      </c>
      <c r="V163" s="45">
        <v>570102</v>
      </c>
      <c r="W163" s="56" t="s">
        <v>77</v>
      </c>
      <c r="X163" s="50">
        <v>150</v>
      </c>
      <c r="Y163" s="50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2">
        <f t="shared" si="9"/>
        <v>0</v>
      </c>
      <c r="AM163" s="53" t="str">
        <f t="shared" si="10"/>
        <v>OK</v>
      </c>
      <c r="AN163" s="51"/>
      <c r="AO163" s="58">
        <f t="shared" si="8"/>
        <v>0</v>
      </c>
    </row>
    <row r="164" spans="1:41" s="54" customFormat="1" ht="13.5" customHeight="1">
      <c r="A164" s="44" t="s">
        <v>51</v>
      </c>
      <c r="B164" s="44" t="s">
        <v>52</v>
      </c>
      <c r="C164" s="44" t="s">
        <v>53</v>
      </c>
      <c r="D164" s="44" t="s">
        <v>114</v>
      </c>
      <c r="E164" s="44" t="s">
        <v>54</v>
      </c>
      <c r="F164" s="44" t="s">
        <v>124</v>
      </c>
      <c r="G164" s="44" t="s">
        <v>115</v>
      </c>
      <c r="H164" s="44" t="s">
        <v>55</v>
      </c>
      <c r="I164" s="59" t="s">
        <v>227</v>
      </c>
      <c r="J164" s="55">
        <v>1</v>
      </c>
      <c r="K164" s="55" t="s">
        <v>125</v>
      </c>
      <c r="L164" s="46">
        <v>1</v>
      </c>
      <c r="M164" s="47">
        <v>0</v>
      </c>
      <c r="N164" s="47">
        <v>1</v>
      </c>
      <c r="O164" s="48">
        <v>1201</v>
      </c>
      <c r="P164" s="48" t="s">
        <v>182</v>
      </c>
      <c r="Q164" s="47">
        <v>1</v>
      </c>
      <c r="R164" s="48">
        <v>0</v>
      </c>
      <c r="S164" s="48">
        <v>0</v>
      </c>
      <c r="T164" s="45" t="s">
        <v>56</v>
      </c>
      <c r="U164" s="49">
        <v>57</v>
      </c>
      <c r="V164" s="45">
        <v>570102</v>
      </c>
      <c r="W164" s="56" t="s">
        <v>77</v>
      </c>
      <c r="X164" s="50">
        <v>180</v>
      </c>
      <c r="Y164" s="50">
        <f>180+76.3</f>
        <v>256.3</v>
      </c>
      <c r="Z164" s="51">
        <v>0</v>
      </c>
      <c r="AA164" s="51">
        <v>256.3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2">
        <f t="shared" si="9"/>
        <v>256.3</v>
      </c>
      <c r="AM164" s="53" t="str">
        <f t="shared" si="10"/>
        <v>OK</v>
      </c>
      <c r="AN164" s="51">
        <v>256.3</v>
      </c>
      <c r="AO164" s="58">
        <f t="shared" si="8"/>
        <v>0</v>
      </c>
    </row>
    <row r="165" spans="1:41" s="54" customFormat="1" ht="13.5" customHeight="1">
      <c r="A165" s="44" t="s">
        <v>51</v>
      </c>
      <c r="B165" s="44" t="s">
        <v>52</v>
      </c>
      <c r="C165" s="44" t="s">
        <v>53</v>
      </c>
      <c r="D165" s="44" t="s">
        <v>114</v>
      </c>
      <c r="E165" s="44" t="s">
        <v>54</v>
      </c>
      <c r="F165" s="44" t="s">
        <v>124</v>
      </c>
      <c r="G165" s="44" t="s">
        <v>115</v>
      </c>
      <c r="H165" s="44" t="s">
        <v>55</v>
      </c>
      <c r="I165" s="59" t="s">
        <v>228</v>
      </c>
      <c r="J165" s="55">
        <v>1</v>
      </c>
      <c r="K165" s="55" t="s">
        <v>125</v>
      </c>
      <c r="L165" s="46">
        <v>1</v>
      </c>
      <c r="M165" s="47">
        <v>0</v>
      </c>
      <c r="N165" s="47">
        <v>1</v>
      </c>
      <c r="O165" s="48">
        <v>1201</v>
      </c>
      <c r="P165" s="48" t="s">
        <v>182</v>
      </c>
      <c r="Q165" s="47">
        <v>1</v>
      </c>
      <c r="R165" s="48">
        <v>0</v>
      </c>
      <c r="S165" s="48">
        <v>0</v>
      </c>
      <c r="T165" s="45" t="s">
        <v>56</v>
      </c>
      <c r="U165" s="49">
        <v>57</v>
      </c>
      <c r="V165" s="45">
        <v>570102</v>
      </c>
      <c r="W165" s="56" t="s">
        <v>77</v>
      </c>
      <c r="X165" s="50">
        <v>1000</v>
      </c>
      <c r="Y165" s="50">
        <f>1000-158.2-435.61</f>
        <v>406.18999999999994</v>
      </c>
      <c r="Z165" s="51">
        <v>0</v>
      </c>
      <c r="AA165" s="51">
        <v>406.19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2">
        <f t="shared" si="9"/>
        <v>406.19</v>
      </c>
      <c r="AM165" s="53" t="str">
        <f t="shared" si="10"/>
        <v>OK</v>
      </c>
      <c r="AN165" s="51">
        <v>406.19</v>
      </c>
      <c r="AO165" s="58">
        <f t="shared" si="8"/>
        <v>0</v>
      </c>
    </row>
    <row r="166" spans="1:41" s="54" customFormat="1" ht="13.5" customHeight="1">
      <c r="A166" s="44" t="s">
        <v>51</v>
      </c>
      <c r="B166" s="44" t="s">
        <v>52</v>
      </c>
      <c r="C166" s="44" t="s">
        <v>53</v>
      </c>
      <c r="D166" s="44" t="s">
        <v>114</v>
      </c>
      <c r="E166" s="44" t="s">
        <v>54</v>
      </c>
      <c r="F166" s="44" t="s">
        <v>124</v>
      </c>
      <c r="G166" s="44" t="s">
        <v>115</v>
      </c>
      <c r="H166" s="44" t="s">
        <v>55</v>
      </c>
      <c r="I166" s="59" t="s">
        <v>229</v>
      </c>
      <c r="J166" s="55">
        <v>2</v>
      </c>
      <c r="K166" s="55" t="s">
        <v>125</v>
      </c>
      <c r="L166" s="46">
        <v>1</v>
      </c>
      <c r="M166" s="47">
        <v>0</v>
      </c>
      <c r="N166" s="47">
        <v>1</v>
      </c>
      <c r="O166" s="48">
        <v>1201</v>
      </c>
      <c r="P166" s="48" t="s">
        <v>182</v>
      </c>
      <c r="Q166" s="47">
        <v>1</v>
      </c>
      <c r="R166" s="48">
        <v>0</v>
      </c>
      <c r="S166" s="48">
        <v>0</v>
      </c>
      <c r="T166" s="45" t="s">
        <v>56</v>
      </c>
      <c r="U166" s="49">
        <v>57</v>
      </c>
      <c r="V166" s="45">
        <v>570102</v>
      </c>
      <c r="W166" s="56" t="s">
        <v>77</v>
      </c>
      <c r="X166" s="50">
        <v>600</v>
      </c>
      <c r="Y166" s="50">
        <f>480+145.82</f>
        <v>625.8199999999999</v>
      </c>
      <c r="Z166" s="51">
        <v>0</v>
      </c>
      <c r="AA166" s="51">
        <v>0</v>
      </c>
      <c r="AB166" s="51">
        <v>0</v>
      </c>
      <c r="AC166" s="51">
        <v>0</v>
      </c>
      <c r="AD166" s="51">
        <v>625.82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2">
        <f t="shared" si="9"/>
        <v>625.82</v>
      </c>
      <c r="AM166" s="53" t="str">
        <f t="shared" si="10"/>
        <v>OK</v>
      </c>
      <c r="AN166" s="51">
        <f>480+145.82</f>
        <v>625.8199999999999</v>
      </c>
      <c r="AO166" s="58">
        <f t="shared" si="8"/>
        <v>0</v>
      </c>
    </row>
    <row r="167" spans="1:41" s="54" customFormat="1" ht="13.5" customHeight="1">
      <c r="A167" s="44" t="s">
        <v>51</v>
      </c>
      <c r="B167" s="44" t="s">
        <v>52</v>
      </c>
      <c r="C167" s="44" t="s">
        <v>53</v>
      </c>
      <c r="D167" s="44" t="s">
        <v>114</v>
      </c>
      <c r="E167" s="44" t="s">
        <v>54</v>
      </c>
      <c r="F167" s="44" t="s">
        <v>124</v>
      </c>
      <c r="G167" s="44" t="s">
        <v>115</v>
      </c>
      <c r="H167" s="44" t="s">
        <v>55</v>
      </c>
      <c r="I167" s="59" t="s">
        <v>230</v>
      </c>
      <c r="J167" s="55">
        <v>2</v>
      </c>
      <c r="K167" s="55" t="s">
        <v>125</v>
      </c>
      <c r="L167" s="46">
        <v>1</v>
      </c>
      <c r="M167" s="47">
        <v>0</v>
      </c>
      <c r="N167" s="47">
        <v>1</v>
      </c>
      <c r="O167" s="48">
        <v>1201</v>
      </c>
      <c r="P167" s="48" t="s">
        <v>182</v>
      </c>
      <c r="Q167" s="47">
        <v>1</v>
      </c>
      <c r="R167" s="48">
        <v>0</v>
      </c>
      <c r="S167" s="48">
        <v>0</v>
      </c>
      <c r="T167" s="45" t="s">
        <v>56</v>
      </c>
      <c r="U167" s="49">
        <v>57</v>
      </c>
      <c r="V167" s="45">
        <v>570102</v>
      </c>
      <c r="W167" s="56" t="s">
        <v>77</v>
      </c>
      <c r="X167" s="50">
        <v>0</v>
      </c>
      <c r="Y167" s="50">
        <v>50</v>
      </c>
      <c r="Z167" s="51">
        <v>0</v>
      </c>
      <c r="AA167" s="51">
        <v>0</v>
      </c>
      <c r="AB167" s="51">
        <v>0</v>
      </c>
      <c r="AC167" s="51">
        <v>10</v>
      </c>
      <c r="AD167" s="51">
        <v>0</v>
      </c>
      <c r="AE167" s="51">
        <v>0</v>
      </c>
      <c r="AF167" s="51">
        <v>10</v>
      </c>
      <c r="AG167" s="51">
        <v>0</v>
      </c>
      <c r="AH167" s="51">
        <v>10</v>
      </c>
      <c r="AI167" s="51">
        <v>10</v>
      </c>
      <c r="AJ167" s="51">
        <v>0</v>
      </c>
      <c r="AK167" s="51">
        <v>10</v>
      </c>
      <c r="AL167" s="52">
        <f t="shared" si="9"/>
        <v>50</v>
      </c>
      <c r="AM167" s="53" t="str">
        <f t="shared" si="10"/>
        <v>OK</v>
      </c>
      <c r="AN167" s="51">
        <v>50</v>
      </c>
      <c r="AO167" s="58">
        <f t="shared" si="8"/>
        <v>0</v>
      </c>
    </row>
    <row r="168" spans="1:41" s="54" customFormat="1" ht="13.5" customHeight="1">
      <c r="A168" s="44" t="s">
        <v>51</v>
      </c>
      <c r="B168" s="44" t="s">
        <v>52</v>
      </c>
      <c r="C168" s="44" t="s">
        <v>53</v>
      </c>
      <c r="D168" s="44" t="s">
        <v>114</v>
      </c>
      <c r="E168" s="44" t="s">
        <v>54</v>
      </c>
      <c r="F168" s="44" t="s">
        <v>124</v>
      </c>
      <c r="G168" s="44" t="s">
        <v>115</v>
      </c>
      <c r="H168" s="44" t="s">
        <v>55</v>
      </c>
      <c r="I168" s="59" t="s">
        <v>231</v>
      </c>
      <c r="J168" s="55">
        <v>2</v>
      </c>
      <c r="K168" s="55" t="s">
        <v>125</v>
      </c>
      <c r="L168" s="46">
        <v>1</v>
      </c>
      <c r="M168" s="47">
        <v>0</v>
      </c>
      <c r="N168" s="47">
        <v>1</v>
      </c>
      <c r="O168" s="48">
        <v>1201</v>
      </c>
      <c r="P168" s="48" t="s">
        <v>182</v>
      </c>
      <c r="Q168" s="47">
        <v>1</v>
      </c>
      <c r="R168" s="48">
        <v>0</v>
      </c>
      <c r="S168" s="48">
        <v>0</v>
      </c>
      <c r="T168" s="45" t="s">
        <v>56</v>
      </c>
      <c r="U168" s="49">
        <v>57</v>
      </c>
      <c r="V168" s="45">
        <v>570102</v>
      </c>
      <c r="W168" s="56" t="s">
        <v>77</v>
      </c>
      <c r="X168" s="50">
        <v>0</v>
      </c>
      <c r="Y168" s="50">
        <v>31.9</v>
      </c>
      <c r="Z168" s="51">
        <v>0</v>
      </c>
      <c r="AA168" s="51">
        <v>31.9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2">
        <f t="shared" si="9"/>
        <v>31.9</v>
      </c>
      <c r="AM168" s="53" t="str">
        <f t="shared" si="10"/>
        <v>OK</v>
      </c>
      <c r="AN168" s="51">
        <v>31.9</v>
      </c>
      <c r="AO168" s="58">
        <f t="shared" si="8"/>
        <v>0</v>
      </c>
    </row>
    <row r="169" spans="1:41" s="54" customFormat="1" ht="13.5" customHeight="1">
      <c r="A169" s="44" t="s">
        <v>78</v>
      </c>
      <c r="B169" s="44" t="s">
        <v>79</v>
      </c>
      <c r="C169" s="44" t="s">
        <v>80</v>
      </c>
      <c r="D169" s="44" t="s">
        <v>114</v>
      </c>
      <c r="E169" s="44" t="s">
        <v>54</v>
      </c>
      <c r="F169" s="44" t="s">
        <v>124</v>
      </c>
      <c r="G169" s="44" t="s">
        <v>117</v>
      </c>
      <c r="H169" s="44" t="s">
        <v>81</v>
      </c>
      <c r="I169" s="59" t="s">
        <v>232</v>
      </c>
      <c r="J169" s="55">
        <v>1</v>
      </c>
      <c r="K169" s="55" t="s">
        <v>125</v>
      </c>
      <c r="L169" s="46">
        <v>55</v>
      </c>
      <c r="M169" s="47">
        <v>0</v>
      </c>
      <c r="N169" s="47">
        <v>3</v>
      </c>
      <c r="O169" s="48">
        <v>1201</v>
      </c>
      <c r="P169" s="48" t="s">
        <v>182</v>
      </c>
      <c r="Q169" s="47">
        <v>1</v>
      </c>
      <c r="R169" s="48">
        <v>0</v>
      </c>
      <c r="S169" s="48">
        <v>0</v>
      </c>
      <c r="T169" s="45" t="s">
        <v>56</v>
      </c>
      <c r="U169" s="49">
        <v>53</v>
      </c>
      <c r="V169" s="45">
        <v>530105</v>
      </c>
      <c r="W169" s="56" t="s">
        <v>82</v>
      </c>
      <c r="X169" s="50">
        <v>215999.84</v>
      </c>
      <c r="Y169" s="50">
        <f>203067.63-21858.98-9910.48-5410.98-5162.29+3360-15289.31-3360-2005.29</f>
        <v>143430.29999999996</v>
      </c>
      <c r="Z169" s="51">
        <v>15109.2</v>
      </c>
      <c r="AA169" s="51">
        <v>15109.2</v>
      </c>
      <c r="AB169" s="51">
        <v>15109.2</v>
      </c>
      <c r="AC169" s="51">
        <v>15109.2</v>
      </c>
      <c r="AD169" s="51">
        <v>15109.2</v>
      </c>
      <c r="AE169" s="51">
        <v>15109.2</v>
      </c>
      <c r="AF169" s="51">
        <v>11856.37</v>
      </c>
      <c r="AG169" s="51">
        <v>13757.32</v>
      </c>
      <c r="AH169" s="51">
        <v>13757.32</v>
      </c>
      <c r="AI169" s="51">
        <v>13404.09</v>
      </c>
      <c r="AJ169" s="51">
        <v>0</v>
      </c>
      <c r="AK169" s="51">
        <v>0</v>
      </c>
      <c r="AL169" s="52">
        <f t="shared" si="9"/>
        <v>143430.3</v>
      </c>
      <c r="AM169" s="53" t="str">
        <f t="shared" si="10"/>
        <v>OK</v>
      </c>
      <c r="AN169" s="51">
        <f>171298.17-5410.98-5162.29-35568+35568-15289.31-2005.29</f>
        <v>143430.3</v>
      </c>
      <c r="AO169" s="58">
        <f t="shared" si="8"/>
        <v>0</v>
      </c>
    </row>
    <row r="170" spans="1:41" s="54" customFormat="1" ht="13.5" customHeight="1">
      <c r="A170" s="44" t="s">
        <v>78</v>
      </c>
      <c r="B170" s="44" t="s">
        <v>79</v>
      </c>
      <c r="C170" s="44" t="s">
        <v>80</v>
      </c>
      <c r="D170" s="44" t="s">
        <v>114</v>
      </c>
      <c r="E170" s="44" t="s">
        <v>54</v>
      </c>
      <c r="F170" s="44" t="s">
        <v>124</v>
      </c>
      <c r="G170" s="44" t="s">
        <v>117</v>
      </c>
      <c r="H170" s="44" t="s">
        <v>81</v>
      </c>
      <c r="I170" s="59" t="s">
        <v>233</v>
      </c>
      <c r="J170" s="55">
        <v>1</v>
      </c>
      <c r="K170" s="55" t="s">
        <v>125</v>
      </c>
      <c r="L170" s="46">
        <v>55</v>
      </c>
      <c r="M170" s="47">
        <v>0</v>
      </c>
      <c r="N170" s="47">
        <v>3</v>
      </c>
      <c r="O170" s="48">
        <v>1201</v>
      </c>
      <c r="P170" s="48" t="s">
        <v>182</v>
      </c>
      <c r="Q170" s="47">
        <v>1</v>
      </c>
      <c r="R170" s="48">
        <v>0</v>
      </c>
      <c r="S170" s="48">
        <v>0</v>
      </c>
      <c r="T170" s="45" t="s">
        <v>56</v>
      </c>
      <c r="U170" s="49">
        <v>53</v>
      </c>
      <c r="V170" s="45">
        <v>530224</v>
      </c>
      <c r="W170" s="56" t="s">
        <v>234</v>
      </c>
      <c r="X170" s="50">
        <v>0</v>
      </c>
      <c r="Y170" s="50">
        <f>7100+620-1422.61</f>
        <v>6297.39</v>
      </c>
      <c r="Z170" s="51">
        <v>0</v>
      </c>
      <c r="AA170" s="51">
        <v>0</v>
      </c>
      <c r="AB170" s="51"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6297.39</v>
      </c>
      <c r="AK170" s="51">
        <v>0</v>
      </c>
      <c r="AL170" s="52">
        <f t="shared" si="9"/>
        <v>6297.39</v>
      </c>
      <c r="AM170" s="53" t="str">
        <f t="shared" si="10"/>
        <v>OK</v>
      </c>
      <c r="AN170" s="51">
        <v>6297.39</v>
      </c>
      <c r="AO170" s="58">
        <f t="shared" si="8"/>
        <v>0</v>
      </c>
    </row>
    <row r="171" spans="1:41" s="54" customFormat="1" ht="13.5" customHeight="1">
      <c r="A171" s="44" t="s">
        <v>78</v>
      </c>
      <c r="B171" s="44" t="s">
        <v>79</v>
      </c>
      <c r="C171" s="44" t="s">
        <v>80</v>
      </c>
      <c r="D171" s="44" t="s">
        <v>114</v>
      </c>
      <c r="E171" s="44" t="s">
        <v>54</v>
      </c>
      <c r="F171" s="44" t="s">
        <v>124</v>
      </c>
      <c r="G171" s="44" t="s">
        <v>117</v>
      </c>
      <c r="H171" s="44" t="s">
        <v>81</v>
      </c>
      <c r="I171" s="59" t="s">
        <v>235</v>
      </c>
      <c r="J171" s="55">
        <v>1</v>
      </c>
      <c r="K171" s="55" t="s">
        <v>125</v>
      </c>
      <c r="L171" s="46">
        <v>55</v>
      </c>
      <c r="M171" s="47">
        <v>0</v>
      </c>
      <c r="N171" s="47">
        <v>3</v>
      </c>
      <c r="O171" s="48">
        <v>1201</v>
      </c>
      <c r="P171" s="48" t="s">
        <v>182</v>
      </c>
      <c r="Q171" s="47">
        <v>1</v>
      </c>
      <c r="R171" s="48">
        <v>0</v>
      </c>
      <c r="S171" s="48">
        <v>0</v>
      </c>
      <c r="T171" s="45" t="s">
        <v>56</v>
      </c>
      <c r="U171" s="49">
        <v>53</v>
      </c>
      <c r="V171" s="45">
        <v>530704</v>
      </c>
      <c r="W171" s="56" t="s">
        <v>84</v>
      </c>
      <c r="X171" s="50">
        <v>0</v>
      </c>
      <c r="Y171" s="50">
        <f>27796.75-27796.75</f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s="52">
        <f t="shared" si="9"/>
        <v>0</v>
      </c>
      <c r="AM171" s="53" t="str">
        <f t="shared" si="10"/>
        <v>OK</v>
      </c>
      <c r="AN171" s="51">
        <v>0</v>
      </c>
      <c r="AO171" s="58">
        <f t="shared" si="8"/>
        <v>0</v>
      </c>
    </row>
    <row r="172" spans="1:41" s="54" customFormat="1" ht="13.5" customHeight="1">
      <c r="A172" s="44" t="s">
        <v>78</v>
      </c>
      <c r="B172" s="44" t="s">
        <v>79</v>
      </c>
      <c r="C172" s="44" t="s">
        <v>80</v>
      </c>
      <c r="D172" s="44" t="s">
        <v>114</v>
      </c>
      <c r="E172" s="44" t="s">
        <v>54</v>
      </c>
      <c r="F172" s="44" t="s">
        <v>124</v>
      </c>
      <c r="G172" s="44" t="s">
        <v>117</v>
      </c>
      <c r="H172" s="44" t="s">
        <v>81</v>
      </c>
      <c r="I172" s="59" t="s">
        <v>236</v>
      </c>
      <c r="J172" s="55">
        <v>1</v>
      </c>
      <c r="K172" s="55" t="s">
        <v>125</v>
      </c>
      <c r="L172" s="46">
        <v>55</v>
      </c>
      <c r="M172" s="47">
        <v>0</v>
      </c>
      <c r="N172" s="47">
        <v>3</v>
      </c>
      <c r="O172" s="48">
        <v>1201</v>
      </c>
      <c r="P172" s="48" t="s">
        <v>182</v>
      </c>
      <c r="Q172" s="47">
        <v>1</v>
      </c>
      <c r="R172" s="48">
        <v>0</v>
      </c>
      <c r="S172" s="48">
        <v>0</v>
      </c>
      <c r="T172" s="45" t="s">
        <v>56</v>
      </c>
      <c r="U172" s="49">
        <v>53</v>
      </c>
      <c r="V172" s="45">
        <v>531407</v>
      </c>
      <c r="W172" s="56" t="s">
        <v>83</v>
      </c>
      <c r="X172" s="50">
        <v>0</v>
      </c>
      <c r="Y172" s="50">
        <f>3400-404.29</f>
        <v>2995.71</v>
      </c>
      <c r="Z172" s="51">
        <v>0</v>
      </c>
      <c r="AA172" s="51">
        <v>0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2995.71</v>
      </c>
      <c r="AK172" s="51">
        <v>0</v>
      </c>
      <c r="AL172" s="52">
        <f t="shared" si="9"/>
        <v>2995.71</v>
      </c>
      <c r="AM172" s="53" t="str">
        <f t="shared" si="10"/>
        <v>OK</v>
      </c>
      <c r="AN172" s="51">
        <v>2995.71</v>
      </c>
      <c r="AO172" s="58">
        <f t="shared" si="8"/>
        <v>0</v>
      </c>
    </row>
    <row r="173" spans="1:41" s="54" customFormat="1" ht="13.5" customHeight="1">
      <c r="A173" s="44" t="s">
        <v>78</v>
      </c>
      <c r="B173" s="44" t="s">
        <v>79</v>
      </c>
      <c r="C173" s="44" t="s">
        <v>80</v>
      </c>
      <c r="D173" s="44" t="s">
        <v>114</v>
      </c>
      <c r="E173" s="44" t="s">
        <v>54</v>
      </c>
      <c r="F173" s="44" t="s">
        <v>124</v>
      </c>
      <c r="G173" s="44" t="s">
        <v>117</v>
      </c>
      <c r="H173" s="44" t="s">
        <v>81</v>
      </c>
      <c r="I173" s="59" t="s">
        <v>223</v>
      </c>
      <c r="J173" s="55">
        <v>1</v>
      </c>
      <c r="K173" s="55" t="s">
        <v>125</v>
      </c>
      <c r="L173" s="46">
        <v>55</v>
      </c>
      <c r="M173" s="47">
        <v>0</v>
      </c>
      <c r="N173" s="47">
        <v>3</v>
      </c>
      <c r="O173" s="48">
        <v>1201</v>
      </c>
      <c r="P173" s="48" t="s">
        <v>182</v>
      </c>
      <c r="Q173" s="47">
        <v>1</v>
      </c>
      <c r="R173" s="48">
        <v>0</v>
      </c>
      <c r="S173" s="48">
        <v>0</v>
      </c>
      <c r="T173" s="45" t="s">
        <v>56</v>
      </c>
      <c r="U173" s="49">
        <v>53</v>
      </c>
      <c r="V173" s="45">
        <v>531407</v>
      </c>
      <c r="W173" s="56" t="s">
        <v>83</v>
      </c>
      <c r="X173" s="50">
        <v>0</v>
      </c>
      <c r="Y173" s="50">
        <f>7500-4100-3400</f>
        <v>0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1">
        <v>0</v>
      </c>
      <c r="AJ173" s="51">
        <v>0</v>
      </c>
      <c r="AK173" s="51">
        <v>0</v>
      </c>
      <c r="AL173" s="52">
        <f t="shared" si="9"/>
        <v>0</v>
      </c>
      <c r="AM173" s="53" t="str">
        <f t="shared" si="10"/>
        <v>OK</v>
      </c>
      <c r="AN173" s="51">
        <v>0</v>
      </c>
      <c r="AO173" s="58">
        <f t="shared" si="8"/>
        <v>0</v>
      </c>
    </row>
    <row r="174" spans="1:41" s="54" customFormat="1" ht="13.5" customHeight="1">
      <c r="A174" s="44" t="s">
        <v>78</v>
      </c>
      <c r="B174" s="44" t="s">
        <v>79</v>
      </c>
      <c r="C174" s="44" t="s">
        <v>80</v>
      </c>
      <c r="D174" s="44" t="s">
        <v>114</v>
      </c>
      <c r="E174" s="44" t="s">
        <v>54</v>
      </c>
      <c r="F174" s="44" t="s">
        <v>124</v>
      </c>
      <c r="G174" s="44" t="s">
        <v>117</v>
      </c>
      <c r="H174" s="44" t="s">
        <v>81</v>
      </c>
      <c r="I174" s="59" t="s">
        <v>237</v>
      </c>
      <c r="J174" s="55">
        <v>1</v>
      </c>
      <c r="K174" s="55" t="s">
        <v>125</v>
      </c>
      <c r="L174" s="46">
        <v>55</v>
      </c>
      <c r="M174" s="47">
        <v>0</v>
      </c>
      <c r="N174" s="47">
        <v>3</v>
      </c>
      <c r="O174" s="48">
        <v>1201</v>
      </c>
      <c r="P174" s="48" t="s">
        <v>182</v>
      </c>
      <c r="Q174" s="47">
        <v>1</v>
      </c>
      <c r="R174" s="48">
        <v>0</v>
      </c>
      <c r="S174" s="48">
        <v>0</v>
      </c>
      <c r="T174" s="45" t="s">
        <v>108</v>
      </c>
      <c r="U174" s="49" t="s">
        <v>109</v>
      </c>
      <c r="V174" s="45">
        <v>840104</v>
      </c>
      <c r="W174" s="56" t="s">
        <v>76</v>
      </c>
      <c r="X174" s="50">
        <v>0</v>
      </c>
      <c r="Y174" s="50">
        <f>10082.24+26060.96+4912-30973.68</f>
        <v>10081.519999999997</v>
      </c>
      <c r="Z174" s="51">
        <v>0</v>
      </c>
      <c r="AA174" s="51">
        <v>0</v>
      </c>
      <c r="AB174" s="51"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1">
        <v>10081.52</v>
      </c>
      <c r="AK174" s="51">
        <v>0</v>
      </c>
      <c r="AL174" s="52">
        <f t="shared" si="9"/>
        <v>10081.52</v>
      </c>
      <c r="AM174" s="53" t="str">
        <f t="shared" si="10"/>
        <v>OK</v>
      </c>
      <c r="AN174" s="51">
        <f>10081.52-0.01</f>
        <v>10081.51</v>
      </c>
      <c r="AO174" s="58">
        <f t="shared" si="8"/>
        <v>0.0099999999965803</v>
      </c>
    </row>
    <row r="175" spans="1:41" s="54" customFormat="1" ht="13.5" customHeight="1">
      <c r="A175" s="44" t="s">
        <v>78</v>
      </c>
      <c r="B175" s="44" t="s">
        <v>79</v>
      </c>
      <c r="C175" s="44" t="s">
        <v>80</v>
      </c>
      <c r="D175" s="44" t="s">
        <v>114</v>
      </c>
      <c r="E175" s="44" t="s">
        <v>54</v>
      </c>
      <c r="F175" s="44" t="s">
        <v>124</v>
      </c>
      <c r="G175" s="44" t="s">
        <v>117</v>
      </c>
      <c r="H175" s="44" t="s">
        <v>81</v>
      </c>
      <c r="I175" s="59" t="s">
        <v>238</v>
      </c>
      <c r="J175" s="55">
        <v>1</v>
      </c>
      <c r="K175" s="55" t="s">
        <v>125</v>
      </c>
      <c r="L175" s="46">
        <v>55</v>
      </c>
      <c r="M175" s="47">
        <v>0</v>
      </c>
      <c r="N175" s="47">
        <v>3</v>
      </c>
      <c r="O175" s="48">
        <v>1201</v>
      </c>
      <c r="P175" s="48" t="s">
        <v>182</v>
      </c>
      <c r="Q175" s="47">
        <v>1</v>
      </c>
      <c r="R175" s="48">
        <v>0</v>
      </c>
      <c r="S175" s="48">
        <v>0</v>
      </c>
      <c r="T175" s="45" t="s">
        <v>108</v>
      </c>
      <c r="U175" s="49" t="s">
        <v>109</v>
      </c>
      <c r="V175" s="45">
        <v>840104</v>
      </c>
      <c r="W175" s="56" t="s">
        <v>76</v>
      </c>
      <c r="X175" s="50">
        <v>0</v>
      </c>
      <c r="Y175" s="50">
        <f>10082.24+26060.96+4912-10081.52-30973.68</f>
        <v>0</v>
      </c>
      <c r="Z175" s="51">
        <v>0</v>
      </c>
      <c r="AA175" s="51">
        <v>0</v>
      </c>
      <c r="AB175" s="51"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2">
        <f t="shared" si="9"/>
        <v>0</v>
      </c>
      <c r="AM175" s="53" t="str">
        <f t="shared" si="10"/>
        <v>OK</v>
      </c>
      <c r="AN175" s="51">
        <f>30973.68-30973.68</f>
        <v>0</v>
      </c>
      <c r="AO175" s="58">
        <f t="shared" si="8"/>
        <v>0</v>
      </c>
    </row>
    <row r="176" spans="1:41" s="54" customFormat="1" ht="13.5" customHeight="1">
      <c r="A176" s="44" t="s">
        <v>78</v>
      </c>
      <c r="B176" s="44" t="s">
        <v>79</v>
      </c>
      <c r="C176" s="44" t="s">
        <v>80</v>
      </c>
      <c r="D176" s="44" t="s">
        <v>114</v>
      </c>
      <c r="E176" s="44" t="s">
        <v>54</v>
      </c>
      <c r="F176" s="44" t="s">
        <v>124</v>
      </c>
      <c r="G176" s="44" t="s">
        <v>117</v>
      </c>
      <c r="H176" s="44" t="s">
        <v>81</v>
      </c>
      <c r="I176" s="59" t="s">
        <v>239</v>
      </c>
      <c r="J176" s="55">
        <v>1</v>
      </c>
      <c r="K176" s="55" t="s">
        <v>125</v>
      </c>
      <c r="L176" s="46">
        <v>55</v>
      </c>
      <c r="M176" s="47">
        <v>0</v>
      </c>
      <c r="N176" s="47">
        <v>3</v>
      </c>
      <c r="O176" s="48">
        <v>1201</v>
      </c>
      <c r="P176" s="48" t="s">
        <v>182</v>
      </c>
      <c r="Q176" s="47">
        <v>1</v>
      </c>
      <c r="R176" s="48">
        <v>0</v>
      </c>
      <c r="S176" s="48">
        <v>0</v>
      </c>
      <c r="T176" s="45" t="s">
        <v>108</v>
      </c>
      <c r="U176" s="49" t="s">
        <v>109</v>
      </c>
      <c r="V176" s="45">
        <v>840104</v>
      </c>
      <c r="W176" s="56" t="s">
        <v>76</v>
      </c>
      <c r="X176" s="50">
        <v>0</v>
      </c>
      <c r="Y176" s="50">
        <v>30973.68</v>
      </c>
      <c r="Z176" s="51">
        <v>0</v>
      </c>
      <c r="AA176" s="51">
        <v>0</v>
      </c>
      <c r="AB176" s="51"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30973.68</v>
      </c>
      <c r="AL176" s="52">
        <f t="shared" si="9"/>
        <v>30973.68</v>
      </c>
      <c r="AM176" s="53" t="str">
        <f t="shared" si="10"/>
        <v>OK</v>
      </c>
      <c r="AN176" s="51">
        <f>30973.68-0.01</f>
        <v>30973.670000000002</v>
      </c>
      <c r="AO176" s="58">
        <f t="shared" si="8"/>
        <v>0.00999999999839929</v>
      </c>
    </row>
    <row r="177" spans="1:41" s="54" customFormat="1" ht="13.5" customHeight="1">
      <c r="A177" s="44" t="s">
        <v>78</v>
      </c>
      <c r="B177" s="44" t="s">
        <v>79</v>
      </c>
      <c r="C177" s="44" t="s">
        <v>80</v>
      </c>
      <c r="D177" s="44" t="s">
        <v>114</v>
      </c>
      <c r="E177" s="44" t="s">
        <v>54</v>
      </c>
      <c r="F177" s="44" t="s">
        <v>124</v>
      </c>
      <c r="G177" s="44" t="s">
        <v>117</v>
      </c>
      <c r="H177" s="44" t="s">
        <v>81</v>
      </c>
      <c r="I177" s="59" t="s">
        <v>240</v>
      </c>
      <c r="J177" s="55">
        <v>1</v>
      </c>
      <c r="K177" s="55" t="s">
        <v>125</v>
      </c>
      <c r="L177" s="46">
        <v>55</v>
      </c>
      <c r="M177" s="47">
        <v>0</v>
      </c>
      <c r="N177" s="47">
        <v>3</v>
      </c>
      <c r="O177" s="48">
        <v>1201</v>
      </c>
      <c r="P177" s="48" t="s">
        <v>182</v>
      </c>
      <c r="Q177" s="47">
        <v>1</v>
      </c>
      <c r="R177" s="48">
        <v>0</v>
      </c>
      <c r="S177" s="48">
        <v>0</v>
      </c>
      <c r="T177" s="45" t="s">
        <v>108</v>
      </c>
      <c r="U177" s="49" t="s">
        <v>109</v>
      </c>
      <c r="V177" s="45">
        <v>840107</v>
      </c>
      <c r="W177" s="56" t="s">
        <v>83</v>
      </c>
      <c r="X177" s="50">
        <v>0</v>
      </c>
      <c r="Y177" s="50">
        <f>5644.8-5644.8</f>
        <v>0</v>
      </c>
      <c r="Z177" s="51">
        <v>0</v>
      </c>
      <c r="AA177" s="51">
        <v>0</v>
      </c>
      <c r="AB177" s="51"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2">
        <f t="shared" si="9"/>
        <v>0</v>
      </c>
      <c r="AM177" s="53" t="str">
        <f t="shared" si="10"/>
        <v>OK</v>
      </c>
      <c r="AN177" s="51">
        <v>0</v>
      </c>
      <c r="AO177" s="58">
        <f t="shared" si="8"/>
        <v>0</v>
      </c>
    </row>
    <row r="178" spans="1:41" s="54" customFormat="1" ht="13.5" customHeight="1">
      <c r="A178" s="44" t="s">
        <v>78</v>
      </c>
      <c r="B178" s="44" t="s">
        <v>79</v>
      </c>
      <c r="C178" s="44" t="s">
        <v>80</v>
      </c>
      <c r="D178" s="44" t="s">
        <v>114</v>
      </c>
      <c r="E178" s="44" t="s">
        <v>54</v>
      </c>
      <c r="F178" s="44" t="s">
        <v>124</v>
      </c>
      <c r="G178" s="44" t="s">
        <v>117</v>
      </c>
      <c r="H178" s="44" t="s">
        <v>81</v>
      </c>
      <c r="I178" s="59" t="s">
        <v>241</v>
      </c>
      <c r="J178" s="55">
        <v>1</v>
      </c>
      <c r="K178" s="55" t="s">
        <v>125</v>
      </c>
      <c r="L178" s="46">
        <v>55</v>
      </c>
      <c r="M178" s="47">
        <v>0</v>
      </c>
      <c r="N178" s="47">
        <v>3</v>
      </c>
      <c r="O178" s="48">
        <v>1201</v>
      </c>
      <c r="P178" s="48" t="s">
        <v>182</v>
      </c>
      <c r="Q178" s="47">
        <v>1</v>
      </c>
      <c r="R178" s="48">
        <v>0</v>
      </c>
      <c r="S178" s="48">
        <v>0</v>
      </c>
      <c r="T178" s="45" t="s">
        <v>108</v>
      </c>
      <c r="U178" s="49" t="s">
        <v>109</v>
      </c>
      <c r="V178" s="45">
        <v>840107</v>
      </c>
      <c r="W178" s="56" t="s">
        <v>83</v>
      </c>
      <c r="X178" s="50">
        <v>0</v>
      </c>
      <c r="Y178" s="50">
        <v>6496</v>
      </c>
      <c r="Z178" s="51">
        <v>0</v>
      </c>
      <c r="AA178" s="51">
        <v>0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6496</v>
      </c>
      <c r="AK178" s="51">
        <v>0</v>
      </c>
      <c r="AL178" s="52">
        <f t="shared" si="9"/>
        <v>6496</v>
      </c>
      <c r="AM178" s="53" t="str">
        <f t="shared" si="10"/>
        <v>OK</v>
      </c>
      <c r="AN178" s="51">
        <v>2978.59</v>
      </c>
      <c r="AO178" s="58">
        <f t="shared" si="8"/>
        <v>3517.41</v>
      </c>
    </row>
    <row r="179" spans="1:41" s="54" customFormat="1" ht="13.5" customHeight="1">
      <c r="A179" s="44" t="s">
        <v>78</v>
      </c>
      <c r="B179" s="44" t="s">
        <v>79</v>
      </c>
      <c r="C179" s="44" t="s">
        <v>80</v>
      </c>
      <c r="D179" s="44" t="s">
        <v>114</v>
      </c>
      <c r="E179" s="44" t="s">
        <v>54</v>
      </c>
      <c r="F179" s="44" t="s">
        <v>124</v>
      </c>
      <c r="G179" s="44" t="s">
        <v>117</v>
      </c>
      <c r="H179" s="44" t="s">
        <v>81</v>
      </c>
      <c r="I179" s="59" t="s">
        <v>242</v>
      </c>
      <c r="J179" s="55">
        <v>1</v>
      </c>
      <c r="K179" s="55" t="s">
        <v>125</v>
      </c>
      <c r="L179" s="46">
        <v>55</v>
      </c>
      <c r="M179" s="47">
        <v>0</v>
      </c>
      <c r="N179" s="47">
        <v>3</v>
      </c>
      <c r="O179" s="48">
        <v>1201</v>
      </c>
      <c r="P179" s="48" t="s">
        <v>182</v>
      </c>
      <c r="Q179" s="47">
        <v>1</v>
      </c>
      <c r="R179" s="48">
        <v>0</v>
      </c>
      <c r="S179" s="48">
        <v>0</v>
      </c>
      <c r="T179" s="45" t="s">
        <v>108</v>
      </c>
      <c r="U179" s="49" t="s">
        <v>109</v>
      </c>
      <c r="V179" s="45">
        <v>840107</v>
      </c>
      <c r="W179" s="56" t="s">
        <v>83</v>
      </c>
      <c r="X179" s="50">
        <v>0</v>
      </c>
      <c r="Y179" s="50">
        <f>2576-2576</f>
        <v>0</v>
      </c>
      <c r="Z179" s="51">
        <v>0</v>
      </c>
      <c r="AA179" s="51">
        <v>0</v>
      </c>
      <c r="AB179" s="51">
        <v>0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2">
        <f t="shared" si="9"/>
        <v>0</v>
      </c>
      <c r="AM179" s="53" t="str">
        <f t="shared" si="10"/>
        <v>OK</v>
      </c>
      <c r="AN179" s="51">
        <v>0</v>
      </c>
      <c r="AO179" s="58">
        <f t="shared" si="8"/>
        <v>0</v>
      </c>
    </row>
    <row r="180" spans="1:41" s="54" customFormat="1" ht="13.5" customHeight="1">
      <c r="A180" s="44" t="s">
        <v>78</v>
      </c>
      <c r="B180" s="44" t="s">
        <v>79</v>
      </c>
      <c r="C180" s="44" t="s">
        <v>80</v>
      </c>
      <c r="D180" s="44" t="s">
        <v>114</v>
      </c>
      <c r="E180" s="44" t="s">
        <v>54</v>
      </c>
      <c r="F180" s="44" t="s">
        <v>124</v>
      </c>
      <c r="G180" s="44" t="s">
        <v>117</v>
      </c>
      <c r="H180" s="44" t="s">
        <v>81</v>
      </c>
      <c r="I180" s="59" t="s">
        <v>243</v>
      </c>
      <c r="J180" s="55">
        <v>1</v>
      </c>
      <c r="K180" s="55" t="s">
        <v>125</v>
      </c>
      <c r="L180" s="46">
        <v>55</v>
      </c>
      <c r="M180" s="47">
        <v>0</v>
      </c>
      <c r="N180" s="47">
        <v>3</v>
      </c>
      <c r="O180" s="48">
        <v>1201</v>
      </c>
      <c r="P180" s="48" t="s">
        <v>182</v>
      </c>
      <c r="Q180" s="47">
        <v>1</v>
      </c>
      <c r="R180" s="48">
        <v>0</v>
      </c>
      <c r="S180" s="48">
        <v>0</v>
      </c>
      <c r="T180" s="45" t="s">
        <v>108</v>
      </c>
      <c r="U180" s="49" t="s">
        <v>109</v>
      </c>
      <c r="V180" s="45">
        <v>840107</v>
      </c>
      <c r="W180" s="56" t="s">
        <v>83</v>
      </c>
      <c r="X180" s="50">
        <v>0</v>
      </c>
      <c r="Y180" s="50">
        <v>8948.8</v>
      </c>
      <c r="Z180" s="51">
        <v>0</v>
      </c>
      <c r="AA180" s="51">
        <v>0</v>
      </c>
      <c r="AB180" s="51">
        <v>0</v>
      </c>
      <c r="AC180" s="51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51">
        <v>0</v>
      </c>
      <c r="AJ180" s="51">
        <v>8948.8</v>
      </c>
      <c r="AK180" s="51">
        <v>0</v>
      </c>
      <c r="AL180" s="52">
        <f t="shared" si="9"/>
        <v>8948.8</v>
      </c>
      <c r="AM180" s="53" t="str">
        <f t="shared" si="10"/>
        <v>OK</v>
      </c>
      <c r="AN180" s="51">
        <f>1502.87+6778.96</f>
        <v>8281.83</v>
      </c>
      <c r="AO180" s="58">
        <f t="shared" si="8"/>
        <v>666.9699999999993</v>
      </c>
    </row>
    <row r="181" spans="1:41" s="54" customFormat="1" ht="13.5" customHeight="1">
      <c r="A181" s="44" t="s">
        <v>78</v>
      </c>
      <c r="B181" s="44" t="s">
        <v>79</v>
      </c>
      <c r="C181" s="44" t="s">
        <v>80</v>
      </c>
      <c r="D181" s="44" t="s">
        <v>114</v>
      </c>
      <c r="E181" s="44" t="s">
        <v>54</v>
      </c>
      <c r="F181" s="44" t="s">
        <v>124</v>
      </c>
      <c r="G181" s="44" t="s">
        <v>117</v>
      </c>
      <c r="H181" s="44" t="s">
        <v>81</v>
      </c>
      <c r="I181" s="59" t="s">
        <v>244</v>
      </c>
      <c r="J181" s="55">
        <v>1</v>
      </c>
      <c r="K181" s="55" t="s">
        <v>125</v>
      </c>
      <c r="L181" s="46">
        <v>55</v>
      </c>
      <c r="M181" s="47">
        <v>0</v>
      </c>
      <c r="N181" s="47">
        <v>3</v>
      </c>
      <c r="O181" s="48">
        <v>1201</v>
      </c>
      <c r="P181" s="48" t="s">
        <v>182</v>
      </c>
      <c r="Q181" s="47">
        <v>1</v>
      </c>
      <c r="R181" s="48">
        <v>0</v>
      </c>
      <c r="S181" s="48">
        <v>0</v>
      </c>
      <c r="T181" s="45" t="s">
        <v>108</v>
      </c>
      <c r="U181" s="49" t="s">
        <v>109</v>
      </c>
      <c r="V181" s="45">
        <v>840107</v>
      </c>
      <c r="W181" s="56" t="s">
        <v>83</v>
      </c>
      <c r="X181" s="50">
        <v>0</v>
      </c>
      <c r="Y181" s="50">
        <f>728-728</f>
        <v>0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2">
        <f t="shared" si="9"/>
        <v>0</v>
      </c>
      <c r="AM181" s="53" t="str">
        <f t="shared" si="10"/>
        <v>OK</v>
      </c>
      <c r="AN181" s="51">
        <v>0</v>
      </c>
      <c r="AO181" s="58">
        <f t="shared" si="8"/>
        <v>0</v>
      </c>
    </row>
    <row r="182" spans="1:41" s="54" customFormat="1" ht="13.5" customHeight="1">
      <c r="A182" s="44" t="s">
        <v>51</v>
      </c>
      <c r="B182" s="44" t="s">
        <v>52</v>
      </c>
      <c r="C182" s="44" t="s">
        <v>53</v>
      </c>
      <c r="D182" s="44" t="s">
        <v>85</v>
      </c>
      <c r="E182" s="44" t="s">
        <v>54</v>
      </c>
      <c r="F182" s="44" t="s">
        <v>124</v>
      </c>
      <c r="G182" s="44" t="s">
        <v>115</v>
      </c>
      <c r="H182" s="44" t="s">
        <v>55</v>
      </c>
      <c r="I182" s="59" t="s">
        <v>86</v>
      </c>
      <c r="J182" s="55">
        <v>1</v>
      </c>
      <c r="K182" s="55" t="s">
        <v>125</v>
      </c>
      <c r="L182" s="46">
        <v>1</v>
      </c>
      <c r="M182" s="47">
        <v>0</v>
      </c>
      <c r="N182" s="47">
        <v>1</v>
      </c>
      <c r="O182" s="48">
        <v>2000</v>
      </c>
      <c r="P182" s="48" t="s">
        <v>245</v>
      </c>
      <c r="Q182" s="47">
        <v>1</v>
      </c>
      <c r="R182" s="48">
        <v>0</v>
      </c>
      <c r="S182" s="48">
        <v>0</v>
      </c>
      <c r="T182" s="45" t="s">
        <v>56</v>
      </c>
      <c r="U182" s="49">
        <v>51</v>
      </c>
      <c r="V182" s="45">
        <v>510105</v>
      </c>
      <c r="W182" s="56" t="s">
        <v>87</v>
      </c>
      <c r="X182" s="50">
        <v>77328</v>
      </c>
      <c r="Y182" s="50">
        <f>77328-9491.46-4858.62</f>
        <v>62977.920000000006</v>
      </c>
      <c r="Z182" s="51">
        <v>6444</v>
      </c>
      <c r="AA182" s="51">
        <v>6444</v>
      </c>
      <c r="AB182" s="51">
        <v>6444</v>
      </c>
      <c r="AC182" s="51">
        <v>6444</v>
      </c>
      <c r="AD182" s="51">
        <v>6444</v>
      </c>
      <c r="AE182" s="51">
        <v>6444</v>
      </c>
      <c r="AF182" s="51">
        <v>6444</v>
      </c>
      <c r="AG182" s="51">
        <v>6444</v>
      </c>
      <c r="AH182" s="51">
        <v>6444</v>
      </c>
      <c r="AI182" s="51">
        <v>1215</v>
      </c>
      <c r="AJ182" s="51">
        <v>1250</v>
      </c>
      <c r="AK182" s="51">
        <v>2516.92</v>
      </c>
      <c r="AL182" s="52">
        <f t="shared" si="9"/>
        <v>62977.92</v>
      </c>
      <c r="AM182" s="53" t="str">
        <f t="shared" si="10"/>
        <v>OK</v>
      </c>
      <c r="AN182" s="51">
        <f>38664+6444+6444+2181.6+4881.12+2181.6+2181.6</f>
        <v>62977.92</v>
      </c>
      <c r="AO182" s="58">
        <f t="shared" si="8"/>
        <v>0</v>
      </c>
    </row>
    <row r="183" spans="1:41" s="54" customFormat="1" ht="13.5" customHeight="1">
      <c r="A183" s="44" t="s">
        <v>51</v>
      </c>
      <c r="B183" s="44" t="s">
        <v>52</v>
      </c>
      <c r="C183" s="44" t="s">
        <v>53</v>
      </c>
      <c r="D183" s="44" t="s">
        <v>85</v>
      </c>
      <c r="E183" s="44" t="s">
        <v>54</v>
      </c>
      <c r="F183" s="44" t="s">
        <v>124</v>
      </c>
      <c r="G183" s="44" t="s">
        <v>115</v>
      </c>
      <c r="H183" s="44" t="s">
        <v>55</v>
      </c>
      <c r="I183" s="59" t="s">
        <v>86</v>
      </c>
      <c r="J183" s="55">
        <v>1</v>
      </c>
      <c r="K183" s="55" t="s">
        <v>125</v>
      </c>
      <c r="L183" s="46">
        <v>1</v>
      </c>
      <c r="M183" s="47">
        <v>0</v>
      </c>
      <c r="N183" s="47">
        <v>1</v>
      </c>
      <c r="O183" s="48">
        <v>2000</v>
      </c>
      <c r="P183" s="48" t="s">
        <v>245</v>
      </c>
      <c r="Q183" s="47">
        <v>1</v>
      </c>
      <c r="R183" s="48">
        <v>0</v>
      </c>
      <c r="S183" s="48">
        <v>0</v>
      </c>
      <c r="T183" s="45" t="s">
        <v>56</v>
      </c>
      <c r="U183" s="49">
        <v>51</v>
      </c>
      <c r="V183" s="45">
        <v>510106</v>
      </c>
      <c r="W183" s="56" t="s">
        <v>88</v>
      </c>
      <c r="X183" s="50">
        <v>109920</v>
      </c>
      <c r="Y183" s="50">
        <f>109920-695.61+1391.22-695.61</f>
        <v>109920</v>
      </c>
      <c r="Z183" s="51">
        <v>9160</v>
      </c>
      <c r="AA183" s="51">
        <v>9160</v>
      </c>
      <c r="AB183" s="51">
        <v>9160</v>
      </c>
      <c r="AC183" s="51">
        <v>9160</v>
      </c>
      <c r="AD183" s="51">
        <v>9160</v>
      </c>
      <c r="AE183" s="51">
        <v>9160</v>
      </c>
      <c r="AF183" s="51">
        <v>9160</v>
      </c>
      <c r="AG183" s="51">
        <v>9160</v>
      </c>
      <c r="AH183" s="51">
        <v>9160</v>
      </c>
      <c r="AI183" s="51">
        <v>9160</v>
      </c>
      <c r="AJ183" s="51">
        <v>9160</v>
      </c>
      <c r="AK183" s="51">
        <v>9160</v>
      </c>
      <c r="AL183" s="52">
        <f t="shared" si="9"/>
        <v>109920</v>
      </c>
      <c r="AM183" s="53" t="str">
        <f t="shared" si="10"/>
        <v>OK</v>
      </c>
      <c r="AN183" s="51">
        <f>54960+9160+9160+9160+9160+9160+9160</f>
        <v>109920</v>
      </c>
      <c r="AO183" s="58">
        <f t="shared" si="8"/>
        <v>0</v>
      </c>
    </row>
    <row r="184" spans="1:41" s="54" customFormat="1" ht="13.5" customHeight="1">
      <c r="A184" s="44" t="s">
        <v>51</v>
      </c>
      <c r="B184" s="44" t="s">
        <v>52</v>
      </c>
      <c r="C184" s="44" t="s">
        <v>53</v>
      </c>
      <c r="D184" s="44" t="s">
        <v>85</v>
      </c>
      <c r="E184" s="44" t="s">
        <v>54</v>
      </c>
      <c r="F184" s="44" t="s">
        <v>124</v>
      </c>
      <c r="G184" s="44" t="s">
        <v>115</v>
      </c>
      <c r="H184" s="44" t="s">
        <v>55</v>
      </c>
      <c r="I184" s="59" t="s">
        <v>86</v>
      </c>
      <c r="J184" s="55">
        <v>1</v>
      </c>
      <c r="K184" s="55" t="s">
        <v>125</v>
      </c>
      <c r="L184" s="46">
        <v>1</v>
      </c>
      <c r="M184" s="47">
        <v>0</v>
      </c>
      <c r="N184" s="47">
        <v>1</v>
      </c>
      <c r="O184" s="48">
        <v>2000</v>
      </c>
      <c r="P184" s="48" t="s">
        <v>245</v>
      </c>
      <c r="Q184" s="47">
        <v>1</v>
      </c>
      <c r="R184" s="48">
        <v>0</v>
      </c>
      <c r="S184" s="48">
        <v>0</v>
      </c>
      <c r="T184" s="45" t="s">
        <v>56</v>
      </c>
      <c r="U184" s="49">
        <v>51</v>
      </c>
      <c r="V184" s="45">
        <v>510203</v>
      </c>
      <c r="W184" s="56" t="s">
        <v>89</v>
      </c>
      <c r="X184" s="50">
        <v>17074</v>
      </c>
      <c r="Y184" s="50">
        <f>4484.33+12591-1181.48</f>
        <v>15893.850000000002</v>
      </c>
      <c r="Z184" s="51">
        <v>373.69</v>
      </c>
      <c r="AA184" s="51">
        <v>373.69</v>
      </c>
      <c r="AB184" s="51">
        <v>373.69</v>
      </c>
      <c r="AC184" s="51">
        <v>373.69</v>
      </c>
      <c r="AD184" s="51">
        <v>373.69</v>
      </c>
      <c r="AE184" s="51">
        <v>373.69</v>
      </c>
      <c r="AF184" s="51">
        <v>2472.19</v>
      </c>
      <c r="AG184" s="51">
        <v>2472.19</v>
      </c>
      <c r="AH184" s="51">
        <v>2472.19</v>
      </c>
      <c r="AI184" s="51">
        <v>2472.19</v>
      </c>
      <c r="AJ184" s="51">
        <v>2472.19</v>
      </c>
      <c r="AK184" s="51">
        <v>1290.76</v>
      </c>
      <c r="AL184" s="52">
        <f t="shared" si="9"/>
        <v>15893.850000000002</v>
      </c>
      <c r="AM184" s="53" t="str">
        <f t="shared" si="10"/>
        <v>OK</v>
      </c>
      <c r="AN184" s="51">
        <f>738+123+123+123+123+3189.56+11474.29</f>
        <v>15893.85</v>
      </c>
      <c r="AO184" s="58">
        <f t="shared" si="8"/>
        <v>0</v>
      </c>
    </row>
    <row r="185" spans="1:41" s="54" customFormat="1" ht="13.5" customHeight="1">
      <c r="A185" s="44" t="s">
        <v>51</v>
      </c>
      <c r="B185" s="44" t="s">
        <v>52</v>
      </c>
      <c r="C185" s="44" t="s">
        <v>53</v>
      </c>
      <c r="D185" s="44" t="s">
        <v>85</v>
      </c>
      <c r="E185" s="44" t="s">
        <v>54</v>
      </c>
      <c r="F185" s="44" t="s">
        <v>124</v>
      </c>
      <c r="G185" s="44" t="s">
        <v>115</v>
      </c>
      <c r="H185" s="44" t="s">
        <v>55</v>
      </c>
      <c r="I185" s="59" t="s">
        <v>86</v>
      </c>
      <c r="J185" s="55">
        <v>1</v>
      </c>
      <c r="K185" s="55" t="s">
        <v>125</v>
      </c>
      <c r="L185" s="46">
        <v>1</v>
      </c>
      <c r="M185" s="47">
        <v>0</v>
      </c>
      <c r="N185" s="47">
        <v>1</v>
      </c>
      <c r="O185" s="48">
        <v>2000</v>
      </c>
      <c r="P185" s="48" t="s">
        <v>245</v>
      </c>
      <c r="Q185" s="47">
        <v>1</v>
      </c>
      <c r="R185" s="48">
        <v>0</v>
      </c>
      <c r="S185" s="48">
        <v>0</v>
      </c>
      <c r="T185" s="45" t="s">
        <v>56</v>
      </c>
      <c r="U185" s="49">
        <v>51</v>
      </c>
      <c r="V185" s="45">
        <v>510204</v>
      </c>
      <c r="W185" s="56" t="s">
        <v>90</v>
      </c>
      <c r="X185" s="50">
        <v>8000</v>
      </c>
      <c r="Y185" s="50">
        <f>7756.47+345-0.99</f>
        <v>8100.4800000000005</v>
      </c>
      <c r="Z185" s="51">
        <v>646.37</v>
      </c>
      <c r="AA185" s="51">
        <v>646.37</v>
      </c>
      <c r="AB185" s="51">
        <v>646.37</v>
      </c>
      <c r="AC185" s="51">
        <v>646.37</v>
      </c>
      <c r="AD185" s="51">
        <v>646.37</v>
      </c>
      <c r="AE185" s="51">
        <v>646.37</v>
      </c>
      <c r="AF185" s="51">
        <v>646.37</v>
      </c>
      <c r="AG185" s="51">
        <v>646.37</v>
      </c>
      <c r="AH185" s="51">
        <v>646.37</v>
      </c>
      <c r="AI185" s="51">
        <v>646.38</v>
      </c>
      <c r="AJ185" s="51">
        <v>646.38</v>
      </c>
      <c r="AK185" s="51">
        <v>990.39</v>
      </c>
      <c r="AL185" s="52">
        <f t="shared" si="9"/>
        <v>8100.4800000000005</v>
      </c>
      <c r="AM185" s="53" t="str">
        <f t="shared" si="10"/>
        <v>OK</v>
      </c>
      <c r="AN185" s="51">
        <f>7252.56+70.84+70.84+70.84+70.84+493.72+70.84</f>
        <v>8100.480000000001</v>
      </c>
      <c r="AO185" s="58">
        <f t="shared" si="8"/>
        <v>0</v>
      </c>
    </row>
    <row r="186" spans="1:41" s="54" customFormat="1" ht="13.5" customHeight="1">
      <c r="A186" s="44" t="s">
        <v>51</v>
      </c>
      <c r="B186" s="44" t="s">
        <v>52</v>
      </c>
      <c r="C186" s="44" t="s">
        <v>53</v>
      </c>
      <c r="D186" s="44" t="s">
        <v>85</v>
      </c>
      <c r="E186" s="44" t="s">
        <v>54</v>
      </c>
      <c r="F186" s="44" t="s">
        <v>124</v>
      </c>
      <c r="G186" s="44" t="s">
        <v>115</v>
      </c>
      <c r="H186" s="44" t="s">
        <v>55</v>
      </c>
      <c r="I186" s="59" t="s">
        <v>183</v>
      </c>
      <c r="J186" s="55">
        <v>1</v>
      </c>
      <c r="K186" s="55" t="s">
        <v>125</v>
      </c>
      <c r="L186" s="46">
        <v>1</v>
      </c>
      <c r="M186" s="47">
        <v>0</v>
      </c>
      <c r="N186" s="47">
        <v>1</v>
      </c>
      <c r="O186" s="48">
        <v>2000</v>
      </c>
      <c r="P186" s="48" t="s">
        <v>245</v>
      </c>
      <c r="Q186" s="47">
        <v>1</v>
      </c>
      <c r="R186" s="48">
        <v>0</v>
      </c>
      <c r="S186" s="48">
        <v>0</v>
      </c>
      <c r="T186" s="45" t="s">
        <v>56</v>
      </c>
      <c r="U186" s="49">
        <v>51</v>
      </c>
      <c r="V186" s="45">
        <v>510304</v>
      </c>
      <c r="W186" s="56" t="s">
        <v>119</v>
      </c>
      <c r="X186" s="50">
        <v>0</v>
      </c>
      <c r="Y186" s="50">
        <f>231-231</f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2">
        <f t="shared" si="9"/>
        <v>0</v>
      </c>
      <c r="AM186" s="53" t="str">
        <f t="shared" si="10"/>
        <v>OK</v>
      </c>
      <c r="AN186" s="51"/>
      <c r="AO186" s="58">
        <f t="shared" si="8"/>
        <v>0</v>
      </c>
    </row>
    <row r="187" spans="1:41" s="54" customFormat="1" ht="13.5" customHeight="1">
      <c r="A187" s="44" t="s">
        <v>51</v>
      </c>
      <c r="B187" s="44" t="s">
        <v>52</v>
      </c>
      <c r="C187" s="44" t="s">
        <v>53</v>
      </c>
      <c r="D187" s="44" t="s">
        <v>85</v>
      </c>
      <c r="E187" s="44" t="s">
        <v>54</v>
      </c>
      <c r="F187" s="44" t="s">
        <v>124</v>
      </c>
      <c r="G187" s="44" t="s">
        <v>115</v>
      </c>
      <c r="H187" s="44" t="s">
        <v>55</v>
      </c>
      <c r="I187" s="59" t="s">
        <v>127</v>
      </c>
      <c r="J187" s="55">
        <v>1</v>
      </c>
      <c r="K187" s="55" t="s">
        <v>125</v>
      </c>
      <c r="L187" s="46">
        <v>1</v>
      </c>
      <c r="M187" s="47">
        <v>0</v>
      </c>
      <c r="N187" s="47">
        <v>1</v>
      </c>
      <c r="O187" s="48">
        <v>2000</v>
      </c>
      <c r="P187" s="48" t="s">
        <v>245</v>
      </c>
      <c r="Q187" s="47">
        <v>1</v>
      </c>
      <c r="R187" s="48">
        <v>0</v>
      </c>
      <c r="S187" s="48">
        <v>0</v>
      </c>
      <c r="T187" s="45" t="s">
        <v>56</v>
      </c>
      <c r="U187" s="49">
        <v>51</v>
      </c>
      <c r="V187" s="45">
        <v>510306</v>
      </c>
      <c r="W187" s="56" t="s">
        <v>91</v>
      </c>
      <c r="X187" s="50">
        <v>0</v>
      </c>
      <c r="Y187" s="50">
        <f>1155-1155</f>
        <v>0</v>
      </c>
      <c r="Z187" s="51">
        <v>0</v>
      </c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2">
        <f t="shared" si="9"/>
        <v>0</v>
      </c>
      <c r="AM187" s="53" t="str">
        <f t="shared" si="10"/>
        <v>OK</v>
      </c>
      <c r="AN187" s="51">
        <v>0</v>
      </c>
      <c r="AO187" s="58">
        <f t="shared" si="8"/>
        <v>0</v>
      </c>
    </row>
    <row r="188" spans="1:41" s="54" customFormat="1" ht="13.5" customHeight="1">
      <c r="A188" s="44" t="s">
        <v>51</v>
      </c>
      <c r="B188" s="44" t="s">
        <v>52</v>
      </c>
      <c r="C188" s="44" t="s">
        <v>53</v>
      </c>
      <c r="D188" s="44" t="s">
        <v>85</v>
      </c>
      <c r="E188" s="44" t="s">
        <v>54</v>
      </c>
      <c r="F188" s="44" t="s">
        <v>124</v>
      </c>
      <c r="G188" s="44" t="s">
        <v>115</v>
      </c>
      <c r="H188" s="44" t="s">
        <v>55</v>
      </c>
      <c r="I188" s="59" t="s">
        <v>129</v>
      </c>
      <c r="J188" s="55">
        <v>1</v>
      </c>
      <c r="K188" s="55" t="s">
        <v>125</v>
      </c>
      <c r="L188" s="46">
        <v>1</v>
      </c>
      <c r="M188" s="47">
        <v>0</v>
      </c>
      <c r="N188" s="47">
        <v>1</v>
      </c>
      <c r="O188" s="48">
        <v>2000</v>
      </c>
      <c r="P188" s="48" t="s">
        <v>245</v>
      </c>
      <c r="Q188" s="47">
        <v>1</v>
      </c>
      <c r="R188" s="48">
        <v>0</v>
      </c>
      <c r="S188" s="48">
        <v>0</v>
      </c>
      <c r="T188" s="45" t="s">
        <v>56</v>
      </c>
      <c r="U188" s="49">
        <v>51</v>
      </c>
      <c r="V188" s="45">
        <v>510401</v>
      </c>
      <c r="W188" s="56" t="s">
        <v>92</v>
      </c>
      <c r="X188" s="50">
        <v>0</v>
      </c>
      <c r="Y188" s="50">
        <f>89.25-89.25</f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2">
        <f t="shared" si="9"/>
        <v>0</v>
      </c>
      <c r="AM188" s="53" t="str">
        <f t="shared" si="10"/>
        <v>OK</v>
      </c>
      <c r="AN188" s="51"/>
      <c r="AO188" s="58">
        <f t="shared" si="8"/>
        <v>0</v>
      </c>
    </row>
    <row r="189" spans="1:41" s="54" customFormat="1" ht="13.5" customHeight="1">
      <c r="A189" s="44" t="s">
        <v>51</v>
      </c>
      <c r="B189" s="44" t="s">
        <v>52</v>
      </c>
      <c r="C189" s="44" t="s">
        <v>53</v>
      </c>
      <c r="D189" s="44" t="s">
        <v>85</v>
      </c>
      <c r="E189" s="44" t="s">
        <v>54</v>
      </c>
      <c r="F189" s="44" t="s">
        <v>124</v>
      </c>
      <c r="G189" s="44" t="s">
        <v>115</v>
      </c>
      <c r="H189" s="44" t="s">
        <v>55</v>
      </c>
      <c r="I189" s="59" t="s">
        <v>130</v>
      </c>
      <c r="J189" s="55">
        <v>1</v>
      </c>
      <c r="K189" s="55" t="s">
        <v>125</v>
      </c>
      <c r="L189" s="46">
        <v>1</v>
      </c>
      <c r="M189" s="47">
        <v>0</v>
      </c>
      <c r="N189" s="47">
        <v>1</v>
      </c>
      <c r="O189" s="48">
        <v>2000</v>
      </c>
      <c r="P189" s="48" t="s">
        <v>245</v>
      </c>
      <c r="Q189" s="47">
        <v>1</v>
      </c>
      <c r="R189" s="48">
        <v>0</v>
      </c>
      <c r="S189" s="48">
        <v>0</v>
      </c>
      <c r="T189" s="45" t="s">
        <v>56</v>
      </c>
      <c r="U189" s="49">
        <v>51</v>
      </c>
      <c r="V189" s="45">
        <v>510408</v>
      </c>
      <c r="W189" s="56" t="s">
        <v>93</v>
      </c>
      <c r="X189" s="50">
        <v>0</v>
      </c>
      <c r="Y189" s="50">
        <f>457.14-457.14</f>
        <v>0</v>
      </c>
      <c r="Z189" s="51">
        <v>0</v>
      </c>
      <c r="AA189" s="51">
        <v>0</v>
      </c>
      <c r="AB189" s="51"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2">
        <f t="shared" si="9"/>
        <v>0</v>
      </c>
      <c r="AM189" s="53" t="str">
        <f t="shared" si="10"/>
        <v>OK</v>
      </c>
      <c r="AN189" s="51">
        <v>0</v>
      </c>
      <c r="AO189" s="58">
        <f t="shared" si="8"/>
        <v>0</v>
      </c>
    </row>
    <row r="190" spans="1:41" s="54" customFormat="1" ht="13.5" customHeight="1">
      <c r="A190" s="44" t="s">
        <v>51</v>
      </c>
      <c r="B190" s="44" t="s">
        <v>52</v>
      </c>
      <c r="C190" s="44" t="s">
        <v>53</v>
      </c>
      <c r="D190" s="44" t="s">
        <v>85</v>
      </c>
      <c r="E190" s="44" t="s">
        <v>54</v>
      </c>
      <c r="F190" s="44" t="s">
        <v>124</v>
      </c>
      <c r="G190" s="44" t="s">
        <v>115</v>
      </c>
      <c r="H190" s="44" t="s">
        <v>55</v>
      </c>
      <c r="I190" s="59" t="s">
        <v>86</v>
      </c>
      <c r="J190" s="55">
        <v>1</v>
      </c>
      <c r="K190" s="55" t="s">
        <v>125</v>
      </c>
      <c r="L190" s="46">
        <v>1</v>
      </c>
      <c r="M190" s="47">
        <v>0</v>
      </c>
      <c r="N190" s="47">
        <v>1</v>
      </c>
      <c r="O190" s="48">
        <v>2000</v>
      </c>
      <c r="P190" s="48" t="s">
        <v>245</v>
      </c>
      <c r="Q190" s="47">
        <v>1</v>
      </c>
      <c r="R190" s="48">
        <v>0</v>
      </c>
      <c r="S190" s="48">
        <v>0</v>
      </c>
      <c r="T190" s="45" t="s">
        <v>56</v>
      </c>
      <c r="U190" s="49">
        <v>51</v>
      </c>
      <c r="V190" s="45">
        <v>510509</v>
      </c>
      <c r="W190" s="56" t="s">
        <v>94</v>
      </c>
      <c r="X190" s="50">
        <v>0</v>
      </c>
      <c r="Y190" s="50">
        <f>1000-345.23-473.66</f>
        <v>181.10999999999996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51">
        <v>83.33</v>
      </c>
      <c r="AF190" s="51">
        <v>10</v>
      </c>
      <c r="AG190" s="51">
        <v>10</v>
      </c>
      <c r="AH190" s="51">
        <v>10</v>
      </c>
      <c r="AI190" s="51">
        <v>10</v>
      </c>
      <c r="AJ190" s="51">
        <v>10</v>
      </c>
      <c r="AK190" s="51">
        <v>47.78</v>
      </c>
      <c r="AL190" s="52">
        <f t="shared" si="9"/>
        <v>181.10999999999999</v>
      </c>
      <c r="AM190" s="53" t="str">
        <f t="shared" si="10"/>
        <v>OK</v>
      </c>
      <c r="AN190" s="51">
        <f>51.92+26.34</f>
        <v>78.26</v>
      </c>
      <c r="AO190" s="58">
        <f>+Y190-AN190-102.85</f>
        <v>0</v>
      </c>
    </row>
    <row r="191" spans="1:41" s="54" customFormat="1" ht="13.5" customHeight="1">
      <c r="A191" s="44" t="s">
        <v>51</v>
      </c>
      <c r="B191" s="44" t="s">
        <v>52</v>
      </c>
      <c r="C191" s="44" t="s">
        <v>53</v>
      </c>
      <c r="D191" s="44" t="s">
        <v>85</v>
      </c>
      <c r="E191" s="44" t="s">
        <v>54</v>
      </c>
      <c r="F191" s="44" t="s">
        <v>124</v>
      </c>
      <c r="G191" s="44" t="s">
        <v>115</v>
      </c>
      <c r="H191" s="44" t="s">
        <v>55</v>
      </c>
      <c r="I191" s="59" t="s">
        <v>86</v>
      </c>
      <c r="J191" s="55">
        <v>1</v>
      </c>
      <c r="K191" s="55" t="s">
        <v>125</v>
      </c>
      <c r="L191" s="46">
        <v>1</v>
      </c>
      <c r="M191" s="47">
        <v>0</v>
      </c>
      <c r="N191" s="47">
        <v>1</v>
      </c>
      <c r="O191" s="48">
        <v>2000</v>
      </c>
      <c r="P191" s="48" t="s">
        <v>245</v>
      </c>
      <c r="Q191" s="47">
        <v>1</v>
      </c>
      <c r="R191" s="48">
        <v>0</v>
      </c>
      <c r="S191" s="48">
        <v>0</v>
      </c>
      <c r="T191" s="45" t="s">
        <v>56</v>
      </c>
      <c r="U191" s="49">
        <v>51</v>
      </c>
      <c r="V191" s="45">
        <v>510510</v>
      </c>
      <c r="W191" s="56" t="s">
        <v>97</v>
      </c>
      <c r="X191" s="50">
        <v>3548</v>
      </c>
      <c r="Y191" s="50">
        <f>17647.2+1320-0.6</f>
        <v>18966.600000000002</v>
      </c>
      <c r="Z191" s="51">
        <v>1470.6</v>
      </c>
      <c r="AA191" s="51">
        <v>1470.6</v>
      </c>
      <c r="AB191" s="51">
        <v>1470.6</v>
      </c>
      <c r="AC191" s="51">
        <v>1470.6</v>
      </c>
      <c r="AD191" s="51">
        <v>1470.6</v>
      </c>
      <c r="AE191" s="51">
        <v>1470.6</v>
      </c>
      <c r="AF191" s="51">
        <v>1470.6</v>
      </c>
      <c r="AG191" s="51">
        <v>1470.6</v>
      </c>
      <c r="AH191" s="51">
        <v>1470.6</v>
      </c>
      <c r="AI191" s="51">
        <v>1470.6</v>
      </c>
      <c r="AJ191" s="51">
        <v>1470.6</v>
      </c>
      <c r="AK191" s="51">
        <v>2790</v>
      </c>
      <c r="AL191" s="52">
        <f t="shared" si="9"/>
        <v>18966.600000000002</v>
      </c>
      <c r="AM191" s="53" t="str">
        <f t="shared" si="10"/>
        <v>OK</v>
      </c>
      <c r="AN191" s="51">
        <f>10143+1470.6+1470.6+1470.6+1470.6+1470.6+1470.6</f>
        <v>18966.6</v>
      </c>
      <c r="AO191" s="58">
        <f aca="true" t="shared" si="11" ref="AO191:AO243">+Y191-AN191</f>
        <v>0</v>
      </c>
    </row>
    <row r="192" spans="1:41" s="54" customFormat="1" ht="13.5" customHeight="1">
      <c r="A192" s="44" t="s">
        <v>51</v>
      </c>
      <c r="B192" s="44" t="s">
        <v>52</v>
      </c>
      <c r="C192" s="44" t="s">
        <v>53</v>
      </c>
      <c r="D192" s="44" t="s">
        <v>85</v>
      </c>
      <c r="E192" s="44" t="s">
        <v>54</v>
      </c>
      <c r="F192" s="44" t="s">
        <v>124</v>
      </c>
      <c r="G192" s="44" t="s">
        <v>115</v>
      </c>
      <c r="H192" s="44" t="s">
        <v>55</v>
      </c>
      <c r="I192" s="59" t="s">
        <v>86</v>
      </c>
      <c r="J192" s="55">
        <v>1</v>
      </c>
      <c r="K192" s="55" t="s">
        <v>125</v>
      </c>
      <c r="L192" s="46">
        <v>1</v>
      </c>
      <c r="M192" s="47">
        <v>0</v>
      </c>
      <c r="N192" s="47">
        <v>1</v>
      </c>
      <c r="O192" s="48">
        <v>2000</v>
      </c>
      <c r="P192" s="48" t="s">
        <v>245</v>
      </c>
      <c r="Q192" s="47">
        <v>1</v>
      </c>
      <c r="R192" s="48">
        <v>0</v>
      </c>
      <c r="S192" s="48">
        <v>0</v>
      </c>
      <c r="T192" s="45" t="s">
        <v>56</v>
      </c>
      <c r="U192" s="49">
        <v>51</v>
      </c>
      <c r="V192" s="45">
        <v>510601</v>
      </c>
      <c r="W192" s="56" t="s">
        <v>95</v>
      </c>
      <c r="X192" s="50">
        <v>22520</v>
      </c>
      <c r="Y192" s="50">
        <f>22520.33+19-76-355.84-950.1</f>
        <v>21157.390000000003</v>
      </c>
      <c r="Z192" s="51">
        <v>1876.64</v>
      </c>
      <c r="AA192" s="51">
        <v>1876.64</v>
      </c>
      <c r="AB192" s="51">
        <v>1876.64</v>
      </c>
      <c r="AC192" s="51">
        <v>1876.64</v>
      </c>
      <c r="AD192" s="51">
        <v>1876.64</v>
      </c>
      <c r="AE192" s="51">
        <v>1876.64</v>
      </c>
      <c r="AF192" s="51">
        <v>1876.64</v>
      </c>
      <c r="AG192" s="51">
        <v>1876.64</v>
      </c>
      <c r="AH192" s="51">
        <v>1876.64</v>
      </c>
      <c r="AI192" s="51">
        <v>1876.64</v>
      </c>
      <c r="AJ192" s="51">
        <v>1876.64</v>
      </c>
      <c r="AK192" s="51">
        <v>514.35</v>
      </c>
      <c r="AL192" s="52">
        <f t="shared" si="9"/>
        <v>21157.389999999996</v>
      </c>
      <c r="AM192" s="53" t="str">
        <f t="shared" si="10"/>
        <v>OK</v>
      </c>
      <c r="AN192" s="51">
        <f>11266.39+1889.17+1876.68+1468.56+1725.87+1465.36+1465.36</f>
        <v>21157.39</v>
      </c>
      <c r="AO192" s="58">
        <f t="shared" si="11"/>
        <v>0</v>
      </c>
    </row>
    <row r="193" spans="1:41" s="54" customFormat="1" ht="13.5" customHeight="1">
      <c r="A193" s="44" t="s">
        <v>51</v>
      </c>
      <c r="B193" s="44" t="s">
        <v>52</v>
      </c>
      <c r="C193" s="44" t="s">
        <v>53</v>
      </c>
      <c r="D193" s="44" t="s">
        <v>85</v>
      </c>
      <c r="E193" s="44" t="s">
        <v>54</v>
      </c>
      <c r="F193" s="44" t="s">
        <v>124</v>
      </c>
      <c r="G193" s="44" t="s">
        <v>115</v>
      </c>
      <c r="H193" s="44" t="s">
        <v>55</v>
      </c>
      <c r="I193" s="59" t="s">
        <v>86</v>
      </c>
      <c r="J193" s="55">
        <v>1</v>
      </c>
      <c r="K193" s="55" t="s">
        <v>125</v>
      </c>
      <c r="L193" s="46">
        <v>1</v>
      </c>
      <c r="M193" s="47">
        <v>0</v>
      </c>
      <c r="N193" s="47">
        <v>1</v>
      </c>
      <c r="O193" s="48">
        <v>2000</v>
      </c>
      <c r="P193" s="48" t="s">
        <v>245</v>
      </c>
      <c r="Q193" s="47">
        <v>1</v>
      </c>
      <c r="R193" s="48">
        <v>0</v>
      </c>
      <c r="S193" s="48">
        <v>0</v>
      </c>
      <c r="T193" s="45" t="s">
        <v>56</v>
      </c>
      <c r="U193" s="49">
        <v>51</v>
      </c>
      <c r="V193" s="45">
        <v>510602</v>
      </c>
      <c r="W193" s="56" t="s">
        <v>96</v>
      </c>
      <c r="X193" s="50">
        <v>11857</v>
      </c>
      <c r="Y193" s="50">
        <f>11857+3819+241.12</f>
        <v>15917.12</v>
      </c>
      <c r="Z193" s="51">
        <v>988</v>
      </c>
      <c r="AA193" s="51">
        <v>988</v>
      </c>
      <c r="AB193" s="51">
        <v>988</v>
      </c>
      <c r="AC193" s="51">
        <v>988</v>
      </c>
      <c r="AD193" s="51">
        <v>988</v>
      </c>
      <c r="AE193" s="51">
        <v>988</v>
      </c>
      <c r="AF193" s="51">
        <v>988</v>
      </c>
      <c r="AG193" s="51">
        <v>988</v>
      </c>
      <c r="AH193" s="51">
        <v>988</v>
      </c>
      <c r="AI193" s="51">
        <v>2348</v>
      </c>
      <c r="AJ193" s="51">
        <v>2348</v>
      </c>
      <c r="AK193" s="51">
        <v>2329.12</v>
      </c>
      <c r="AL193" s="52">
        <f t="shared" si="9"/>
        <v>15917.119999999999</v>
      </c>
      <c r="AM193" s="53" t="str">
        <f t="shared" si="10"/>
        <v>OK</v>
      </c>
      <c r="AN193" s="51">
        <f>7141.23+1422.31+1422.31+1422.31+1082.34+1292.12+2134.5</f>
        <v>15917.119999999999</v>
      </c>
      <c r="AO193" s="58">
        <f t="shared" si="11"/>
        <v>0</v>
      </c>
    </row>
    <row r="194" spans="1:41" s="54" customFormat="1" ht="13.5" customHeight="1">
      <c r="A194" s="44" t="s">
        <v>51</v>
      </c>
      <c r="B194" s="44" t="s">
        <v>52</v>
      </c>
      <c r="C194" s="44" t="s">
        <v>53</v>
      </c>
      <c r="D194" s="44" t="s">
        <v>85</v>
      </c>
      <c r="E194" s="44" t="s">
        <v>54</v>
      </c>
      <c r="F194" s="44" t="s">
        <v>124</v>
      </c>
      <c r="G194" s="44" t="s">
        <v>115</v>
      </c>
      <c r="H194" s="44" t="s">
        <v>55</v>
      </c>
      <c r="I194" s="59" t="s">
        <v>86</v>
      </c>
      <c r="J194" s="55">
        <v>1</v>
      </c>
      <c r="K194" s="55" t="s">
        <v>125</v>
      </c>
      <c r="L194" s="46">
        <v>1</v>
      </c>
      <c r="M194" s="47">
        <v>0</v>
      </c>
      <c r="N194" s="47">
        <v>1</v>
      </c>
      <c r="O194" s="48">
        <v>2000</v>
      </c>
      <c r="P194" s="48" t="s">
        <v>245</v>
      </c>
      <c r="Q194" s="47">
        <v>1</v>
      </c>
      <c r="R194" s="48">
        <v>0</v>
      </c>
      <c r="S194" s="48">
        <v>0</v>
      </c>
      <c r="T194" s="45" t="s">
        <v>56</v>
      </c>
      <c r="U194" s="49">
        <v>51</v>
      </c>
      <c r="V194" s="45">
        <v>510707</v>
      </c>
      <c r="W194" s="56" t="s">
        <v>103</v>
      </c>
      <c r="X194" s="50">
        <v>0</v>
      </c>
      <c r="Y194" s="50">
        <f>1505-1.56</f>
        <v>1503.44</v>
      </c>
      <c r="Z194" s="51">
        <v>0</v>
      </c>
      <c r="AA194" s="51">
        <v>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1503.44</v>
      </c>
      <c r="AJ194" s="51">
        <v>0</v>
      </c>
      <c r="AK194" s="51">
        <v>0</v>
      </c>
      <c r="AL194" s="52">
        <f t="shared" si="9"/>
        <v>1503.44</v>
      </c>
      <c r="AM194" s="53" t="str">
        <f t="shared" si="10"/>
        <v>OK</v>
      </c>
      <c r="AN194" s="51">
        <v>1503.44</v>
      </c>
      <c r="AO194" s="58">
        <f t="shared" si="11"/>
        <v>0</v>
      </c>
    </row>
    <row r="195" spans="1:41" s="54" customFormat="1" ht="13.5" customHeight="1">
      <c r="A195" s="44" t="s">
        <v>51</v>
      </c>
      <c r="B195" s="44" t="s">
        <v>52</v>
      </c>
      <c r="C195" s="44" t="s">
        <v>53</v>
      </c>
      <c r="D195" s="44" t="s">
        <v>85</v>
      </c>
      <c r="E195" s="44" t="s">
        <v>54</v>
      </c>
      <c r="F195" s="44" t="s">
        <v>124</v>
      </c>
      <c r="G195" s="44" t="s">
        <v>115</v>
      </c>
      <c r="H195" s="44" t="s">
        <v>55</v>
      </c>
      <c r="I195" s="59" t="s">
        <v>86</v>
      </c>
      <c r="J195" s="55">
        <v>1</v>
      </c>
      <c r="K195" s="55" t="s">
        <v>125</v>
      </c>
      <c r="L195" s="46">
        <v>1</v>
      </c>
      <c r="M195" s="47">
        <v>0</v>
      </c>
      <c r="N195" s="47">
        <v>2</v>
      </c>
      <c r="O195" s="48">
        <v>2000</v>
      </c>
      <c r="P195" s="48" t="s">
        <v>245</v>
      </c>
      <c r="Q195" s="47">
        <v>1</v>
      </c>
      <c r="R195" s="48">
        <v>0</v>
      </c>
      <c r="S195" s="48">
        <v>0</v>
      </c>
      <c r="T195" s="45" t="s">
        <v>56</v>
      </c>
      <c r="U195" s="49">
        <v>51</v>
      </c>
      <c r="V195" s="45">
        <v>510203</v>
      </c>
      <c r="W195" s="56" t="s">
        <v>89</v>
      </c>
      <c r="X195" s="50">
        <v>5277</v>
      </c>
      <c r="Y195" s="50">
        <f>3076.3-2955.35+440-0.2</f>
        <v>560.7500000000002</v>
      </c>
      <c r="Z195" s="51">
        <v>45</v>
      </c>
      <c r="AA195" s="51">
        <v>45</v>
      </c>
      <c r="AB195" s="51">
        <v>45</v>
      </c>
      <c r="AC195" s="51">
        <v>45</v>
      </c>
      <c r="AD195" s="51">
        <v>45</v>
      </c>
      <c r="AE195" s="51">
        <v>45</v>
      </c>
      <c r="AF195" s="51">
        <v>45</v>
      </c>
      <c r="AG195" s="51">
        <v>45</v>
      </c>
      <c r="AH195" s="51">
        <v>45</v>
      </c>
      <c r="AI195" s="51">
        <v>45</v>
      </c>
      <c r="AJ195" s="51">
        <v>50</v>
      </c>
      <c r="AK195" s="51">
        <v>60.75</v>
      </c>
      <c r="AL195" s="52">
        <f t="shared" si="9"/>
        <v>560.75</v>
      </c>
      <c r="AM195" s="53" t="str">
        <f t="shared" si="10"/>
        <v>OK</v>
      </c>
      <c r="AN195" s="51">
        <v>560.75</v>
      </c>
      <c r="AO195" s="58">
        <f t="shared" si="11"/>
        <v>0</v>
      </c>
    </row>
    <row r="196" spans="1:41" s="54" customFormat="1" ht="13.5" customHeight="1">
      <c r="A196" s="44" t="s">
        <v>51</v>
      </c>
      <c r="B196" s="44" t="s">
        <v>52</v>
      </c>
      <c r="C196" s="44" t="s">
        <v>53</v>
      </c>
      <c r="D196" s="44" t="s">
        <v>85</v>
      </c>
      <c r="E196" s="44" t="s">
        <v>54</v>
      </c>
      <c r="F196" s="44" t="s">
        <v>124</v>
      </c>
      <c r="G196" s="44" t="s">
        <v>115</v>
      </c>
      <c r="H196" s="44" t="s">
        <v>55</v>
      </c>
      <c r="I196" s="59" t="s">
        <v>86</v>
      </c>
      <c r="J196" s="55">
        <v>1</v>
      </c>
      <c r="K196" s="55" t="s">
        <v>125</v>
      </c>
      <c r="L196" s="46">
        <v>1</v>
      </c>
      <c r="M196" s="47">
        <v>0</v>
      </c>
      <c r="N196" s="47">
        <v>2</v>
      </c>
      <c r="O196" s="48">
        <v>2000</v>
      </c>
      <c r="P196" s="48" t="s">
        <v>245</v>
      </c>
      <c r="Q196" s="47">
        <v>1</v>
      </c>
      <c r="R196" s="48">
        <v>0</v>
      </c>
      <c r="S196" s="48">
        <v>0</v>
      </c>
      <c r="T196" s="45" t="s">
        <v>56</v>
      </c>
      <c r="U196" s="49">
        <v>51</v>
      </c>
      <c r="V196" s="45">
        <v>510204</v>
      </c>
      <c r="W196" s="56" t="s">
        <v>90</v>
      </c>
      <c r="X196" s="50">
        <v>2133</v>
      </c>
      <c r="Y196" s="50">
        <f>1196+1886+127-0.25</f>
        <v>3208.75</v>
      </c>
      <c r="Z196" s="51">
        <v>99.66</v>
      </c>
      <c r="AA196" s="51">
        <v>99.66</v>
      </c>
      <c r="AB196" s="51">
        <v>99.66</v>
      </c>
      <c r="AC196" s="51">
        <v>99.66</v>
      </c>
      <c r="AD196" s="51">
        <v>335.41</v>
      </c>
      <c r="AE196" s="51">
        <v>335.41</v>
      </c>
      <c r="AF196" s="51">
        <v>335.41</v>
      </c>
      <c r="AG196" s="51">
        <v>335.41</v>
      </c>
      <c r="AH196" s="51">
        <v>335.41</v>
      </c>
      <c r="AI196" s="51">
        <v>335.41</v>
      </c>
      <c r="AJ196" s="51">
        <v>335.41</v>
      </c>
      <c r="AK196" s="51">
        <v>462.24</v>
      </c>
      <c r="AL196" s="52">
        <f t="shared" si="9"/>
        <v>3208.75</v>
      </c>
      <c r="AM196" s="53" t="str">
        <f t="shared" si="10"/>
        <v>OK</v>
      </c>
      <c r="AN196" s="51">
        <v>3208.75</v>
      </c>
      <c r="AO196" s="58">
        <f t="shared" si="11"/>
        <v>0</v>
      </c>
    </row>
    <row r="197" spans="1:41" s="54" customFormat="1" ht="13.5" customHeight="1">
      <c r="A197" s="44" t="s">
        <v>51</v>
      </c>
      <c r="B197" s="44" t="s">
        <v>52</v>
      </c>
      <c r="C197" s="44" t="s">
        <v>53</v>
      </c>
      <c r="D197" s="44" t="s">
        <v>85</v>
      </c>
      <c r="E197" s="44" t="s">
        <v>54</v>
      </c>
      <c r="F197" s="44" t="s">
        <v>124</v>
      </c>
      <c r="G197" s="44" t="s">
        <v>115</v>
      </c>
      <c r="H197" s="44" t="s">
        <v>55</v>
      </c>
      <c r="I197" s="59" t="s">
        <v>86</v>
      </c>
      <c r="J197" s="55">
        <v>1</v>
      </c>
      <c r="K197" s="55" t="s">
        <v>125</v>
      </c>
      <c r="L197" s="46">
        <v>1</v>
      </c>
      <c r="M197" s="47">
        <v>0</v>
      </c>
      <c r="N197" s="47">
        <v>2</v>
      </c>
      <c r="O197" s="48">
        <v>2000</v>
      </c>
      <c r="P197" s="48" t="s">
        <v>245</v>
      </c>
      <c r="Q197" s="47">
        <v>1</v>
      </c>
      <c r="R197" s="48">
        <v>0</v>
      </c>
      <c r="S197" s="48">
        <v>0</v>
      </c>
      <c r="T197" s="45" t="s">
        <v>56</v>
      </c>
      <c r="U197" s="49">
        <v>51</v>
      </c>
      <c r="V197" s="45">
        <v>510510</v>
      </c>
      <c r="W197" s="56" t="s">
        <v>97</v>
      </c>
      <c r="X197" s="50">
        <v>49232</v>
      </c>
      <c r="Y197" s="50">
        <v>131.94</v>
      </c>
      <c r="Z197" s="51">
        <v>10.99</v>
      </c>
      <c r="AA197" s="51">
        <v>10.99</v>
      </c>
      <c r="AB197" s="51">
        <v>10.99</v>
      </c>
      <c r="AC197" s="51">
        <v>10.99</v>
      </c>
      <c r="AD197" s="51">
        <v>10.99</v>
      </c>
      <c r="AE197" s="51">
        <v>10.99</v>
      </c>
      <c r="AF197" s="51">
        <v>10.99</v>
      </c>
      <c r="AG197" s="51">
        <v>10.99</v>
      </c>
      <c r="AH197" s="51">
        <v>10.99</v>
      </c>
      <c r="AI197" s="51">
        <v>10.99</v>
      </c>
      <c r="AJ197" s="51">
        <v>10.99</v>
      </c>
      <c r="AK197" s="51">
        <v>11.05</v>
      </c>
      <c r="AL197" s="52">
        <f t="shared" si="9"/>
        <v>131.93999999999997</v>
      </c>
      <c r="AM197" s="53" t="str">
        <f t="shared" si="10"/>
        <v>OK</v>
      </c>
      <c r="AN197" s="51">
        <v>131.94</v>
      </c>
      <c r="AO197" s="58">
        <f t="shared" si="11"/>
        <v>0</v>
      </c>
    </row>
    <row r="198" spans="1:41" s="54" customFormat="1" ht="13.5" customHeight="1">
      <c r="A198" s="44" t="s">
        <v>51</v>
      </c>
      <c r="B198" s="44" t="s">
        <v>52</v>
      </c>
      <c r="C198" s="44" t="s">
        <v>53</v>
      </c>
      <c r="D198" s="44" t="s">
        <v>85</v>
      </c>
      <c r="E198" s="44" t="s">
        <v>54</v>
      </c>
      <c r="F198" s="44" t="s">
        <v>124</v>
      </c>
      <c r="G198" s="44" t="s">
        <v>115</v>
      </c>
      <c r="H198" s="44" t="s">
        <v>55</v>
      </c>
      <c r="I198" s="59" t="s">
        <v>86</v>
      </c>
      <c r="J198" s="55">
        <v>1</v>
      </c>
      <c r="K198" s="55" t="s">
        <v>125</v>
      </c>
      <c r="L198" s="46">
        <v>1</v>
      </c>
      <c r="M198" s="47">
        <v>0</v>
      </c>
      <c r="N198" s="47">
        <v>2</v>
      </c>
      <c r="O198" s="48">
        <v>2000</v>
      </c>
      <c r="P198" s="48" t="s">
        <v>245</v>
      </c>
      <c r="Q198" s="47">
        <v>1</v>
      </c>
      <c r="R198" s="48">
        <v>0</v>
      </c>
      <c r="S198" s="48">
        <v>0</v>
      </c>
      <c r="T198" s="45" t="s">
        <v>56</v>
      </c>
      <c r="U198" s="49">
        <v>51</v>
      </c>
      <c r="V198" s="45">
        <v>510601</v>
      </c>
      <c r="W198" s="56" t="s">
        <v>95</v>
      </c>
      <c r="X198" s="50">
        <v>6111</v>
      </c>
      <c r="Y198" s="50">
        <f>6014-4218.65</f>
        <v>1795.3500000000004</v>
      </c>
      <c r="Z198" s="51">
        <v>149.61</v>
      </c>
      <c r="AA198" s="51">
        <v>149.61</v>
      </c>
      <c r="AB198" s="51">
        <v>149.61</v>
      </c>
      <c r="AC198" s="51">
        <v>149.61</v>
      </c>
      <c r="AD198" s="51">
        <v>149.61</v>
      </c>
      <c r="AE198" s="51">
        <v>149.61</v>
      </c>
      <c r="AF198" s="51">
        <v>149.61</v>
      </c>
      <c r="AG198" s="51">
        <v>149.61</v>
      </c>
      <c r="AH198" s="51">
        <v>149.61</v>
      </c>
      <c r="AI198" s="51">
        <v>149.61</v>
      </c>
      <c r="AJ198" s="51">
        <v>149.61</v>
      </c>
      <c r="AK198" s="51">
        <v>149.64</v>
      </c>
      <c r="AL198" s="52">
        <f t="shared" si="9"/>
        <v>1795.3500000000004</v>
      </c>
      <c r="AM198" s="53" t="str">
        <f t="shared" si="10"/>
        <v>OK</v>
      </c>
      <c r="AN198" s="51">
        <v>1795.35</v>
      </c>
      <c r="AO198" s="58">
        <f t="shared" si="11"/>
        <v>0</v>
      </c>
    </row>
    <row r="199" spans="1:41" s="54" customFormat="1" ht="13.5" customHeight="1">
      <c r="A199" s="44" t="s">
        <v>51</v>
      </c>
      <c r="B199" s="44" t="s">
        <v>52</v>
      </c>
      <c r="C199" s="44" t="s">
        <v>53</v>
      </c>
      <c r="D199" s="44" t="s">
        <v>85</v>
      </c>
      <c r="E199" s="44" t="s">
        <v>54</v>
      </c>
      <c r="F199" s="44" t="s">
        <v>124</v>
      </c>
      <c r="G199" s="44" t="s">
        <v>115</v>
      </c>
      <c r="H199" s="44" t="s">
        <v>55</v>
      </c>
      <c r="I199" s="59" t="s">
        <v>86</v>
      </c>
      <c r="J199" s="55">
        <v>1</v>
      </c>
      <c r="K199" s="55" t="s">
        <v>125</v>
      </c>
      <c r="L199" s="46">
        <v>1</v>
      </c>
      <c r="M199" s="47">
        <v>0</v>
      </c>
      <c r="N199" s="47">
        <v>2</v>
      </c>
      <c r="O199" s="48">
        <v>2000</v>
      </c>
      <c r="P199" s="48" t="s">
        <v>245</v>
      </c>
      <c r="Q199" s="47">
        <v>1</v>
      </c>
      <c r="R199" s="48">
        <v>0</v>
      </c>
      <c r="S199" s="48">
        <v>0</v>
      </c>
      <c r="T199" s="45" t="s">
        <v>56</v>
      </c>
      <c r="U199" s="49">
        <v>51</v>
      </c>
      <c r="V199" s="45">
        <v>510602</v>
      </c>
      <c r="W199" s="56" t="s">
        <v>96</v>
      </c>
      <c r="X199" s="50">
        <v>7781</v>
      </c>
      <c r="Y199" s="50">
        <f>1958.49+801-1539.49+330-0.19</f>
        <v>1549.8099999999997</v>
      </c>
      <c r="Z199" s="51">
        <v>163.2</v>
      </c>
      <c r="AA199" s="51">
        <v>163.2</v>
      </c>
      <c r="AB199" s="51">
        <v>163.2</v>
      </c>
      <c r="AC199" s="51">
        <v>163.2</v>
      </c>
      <c r="AD199" s="51">
        <v>70.9</v>
      </c>
      <c r="AE199" s="51">
        <v>70.9</v>
      </c>
      <c r="AF199" s="51">
        <v>70.9</v>
      </c>
      <c r="AG199" s="51">
        <v>70.9</v>
      </c>
      <c r="AH199" s="51">
        <v>153.4</v>
      </c>
      <c r="AI199" s="51">
        <v>153.4</v>
      </c>
      <c r="AJ199" s="51">
        <v>153.4</v>
      </c>
      <c r="AK199" s="51">
        <v>153.21</v>
      </c>
      <c r="AL199" s="52">
        <f t="shared" si="9"/>
        <v>1549.8100000000002</v>
      </c>
      <c r="AM199" s="53" t="str">
        <f t="shared" si="10"/>
        <v>OK</v>
      </c>
      <c r="AN199" s="51">
        <f>1439.86+109.95</f>
        <v>1549.81</v>
      </c>
      <c r="AO199" s="58">
        <f t="shared" si="11"/>
        <v>0</v>
      </c>
    </row>
    <row r="200" spans="1:41" s="54" customFormat="1" ht="13.5" customHeight="1">
      <c r="A200" s="44" t="s">
        <v>78</v>
      </c>
      <c r="B200" s="44" t="s">
        <v>79</v>
      </c>
      <c r="C200" s="44" t="s">
        <v>53</v>
      </c>
      <c r="D200" s="44" t="s">
        <v>85</v>
      </c>
      <c r="E200" s="44" t="s">
        <v>54</v>
      </c>
      <c r="F200" s="44" t="s">
        <v>124</v>
      </c>
      <c r="G200" s="44" t="s">
        <v>116</v>
      </c>
      <c r="H200" s="44" t="s">
        <v>98</v>
      </c>
      <c r="I200" s="59" t="s">
        <v>86</v>
      </c>
      <c r="J200" s="55">
        <v>1</v>
      </c>
      <c r="K200" s="55" t="s">
        <v>125</v>
      </c>
      <c r="L200" s="46">
        <v>55</v>
      </c>
      <c r="M200" s="47">
        <v>0</v>
      </c>
      <c r="N200" s="47">
        <v>2</v>
      </c>
      <c r="O200" s="48">
        <v>2000</v>
      </c>
      <c r="P200" s="48" t="s">
        <v>245</v>
      </c>
      <c r="Q200" s="47">
        <v>1</v>
      </c>
      <c r="R200" s="48">
        <v>0</v>
      </c>
      <c r="S200" s="48">
        <v>0</v>
      </c>
      <c r="T200" s="45" t="s">
        <v>56</v>
      </c>
      <c r="U200" s="49">
        <v>51</v>
      </c>
      <c r="V200" s="45">
        <v>510105</v>
      </c>
      <c r="W200" s="56" t="s">
        <v>87</v>
      </c>
      <c r="X200" s="50">
        <v>161068</v>
      </c>
      <c r="Y200" s="50">
        <v>161068.8</v>
      </c>
      <c r="Z200" s="51">
        <v>13422.4</v>
      </c>
      <c r="AA200" s="51">
        <v>13422.4</v>
      </c>
      <c r="AB200" s="51">
        <v>13422.4</v>
      </c>
      <c r="AC200" s="51">
        <v>13422.4</v>
      </c>
      <c r="AD200" s="51">
        <v>13422.4</v>
      </c>
      <c r="AE200" s="51">
        <v>13422.4</v>
      </c>
      <c r="AF200" s="51">
        <v>13422.4</v>
      </c>
      <c r="AG200" s="51">
        <v>13422.4</v>
      </c>
      <c r="AH200" s="51">
        <v>13422.4</v>
      </c>
      <c r="AI200" s="51">
        <v>13422.4</v>
      </c>
      <c r="AJ200" s="51">
        <v>13422.4</v>
      </c>
      <c r="AK200" s="51">
        <v>13422.4</v>
      </c>
      <c r="AL200" s="52">
        <f t="shared" si="9"/>
        <v>161068.79999999996</v>
      </c>
      <c r="AM200" s="53" t="str">
        <f t="shared" si="10"/>
        <v>OK</v>
      </c>
      <c r="AN200" s="51">
        <f>80534.4+13422.4+13422.4+13422.4+13422.4+13422.4+13422.4</f>
        <v>161068.79999999996</v>
      </c>
      <c r="AO200" s="58">
        <f t="shared" si="11"/>
        <v>0</v>
      </c>
    </row>
    <row r="201" spans="1:41" s="54" customFormat="1" ht="13.5" customHeight="1">
      <c r="A201" s="44" t="s">
        <v>78</v>
      </c>
      <c r="B201" s="44" t="s">
        <v>79</v>
      </c>
      <c r="C201" s="44" t="s">
        <v>53</v>
      </c>
      <c r="D201" s="44" t="s">
        <v>85</v>
      </c>
      <c r="E201" s="44" t="s">
        <v>54</v>
      </c>
      <c r="F201" s="44" t="s">
        <v>124</v>
      </c>
      <c r="G201" s="44" t="s">
        <v>116</v>
      </c>
      <c r="H201" s="44" t="s">
        <v>98</v>
      </c>
      <c r="I201" s="59" t="s">
        <v>86</v>
      </c>
      <c r="J201" s="55">
        <v>1</v>
      </c>
      <c r="K201" s="55" t="s">
        <v>125</v>
      </c>
      <c r="L201" s="46">
        <v>55</v>
      </c>
      <c r="M201" s="47">
        <v>0</v>
      </c>
      <c r="N201" s="47">
        <v>2</v>
      </c>
      <c r="O201" s="48">
        <v>2000</v>
      </c>
      <c r="P201" s="48" t="s">
        <v>245</v>
      </c>
      <c r="Q201" s="47">
        <v>1</v>
      </c>
      <c r="R201" s="48">
        <v>0</v>
      </c>
      <c r="S201" s="48">
        <v>0</v>
      </c>
      <c r="T201" s="45" t="s">
        <v>56</v>
      </c>
      <c r="U201" s="49">
        <v>51</v>
      </c>
      <c r="V201" s="45">
        <v>510203</v>
      </c>
      <c r="W201" s="56" t="s">
        <v>89</v>
      </c>
      <c r="X201" s="50">
        <v>13422</v>
      </c>
      <c r="Y201" s="50">
        <f>6299.72+2955.35+4168-440+4500-1201.97</f>
        <v>16281.1</v>
      </c>
      <c r="Z201" s="51">
        <v>524.97</v>
      </c>
      <c r="AA201" s="51">
        <v>524.97</v>
      </c>
      <c r="AB201" s="51">
        <v>524.97</v>
      </c>
      <c r="AC201" s="51">
        <v>524.97</v>
      </c>
      <c r="AD201" s="51">
        <v>524.97</v>
      </c>
      <c r="AE201" s="51">
        <v>524.97</v>
      </c>
      <c r="AF201" s="51">
        <v>524.97</v>
      </c>
      <c r="AG201" s="51">
        <v>524.97</v>
      </c>
      <c r="AH201" s="51">
        <v>2305.82</v>
      </c>
      <c r="AI201" s="51">
        <v>3660.16</v>
      </c>
      <c r="AJ201" s="51">
        <v>3660.16</v>
      </c>
      <c r="AK201" s="51">
        <v>2455.2</v>
      </c>
      <c r="AL201" s="52">
        <f t="shared" si="9"/>
        <v>16281.100000000002</v>
      </c>
      <c r="AM201" s="53" t="str">
        <f t="shared" si="10"/>
        <v>OK</v>
      </c>
      <c r="AN201" s="51">
        <f>1645.68+274.28+274.28+274.28+274.28+274.28+13264.02</f>
        <v>16281.099999999999</v>
      </c>
      <c r="AO201" s="58">
        <f t="shared" si="11"/>
        <v>0</v>
      </c>
    </row>
    <row r="202" spans="1:41" s="54" customFormat="1" ht="13.5" customHeight="1">
      <c r="A202" s="44" t="s">
        <v>78</v>
      </c>
      <c r="B202" s="44" t="s">
        <v>79</v>
      </c>
      <c r="C202" s="44" t="s">
        <v>53</v>
      </c>
      <c r="D202" s="44" t="s">
        <v>85</v>
      </c>
      <c r="E202" s="44" t="s">
        <v>54</v>
      </c>
      <c r="F202" s="44" t="s">
        <v>124</v>
      </c>
      <c r="G202" s="44" t="s">
        <v>116</v>
      </c>
      <c r="H202" s="44" t="s">
        <v>98</v>
      </c>
      <c r="I202" s="59" t="s">
        <v>86</v>
      </c>
      <c r="J202" s="55">
        <v>1</v>
      </c>
      <c r="K202" s="55" t="s">
        <v>125</v>
      </c>
      <c r="L202" s="46">
        <v>55</v>
      </c>
      <c r="M202" s="47">
        <v>0</v>
      </c>
      <c r="N202" s="47">
        <v>2</v>
      </c>
      <c r="O202" s="48">
        <v>2000</v>
      </c>
      <c r="P202" s="48" t="s">
        <v>245</v>
      </c>
      <c r="Q202" s="47">
        <v>1</v>
      </c>
      <c r="R202" s="48">
        <v>0</v>
      </c>
      <c r="S202" s="48">
        <v>0</v>
      </c>
      <c r="T202" s="45" t="s">
        <v>56</v>
      </c>
      <c r="U202" s="49">
        <v>51</v>
      </c>
      <c r="V202" s="45">
        <v>510204</v>
      </c>
      <c r="W202" s="56" t="s">
        <v>90</v>
      </c>
      <c r="X202" s="50">
        <v>7187</v>
      </c>
      <c r="Y202" s="50">
        <f>7368.1-127+103-0.06</f>
        <v>7344.04</v>
      </c>
      <c r="Z202" s="51">
        <v>614.1</v>
      </c>
      <c r="AA202" s="51">
        <v>614</v>
      </c>
      <c r="AB202" s="51">
        <v>614</v>
      </c>
      <c r="AC202" s="51">
        <v>614</v>
      </c>
      <c r="AD202" s="51">
        <v>614</v>
      </c>
      <c r="AE202" s="51">
        <v>614</v>
      </c>
      <c r="AF202" s="51">
        <v>614</v>
      </c>
      <c r="AG202" s="51">
        <v>614</v>
      </c>
      <c r="AH202" s="51">
        <v>614</v>
      </c>
      <c r="AI202" s="51">
        <v>614</v>
      </c>
      <c r="AJ202" s="51">
        <v>614</v>
      </c>
      <c r="AK202" s="51">
        <v>589.94</v>
      </c>
      <c r="AL202" s="52">
        <f t="shared" si="9"/>
        <v>7344.040000000001</v>
      </c>
      <c r="AM202" s="53" t="str">
        <f t="shared" si="10"/>
        <v>OK</v>
      </c>
      <c r="AN202" s="51">
        <f>6496.9+134.6+174.14+134.6+134.6+134.6+134.6</f>
        <v>7344.040000000002</v>
      </c>
      <c r="AO202" s="58">
        <f t="shared" si="11"/>
        <v>0</v>
      </c>
    </row>
    <row r="203" spans="1:41" s="54" customFormat="1" ht="13.5" customHeight="1">
      <c r="A203" s="44" t="s">
        <v>78</v>
      </c>
      <c r="B203" s="44" t="s">
        <v>79</v>
      </c>
      <c r="C203" s="44" t="s">
        <v>53</v>
      </c>
      <c r="D203" s="44" t="s">
        <v>85</v>
      </c>
      <c r="E203" s="44" t="s">
        <v>54</v>
      </c>
      <c r="F203" s="44" t="s">
        <v>124</v>
      </c>
      <c r="G203" s="44" t="s">
        <v>116</v>
      </c>
      <c r="H203" s="44" t="s">
        <v>98</v>
      </c>
      <c r="I203" s="59" t="s">
        <v>86</v>
      </c>
      <c r="J203" s="55">
        <v>1</v>
      </c>
      <c r="K203" s="55" t="s">
        <v>125</v>
      </c>
      <c r="L203" s="46">
        <v>55</v>
      </c>
      <c r="M203" s="47">
        <v>0</v>
      </c>
      <c r="N203" s="47">
        <v>2</v>
      </c>
      <c r="O203" s="48">
        <v>2000</v>
      </c>
      <c r="P203" s="48" t="s">
        <v>245</v>
      </c>
      <c r="Q203" s="47">
        <v>1</v>
      </c>
      <c r="R203" s="48">
        <v>0</v>
      </c>
      <c r="S203" s="48">
        <v>0</v>
      </c>
      <c r="T203" s="45" t="s">
        <v>56</v>
      </c>
      <c r="U203" s="49">
        <v>51</v>
      </c>
      <c r="V203" s="45">
        <v>510510</v>
      </c>
      <c r="W203" s="56" t="s">
        <v>97</v>
      </c>
      <c r="X203" s="50">
        <v>0</v>
      </c>
      <c r="Y203" s="50">
        <f>66863.06-24600.77-4559-10582.29-733</f>
        <v>26387.999999999993</v>
      </c>
      <c r="Z203" s="51">
        <v>0</v>
      </c>
      <c r="AA203" s="51">
        <v>0</v>
      </c>
      <c r="AB203" s="51">
        <v>0</v>
      </c>
      <c r="AC203" s="51">
        <v>0</v>
      </c>
      <c r="AD203" s="51">
        <v>0</v>
      </c>
      <c r="AE203" s="51">
        <v>9551.86</v>
      </c>
      <c r="AF203" s="51">
        <v>9551.86</v>
      </c>
      <c r="AG203" s="51">
        <v>1520</v>
      </c>
      <c r="AH203" s="51">
        <v>1520</v>
      </c>
      <c r="AI203" s="51">
        <v>1520</v>
      </c>
      <c r="AJ203" s="51">
        <v>1520</v>
      </c>
      <c r="AK203" s="51">
        <v>1204.28</v>
      </c>
      <c r="AL203" s="52">
        <f t="shared" si="9"/>
        <v>26388</v>
      </c>
      <c r="AM203" s="53" t="str">
        <f t="shared" si="10"/>
        <v>OK</v>
      </c>
      <c r="AN203" s="51">
        <f>2638.8+3958.2+3958.2+3958.2+3958.2+3958.2+3958.2</f>
        <v>26388.000000000004</v>
      </c>
      <c r="AO203" s="58">
        <f t="shared" si="11"/>
        <v>0</v>
      </c>
    </row>
    <row r="204" spans="1:41" s="54" customFormat="1" ht="13.5" customHeight="1">
      <c r="A204" s="44" t="s">
        <v>78</v>
      </c>
      <c r="B204" s="44" t="s">
        <v>79</v>
      </c>
      <c r="C204" s="44" t="s">
        <v>53</v>
      </c>
      <c r="D204" s="44" t="s">
        <v>85</v>
      </c>
      <c r="E204" s="44" t="s">
        <v>54</v>
      </c>
      <c r="F204" s="44" t="s">
        <v>124</v>
      </c>
      <c r="G204" s="44" t="s">
        <v>116</v>
      </c>
      <c r="H204" s="44" t="s">
        <v>98</v>
      </c>
      <c r="I204" s="59" t="s">
        <v>86</v>
      </c>
      <c r="J204" s="55">
        <v>1</v>
      </c>
      <c r="K204" s="55" t="s">
        <v>125</v>
      </c>
      <c r="L204" s="46">
        <v>55</v>
      </c>
      <c r="M204" s="47">
        <v>0</v>
      </c>
      <c r="N204" s="47">
        <v>2</v>
      </c>
      <c r="O204" s="48">
        <v>2000</v>
      </c>
      <c r="P204" s="48" t="s">
        <v>245</v>
      </c>
      <c r="Q204" s="47">
        <v>1</v>
      </c>
      <c r="R204" s="48">
        <v>0</v>
      </c>
      <c r="S204" s="48">
        <v>0</v>
      </c>
      <c r="T204" s="45" t="s">
        <v>56</v>
      </c>
      <c r="U204" s="49">
        <v>51</v>
      </c>
      <c r="V204" s="45">
        <v>510601</v>
      </c>
      <c r="W204" s="56" t="s">
        <v>95</v>
      </c>
      <c r="X204" s="50">
        <v>15543</v>
      </c>
      <c r="Y204" s="50">
        <f>15543.22+4218.65-1326.89-344.9</f>
        <v>18090.079999999998</v>
      </c>
      <c r="Z204" s="51">
        <v>1295.26</v>
      </c>
      <c r="AA204" s="51">
        <v>1295.26</v>
      </c>
      <c r="AB204" s="51">
        <v>1295.36</v>
      </c>
      <c r="AC204" s="51">
        <v>1295.26</v>
      </c>
      <c r="AD204" s="51">
        <v>1295.26</v>
      </c>
      <c r="AE204" s="51">
        <v>1295.26</v>
      </c>
      <c r="AF204" s="51">
        <v>1295.26</v>
      </c>
      <c r="AG204" s="51">
        <v>1295.26</v>
      </c>
      <c r="AH204" s="51">
        <v>1295.26</v>
      </c>
      <c r="AI204" s="51">
        <v>2701.48</v>
      </c>
      <c r="AJ204" s="51">
        <v>2701.48</v>
      </c>
      <c r="AK204" s="51">
        <v>1029.68</v>
      </c>
      <c r="AL204" s="52">
        <f t="shared" si="9"/>
        <v>18090.08</v>
      </c>
      <c r="AM204" s="53" t="str">
        <f t="shared" si="10"/>
        <v>OK</v>
      </c>
      <c r="AN204" s="51">
        <f>8026.4+1677.28+1677.28+1677.28+1677.28+1677.28+1677.28</f>
        <v>18090.08</v>
      </c>
      <c r="AO204" s="58">
        <f t="shared" si="11"/>
        <v>0</v>
      </c>
    </row>
    <row r="205" spans="1:41" s="54" customFormat="1" ht="13.5" customHeight="1">
      <c r="A205" s="44" t="s">
        <v>78</v>
      </c>
      <c r="B205" s="44" t="s">
        <v>79</v>
      </c>
      <c r="C205" s="44" t="s">
        <v>53</v>
      </c>
      <c r="D205" s="44" t="s">
        <v>85</v>
      </c>
      <c r="E205" s="44" t="s">
        <v>54</v>
      </c>
      <c r="F205" s="44" t="s">
        <v>124</v>
      </c>
      <c r="G205" s="44" t="s">
        <v>116</v>
      </c>
      <c r="H205" s="44" t="s">
        <v>98</v>
      </c>
      <c r="I205" s="59" t="s">
        <v>86</v>
      </c>
      <c r="J205" s="55">
        <v>1</v>
      </c>
      <c r="K205" s="55" t="s">
        <v>125</v>
      </c>
      <c r="L205" s="46">
        <v>55</v>
      </c>
      <c r="M205" s="47">
        <v>0</v>
      </c>
      <c r="N205" s="47">
        <v>2</v>
      </c>
      <c r="O205" s="48">
        <v>2000</v>
      </c>
      <c r="P205" s="48" t="s">
        <v>245</v>
      </c>
      <c r="Q205" s="47">
        <v>1</v>
      </c>
      <c r="R205" s="48">
        <v>0</v>
      </c>
      <c r="S205" s="48">
        <v>0</v>
      </c>
      <c r="T205" s="45" t="s">
        <v>56</v>
      </c>
      <c r="U205" s="49">
        <v>51</v>
      </c>
      <c r="V205" s="45">
        <v>510602</v>
      </c>
      <c r="W205" s="56" t="s">
        <v>96</v>
      </c>
      <c r="X205" s="50">
        <v>13422</v>
      </c>
      <c r="Y205" s="50">
        <f>13422+1539.49-2000+438+787.2</f>
        <v>14186.69</v>
      </c>
      <c r="Z205" s="51">
        <v>1119</v>
      </c>
      <c r="AA205" s="51">
        <v>1119</v>
      </c>
      <c r="AB205" s="51">
        <v>1119</v>
      </c>
      <c r="AC205" s="51">
        <v>1119</v>
      </c>
      <c r="AD205" s="51">
        <v>1119</v>
      </c>
      <c r="AE205" s="51">
        <v>1119</v>
      </c>
      <c r="AF205" s="51">
        <v>1119</v>
      </c>
      <c r="AG205" s="51">
        <v>1119</v>
      </c>
      <c r="AH205" s="51">
        <v>1502.37</v>
      </c>
      <c r="AI205" s="51">
        <v>1502.37</v>
      </c>
      <c r="AJ205" s="51">
        <v>584</v>
      </c>
      <c r="AK205" s="51">
        <v>1645.95</v>
      </c>
      <c r="AL205" s="52">
        <f t="shared" si="9"/>
        <v>14186.689999999999</v>
      </c>
      <c r="AM205" s="53" t="str">
        <f t="shared" si="10"/>
        <v>OK</v>
      </c>
      <c r="AN205" s="51">
        <f>5590.55+1228.02+1228.02+1228.02+1228.02+1228.02+2456.04</f>
        <v>14186.690000000002</v>
      </c>
      <c r="AO205" s="58">
        <f t="shared" si="11"/>
        <v>0</v>
      </c>
    </row>
    <row r="206" spans="1:41" s="54" customFormat="1" ht="13.5" customHeight="1">
      <c r="A206" s="44" t="s">
        <v>78</v>
      </c>
      <c r="B206" s="44" t="s">
        <v>79</v>
      </c>
      <c r="C206" s="44" t="s">
        <v>53</v>
      </c>
      <c r="D206" s="44" t="s">
        <v>85</v>
      </c>
      <c r="E206" s="44" t="s">
        <v>54</v>
      </c>
      <c r="F206" s="44" t="s">
        <v>124</v>
      </c>
      <c r="G206" s="44" t="s">
        <v>116</v>
      </c>
      <c r="H206" s="44" t="s">
        <v>98</v>
      </c>
      <c r="I206" s="59" t="s">
        <v>86</v>
      </c>
      <c r="J206" s="55">
        <v>1</v>
      </c>
      <c r="K206" s="55" t="s">
        <v>125</v>
      </c>
      <c r="L206" s="46">
        <v>55</v>
      </c>
      <c r="M206" s="47">
        <v>0</v>
      </c>
      <c r="N206" s="47">
        <v>2</v>
      </c>
      <c r="O206" s="48">
        <v>2000</v>
      </c>
      <c r="P206" s="48" t="s">
        <v>245</v>
      </c>
      <c r="Q206" s="47">
        <v>1</v>
      </c>
      <c r="R206" s="48">
        <v>0</v>
      </c>
      <c r="S206" s="48">
        <v>0</v>
      </c>
      <c r="T206" s="45" t="s">
        <v>56</v>
      </c>
      <c r="U206" s="49">
        <v>51</v>
      </c>
      <c r="V206" s="45">
        <v>510707</v>
      </c>
      <c r="W206" s="56" t="s">
        <v>103</v>
      </c>
      <c r="X206" s="50">
        <v>154</v>
      </c>
      <c r="Y206" s="50">
        <f>300-300</f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2">
        <f t="shared" si="9"/>
        <v>0</v>
      </c>
      <c r="AM206" s="53" t="str">
        <f t="shared" si="10"/>
        <v>OK</v>
      </c>
      <c r="AN206" s="51">
        <v>0</v>
      </c>
      <c r="AO206" s="58">
        <f t="shared" si="11"/>
        <v>0</v>
      </c>
    </row>
    <row r="207" spans="1:41" s="54" customFormat="1" ht="13.5" customHeight="1">
      <c r="A207" s="44" t="s">
        <v>78</v>
      </c>
      <c r="B207" s="44" t="s">
        <v>79</v>
      </c>
      <c r="C207" s="44" t="s">
        <v>53</v>
      </c>
      <c r="D207" s="44" t="s">
        <v>85</v>
      </c>
      <c r="E207" s="44" t="s">
        <v>54</v>
      </c>
      <c r="F207" s="44" t="s">
        <v>124</v>
      </c>
      <c r="G207" s="44" t="s">
        <v>117</v>
      </c>
      <c r="H207" s="44" t="s">
        <v>81</v>
      </c>
      <c r="I207" s="59" t="s">
        <v>86</v>
      </c>
      <c r="J207" s="55">
        <v>1</v>
      </c>
      <c r="K207" s="55" t="s">
        <v>125</v>
      </c>
      <c r="L207" s="46">
        <v>55</v>
      </c>
      <c r="M207" s="47">
        <v>0</v>
      </c>
      <c r="N207" s="47">
        <v>3</v>
      </c>
      <c r="O207" s="48">
        <v>2000</v>
      </c>
      <c r="P207" s="48" t="s">
        <v>245</v>
      </c>
      <c r="Q207" s="47">
        <v>1</v>
      </c>
      <c r="R207" s="48">
        <v>0</v>
      </c>
      <c r="S207" s="48">
        <v>0</v>
      </c>
      <c r="T207" s="45" t="s">
        <v>56</v>
      </c>
      <c r="U207" s="49">
        <v>51</v>
      </c>
      <c r="V207" s="45">
        <v>510105</v>
      </c>
      <c r="W207" s="56" t="s">
        <v>87</v>
      </c>
      <c r="X207" s="50">
        <v>40224</v>
      </c>
      <c r="Y207" s="50">
        <v>40224</v>
      </c>
      <c r="Z207" s="51">
        <v>3352</v>
      </c>
      <c r="AA207" s="51">
        <v>3352</v>
      </c>
      <c r="AB207" s="51">
        <v>3352</v>
      </c>
      <c r="AC207" s="51">
        <v>3352</v>
      </c>
      <c r="AD207" s="51">
        <v>3352</v>
      </c>
      <c r="AE207" s="51">
        <v>3352</v>
      </c>
      <c r="AF207" s="51">
        <v>3352</v>
      </c>
      <c r="AG207" s="51">
        <v>3352</v>
      </c>
      <c r="AH207" s="51">
        <v>3352</v>
      </c>
      <c r="AI207" s="51">
        <v>3352</v>
      </c>
      <c r="AJ207" s="51">
        <v>3352</v>
      </c>
      <c r="AK207" s="51">
        <v>3352</v>
      </c>
      <c r="AL207" s="52">
        <f t="shared" si="9"/>
        <v>40224</v>
      </c>
      <c r="AM207" s="53" t="str">
        <f t="shared" si="10"/>
        <v>OK</v>
      </c>
      <c r="AN207" s="51">
        <f>20112+3352+3352+3352+3352+3352+3352</f>
        <v>40224</v>
      </c>
      <c r="AO207" s="58">
        <f t="shared" si="11"/>
        <v>0</v>
      </c>
    </row>
    <row r="208" spans="1:41" s="54" customFormat="1" ht="13.5" customHeight="1">
      <c r="A208" s="44" t="s">
        <v>78</v>
      </c>
      <c r="B208" s="44" t="s">
        <v>79</v>
      </c>
      <c r="C208" s="44" t="s">
        <v>53</v>
      </c>
      <c r="D208" s="44" t="s">
        <v>85</v>
      </c>
      <c r="E208" s="44" t="s">
        <v>54</v>
      </c>
      <c r="F208" s="44" t="s">
        <v>124</v>
      </c>
      <c r="G208" s="44" t="s">
        <v>117</v>
      </c>
      <c r="H208" s="44" t="s">
        <v>81</v>
      </c>
      <c r="I208" s="59" t="s">
        <v>86</v>
      </c>
      <c r="J208" s="55">
        <v>1</v>
      </c>
      <c r="K208" s="55" t="s">
        <v>125</v>
      </c>
      <c r="L208" s="46">
        <v>55</v>
      </c>
      <c r="M208" s="47">
        <v>0</v>
      </c>
      <c r="N208" s="47">
        <v>3</v>
      </c>
      <c r="O208" s="48">
        <v>2000</v>
      </c>
      <c r="P208" s="48" t="s">
        <v>245</v>
      </c>
      <c r="Q208" s="47">
        <v>1</v>
      </c>
      <c r="R208" s="48">
        <v>0</v>
      </c>
      <c r="S208" s="48">
        <v>0</v>
      </c>
      <c r="T208" s="45" t="s">
        <v>56</v>
      </c>
      <c r="U208" s="49">
        <v>51</v>
      </c>
      <c r="V208" s="45">
        <v>510203</v>
      </c>
      <c r="W208" s="56" t="s">
        <v>89</v>
      </c>
      <c r="X208" s="50">
        <v>3352</v>
      </c>
      <c r="Y208" s="50">
        <f>3352+312.66-54.71</f>
        <v>3609.95</v>
      </c>
      <c r="Z208" s="51">
        <v>279.33</v>
      </c>
      <c r="AA208" s="51">
        <v>279.33</v>
      </c>
      <c r="AB208" s="51">
        <v>279.33</v>
      </c>
      <c r="AC208" s="51">
        <v>279.33</v>
      </c>
      <c r="AD208" s="51">
        <v>279.33</v>
      </c>
      <c r="AE208" s="51">
        <v>279.33</v>
      </c>
      <c r="AF208" s="51">
        <v>279.33</v>
      </c>
      <c r="AG208" s="51">
        <v>279.33</v>
      </c>
      <c r="AH208" s="51">
        <v>279.33</v>
      </c>
      <c r="AI208" s="51">
        <v>279.33</v>
      </c>
      <c r="AJ208" s="51">
        <v>279.35</v>
      </c>
      <c r="AK208" s="51">
        <v>537.3</v>
      </c>
      <c r="AL208" s="52">
        <f t="shared" si="9"/>
        <v>3609.95</v>
      </c>
      <c r="AM208" s="53" t="str">
        <f t="shared" si="10"/>
        <v>OK</v>
      </c>
      <c r="AN208" s="51">
        <f>1675.98+279.33+279.33+279.33+309.68+279.33+197.06+309.91</f>
        <v>3609.9499999999994</v>
      </c>
      <c r="AO208" s="58">
        <f t="shared" si="11"/>
        <v>0</v>
      </c>
    </row>
    <row r="209" spans="1:41" s="54" customFormat="1" ht="13.5" customHeight="1">
      <c r="A209" s="44" t="s">
        <v>78</v>
      </c>
      <c r="B209" s="44" t="s">
        <v>79</v>
      </c>
      <c r="C209" s="44" t="s">
        <v>53</v>
      </c>
      <c r="D209" s="44" t="s">
        <v>85</v>
      </c>
      <c r="E209" s="44" t="s">
        <v>54</v>
      </c>
      <c r="F209" s="44" t="s">
        <v>124</v>
      </c>
      <c r="G209" s="44" t="s">
        <v>117</v>
      </c>
      <c r="H209" s="44" t="s">
        <v>81</v>
      </c>
      <c r="I209" s="59" t="s">
        <v>86</v>
      </c>
      <c r="J209" s="55">
        <v>1</v>
      </c>
      <c r="K209" s="55" t="s">
        <v>125</v>
      </c>
      <c r="L209" s="46">
        <v>55</v>
      </c>
      <c r="M209" s="47">
        <v>0</v>
      </c>
      <c r="N209" s="47">
        <v>3</v>
      </c>
      <c r="O209" s="48">
        <v>2000</v>
      </c>
      <c r="P209" s="48" t="s">
        <v>245</v>
      </c>
      <c r="Q209" s="47">
        <v>1</v>
      </c>
      <c r="R209" s="48">
        <v>0</v>
      </c>
      <c r="S209" s="48">
        <v>0</v>
      </c>
      <c r="T209" s="45" t="s">
        <v>56</v>
      </c>
      <c r="U209" s="49">
        <v>51</v>
      </c>
      <c r="V209" s="45">
        <v>510204</v>
      </c>
      <c r="W209" s="56" t="s">
        <v>90</v>
      </c>
      <c r="X209" s="50">
        <v>800</v>
      </c>
      <c r="Y209" s="50">
        <f>1487.5-140-1.62</f>
        <v>1345.88</v>
      </c>
      <c r="Z209" s="51">
        <v>123.95</v>
      </c>
      <c r="AA209" s="51">
        <v>123.95</v>
      </c>
      <c r="AB209" s="51">
        <v>123.95</v>
      </c>
      <c r="AC209" s="51">
        <v>123.95</v>
      </c>
      <c r="AD209" s="51">
        <v>123.95</v>
      </c>
      <c r="AE209" s="51">
        <v>123.95</v>
      </c>
      <c r="AF209" s="51">
        <v>123.95</v>
      </c>
      <c r="AG209" s="51">
        <v>123.95</v>
      </c>
      <c r="AH209" s="51">
        <v>123.95</v>
      </c>
      <c r="AI209" s="51">
        <v>123.95</v>
      </c>
      <c r="AJ209" s="51">
        <v>60</v>
      </c>
      <c r="AK209" s="51">
        <v>46.38</v>
      </c>
      <c r="AL209" s="52">
        <f t="shared" si="9"/>
        <v>1345.8800000000003</v>
      </c>
      <c r="AM209" s="53" t="str">
        <f t="shared" si="10"/>
        <v>OK</v>
      </c>
      <c r="AN209" s="51">
        <f>920.84+70.84+70.84+70.84+70.84+70.84+70.84</f>
        <v>1345.8799999999997</v>
      </c>
      <c r="AO209" s="58">
        <f t="shared" si="11"/>
        <v>0</v>
      </c>
    </row>
    <row r="210" spans="1:41" s="54" customFormat="1" ht="13.5" customHeight="1">
      <c r="A210" s="44" t="s">
        <v>78</v>
      </c>
      <c r="B210" s="44" t="s">
        <v>79</v>
      </c>
      <c r="C210" s="44" t="s">
        <v>53</v>
      </c>
      <c r="D210" s="44" t="s">
        <v>85</v>
      </c>
      <c r="E210" s="44" t="s">
        <v>54</v>
      </c>
      <c r="F210" s="44" t="s">
        <v>124</v>
      </c>
      <c r="G210" s="44" t="s">
        <v>117</v>
      </c>
      <c r="H210" s="44" t="s">
        <v>81</v>
      </c>
      <c r="I210" s="59" t="s">
        <v>86</v>
      </c>
      <c r="J210" s="55">
        <v>1</v>
      </c>
      <c r="K210" s="55" t="s">
        <v>125</v>
      </c>
      <c r="L210" s="46">
        <v>55</v>
      </c>
      <c r="M210" s="47">
        <v>0</v>
      </c>
      <c r="N210" s="47">
        <v>3</v>
      </c>
      <c r="O210" s="48">
        <v>2000</v>
      </c>
      <c r="P210" s="48" t="s">
        <v>245</v>
      </c>
      <c r="Q210" s="47">
        <v>1</v>
      </c>
      <c r="R210" s="48">
        <v>0</v>
      </c>
      <c r="S210" s="48">
        <v>0</v>
      </c>
      <c r="T210" s="45" t="s">
        <v>56</v>
      </c>
      <c r="U210" s="49">
        <v>51</v>
      </c>
      <c r="V210" s="45">
        <v>510513</v>
      </c>
      <c r="W210" s="56" t="s">
        <v>99</v>
      </c>
      <c r="X210" s="50">
        <v>0</v>
      </c>
      <c r="Y210" s="50">
        <f>2216+879.36</f>
        <v>3095.36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739</v>
      </c>
      <c r="AJ210" s="51">
        <v>739</v>
      </c>
      <c r="AK210" s="51">
        <v>1617.36</v>
      </c>
      <c r="AL210" s="52">
        <f t="shared" si="9"/>
        <v>3095.3599999999997</v>
      </c>
      <c r="AM210" s="53" t="str">
        <f t="shared" si="10"/>
        <v>OK</v>
      </c>
      <c r="AN210" s="51">
        <v>3095.36</v>
      </c>
      <c r="AO210" s="58">
        <f t="shared" si="11"/>
        <v>0</v>
      </c>
    </row>
    <row r="211" spans="1:41" s="54" customFormat="1" ht="13.5" customHeight="1">
      <c r="A211" s="44" t="s">
        <v>78</v>
      </c>
      <c r="B211" s="44" t="s">
        <v>79</v>
      </c>
      <c r="C211" s="44" t="s">
        <v>53</v>
      </c>
      <c r="D211" s="44" t="s">
        <v>85</v>
      </c>
      <c r="E211" s="44" t="s">
        <v>54</v>
      </c>
      <c r="F211" s="44" t="s">
        <v>124</v>
      </c>
      <c r="G211" s="44" t="s">
        <v>117</v>
      </c>
      <c r="H211" s="44" t="s">
        <v>81</v>
      </c>
      <c r="I211" s="59" t="s">
        <v>86</v>
      </c>
      <c r="J211" s="55">
        <v>1</v>
      </c>
      <c r="K211" s="55" t="s">
        <v>125</v>
      </c>
      <c r="L211" s="46">
        <v>55</v>
      </c>
      <c r="M211" s="47">
        <v>0</v>
      </c>
      <c r="N211" s="47">
        <v>3</v>
      </c>
      <c r="O211" s="48">
        <v>2000</v>
      </c>
      <c r="P211" s="48" t="s">
        <v>245</v>
      </c>
      <c r="Q211" s="47">
        <v>1</v>
      </c>
      <c r="R211" s="48">
        <v>0</v>
      </c>
      <c r="S211" s="48">
        <v>0</v>
      </c>
      <c r="T211" s="45" t="s">
        <v>56</v>
      </c>
      <c r="U211" s="49">
        <v>51</v>
      </c>
      <c r="V211" s="45">
        <v>510601</v>
      </c>
      <c r="W211" s="56" t="s">
        <v>95</v>
      </c>
      <c r="X211" s="50">
        <f>3881+347.62</f>
        <v>4228.62</v>
      </c>
      <c r="Y211" s="50">
        <f>3881.62+1+346-48.29</f>
        <v>4180.33</v>
      </c>
      <c r="Z211" s="51">
        <v>323.46</v>
      </c>
      <c r="AA211" s="51">
        <v>323.46</v>
      </c>
      <c r="AB211" s="51">
        <v>323.46</v>
      </c>
      <c r="AC211" s="51">
        <v>323.46</v>
      </c>
      <c r="AD211" s="51">
        <v>323.46</v>
      </c>
      <c r="AE211" s="51">
        <v>323.46</v>
      </c>
      <c r="AF211" s="51">
        <v>323.46</v>
      </c>
      <c r="AG211" s="51">
        <v>323.46</v>
      </c>
      <c r="AH211" s="51">
        <v>323.46</v>
      </c>
      <c r="AI211" s="51">
        <v>323.46</v>
      </c>
      <c r="AJ211" s="51">
        <v>323.56</v>
      </c>
      <c r="AK211" s="51">
        <v>622.17</v>
      </c>
      <c r="AL211" s="52">
        <f t="shared" si="9"/>
        <v>4180.33</v>
      </c>
      <c r="AM211" s="53" t="str">
        <f t="shared" si="10"/>
        <v>OK</v>
      </c>
      <c r="AN211" s="51">
        <f>1940.82+323.47+323.47+323.47+358.61+323.47+587.02</f>
        <v>4180.33</v>
      </c>
      <c r="AO211" s="58">
        <f t="shared" si="11"/>
        <v>0</v>
      </c>
    </row>
    <row r="212" spans="1:41" s="54" customFormat="1" ht="13.5" customHeight="1">
      <c r="A212" s="44" t="s">
        <v>78</v>
      </c>
      <c r="B212" s="44" t="s">
        <v>79</v>
      </c>
      <c r="C212" s="44" t="s">
        <v>53</v>
      </c>
      <c r="D212" s="44" t="s">
        <v>85</v>
      </c>
      <c r="E212" s="44" t="s">
        <v>54</v>
      </c>
      <c r="F212" s="44" t="s">
        <v>124</v>
      </c>
      <c r="G212" s="44" t="s">
        <v>117</v>
      </c>
      <c r="H212" s="44" t="s">
        <v>81</v>
      </c>
      <c r="I212" s="59" t="s">
        <v>86</v>
      </c>
      <c r="J212" s="55">
        <v>1</v>
      </c>
      <c r="K212" s="55" t="s">
        <v>125</v>
      </c>
      <c r="L212" s="46">
        <v>55</v>
      </c>
      <c r="M212" s="47">
        <v>0</v>
      </c>
      <c r="N212" s="47">
        <v>3</v>
      </c>
      <c r="O212" s="48">
        <v>2000</v>
      </c>
      <c r="P212" s="48" t="s">
        <v>245</v>
      </c>
      <c r="Q212" s="47">
        <v>1</v>
      </c>
      <c r="R212" s="48">
        <v>0</v>
      </c>
      <c r="S212" s="48">
        <v>0</v>
      </c>
      <c r="T212" s="45" t="s">
        <v>56</v>
      </c>
      <c r="U212" s="49">
        <v>51</v>
      </c>
      <c r="V212" s="45">
        <v>510602</v>
      </c>
      <c r="W212" s="56" t="s">
        <v>96</v>
      </c>
      <c r="X212" s="50">
        <v>0</v>
      </c>
      <c r="Y212" s="50">
        <f>559+850+1104+50.31+207.51</f>
        <v>2770.8199999999997</v>
      </c>
      <c r="Z212" s="51">
        <v>0</v>
      </c>
      <c r="AA212" s="51">
        <v>0</v>
      </c>
      <c r="AB212" s="51">
        <v>55.9</v>
      </c>
      <c r="AC212" s="51">
        <v>55.9</v>
      </c>
      <c r="AD212" s="51">
        <v>55.9</v>
      </c>
      <c r="AE212" s="51">
        <v>55.9</v>
      </c>
      <c r="AF212" s="51">
        <v>55.9</v>
      </c>
      <c r="AG212" s="51">
        <v>55.9</v>
      </c>
      <c r="AH212" s="51">
        <v>268.4</v>
      </c>
      <c r="AI212" s="51">
        <v>636.4</v>
      </c>
      <c r="AJ212" s="51">
        <v>636.4</v>
      </c>
      <c r="AK212" s="51">
        <v>894.22</v>
      </c>
      <c r="AL212" s="52">
        <f aca="true" t="shared" si="12" ref="AL212:AL243">SUBTOTAL(9,Z212:AK212)</f>
        <v>2770.8199999999997</v>
      </c>
      <c r="AM212" s="53" t="str">
        <f aca="true" t="shared" si="13" ref="AM212:AM243">IF(AL212=Y212,"OK",Y212-AL212)</f>
        <v>OK</v>
      </c>
      <c r="AN212" s="51">
        <f>837.66+279.22+279.22+279.22+309.55+279.22+506.73</f>
        <v>2770.82</v>
      </c>
      <c r="AO212" s="58">
        <f t="shared" si="11"/>
        <v>0</v>
      </c>
    </row>
    <row r="213" spans="1:41" s="54" customFormat="1" ht="13.5" customHeight="1">
      <c r="A213" s="44" t="s">
        <v>51</v>
      </c>
      <c r="B213" s="44" t="s">
        <v>52</v>
      </c>
      <c r="C213" s="44" t="s">
        <v>53</v>
      </c>
      <c r="D213" s="44" t="s">
        <v>114</v>
      </c>
      <c r="E213" s="44" t="s">
        <v>54</v>
      </c>
      <c r="F213" s="44" t="s">
        <v>124</v>
      </c>
      <c r="G213" s="44" t="s">
        <v>115</v>
      </c>
      <c r="H213" s="44" t="s">
        <v>55</v>
      </c>
      <c r="I213" s="59" t="s">
        <v>246</v>
      </c>
      <c r="J213" s="55">
        <v>1</v>
      </c>
      <c r="K213" s="55" t="s">
        <v>125</v>
      </c>
      <c r="L213" s="46">
        <v>1</v>
      </c>
      <c r="M213" s="47">
        <v>0</v>
      </c>
      <c r="N213" s="47">
        <v>1</v>
      </c>
      <c r="O213" s="48">
        <v>2001</v>
      </c>
      <c r="P213" s="48" t="s">
        <v>245</v>
      </c>
      <c r="Q213" s="47">
        <v>1</v>
      </c>
      <c r="R213" s="48">
        <v>0</v>
      </c>
      <c r="S213" s="48">
        <v>0</v>
      </c>
      <c r="T213" s="45" t="s">
        <v>56</v>
      </c>
      <c r="U213" s="49">
        <v>53</v>
      </c>
      <c r="V213" s="45">
        <v>530101</v>
      </c>
      <c r="W213" s="56" t="s">
        <v>57</v>
      </c>
      <c r="X213" s="50">
        <v>480</v>
      </c>
      <c r="Y213" s="50">
        <f>480-275.54+275.54-175.54</f>
        <v>304.46000000000004</v>
      </c>
      <c r="Z213" s="51">
        <v>40</v>
      </c>
      <c r="AA213" s="51">
        <v>40</v>
      </c>
      <c r="AB213" s="51">
        <v>40</v>
      </c>
      <c r="AC213" s="51">
        <v>40</v>
      </c>
      <c r="AD213" s="51">
        <v>10</v>
      </c>
      <c r="AE213" s="51">
        <v>44.28</v>
      </c>
      <c r="AF213" s="51">
        <v>44.28</v>
      </c>
      <c r="AG213" s="51">
        <v>44.28</v>
      </c>
      <c r="AH213" s="51">
        <v>0.25</v>
      </c>
      <c r="AI213" s="51">
        <v>0.25</v>
      </c>
      <c r="AJ213" s="51">
        <v>0.25</v>
      </c>
      <c r="AK213" s="51">
        <v>0.87</v>
      </c>
      <c r="AL213" s="52">
        <f t="shared" si="12"/>
        <v>304.46000000000004</v>
      </c>
      <c r="AM213" s="53" t="str">
        <f t="shared" si="13"/>
        <v>OK</v>
      </c>
      <c r="AN213" s="51">
        <f>160+160-115.54+100</f>
        <v>304.46</v>
      </c>
      <c r="AO213" s="58">
        <f t="shared" si="11"/>
        <v>0</v>
      </c>
    </row>
    <row r="214" spans="1:41" s="54" customFormat="1" ht="13.5" customHeight="1">
      <c r="A214" s="44" t="s">
        <v>51</v>
      </c>
      <c r="B214" s="44" t="s">
        <v>52</v>
      </c>
      <c r="C214" s="44" t="s">
        <v>53</v>
      </c>
      <c r="D214" s="44" t="s">
        <v>114</v>
      </c>
      <c r="E214" s="44" t="s">
        <v>54</v>
      </c>
      <c r="F214" s="44" t="s">
        <v>124</v>
      </c>
      <c r="G214" s="44" t="s">
        <v>115</v>
      </c>
      <c r="H214" s="44" t="s">
        <v>55</v>
      </c>
      <c r="I214" s="59" t="s">
        <v>247</v>
      </c>
      <c r="J214" s="55">
        <v>1</v>
      </c>
      <c r="K214" s="55" t="s">
        <v>125</v>
      </c>
      <c r="L214" s="46">
        <v>1</v>
      </c>
      <c r="M214" s="47">
        <v>0</v>
      </c>
      <c r="N214" s="47">
        <v>1</v>
      </c>
      <c r="O214" s="48">
        <v>2001</v>
      </c>
      <c r="P214" s="48" t="s">
        <v>245</v>
      </c>
      <c r="Q214" s="47">
        <v>1</v>
      </c>
      <c r="R214" s="48">
        <v>0</v>
      </c>
      <c r="S214" s="48">
        <v>0</v>
      </c>
      <c r="T214" s="45" t="s">
        <v>56</v>
      </c>
      <c r="U214" s="49">
        <v>53</v>
      </c>
      <c r="V214" s="45">
        <v>530104</v>
      </c>
      <c r="W214" s="56" t="s">
        <v>58</v>
      </c>
      <c r="X214" s="50">
        <v>27999.999999999996</v>
      </c>
      <c r="Y214" s="50">
        <f>28000-2080-10954.33+2080+10954.33-3000-1034.33</f>
        <v>23965.67</v>
      </c>
      <c r="Z214" s="51">
        <v>2300</v>
      </c>
      <c r="AA214" s="51">
        <v>2300</v>
      </c>
      <c r="AB214" s="51">
        <v>2300</v>
      </c>
      <c r="AC214" s="51">
        <v>2300</v>
      </c>
      <c r="AD214" s="51">
        <v>2300</v>
      </c>
      <c r="AE214" s="51">
        <v>2300</v>
      </c>
      <c r="AF214" s="51">
        <v>2300</v>
      </c>
      <c r="AG214" s="51">
        <v>2300</v>
      </c>
      <c r="AH214" s="51">
        <v>2300</v>
      </c>
      <c r="AI214" s="51">
        <v>2300</v>
      </c>
      <c r="AJ214" s="51">
        <v>433</v>
      </c>
      <c r="AK214" s="51">
        <v>532.67</v>
      </c>
      <c r="AL214" s="52">
        <f t="shared" si="12"/>
        <v>23965.67</v>
      </c>
      <c r="AM214" s="53" t="str">
        <f t="shared" si="13"/>
        <v>OK</v>
      </c>
      <c r="AN214" s="51">
        <f>7646.99+10000-2681.32+9000</f>
        <v>23965.67</v>
      </c>
      <c r="AO214" s="58">
        <f t="shared" si="11"/>
        <v>0</v>
      </c>
    </row>
    <row r="215" spans="1:41" s="54" customFormat="1" ht="13.5" customHeight="1">
      <c r="A215" s="44" t="s">
        <v>51</v>
      </c>
      <c r="B215" s="44" t="s">
        <v>52</v>
      </c>
      <c r="C215" s="44" t="s">
        <v>53</v>
      </c>
      <c r="D215" s="44" t="s">
        <v>114</v>
      </c>
      <c r="E215" s="44" t="s">
        <v>120</v>
      </c>
      <c r="F215" s="44" t="s">
        <v>124</v>
      </c>
      <c r="G215" s="44" t="s">
        <v>115</v>
      </c>
      <c r="H215" s="44" t="s">
        <v>55</v>
      </c>
      <c r="I215" s="59" t="s">
        <v>248</v>
      </c>
      <c r="J215" s="55">
        <v>2</v>
      </c>
      <c r="K215" s="55" t="s">
        <v>125</v>
      </c>
      <c r="L215" s="46">
        <v>1</v>
      </c>
      <c r="M215" s="47">
        <v>0</v>
      </c>
      <c r="N215" s="47">
        <v>1</v>
      </c>
      <c r="O215" s="48">
        <v>2001</v>
      </c>
      <c r="P215" s="48" t="s">
        <v>245</v>
      </c>
      <c r="Q215" s="47">
        <v>1</v>
      </c>
      <c r="R215" s="48">
        <v>0</v>
      </c>
      <c r="S215" s="48">
        <v>0</v>
      </c>
      <c r="T215" s="45" t="s">
        <v>56</v>
      </c>
      <c r="U215" s="49">
        <v>53</v>
      </c>
      <c r="V215" s="45">
        <v>530106</v>
      </c>
      <c r="W215" s="56" t="s">
        <v>59</v>
      </c>
      <c r="X215" s="50">
        <v>0</v>
      </c>
      <c r="Y215" s="50">
        <f>1000-327.5</f>
        <v>672.5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672.5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2">
        <f t="shared" si="12"/>
        <v>672.5</v>
      </c>
      <c r="AM215" s="53" t="str">
        <f t="shared" si="13"/>
        <v>OK</v>
      </c>
      <c r="AN215" s="51">
        <v>672.5</v>
      </c>
      <c r="AO215" s="58">
        <f t="shared" si="11"/>
        <v>0</v>
      </c>
    </row>
    <row r="216" spans="1:41" s="54" customFormat="1" ht="13.5" customHeight="1">
      <c r="A216" s="44" t="s">
        <v>51</v>
      </c>
      <c r="B216" s="44" t="s">
        <v>52</v>
      </c>
      <c r="C216" s="44" t="s">
        <v>53</v>
      </c>
      <c r="D216" s="44" t="s">
        <v>114</v>
      </c>
      <c r="E216" s="44" t="s">
        <v>54</v>
      </c>
      <c r="F216" s="44" t="s">
        <v>124</v>
      </c>
      <c r="G216" s="44" t="s">
        <v>115</v>
      </c>
      <c r="H216" s="44" t="s">
        <v>55</v>
      </c>
      <c r="I216" s="59" t="s">
        <v>249</v>
      </c>
      <c r="J216" s="55">
        <v>1</v>
      </c>
      <c r="K216" s="55" t="s">
        <v>125</v>
      </c>
      <c r="L216" s="46">
        <v>1</v>
      </c>
      <c r="M216" s="47">
        <v>0</v>
      </c>
      <c r="N216" s="47">
        <v>1</v>
      </c>
      <c r="O216" s="48">
        <v>2001</v>
      </c>
      <c r="P216" s="48" t="s">
        <v>245</v>
      </c>
      <c r="Q216" s="47">
        <v>1</v>
      </c>
      <c r="R216" s="48">
        <v>0</v>
      </c>
      <c r="S216" s="48">
        <v>0</v>
      </c>
      <c r="T216" s="45" t="s">
        <v>56</v>
      </c>
      <c r="U216" s="49">
        <v>53</v>
      </c>
      <c r="V216" s="45">
        <v>530203</v>
      </c>
      <c r="W216" s="56" t="s">
        <v>61</v>
      </c>
      <c r="X216" s="50">
        <v>1663.2</v>
      </c>
      <c r="Y216" s="50">
        <v>0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2">
        <f t="shared" si="12"/>
        <v>0</v>
      </c>
      <c r="AM216" s="53" t="str">
        <f t="shared" si="13"/>
        <v>OK</v>
      </c>
      <c r="AN216" s="51">
        <v>0</v>
      </c>
      <c r="AO216" s="58">
        <f t="shared" si="11"/>
        <v>0</v>
      </c>
    </row>
    <row r="217" spans="1:41" s="54" customFormat="1" ht="13.5" customHeight="1">
      <c r="A217" s="44" t="s">
        <v>51</v>
      </c>
      <c r="B217" s="44" t="s">
        <v>52</v>
      </c>
      <c r="C217" s="44" t="s">
        <v>53</v>
      </c>
      <c r="D217" s="44" t="s">
        <v>114</v>
      </c>
      <c r="E217" s="44" t="s">
        <v>54</v>
      </c>
      <c r="F217" s="44" t="s">
        <v>124</v>
      </c>
      <c r="G217" s="44" t="s">
        <v>115</v>
      </c>
      <c r="H217" s="44" t="s">
        <v>55</v>
      </c>
      <c r="I217" s="59" t="s">
        <v>250</v>
      </c>
      <c r="J217" s="55">
        <v>1</v>
      </c>
      <c r="K217" s="55" t="s">
        <v>125</v>
      </c>
      <c r="L217" s="46">
        <v>1</v>
      </c>
      <c r="M217" s="47">
        <v>0</v>
      </c>
      <c r="N217" s="47">
        <v>1</v>
      </c>
      <c r="O217" s="48">
        <v>2001</v>
      </c>
      <c r="P217" s="48" t="s">
        <v>245</v>
      </c>
      <c r="Q217" s="47">
        <v>1</v>
      </c>
      <c r="R217" s="48">
        <v>0</v>
      </c>
      <c r="S217" s="48">
        <v>0</v>
      </c>
      <c r="T217" s="45" t="s">
        <v>56</v>
      </c>
      <c r="U217" s="49">
        <v>53</v>
      </c>
      <c r="V217" s="45">
        <v>530207</v>
      </c>
      <c r="W217" s="56" t="s">
        <v>122</v>
      </c>
      <c r="X217" s="50">
        <v>4479.999999999999</v>
      </c>
      <c r="Y217" s="50">
        <f>4480-1801.43</f>
        <v>2678.5699999999997</v>
      </c>
      <c r="Z217" s="51">
        <v>0</v>
      </c>
      <c r="AA217" s="51">
        <v>0</v>
      </c>
      <c r="AB217" s="51">
        <v>0</v>
      </c>
      <c r="AC217" s="51">
        <v>2678.57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2">
        <f t="shared" si="12"/>
        <v>2678.57</v>
      </c>
      <c r="AM217" s="53" t="str">
        <f t="shared" si="13"/>
        <v>OK</v>
      </c>
      <c r="AN217" s="51">
        <v>2678.57</v>
      </c>
      <c r="AO217" s="58">
        <f t="shared" si="11"/>
        <v>0</v>
      </c>
    </row>
    <row r="218" spans="1:41" s="54" customFormat="1" ht="13.5" customHeight="1">
      <c r="A218" s="44" t="s">
        <v>51</v>
      </c>
      <c r="B218" s="44" t="s">
        <v>52</v>
      </c>
      <c r="C218" s="44" t="s">
        <v>53</v>
      </c>
      <c r="D218" s="44" t="s">
        <v>114</v>
      </c>
      <c r="E218" s="44" t="s">
        <v>54</v>
      </c>
      <c r="F218" s="44" t="s">
        <v>124</v>
      </c>
      <c r="G218" s="44" t="s">
        <v>115</v>
      </c>
      <c r="H218" s="44" t="s">
        <v>55</v>
      </c>
      <c r="I218" s="59" t="s">
        <v>251</v>
      </c>
      <c r="J218" s="55">
        <v>1</v>
      </c>
      <c r="K218" s="55" t="s">
        <v>125</v>
      </c>
      <c r="L218" s="46">
        <v>1</v>
      </c>
      <c r="M218" s="47">
        <v>0</v>
      </c>
      <c r="N218" s="47">
        <v>1</v>
      </c>
      <c r="O218" s="48">
        <v>2001</v>
      </c>
      <c r="P218" s="48" t="s">
        <v>245</v>
      </c>
      <c r="Q218" s="47">
        <v>1</v>
      </c>
      <c r="R218" s="48">
        <v>0</v>
      </c>
      <c r="S218" s="48">
        <v>0</v>
      </c>
      <c r="T218" s="45" t="s">
        <v>56</v>
      </c>
      <c r="U218" s="49">
        <v>53</v>
      </c>
      <c r="V218" s="45">
        <v>530301</v>
      </c>
      <c r="W218" s="56" t="s">
        <v>64</v>
      </c>
      <c r="X218" s="50">
        <v>2239.9999999999995</v>
      </c>
      <c r="Y218" s="50">
        <f>2240-568.01</f>
        <v>1671.99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1671.99</v>
      </c>
      <c r="AJ218" s="51">
        <v>0</v>
      </c>
      <c r="AK218" s="51">
        <v>0</v>
      </c>
      <c r="AL218" s="52">
        <f t="shared" si="12"/>
        <v>1671.99</v>
      </c>
      <c r="AM218" s="53" t="str">
        <f t="shared" si="13"/>
        <v>OK</v>
      </c>
      <c r="AN218" s="51">
        <f>2000+1814.89-1708.58+133.69-568.01</f>
        <v>1671.9900000000005</v>
      </c>
      <c r="AO218" s="58">
        <f t="shared" si="11"/>
        <v>0</v>
      </c>
    </row>
    <row r="219" spans="1:41" s="54" customFormat="1" ht="13.5" customHeight="1">
      <c r="A219" s="44" t="s">
        <v>51</v>
      </c>
      <c r="B219" s="44" t="s">
        <v>52</v>
      </c>
      <c r="C219" s="44" t="s">
        <v>53</v>
      </c>
      <c r="D219" s="44" t="s">
        <v>114</v>
      </c>
      <c r="E219" s="44" t="s">
        <v>54</v>
      </c>
      <c r="F219" s="44" t="s">
        <v>124</v>
      </c>
      <c r="G219" s="44" t="s">
        <v>115</v>
      </c>
      <c r="H219" s="44" t="s">
        <v>55</v>
      </c>
      <c r="I219" s="59" t="s">
        <v>252</v>
      </c>
      <c r="J219" s="55">
        <v>1</v>
      </c>
      <c r="K219" s="55" t="s">
        <v>125</v>
      </c>
      <c r="L219" s="46">
        <v>1</v>
      </c>
      <c r="M219" s="47">
        <v>0</v>
      </c>
      <c r="N219" s="47">
        <v>1</v>
      </c>
      <c r="O219" s="48">
        <v>2001</v>
      </c>
      <c r="P219" s="48" t="s">
        <v>245</v>
      </c>
      <c r="Q219" s="47">
        <v>1</v>
      </c>
      <c r="R219" s="48">
        <v>0</v>
      </c>
      <c r="S219" s="48">
        <v>0</v>
      </c>
      <c r="T219" s="45" t="s">
        <v>56</v>
      </c>
      <c r="U219" s="49">
        <v>53</v>
      </c>
      <c r="V219" s="45">
        <v>530301</v>
      </c>
      <c r="W219" s="56" t="s">
        <v>64</v>
      </c>
      <c r="X219" s="50">
        <v>384.16</v>
      </c>
      <c r="Y219" s="50">
        <f>384.16+480-510.42</f>
        <v>353.74000000000007</v>
      </c>
      <c r="Z219" s="51">
        <v>114</v>
      </c>
      <c r="AA219" s="51">
        <v>0</v>
      </c>
      <c r="AB219" s="51">
        <v>0</v>
      </c>
      <c r="AC219" s="51">
        <v>0</v>
      </c>
      <c r="AD219" s="51">
        <v>239.74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51">
        <v>0</v>
      </c>
      <c r="AL219" s="52">
        <f t="shared" si="12"/>
        <v>353.74</v>
      </c>
      <c r="AM219" s="53" t="str">
        <f t="shared" si="13"/>
        <v>OK</v>
      </c>
      <c r="AN219" s="51">
        <f>343+242.72+428.57-150.13+428.57-428.57-51.43+51.43-510.42</f>
        <v>353.74000000000007</v>
      </c>
      <c r="AO219" s="58">
        <f t="shared" si="11"/>
        <v>0</v>
      </c>
    </row>
    <row r="220" spans="1:41" s="54" customFormat="1" ht="13.5" customHeight="1">
      <c r="A220" s="44" t="s">
        <v>51</v>
      </c>
      <c r="B220" s="44" t="s">
        <v>52</v>
      </c>
      <c r="C220" s="44" t="s">
        <v>53</v>
      </c>
      <c r="D220" s="44" t="s">
        <v>114</v>
      </c>
      <c r="E220" s="44" t="s">
        <v>54</v>
      </c>
      <c r="F220" s="44" t="s">
        <v>124</v>
      </c>
      <c r="G220" s="44" t="s">
        <v>115</v>
      </c>
      <c r="H220" s="44" t="s">
        <v>55</v>
      </c>
      <c r="I220" s="59" t="s">
        <v>253</v>
      </c>
      <c r="J220" s="55">
        <v>1</v>
      </c>
      <c r="K220" s="55" t="s">
        <v>125</v>
      </c>
      <c r="L220" s="46">
        <v>1</v>
      </c>
      <c r="M220" s="47">
        <v>0</v>
      </c>
      <c r="N220" s="47">
        <v>1</v>
      </c>
      <c r="O220" s="48">
        <v>2001</v>
      </c>
      <c r="P220" s="48" t="s">
        <v>245</v>
      </c>
      <c r="Q220" s="47">
        <v>1</v>
      </c>
      <c r="R220" s="48">
        <v>0</v>
      </c>
      <c r="S220" s="48">
        <v>0</v>
      </c>
      <c r="T220" s="45" t="s">
        <v>56</v>
      </c>
      <c r="U220" s="49">
        <v>53</v>
      </c>
      <c r="V220" s="45">
        <v>530303</v>
      </c>
      <c r="W220" s="56" t="s">
        <v>66</v>
      </c>
      <c r="X220" s="50">
        <v>1919</v>
      </c>
      <c r="Y220" s="50">
        <f>1919+2300-739.51-400</f>
        <v>3079.49</v>
      </c>
      <c r="Z220" s="51">
        <v>1919</v>
      </c>
      <c r="AA220" s="51">
        <v>0</v>
      </c>
      <c r="AB220" s="51">
        <v>0</v>
      </c>
      <c r="AC220" s="51">
        <v>0</v>
      </c>
      <c r="AD220" s="51">
        <v>0</v>
      </c>
      <c r="AE220" s="51">
        <v>0</v>
      </c>
      <c r="AF220" s="51">
        <v>0</v>
      </c>
      <c r="AG220" s="51">
        <v>1160.49</v>
      </c>
      <c r="AH220" s="51">
        <v>0</v>
      </c>
      <c r="AI220" s="51">
        <v>0</v>
      </c>
      <c r="AJ220" s="51">
        <v>0</v>
      </c>
      <c r="AK220" s="51">
        <v>0</v>
      </c>
      <c r="AL220" s="52">
        <f t="shared" si="12"/>
        <v>3079.49</v>
      </c>
      <c r="AM220" s="53" t="str">
        <f t="shared" si="13"/>
        <v>OK</v>
      </c>
      <c r="AN220" s="51">
        <f>1919-1919+1426.41-492.59+492.59+492.59+2665.91-365.91-739.51-400</f>
        <v>3079.49</v>
      </c>
      <c r="AO220" s="58">
        <f t="shared" si="11"/>
        <v>0</v>
      </c>
    </row>
    <row r="221" spans="1:41" s="54" customFormat="1" ht="13.5" customHeight="1">
      <c r="A221" s="44" t="s">
        <v>51</v>
      </c>
      <c r="B221" s="44" t="s">
        <v>52</v>
      </c>
      <c r="C221" s="44" t="s">
        <v>53</v>
      </c>
      <c r="D221" s="44" t="s">
        <v>114</v>
      </c>
      <c r="E221" s="44" t="s">
        <v>54</v>
      </c>
      <c r="F221" s="44" t="s">
        <v>124</v>
      </c>
      <c r="G221" s="44" t="s">
        <v>115</v>
      </c>
      <c r="H221" s="44" t="s">
        <v>55</v>
      </c>
      <c r="I221" s="59" t="s">
        <v>254</v>
      </c>
      <c r="J221" s="55">
        <v>1</v>
      </c>
      <c r="K221" s="55" t="s">
        <v>125</v>
      </c>
      <c r="L221" s="46">
        <v>1</v>
      </c>
      <c r="M221" s="47">
        <v>0</v>
      </c>
      <c r="N221" s="47">
        <v>1</v>
      </c>
      <c r="O221" s="48">
        <v>2001</v>
      </c>
      <c r="P221" s="48" t="s">
        <v>245</v>
      </c>
      <c r="Q221" s="47">
        <v>1</v>
      </c>
      <c r="R221" s="48">
        <v>0</v>
      </c>
      <c r="S221" s="48">
        <v>0</v>
      </c>
      <c r="T221" s="45" t="s">
        <v>56</v>
      </c>
      <c r="U221" s="49">
        <v>53</v>
      </c>
      <c r="V221" s="45">
        <v>530402</v>
      </c>
      <c r="W221" s="56" t="s">
        <v>67</v>
      </c>
      <c r="X221" s="50">
        <v>959.84</v>
      </c>
      <c r="Y221" s="50">
        <f>959.84-959.84</f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2">
        <f t="shared" si="12"/>
        <v>0</v>
      </c>
      <c r="AM221" s="53" t="str">
        <f t="shared" si="13"/>
        <v>OK</v>
      </c>
      <c r="AN221" s="51">
        <v>0</v>
      </c>
      <c r="AO221" s="58">
        <f t="shared" si="11"/>
        <v>0</v>
      </c>
    </row>
    <row r="222" spans="1:41" s="54" customFormat="1" ht="13.5" customHeight="1">
      <c r="A222" s="44" t="s">
        <v>51</v>
      </c>
      <c r="B222" s="44" t="s">
        <v>52</v>
      </c>
      <c r="C222" s="44" t="s">
        <v>53</v>
      </c>
      <c r="D222" s="44" t="s">
        <v>114</v>
      </c>
      <c r="E222" s="44" t="s">
        <v>54</v>
      </c>
      <c r="F222" s="44" t="s">
        <v>124</v>
      </c>
      <c r="G222" s="44" t="s">
        <v>115</v>
      </c>
      <c r="H222" s="44" t="s">
        <v>55</v>
      </c>
      <c r="I222" s="59" t="s">
        <v>255</v>
      </c>
      <c r="J222" s="55">
        <v>1</v>
      </c>
      <c r="K222" s="55" t="s">
        <v>125</v>
      </c>
      <c r="L222" s="46">
        <v>1</v>
      </c>
      <c r="M222" s="47">
        <v>0</v>
      </c>
      <c r="N222" s="47">
        <v>1</v>
      </c>
      <c r="O222" s="48">
        <v>2001</v>
      </c>
      <c r="P222" s="48" t="s">
        <v>245</v>
      </c>
      <c r="Q222" s="47">
        <v>1</v>
      </c>
      <c r="R222" s="48">
        <v>0</v>
      </c>
      <c r="S222" s="48">
        <v>0</v>
      </c>
      <c r="T222" s="45" t="s">
        <v>56</v>
      </c>
      <c r="U222" s="49">
        <v>53</v>
      </c>
      <c r="V222" s="45">
        <v>530402</v>
      </c>
      <c r="W222" s="56" t="s">
        <v>67</v>
      </c>
      <c r="X222" s="50">
        <v>0</v>
      </c>
      <c r="Y222" s="50">
        <f>11734.52+1034.33-5988.9</f>
        <v>6779.950000000001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6779.95</v>
      </c>
      <c r="AK222" s="51">
        <v>0</v>
      </c>
      <c r="AL222" s="52">
        <f t="shared" si="12"/>
        <v>6779.95</v>
      </c>
      <c r="AM222" s="53" t="str">
        <f t="shared" si="13"/>
        <v>OK</v>
      </c>
      <c r="AN222" s="51">
        <v>6779.95</v>
      </c>
      <c r="AO222" s="58">
        <f t="shared" si="11"/>
        <v>0</v>
      </c>
    </row>
    <row r="223" spans="1:41" s="54" customFormat="1" ht="13.5" customHeight="1">
      <c r="A223" s="44" t="s">
        <v>51</v>
      </c>
      <c r="B223" s="44" t="s">
        <v>52</v>
      </c>
      <c r="C223" s="44" t="s">
        <v>53</v>
      </c>
      <c r="D223" s="44" t="s">
        <v>114</v>
      </c>
      <c r="E223" s="44" t="s">
        <v>54</v>
      </c>
      <c r="F223" s="44" t="s">
        <v>124</v>
      </c>
      <c r="G223" s="44" t="s">
        <v>115</v>
      </c>
      <c r="H223" s="44" t="s">
        <v>55</v>
      </c>
      <c r="I223" s="59" t="s">
        <v>256</v>
      </c>
      <c r="J223" s="55">
        <v>1</v>
      </c>
      <c r="K223" s="55" t="s">
        <v>125</v>
      </c>
      <c r="L223" s="46">
        <v>1</v>
      </c>
      <c r="M223" s="47">
        <v>0</v>
      </c>
      <c r="N223" s="47">
        <v>1</v>
      </c>
      <c r="O223" s="48">
        <v>2001</v>
      </c>
      <c r="P223" s="48" t="s">
        <v>245</v>
      </c>
      <c r="Q223" s="47">
        <v>1</v>
      </c>
      <c r="R223" s="48">
        <v>0</v>
      </c>
      <c r="S223" s="48">
        <v>0</v>
      </c>
      <c r="T223" s="45" t="s">
        <v>56</v>
      </c>
      <c r="U223" s="49">
        <v>53</v>
      </c>
      <c r="V223" s="45">
        <v>530402</v>
      </c>
      <c r="W223" s="56" t="s">
        <v>67</v>
      </c>
      <c r="X223" s="50">
        <v>9599.52</v>
      </c>
      <c r="Y223" s="50">
        <f>9599.52-6336+3911.16+600+959.84+3000-11734.52</f>
        <v>0</v>
      </c>
      <c r="Z223" s="51">
        <v>0</v>
      </c>
      <c r="AA223" s="51">
        <v>0</v>
      </c>
      <c r="AB223" s="51">
        <v>0</v>
      </c>
      <c r="AC223" s="51">
        <v>0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s="52">
        <f t="shared" si="12"/>
        <v>0</v>
      </c>
      <c r="AM223" s="53" t="str">
        <f t="shared" si="13"/>
        <v>OK</v>
      </c>
      <c r="AN223" s="51">
        <v>0</v>
      </c>
      <c r="AO223" s="58">
        <f t="shared" si="11"/>
        <v>0</v>
      </c>
    </row>
    <row r="224" spans="1:41" s="54" customFormat="1" ht="13.5" customHeight="1">
      <c r="A224" s="44" t="s">
        <v>51</v>
      </c>
      <c r="B224" s="44" t="s">
        <v>52</v>
      </c>
      <c r="C224" s="44" t="s">
        <v>53</v>
      </c>
      <c r="D224" s="44" t="s">
        <v>114</v>
      </c>
      <c r="E224" s="44" t="s">
        <v>54</v>
      </c>
      <c r="F224" s="44" t="s">
        <v>124</v>
      </c>
      <c r="G224" s="44" t="s">
        <v>115</v>
      </c>
      <c r="H224" s="44" t="s">
        <v>55</v>
      </c>
      <c r="I224" s="59" t="s">
        <v>257</v>
      </c>
      <c r="J224" s="55">
        <v>1</v>
      </c>
      <c r="K224" s="55" t="s">
        <v>125</v>
      </c>
      <c r="L224" s="46">
        <v>1</v>
      </c>
      <c r="M224" s="47">
        <v>0</v>
      </c>
      <c r="N224" s="47">
        <v>1</v>
      </c>
      <c r="O224" s="48">
        <v>2001</v>
      </c>
      <c r="P224" s="48" t="s">
        <v>245</v>
      </c>
      <c r="Q224" s="47">
        <v>1</v>
      </c>
      <c r="R224" s="48">
        <v>0</v>
      </c>
      <c r="S224" s="48">
        <v>0</v>
      </c>
      <c r="T224" s="45" t="s">
        <v>56</v>
      </c>
      <c r="U224" s="49">
        <v>53</v>
      </c>
      <c r="V224" s="45">
        <v>530403</v>
      </c>
      <c r="W224" s="56" t="s">
        <v>68</v>
      </c>
      <c r="X224" s="50">
        <v>1599.36</v>
      </c>
      <c r="Y224" s="50">
        <f>1599.36-1599.36</f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1">
        <v>0</v>
      </c>
      <c r="AK224" s="51">
        <v>0</v>
      </c>
      <c r="AL224" s="52">
        <f t="shared" si="12"/>
        <v>0</v>
      </c>
      <c r="AM224" s="53" t="str">
        <f t="shared" si="13"/>
        <v>OK</v>
      </c>
      <c r="AN224" s="51">
        <v>0</v>
      </c>
      <c r="AO224" s="58">
        <f t="shared" si="11"/>
        <v>0</v>
      </c>
    </row>
    <row r="225" spans="1:41" s="54" customFormat="1" ht="13.5" customHeight="1">
      <c r="A225" s="44" t="s">
        <v>51</v>
      </c>
      <c r="B225" s="44" t="s">
        <v>52</v>
      </c>
      <c r="C225" s="44" t="s">
        <v>53</v>
      </c>
      <c r="D225" s="44" t="s">
        <v>114</v>
      </c>
      <c r="E225" s="44" t="s">
        <v>54</v>
      </c>
      <c r="F225" s="44" t="s">
        <v>124</v>
      </c>
      <c r="G225" s="44" t="s">
        <v>115</v>
      </c>
      <c r="H225" s="44" t="s">
        <v>55</v>
      </c>
      <c r="I225" s="59" t="s">
        <v>258</v>
      </c>
      <c r="J225" s="55">
        <v>1</v>
      </c>
      <c r="K225" s="55" t="s">
        <v>125</v>
      </c>
      <c r="L225" s="46">
        <v>1</v>
      </c>
      <c r="M225" s="47">
        <v>0</v>
      </c>
      <c r="N225" s="47">
        <v>1</v>
      </c>
      <c r="O225" s="48">
        <v>2001</v>
      </c>
      <c r="P225" s="48" t="s">
        <v>245</v>
      </c>
      <c r="Q225" s="47">
        <v>1</v>
      </c>
      <c r="R225" s="48">
        <v>0</v>
      </c>
      <c r="S225" s="48">
        <v>0</v>
      </c>
      <c r="T225" s="45" t="s">
        <v>56</v>
      </c>
      <c r="U225" s="49">
        <v>53</v>
      </c>
      <c r="V225" s="45">
        <v>530405</v>
      </c>
      <c r="W225" s="56" t="s">
        <v>69</v>
      </c>
      <c r="X225" s="50">
        <v>4599.84</v>
      </c>
      <c r="Y225" s="50">
        <f>4599.84-610.84</f>
        <v>3989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2053</v>
      </c>
      <c r="AF225" s="51">
        <v>0</v>
      </c>
      <c r="AG225" s="51">
        <v>0</v>
      </c>
      <c r="AH225" s="51">
        <v>0</v>
      </c>
      <c r="AI225" s="51">
        <v>1936</v>
      </c>
      <c r="AJ225" s="51">
        <v>0</v>
      </c>
      <c r="AK225" s="51">
        <v>0</v>
      </c>
      <c r="AL225" s="52">
        <f t="shared" si="12"/>
        <v>3989</v>
      </c>
      <c r="AM225" s="53" t="str">
        <f t="shared" si="13"/>
        <v>OK</v>
      </c>
      <c r="AN225" s="51">
        <v>3989</v>
      </c>
      <c r="AO225" s="58">
        <f t="shared" si="11"/>
        <v>0</v>
      </c>
    </row>
    <row r="226" spans="1:41" s="54" customFormat="1" ht="13.5" customHeight="1">
      <c r="A226" s="44" t="s">
        <v>51</v>
      </c>
      <c r="B226" s="44" t="s">
        <v>52</v>
      </c>
      <c r="C226" s="44" t="s">
        <v>53</v>
      </c>
      <c r="D226" s="44" t="s">
        <v>114</v>
      </c>
      <c r="E226" s="44" t="s">
        <v>54</v>
      </c>
      <c r="F226" s="44" t="s">
        <v>124</v>
      </c>
      <c r="G226" s="44" t="s">
        <v>115</v>
      </c>
      <c r="H226" s="44" t="s">
        <v>55</v>
      </c>
      <c r="I226" s="59" t="s">
        <v>259</v>
      </c>
      <c r="J226" s="55">
        <v>1</v>
      </c>
      <c r="K226" s="55" t="s">
        <v>125</v>
      </c>
      <c r="L226" s="46">
        <v>1</v>
      </c>
      <c r="M226" s="47">
        <v>0</v>
      </c>
      <c r="N226" s="47">
        <v>1</v>
      </c>
      <c r="O226" s="48">
        <v>2001</v>
      </c>
      <c r="P226" s="48" t="s">
        <v>245</v>
      </c>
      <c r="Q226" s="47">
        <v>1</v>
      </c>
      <c r="R226" s="48">
        <v>0</v>
      </c>
      <c r="S226" s="48">
        <v>0</v>
      </c>
      <c r="T226" s="45" t="s">
        <v>56</v>
      </c>
      <c r="U226" s="49">
        <v>53</v>
      </c>
      <c r="V226" s="45">
        <v>530803</v>
      </c>
      <c r="W226" s="56" t="s">
        <v>70</v>
      </c>
      <c r="X226" s="50">
        <v>959.84</v>
      </c>
      <c r="Y226" s="50">
        <f>959.84-103.72</f>
        <v>856.12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856.12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2">
        <f t="shared" si="12"/>
        <v>856.12</v>
      </c>
      <c r="AM226" s="53" t="str">
        <f t="shared" si="13"/>
        <v>OK</v>
      </c>
      <c r="AN226" s="51">
        <v>856.12</v>
      </c>
      <c r="AO226" s="58">
        <f t="shared" si="11"/>
        <v>0</v>
      </c>
    </row>
    <row r="227" spans="1:41" s="54" customFormat="1" ht="13.5" customHeight="1">
      <c r="A227" s="44" t="s">
        <v>51</v>
      </c>
      <c r="B227" s="44" t="s">
        <v>52</v>
      </c>
      <c r="C227" s="44" t="s">
        <v>53</v>
      </c>
      <c r="D227" s="44" t="s">
        <v>114</v>
      </c>
      <c r="E227" s="44" t="s">
        <v>54</v>
      </c>
      <c r="F227" s="44" t="s">
        <v>124</v>
      </c>
      <c r="G227" s="44" t="s">
        <v>115</v>
      </c>
      <c r="H227" s="44" t="s">
        <v>55</v>
      </c>
      <c r="I227" s="59" t="s">
        <v>260</v>
      </c>
      <c r="J227" s="55">
        <v>1</v>
      </c>
      <c r="K227" s="55" t="s">
        <v>125</v>
      </c>
      <c r="L227" s="46">
        <v>1</v>
      </c>
      <c r="M227" s="47">
        <v>0</v>
      </c>
      <c r="N227" s="47">
        <v>1</v>
      </c>
      <c r="O227" s="48">
        <v>2001</v>
      </c>
      <c r="P227" s="48" t="s">
        <v>245</v>
      </c>
      <c r="Q227" s="47">
        <v>1</v>
      </c>
      <c r="R227" s="48">
        <v>0</v>
      </c>
      <c r="S227" s="48">
        <v>0</v>
      </c>
      <c r="T227" s="45" t="s">
        <v>56</v>
      </c>
      <c r="U227" s="49">
        <v>53</v>
      </c>
      <c r="V227" s="45">
        <v>530804</v>
      </c>
      <c r="W227" s="56" t="s">
        <v>71</v>
      </c>
      <c r="X227" s="50">
        <v>320.32</v>
      </c>
      <c r="Y227" s="50">
        <f>320.32-170.32</f>
        <v>150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v>150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s="52">
        <f t="shared" si="12"/>
        <v>150</v>
      </c>
      <c r="AM227" s="53" t="str">
        <f t="shared" si="13"/>
        <v>OK</v>
      </c>
      <c r="AN227" s="51">
        <v>150</v>
      </c>
      <c r="AO227" s="58">
        <f t="shared" si="11"/>
        <v>0</v>
      </c>
    </row>
    <row r="228" spans="1:41" s="54" customFormat="1" ht="13.5" customHeight="1">
      <c r="A228" s="44" t="s">
        <v>51</v>
      </c>
      <c r="B228" s="44" t="s">
        <v>52</v>
      </c>
      <c r="C228" s="44" t="s">
        <v>53</v>
      </c>
      <c r="D228" s="44" t="s">
        <v>114</v>
      </c>
      <c r="E228" s="44" t="s">
        <v>54</v>
      </c>
      <c r="F228" s="44" t="s">
        <v>124</v>
      </c>
      <c r="G228" s="44" t="s">
        <v>115</v>
      </c>
      <c r="H228" s="44" t="s">
        <v>55</v>
      </c>
      <c r="I228" s="59" t="s">
        <v>261</v>
      </c>
      <c r="J228" s="55">
        <v>1</v>
      </c>
      <c r="K228" s="55" t="s">
        <v>125</v>
      </c>
      <c r="L228" s="46">
        <v>1</v>
      </c>
      <c r="M228" s="47">
        <v>0</v>
      </c>
      <c r="N228" s="47">
        <v>1</v>
      </c>
      <c r="O228" s="48">
        <v>2001</v>
      </c>
      <c r="P228" s="48" t="s">
        <v>245</v>
      </c>
      <c r="Q228" s="47">
        <v>1</v>
      </c>
      <c r="R228" s="48">
        <v>0</v>
      </c>
      <c r="S228" s="48">
        <v>0</v>
      </c>
      <c r="T228" s="45" t="s">
        <v>56</v>
      </c>
      <c r="U228" s="49">
        <v>53</v>
      </c>
      <c r="V228" s="45">
        <v>530804</v>
      </c>
      <c r="W228" s="56" t="s">
        <v>71</v>
      </c>
      <c r="X228" s="50">
        <v>639.52</v>
      </c>
      <c r="Y228" s="50">
        <f>639.52-68.52</f>
        <v>571</v>
      </c>
      <c r="Z228" s="51">
        <v>0</v>
      </c>
      <c r="AA228" s="51">
        <v>0</v>
      </c>
      <c r="AB228" s="51">
        <v>0</v>
      </c>
      <c r="AC228" s="51">
        <v>571</v>
      </c>
      <c r="AD228" s="51">
        <v>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2">
        <f t="shared" si="12"/>
        <v>571</v>
      </c>
      <c r="AM228" s="53" t="str">
        <f t="shared" si="13"/>
        <v>OK</v>
      </c>
      <c r="AN228" s="51">
        <v>571</v>
      </c>
      <c r="AO228" s="58">
        <f t="shared" si="11"/>
        <v>0</v>
      </c>
    </row>
    <row r="229" spans="1:41" s="54" customFormat="1" ht="13.5" customHeight="1">
      <c r="A229" s="44" t="s">
        <v>51</v>
      </c>
      <c r="B229" s="44" t="s">
        <v>52</v>
      </c>
      <c r="C229" s="44" t="s">
        <v>53</v>
      </c>
      <c r="D229" s="44" t="s">
        <v>114</v>
      </c>
      <c r="E229" s="44" t="s">
        <v>54</v>
      </c>
      <c r="F229" s="44" t="s">
        <v>124</v>
      </c>
      <c r="G229" s="44" t="s">
        <v>115</v>
      </c>
      <c r="H229" s="44" t="s">
        <v>55</v>
      </c>
      <c r="I229" s="59" t="s">
        <v>262</v>
      </c>
      <c r="J229" s="55">
        <v>1</v>
      </c>
      <c r="K229" s="55" t="s">
        <v>125</v>
      </c>
      <c r="L229" s="46">
        <v>1</v>
      </c>
      <c r="M229" s="47">
        <v>0</v>
      </c>
      <c r="N229" s="47">
        <v>1</v>
      </c>
      <c r="O229" s="48">
        <v>2001</v>
      </c>
      <c r="P229" s="48" t="s">
        <v>245</v>
      </c>
      <c r="Q229" s="47">
        <v>1</v>
      </c>
      <c r="R229" s="48">
        <v>0</v>
      </c>
      <c r="S229" s="48">
        <v>0</v>
      </c>
      <c r="T229" s="45" t="s">
        <v>56</v>
      </c>
      <c r="U229" s="49">
        <v>53</v>
      </c>
      <c r="V229" s="45">
        <v>530804</v>
      </c>
      <c r="W229" s="56" t="s">
        <v>71</v>
      </c>
      <c r="X229" s="50">
        <v>1280.16</v>
      </c>
      <c r="Y229" s="50">
        <f>1280.16-98.86-704.12</f>
        <v>477.1800000000002</v>
      </c>
      <c r="Z229" s="51">
        <v>0</v>
      </c>
      <c r="AA229" s="51">
        <v>0</v>
      </c>
      <c r="AB229" s="51">
        <v>0</v>
      </c>
      <c r="AC229" s="51">
        <v>477.18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s="52">
        <f t="shared" si="12"/>
        <v>477.18</v>
      </c>
      <c r="AM229" s="53" t="str">
        <f t="shared" si="13"/>
        <v>OK</v>
      </c>
      <c r="AN229" s="51">
        <f>686.3+295+178.42-295-387.54</f>
        <v>477.18</v>
      </c>
      <c r="AO229" s="58">
        <f t="shared" si="11"/>
        <v>0</v>
      </c>
    </row>
    <row r="230" spans="1:41" s="54" customFormat="1" ht="13.5" customHeight="1">
      <c r="A230" s="44" t="s">
        <v>51</v>
      </c>
      <c r="B230" s="44" t="s">
        <v>52</v>
      </c>
      <c r="C230" s="44" t="s">
        <v>53</v>
      </c>
      <c r="D230" s="44" t="s">
        <v>114</v>
      </c>
      <c r="E230" s="44" t="s">
        <v>54</v>
      </c>
      <c r="F230" s="44" t="s">
        <v>124</v>
      </c>
      <c r="G230" s="44" t="s">
        <v>115</v>
      </c>
      <c r="H230" s="44" t="s">
        <v>55</v>
      </c>
      <c r="I230" s="59" t="s">
        <v>263</v>
      </c>
      <c r="J230" s="55">
        <v>1</v>
      </c>
      <c r="K230" s="55" t="s">
        <v>125</v>
      </c>
      <c r="L230" s="46">
        <v>1</v>
      </c>
      <c r="M230" s="47">
        <v>0</v>
      </c>
      <c r="N230" s="47">
        <v>1</v>
      </c>
      <c r="O230" s="48">
        <v>2001</v>
      </c>
      <c r="P230" s="48" t="s">
        <v>245</v>
      </c>
      <c r="Q230" s="47">
        <v>1</v>
      </c>
      <c r="R230" s="48">
        <v>0</v>
      </c>
      <c r="S230" s="48">
        <v>0</v>
      </c>
      <c r="T230" s="45" t="s">
        <v>56</v>
      </c>
      <c r="U230" s="49">
        <v>53</v>
      </c>
      <c r="V230" s="45">
        <v>530805</v>
      </c>
      <c r="W230" s="56" t="s">
        <v>72</v>
      </c>
      <c r="X230" s="50">
        <v>1471.68</v>
      </c>
      <c r="Y230" s="50">
        <f>1471.68+1000+1182.12-468.36</f>
        <v>3185.44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3185.44</v>
      </c>
      <c r="AJ230" s="51">
        <v>0</v>
      </c>
      <c r="AK230" s="51">
        <v>0</v>
      </c>
      <c r="AL230" s="52">
        <f t="shared" si="12"/>
        <v>3185.44</v>
      </c>
      <c r="AM230" s="53" t="str">
        <f t="shared" si="13"/>
        <v>OK</v>
      </c>
      <c r="AN230" s="51">
        <f>2284.73+1360.75-460.04</f>
        <v>3185.44</v>
      </c>
      <c r="AO230" s="58">
        <f t="shared" si="11"/>
        <v>0</v>
      </c>
    </row>
    <row r="231" spans="1:41" s="54" customFormat="1" ht="13.5" customHeight="1">
      <c r="A231" s="44" t="s">
        <v>51</v>
      </c>
      <c r="B231" s="44" t="s">
        <v>52</v>
      </c>
      <c r="C231" s="44" t="s">
        <v>53</v>
      </c>
      <c r="D231" s="44" t="s">
        <v>114</v>
      </c>
      <c r="E231" s="44" t="s">
        <v>54</v>
      </c>
      <c r="F231" s="44" t="s">
        <v>124</v>
      </c>
      <c r="G231" s="44" t="s">
        <v>115</v>
      </c>
      <c r="H231" s="44" t="s">
        <v>55</v>
      </c>
      <c r="I231" s="59" t="s">
        <v>264</v>
      </c>
      <c r="J231" s="55">
        <v>1</v>
      </c>
      <c r="K231" s="55" t="s">
        <v>125</v>
      </c>
      <c r="L231" s="46">
        <v>1</v>
      </c>
      <c r="M231" s="47">
        <v>0</v>
      </c>
      <c r="N231" s="47">
        <v>1</v>
      </c>
      <c r="O231" s="48">
        <v>2001</v>
      </c>
      <c r="P231" s="48" t="s">
        <v>245</v>
      </c>
      <c r="Q231" s="47">
        <v>1</v>
      </c>
      <c r="R231" s="48">
        <v>0</v>
      </c>
      <c r="S231" s="48">
        <v>0</v>
      </c>
      <c r="T231" s="45" t="s">
        <v>56</v>
      </c>
      <c r="U231" s="49">
        <v>53</v>
      </c>
      <c r="V231" s="45">
        <v>530805</v>
      </c>
      <c r="W231" s="56" t="s">
        <v>72</v>
      </c>
      <c r="X231" s="50">
        <v>1087.52</v>
      </c>
      <c r="Y231" s="50">
        <f>1087.52-844.42</f>
        <v>243.10000000000002</v>
      </c>
      <c r="Z231" s="51">
        <v>0</v>
      </c>
      <c r="AA231" s="51">
        <v>0</v>
      </c>
      <c r="AB231" s="51">
        <v>0</v>
      </c>
      <c r="AC231" s="51">
        <v>0</v>
      </c>
      <c r="AD231" s="51">
        <v>0</v>
      </c>
      <c r="AE231" s="51">
        <v>243.1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s="52">
        <f t="shared" si="12"/>
        <v>243.1</v>
      </c>
      <c r="AM231" s="53" t="str">
        <f t="shared" si="13"/>
        <v>OK</v>
      </c>
      <c r="AN231" s="51">
        <v>243.1</v>
      </c>
      <c r="AO231" s="58">
        <f t="shared" si="11"/>
        <v>0</v>
      </c>
    </row>
    <row r="232" spans="1:41" s="54" customFormat="1" ht="13.5" customHeight="1">
      <c r="A232" s="44" t="s">
        <v>51</v>
      </c>
      <c r="B232" s="44" t="s">
        <v>52</v>
      </c>
      <c r="C232" s="44" t="s">
        <v>53</v>
      </c>
      <c r="D232" s="44" t="s">
        <v>114</v>
      </c>
      <c r="E232" s="44" t="s">
        <v>54</v>
      </c>
      <c r="F232" s="44" t="s">
        <v>124</v>
      </c>
      <c r="G232" s="44" t="s">
        <v>115</v>
      </c>
      <c r="H232" s="44" t="s">
        <v>55</v>
      </c>
      <c r="I232" s="59" t="s">
        <v>265</v>
      </c>
      <c r="J232" s="55">
        <v>1</v>
      </c>
      <c r="K232" s="55" t="s">
        <v>125</v>
      </c>
      <c r="L232" s="46">
        <v>1</v>
      </c>
      <c r="M232" s="47">
        <v>0</v>
      </c>
      <c r="N232" s="47">
        <v>1</v>
      </c>
      <c r="O232" s="48">
        <v>2001</v>
      </c>
      <c r="P232" s="48" t="s">
        <v>245</v>
      </c>
      <c r="Q232" s="47">
        <v>1</v>
      </c>
      <c r="R232" s="48">
        <v>0</v>
      </c>
      <c r="S232" s="48">
        <v>0</v>
      </c>
      <c r="T232" s="45" t="s">
        <v>56</v>
      </c>
      <c r="U232" s="49">
        <v>53</v>
      </c>
      <c r="V232" s="45">
        <v>530811</v>
      </c>
      <c r="W232" s="56" t="s">
        <v>73</v>
      </c>
      <c r="X232" s="50">
        <v>1407.84</v>
      </c>
      <c r="Y232" s="50">
        <f>1407.84-1407.84</f>
        <v>0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2">
        <f t="shared" si="12"/>
        <v>0</v>
      </c>
      <c r="AM232" s="53" t="str">
        <f t="shared" si="13"/>
        <v>OK</v>
      </c>
      <c r="AN232" s="51">
        <v>0</v>
      </c>
      <c r="AO232" s="58">
        <f t="shared" si="11"/>
        <v>0</v>
      </c>
    </row>
    <row r="233" spans="1:41" s="54" customFormat="1" ht="13.5" customHeight="1">
      <c r="A233" s="44" t="s">
        <v>51</v>
      </c>
      <c r="B233" s="44" t="s">
        <v>52</v>
      </c>
      <c r="C233" s="44" t="s">
        <v>53</v>
      </c>
      <c r="D233" s="44" t="s">
        <v>114</v>
      </c>
      <c r="E233" s="44" t="s">
        <v>54</v>
      </c>
      <c r="F233" s="44" t="s">
        <v>124</v>
      </c>
      <c r="G233" s="44" t="s">
        <v>115</v>
      </c>
      <c r="H233" s="44" t="s">
        <v>55</v>
      </c>
      <c r="I233" s="59" t="s">
        <v>266</v>
      </c>
      <c r="J233" s="55">
        <v>1</v>
      </c>
      <c r="K233" s="55" t="s">
        <v>125</v>
      </c>
      <c r="L233" s="46">
        <v>1</v>
      </c>
      <c r="M233" s="47">
        <v>0</v>
      </c>
      <c r="N233" s="47">
        <v>1</v>
      </c>
      <c r="O233" s="48">
        <v>2001</v>
      </c>
      <c r="P233" s="48" t="s">
        <v>245</v>
      </c>
      <c r="Q233" s="47">
        <v>1</v>
      </c>
      <c r="R233" s="48">
        <v>0</v>
      </c>
      <c r="S233" s="48">
        <v>0</v>
      </c>
      <c r="T233" s="45" t="s">
        <v>56</v>
      </c>
      <c r="U233" s="49">
        <v>53</v>
      </c>
      <c r="V233" s="45">
        <v>530813</v>
      </c>
      <c r="W233" s="56" t="s">
        <v>74</v>
      </c>
      <c r="X233" s="50">
        <v>639.52</v>
      </c>
      <c r="Y233" s="50">
        <f>639.52+600-469.07</f>
        <v>770.45</v>
      </c>
      <c r="Z233" s="51">
        <v>0</v>
      </c>
      <c r="AA233" s="51">
        <v>0</v>
      </c>
      <c r="AB233" s="51">
        <v>0</v>
      </c>
      <c r="AC233" s="51">
        <v>385.23</v>
      </c>
      <c r="AD233" s="51">
        <v>385.22</v>
      </c>
      <c r="AE233" s="51">
        <v>0</v>
      </c>
      <c r="AF233" s="51">
        <v>0</v>
      </c>
      <c r="AG233" s="51">
        <v>0</v>
      </c>
      <c r="AH233" s="51">
        <v>0</v>
      </c>
      <c r="AI233" s="51">
        <v>0</v>
      </c>
      <c r="AJ233" s="51">
        <v>0</v>
      </c>
      <c r="AK233" s="51">
        <v>0</v>
      </c>
      <c r="AL233" s="52">
        <f t="shared" si="12"/>
        <v>770.45</v>
      </c>
      <c r="AM233" s="53" t="str">
        <f t="shared" si="13"/>
        <v>OK</v>
      </c>
      <c r="AN233" s="51">
        <v>770.45</v>
      </c>
      <c r="AO233" s="58">
        <f t="shared" si="11"/>
        <v>0</v>
      </c>
    </row>
    <row r="234" spans="1:41" s="54" customFormat="1" ht="13.5" customHeight="1">
      <c r="A234" s="44" t="s">
        <v>51</v>
      </c>
      <c r="B234" s="44" t="s">
        <v>52</v>
      </c>
      <c r="C234" s="44" t="s">
        <v>53</v>
      </c>
      <c r="D234" s="44" t="s">
        <v>114</v>
      </c>
      <c r="E234" s="44" t="s">
        <v>54</v>
      </c>
      <c r="F234" s="44" t="s">
        <v>124</v>
      </c>
      <c r="G234" s="44" t="s">
        <v>115</v>
      </c>
      <c r="H234" s="44" t="s">
        <v>55</v>
      </c>
      <c r="I234" s="59" t="s">
        <v>267</v>
      </c>
      <c r="J234" s="55">
        <v>1</v>
      </c>
      <c r="K234" s="55" t="s">
        <v>125</v>
      </c>
      <c r="L234" s="46">
        <v>1</v>
      </c>
      <c r="M234" s="47">
        <v>0</v>
      </c>
      <c r="N234" s="47">
        <v>1</v>
      </c>
      <c r="O234" s="48">
        <v>2001</v>
      </c>
      <c r="P234" s="48" t="s">
        <v>245</v>
      </c>
      <c r="Q234" s="47">
        <v>1</v>
      </c>
      <c r="R234" s="48">
        <v>0</v>
      </c>
      <c r="S234" s="48">
        <v>0</v>
      </c>
      <c r="T234" s="45" t="s">
        <v>56</v>
      </c>
      <c r="U234" s="49">
        <v>53</v>
      </c>
      <c r="V234" s="45">
        <v>530820</v>
      </c>
      <c r="W234" s="56" t="s">
        <v>75</v>
      </c>
      <c r="X234" s="50">
        <v>384.15999999999997</v>
      </c>
      <c r="Y234" s="50">
        <f>384.16-41.3</f>
        <v>342.86</v>
      </c>
      <c r="Z234" s="51">
        <v>0</v>
      </c>
      <c r="AA234" s="51">
        <v>0</v>
      </c>
      <c r="AB234" s="51">
        <v>0</v>
      </c>
      <c r="AC234" s="51">
        <v>0</v>
      </c>
      <c r="AD234" s="51">
        <v>342.86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2">
        <f t="shared" si="12"/>
        <v>342.86</v>
      </c>
      <c r="AM234" s="53" t="str">
        <f t="shared" si="13"/>
        <v>OK</v>
      </c>
      <c r="AN234" s="51">
        <v>342.86</v>
      </c>
      <c r="AO234" s="58">
        <f t="shared" si="11"/>
        <v>0</v>
      </c>
    </row>
    <row r="235" spans="1:41" s="54" customFormat="1" ht="13.5" customHeight="1">
      <c r="A235" s="44" t="s">
        <v>51</v>
      </c>
      <c r="B235" s="44" t="s">
        <v>52</v>
      </c>
      <c r="C235" s="44" t="s">
        <v>53</v>
      </c>
      <c r="D235" s="44" t="s">
        <v>114</v>
      </c>
      <c r="E235" s="44" t="s">
        <v>54</v>
      </c>
      <c r="F235" s="44" t="s">
        <v>124</v>
      </c>
      <c r="G235" s="44" t="s">
        <v>115</v>
      </c>
      <c r="H235" s="44" t="s">
        <v>55</v>
      </c>
      <c r="I235" s="59" t="s">
        <v>268</v>
      </c>
      <c r="J235" s="55">
        <v>1</v>
      </c>
      <c r="K235" s="55" t="s">
        <v>125</v>
      </c>
      <c r="L235" s="46">
        <v>1</v>
      </c>
      <c r="M235" s="47">
        <v>0</v>
      </c>
      <c r="N235" s="47">
        <v>1</v>
      </c>
      <c r="O235" s="48">
        <v>2001</v>
      </c>
      <c r="P235" s="48" t="s">
        <v>245</v>
      </c>
      <c r="Q235" s="47">
        <v>1</v>
      </c>
      <c r="R235" s="48">
        <v>0</v>
      </c>
      <c r="S235" s="48">
        <v>0</v>
      </c>
      <c r="T235" s="45" t="s">
        <v>56</v>
      </c>
      <c r="U235" s="49">
        <v>57</v>
      </c>
      <c r="V235" s="45">
        <v>570102</v>
      </c>
      <c r="W235" s="56" t="s">
        <v>77</v>
      </c>
      <c r="X235" s="50">
        <v>3000</v>
      </c>
      <c r="Y235" s="50">
        <f>2545.82-900-90.82</f>
        <v>1555.0000000000002</v>
      </c>
      <c r="Z235" s="51">
        <v>150</v>
      </c>
      <c r="AA235" s="51">
        <v>150</v>
      </c>
      <c r="AB235" s="51">
        <v>150</v>
      </c>
      <c r="AC235" s="51">
        <v>150</v>
      </c>
      <c r="AD235" s="51">
        <v>150</v>
      </c>
      <c r="AE235" s="51">
        <v>150</v>
      </c>
      <c r="AF235" s="51">
        <v>150</v>
      </c>
      <c r="AG235" s="51">
        <v>150</v>
      </c>
      <c r="AH235" s="51">
        <v>150</v>
      </c>
      <c r="AI235" s="51">
        <v>150</v>
      </c>
      <c r="AJ235" s="51">
        <v>0</v>
      </c>
      <c r="AK235" s="51">
        <v>55</v>
      </c>
      <c r="AL235" s="52">
        <f t="shared" si="12"/>
        <v>1555</v>
      </c>
      <c r="AM235" s="53" t="str">
        <f t="shared" si="13"/>
        <v>OK</v>
      </c>
      <c r="AN235" s="51">
        <f>800+680+500-425</f>
        <v>1555</v>
      </c>
      <c r="AO235" s="58">
        <f t="shared" si="11"/>
        <v>0</v>
      </c>
    </row>
    <row r="236" spans="1:41" s="54" customFormat="1" ht="13.5" customHeight="1">
      <c r="A236" s="44" t="s">
        <v>51</v>
      </c>
      <c r="B236" s="44" t="s">
        <v>52</v>
      </c>
      <c r="C236" s="44" t="s">
        <v>53</v>
      </c>
      <c r="D236" s="44" t="s">
        <v>114</v>
      </c>
      <c r="E236" s="44" t="s">
        <v>54</v>
      </c>
      <c r="F236" s="44" t="s">
        <v>124</v>
      </c>
      <c r="G236" s="44" t="s">
        <v>115</v>
      </c>
      <c r="H236" s="44" t="s">
        <v>55</v>
      </c>
      <c r="I236" s="59" t="s">
        <v>269</v>
      </c>
      <c r="J236" s="55">
        <v>1</v>
      </c>
      <c r="K236" s="55" t="s">
        <v>125</v>
      </c>
      <c r="L236" s="46">
        <v>1</v>
      </c>
      <c r="M236" s="47">
        <v>0</v>
      </c>
      <c r="N236" s="47">
        <v>1</v>
      </c>
      <c r="O236" s="48">
        <v>2001</v>
      </c>
      <c r="P236" s="48" t="s">
        <v>245</v>
      </c>
      <c r="Q236" s="47">
        <v>1</v>
      </c>
      <c r="R236" s="48">
        <v>0</v>
      </c>
      <c r="S236" s="48">
        <v>0</v>
      </c>
      <c r="T236" s="45" t="s">
        <v>56</v>
      </c>
      <c r="U236" s="49">
        <v>57</v>
      </c>
      <c r="V236" s="45">
        <v>570102</v>
      </c>
      <c r="W236" s="56" t="s">
        <v>77</v>
      </c>
      <c r="X236" s="50">
        <v>400</v>
      </c>
      <c r="Y236" s="50">
        <f>8.36-8.36</f>
        <v>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0</v>
      </c>
      <c r="AG236" s="51">
        <v>0</v>
      </c>
      <c r="AH236" s="51">
        <v>0</v>
      </c>
      <c r="AI236" s="51">
        <v>0</v>
      </c>
      <c r="AJ236" s="51">
        <v>0</v>
      </c>
      <c r="AK236" s="51">
        <v>0</v>
      </c>
      <c r="AL236" s="52">
        <f t="shared" si="12"/>
        <v>0</v>
      </c>
      <c r="AM236" s="53" t="str">
        <f t="shared" si="13"/>
        <v>OK</v>
      </c>
      <c r="AN236" s="51">
        <f>145.82-145.82</f>
        <v>0</v>
      </c>
      <c r="AO236" s="58">
        <f t="shared" si="11"/>
        <v>0</v>
      </c>
    </row>
    <row r="237" spans="1:41" s="54" customFormat="1" ht="13.5" customHeight="1">
      <c r="A237" s="44" t="s">
        <v>51</v>
      </c>
      <c r="B237" s="44" t="s">
        <v>52</v>
      </c>
      <c r="C237" s="44" t="s">
        <v>53</v>
      </c>
      <c r="D237" s="44" t="s">
        <v>114</v>
      </c>
      <c r="E237" s="44" t="s">
        <v>54</v>
      </c>
      <c r="F237" s="44" t="s">
        <v>124</v>
      </c>
      <c r="G237" s="44" t="s">
        <v>115</v>
      </c>
      <c r="H237" s="44" t="s">
        <v>55</v>
      </c>
      <c r="I237" s="59" t="s">
        <v>270</v>
      </c>
      <c r="J237" s="55">
        <v>1</v>
      </c>
      <c r="K237" s="55" t="s">
        <v>125</v>
      </c>
      <c r="L237" s="46">
        <v>1</v>
      </c>
      <c r="M237" s="47">
        <v>0</v>
      </c>
      <c r="N237" s="47">
        <v>1</v>
      </c>
      <c r="O237" s="48">
        <v>2001</v>
      </c>
      <c r="P237" s="48" t="s">
        <v>245</v>
      </c>
      <c r="Q237" s="47">
        <v>1</v>
      </c>
      <c r="R237" s="48">
        <v>0</v>
      </c>
      <c r="S237" s="48">
        <v>0</v>
      </c>
      <c r="T237" s="45" t="s">
        <v>56</v>
      </c>
      <c r="U237" s="49">
        <v>57</v>
      </c>
      <c r="V237" s="45">
        <v>570102</v>
      </c>
      <c r="W237" s="56" t="s">
        <v>77</v>
      </c>
      <c r="X237" s="50">
        <v>200</v>
      </c>
      <c r="Y237" s="50">
        <f>200-200</f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2">
        <f t="shared" si="12"/>
        <v>0</v>
      </c>
      <c r="AM237" s="53" t="str">
        <f t="shared" si="13"/>
        <v>OK</v>
      </c>
      <c r="AN237" s="51">
        <v>0</v>
      </c>
      <c r="AO237" s="58">
        <f t="shared" si="11"/>
        <v>0</v>
      </c>
    </row>
    <row r="238" spans="1:41" s="54" customFormat="1" ht="13.5" customHeight="1">
      <c r="A238" s="44" t="s">
        <v>51</v>
      </c>
      <c r="B238" s="44" t="s">
        <v>52</v>
      </c>
      <c r="C238" s="44" t="s">
        <v>53</v>
      </c>
      <c r="D238" s="44" t="s">
        <v>114</v>
      </c>
      <c r="E238" s="44" t="s">
        <v>54</v>
      </c>
      <c r="F238" s="44" t="s">
        <v>124</v>
      </c>
      <c r="G238" s="44" t="s">
        <v>115</v>
      </c>
      <c r="H238" s="44" t="s">
        <v>55</v>
      </c>
      <c r="I238" s="59" t="s">
        <v>271</v>
      </c>
      <c r="J238" s="55">
        <v>1</v>
      </c>
      <c r="K238" s="55" t="s">
        <v>125</v>
      </c>
      <c r="L238" s="46">
        <v>1</v>
      </c>
      <c r="M238" s="47">
        <v>0</v>
      </c>
      <c r="N238" s="47">
        <v>1</v>
      </c>
      <c r="O238" s="48">
        <v>2001</v>
      </c>
      <c r="P238" s="48" t="s">
        <v>245</v>
      </c>
      <c r="Q238" s="47">
        <v>1</v>
      </c>
      <c r="R238" s="48">
        <v>0</v>
      </c>
      <c r="S238" s="48">
        <v>0</v>
      </c>
      <c r="T238" s="45" t="s">
        <v>56</v>
      </c>
      <c r="U238" s="49">
        <v>57</v>
      </c>
      <c r="V238" s="45">
        <v>570102</v>
      </c>
      <c r="W238" s="56" t="s">
        <v>77</v>
      </c>
      <c r="X238" s="50">
        <v>400</v>
      </c>
      <c r="Y238" s="50">
        <f>400-100</f>
        <v>300</v>
      </c>
      <c r="Z238" s="51">
        <v>0</v>
      </c>
      <c r="AA238" s="51">
        <v>0</v>
      </c>
      <c r="AB238" s="51">
        <v>300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2">
        <f t="shared" si="12"/>
        <v>300</v>
      </c>
      <c r="AM238" s="53" t="str">
        <f t="shared" si="13"/>
        <v>OK</v>
      </c>
      <c r="AN238" s="51">
        <v>300</v>
      </c>
      <c r="AO238" s="58">
        <f t="shared" si="11"/>
        <v>0</v>
      </c>
    </row>
    <row r="239" spans="1:41" s="54" customFormat="1" ht="13.5" customHeight="1">
      <c r="A239" s="44" t="s">
        <v>51</v>
      </c>
      <c r="B239" s="44" t="s">
        <v>52</v>
      </c>
      <c r="C239" s="44" t="s">
        <v>53</v>
      </c>
      <c r="D239" s="44" t="s">
        <v>114</v>
      </c>
      <c r="E239" s="44" t="s">
        <v>54</v>
      </c>
      <c r="F239" s="44" t="s">
        <v>124</v>
      </c>
      <c r="G239" s="44" t="s">
        <v>115</v>
      </c>
      <c r="H239" s="44" t="s">
        <v>55</v>
      </c>
      <c r="I239" s="59" t="s">
        <v>272</v>
      </c>
      <c r="J239" s="55">
        <v>1</v>
      </c>
      <c r="K239" s="55" t="s">
        <v>125</v>
      </c>
      <c r="L239" s="46">
        <v>1</v>
      </c>
      <c r="M239" s="47">
        <v>0</v>
      </c>
      <c r="N239" s="47">
        <v>1</v>
      </c>
      <c r="O239" s="48">
        <v>2001</v>
      </c>
      <c r="P239" s="48" t="s">
        <v>245</v>
      </c>
      <c r="Q239" s="47">
        <v>1</v>
      </c>
      <c r="R239" s="48">
        <v>0</v>
      </c>
      <c r="S239" s="48">
        <v>0</v>
      </c>
      <c r="T239" s="45" t="s">
        <v>56</v>
      </c>
      <c r="U239" s="49">
        <v>57</v>
      </c>
      <c r="V239" s="45">
        <v>570102</v>
      </c>
      <c r="W239" s="56" t="s">
        <v>77</v>
      </c>
      <c r="X239" s="50">
        <v>300</v>
      </c>
      <c r="Y239" s="50">
        <f>300-300</f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2">
        <f t="shared" si="12"/>
        <v>0</v>
      </c>
      <c r="AM239" s="53" t="str">
        <f t="shared" si="13"/>
        <v>OK</v>
      </c>
      <c r="AN239" s="51">
        <v>0</v>
      </c>
      <c r="AO239" s="58">
        <f t="shared" si="11"/>
        <v>0</v>
      </c>
    </row>
    <row r="240" spans="1:41" s="54" customFormat="1" ht="13.5" customHeight="1">
      <c r="A240" s="44" t="s">
        <v>51</v>
      </c>
      <c r="B240" s="44" t="s">
        <v>52</v>
      </c>
      <c r="C240" s="44" t="s">
        <v>53</v>
      </c>
      <c r="D240" s="44" t="s">
        <v>114</v>
      </c>
      <c r="E240" s="44" t="s">
        <v>54</v>
      </c>
      <c r="F240" s="44" t="s">
        <v>124</v>
      </c>
      <c r="G240" s="44" t="s">
        <v>115</v>
      </c>
      <c r="H240" s="44" t="s">
        <v>55</v>
      </c>
      <c r="I240" s="59" t="s">
        <v>273</v>
      </c>
      <c r="J240" s="55">
        <v>1</v>
      </c>
      <c r="K240" s="55" t="s">
        <v>125</v>
      </c>
      <c r="L240" s="46">
        <v>1</v>
      </c>
      <c r="M240" s="47">
        <v>0</v>
      </c>
      <c r="N240" s="47">
        <v>1</v>
      </c>
      <c r="O240" s="48">
        <v>2001</v>
      </c>
      <c r="P240" s="48" t="s">
        <v>245</v>
      </c>
      <c r="Q240" s="47">
        <v>1</v>
      </c>
      <c r="R240" s="48">
        <v>0</v>
      </c>
      <c r="S240" s="48">
        <v>0</v>
      </c>
      <c r="T240" s="45" t="s">
        <v>56</v>
      </c>
      <c r="U240" s="49">
        <v>57</v>
      </c>
      <c r="V240" s="45">
        <v>570104</v>
      </c>
      <c r="W240" s="56" t="s">
        <v>113</v>
      </c>
      <c r="X240" s="50">
        <v>600</v>
      </c>
      <c r="Y240" s="50">
        <f>600-600</f>
        <v>0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2">
        <f t="shared" si="12"/>
        <v>0</v>
      </c>
      <c r="AM240" s="53" t="str">
        <f t="shared" si="13"/>
        <v>OK</v>
      </c>
      <c r="AN240" s="51">
        <v>0</v>
      </c>
      <c r="AO240" s="58">
        <f t="shared" si="11"/>
        <v>0</v>
      </c>
    </row>
    <row r="241" spans="1:41" s="54" customFormat="1" ht="13.5" customHeight="1">
      <c r="A241" s="44" t="s">
        <v>78</v>
      </c>
      <c r="B241" s="44" t="s">
        <v>79</v>
      </c>
      <c r="C241" s="44" t="s">
        <v>80</v>
      </c>
      <c r="D241" s="44" t="s">
        <v>114</v>
      </c>
      <c r="E241" s="44" t="s">
        <v>54</v>
      </c>
      <c r="F241" s="44" t="s">
        <v>124</v>
      </c>
      <c r="G241" s="44" t="s">
        <v>117</v>
      </c>
      <c r="H241" s="44" t="s">
        <v>81</v>
      </c>
      <c r="I241" s="59" t="s">
        <v>274</v>
      </c>
      <c r="J241" s="55">
        <v>1</v>
      </c>
      <c r="K241" s="55" t="s">
        <v>125</v>
      </c>
      <c r="L241" s="46">
        <v>55</v>
      </c>
      <c r="M241" s="47">
        <v>0</v>
      </c>
      <c r="N241" s="47">
        <v>3</v>
      </c>
      <c r="O241" s="48">
        <v>2001</v>
      </c>
      <c r="P241" s="48" t="s">
        <v>245</v>
      </c>
      <c r="Q241" s="47">
        <v>1</v>
      </c>
      <c r="R241" s="48">
        <v>0</v>
      </c>
      <c r="S241" s="48">
        <v>0</v>
      </c>
      <c r="T241" s="45" t="s">
        <v>56</v>
      </c>
      <c r="U241" s="49">
        <v>53</v>
      </c>
      <c r="V241" s="45">
        <v>530105</v>
      </c>
      <c r="W241" s="56" t="s">
        <v>82</v>
      </c>
      <c r="X241" s="50">
        <v>114999.36</v>
      </c>
      <c r="Y241" s="50">
        <f>122238.9-480+5162.29-5162.29-19106.07</f>
        <v>102652.82999999999</v>
      </c>
      <c r="Z241" s="51">
        <v>0</v>
      </c>
      <c r="AA241" s="51">
        <v>17113</v>
      </c>
      <c r="AB241" s="51">
        <v>10914.18</v>
      </c>
      <c r="AC241" s="51">
        <v>10914.2</v>
      </c>
      <c r="AD241" s="51">
        <v>10303.49</v>
      </c>
      <c r="AE241" s="51">
        <v>8495.49</v>
      </c>
      <c r="AF241" s="51">
        <v>3943.85</v>
      </c>
      <c r="AG241" s="51">
        <v>12014.93</v>
      </c>
      <c r="AH241" s="51">
        <v>12014.93</v>
      </c>
      <c r="AI241" s="51">
        <v>12014.93</v>
      </c>
      <c r="AJ241" s="51">
        <v>2758</v>
      </c>
      <c r="AK241" s="51">
        <v>2165.83</v>
      </c>
      <c r="AL241" s="52">
        <f t="shared" si="12"/>
        <v>102652.83</v>
      </c>
      <c r="AM241" s="53" t="str">
        <f t="shared" si="13"/>
        <v>OK</v>
      </c>
      <c r="AN241" s="51">
        <f>121758.9-19106.07</f>
        <v>102652.82999999999</v>
      </c>
      <c r="AO241" s="58">
        <f t="shared" si="11"/>
        <v>0</v>
      </c>
    </row>
    <row r="242" spans="1:41" s="54" customFormat="1" ht="13.5" customHeight="1">
      <c r="A242" s="44" t="s">
        <v>78</v>
      </c>
      <c r="B242" s="44" t="s">
        <v>79</v>
      </c>
      <c r="C242" s="44" t="s">
        <v>80</v>
      </c>
      <c r="D242" s="44" t="s">
        <v>114</v>
      </c>
      <c r="E242" s="44" t="s">
        <v>54</v>
      </c>
      <c r="F242" s="44" t="s">
        <v>124</v>
      </c>
      <c r="G242" s="44" t="s">
        <v>117</v>
      </c>
      <c r="H242" s="44" t="s">
        <v>81</v>
      </c>
      <c r="I242" s="59" t="s">
        <v>275</v>
      </c>
      <c r="J242" s="55">
        <v>1</v>
      </c>
      <c r="K242" s="55" t="s">
        <v>125</v>
      </c>
      <c r="L242" s="46">
        <v>55</v>
      </c>
      <c r="M242" s="47">
        <v>0</v>
      </c>
      <c r="N242" s="47">
        <v>3</v>
      </c>
      <c r="O242" s="48">
        <v>2001</v>
      </c>
      <c r="P242" s="48" t="s">
        <v>245</v>
      </c>
      <c r="Q242" s="47">
        <v>1</v>
      </c>
      <c r="R242" s="48">
        <v>0</v>
      </c>
      <c r="S242" s="48">
        <v>0</v>
      </c>
      <c r="T242" s="45" t="s">
        <v>56</v>
      </c>
      <c r="U242" s="49">
        <v>53</v>
      </c>
      <c r="V242" s="45">
        <v>530704</v>
      </c>
      <c r="W242" s="56" t="s">
        <v>84</v>
      </c>
      <c r="X242" s="50">
        <v>3999.52</v>
      </c>
      <c r="Y242" s="50">
        <f>3999.52-456.42</f>
        <v>3543.1</v>
      </c>
      <c r="Z242" s="51">
        <v>0</v>
      </c>
      <c r="AA242" s="51">
        <v>0</v>
      </c>
      <c r="AB242" s="51">
        <v>3543.1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2">
        <f t="shared" si="12"/>
        <v>3543.1</v>
      </c>
      <c r="AM242" s="53" t="str">
        <f t="shared" si="13"/>
        <v>OK</v>
      </c>
      <c r="AN242" s="51">
        <v>3543.1</v>
      </c>
      <c r="AO242" s="58">
        <f t="shared" si="11"/>
        <v>0</v>
      </c>
    </row>
    <row r="243" spans="1:41" s="54" customFormat="1" ht="13.5" customHeight="1">
      <c r="A243" s="44" t="s">
        <v>78</v>
      </c>
      <c r="B243" s="44" t="s">
        <v>79</v>
      </c>
      <c r="C243" s="44" t="s">
        <v>80</v>
      </c>
      <c r="D243" s="44" t="s">
        <v>114</v>
      </c>
      <c r="E243" s="44" t="s">
        <v>54</v>
      </c>
      <c r="F243" s="44" t="s">
        <v>124</v>
      </c>
      <c r="G243" s="44" t="s">
        <v>117</v>
      </c>
      <c r="H243" s="44" t="s">
        <v>81</v>
      </c>
      <c r="I243" s="59" t="s">
        <v>276</v>
      </c>
      <c r="J243" s="55">
        <v>1</v>
      </c>
      <c r="K243" s="55" t="s">
        <v>125</v>
      </c>
      <c r="L243" s="46">
        <v>55</v>
      </c>
      <c r="M243" s="47">
        <v>0</v>
      </c>
      <c r="N243" s="47">
        <v>3</v>
      </c>
      <c r="O243" s="48">
        <v>2001</v>
      </c>
      <c r="P243" s="48" t="s">
        <v>245</v>
      </c>
      <c r="Q243" s="47">
        <v>1</v>
      </c>
      <c r="R243" s="48">
        <v>0</v>
      </c>
      <c r="S243" s="48">
        <v>0</v>
      </c>
      <c r="T243" s="45" t="s">
        <v>56</v>
      </c>
      <c r="U243" s="49">
        <v>53</v>
      </c>
      <c r="V243" s="45">
        <v>530704</v>
      </c>
      <c r="W243" s="56" t="s">
        <v>84</v>
      </c>
      <c r="X243" s="50">
        <v>19999.84</v>
      </c>
      <c r="Y243" s="50">
        <f>19999.84-2347.44</f>
        <v>17652.4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7652.48</v>
      </c>
      <c r="AH243" s="51">
        <v>0</v>
      </c>
      <c r="AI243" s="51">
        <v>0</v>
      </c>
      <c r="AJ243" s="51">
        <v>0</v>
      </c>
      <c r="AK243" s="51">
        <v>9999.92</v>
      </c>
      <c r="AL243" s="52">
        <f t="shared" si="12"/>
        <v>17652.4</v>
      </c>
      <c r="AM243" s="53" t="str">
        <f t="shared" si="13"/>
        <v>OK</v>
      </c>
      <c r="AN243" s="51">
        <f>17817.92-165.52</f>
        <v>17652.399999999998</v>
      </c>
      <c r="AO243" s="58">
        <f t="shared" si="11"/>
        <v>0</v>
      </c>
    </row>
    <row r="244" spans="1:41" ht="15">
      <c r="A244" s="62" t="s">
        <v>110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9">
        <f>SUM(X6:X243)</f>
        <v>6427152.219999998</v>
      </c>
      <c r="Y244" s="9">
        <f>SUM(Y6:Y243)</f>
        <v>6442474.400000002</v>
      </c>
      <c r="Z244" s="9">
        <f>SUM(Z6:Z243)</f>
        <v>319672.64999999997</v>
      </c>
      <c r="AA244" s="9">
        <f>SUM(AA6:AA243)</f>
        <v>340001.76</v>
      </c>
      <c r="AB244" s="9">
        <f>SUM(AB6:AB243)</f>
        <v>403829.31</v>
      </c>
      <c r="AC244" s="9">
        <f>SUM(AC6:AC243)</f>
        <v>383260.75</v>
      </c>
      <c r="AD244" s="9">
        <f>SUM(AD6:AD243)</f>
        <v>381118.0599999999</v>
      </c>
      <c r="AE244" s="9">
        <f>SUM(AE6:AE243)</f>
        <v>646624.5399999996</v>
      </c>
      <c r="AF244" s="9">
        <f>SUM(AF6:AF243)</f>
        <v>635950.6299999999</v>
      </c>
      <c r="AG244" s="9">
        <f>SUM(AG6:AG243)</f>
        <v>603514.9799999999</v>
      </c>
      <c r="AH244" s="9">
        <f>SUM(AH6:AH243)</f>
        <v>684276.5999999997</v>
      </c>
      <c r="AI244" s="9">
        <f>SUM(AI6:AI243)</f>
        <v>678432.0799999998</v>
      </c>
      <c r="AJ244" s="9">
        <f>SUM(AJ6:AJ243)</f>
        <v>655030.67</v>
      </c>
      <c r="AK244" s="9">
        <f>SUM(AK6:AK243)</f>
        <v>710762.3700000002</v>
      </c>
      <c r="AL244" s="9">
        <f>SUM(AL6:AL243)</f>
        <v>6442474.400000002</v>
      </c>
      <c r="AM244" s="9">
        <f>SUM(AM6:AM243)</f>
        <v>0</v>
      </c>
      <c r="AN244" s="9">
        <f>SUM(AN6:AN243)</f>
        <v>6438187.150000002</v>
      </c>
      <c r="AO244" s="9">
        <f>SUM(AO6:AO243)</f>
        <v>4184.399999999994</v>
      </c>
    </row>
    <row r="245" ht="15">
      <c r="AO245" s="57"/>
    </row>
    <row r="246" spans="24:41" ht="15">
      <c r="X246" s="12"/>
      <c r="Z246" s="13"/>
      <c r="AA246" s="13"/>
      <c r="AB246" s="13"/>
      <c r="AC246" s="13"/>
      <c r="AD246" s="13"/>
      <c r="AE246" s="13"/>
      <c r="AN246" s="3"/>
      <c r="AO246" s="60"/>
    </row>
    <row r="247" spans="24:41" ht="15">
      <c r="X247" s="12"/>
      <c r="Z247" s="17"/>
      <c r="AA247" s="13"/>
      <c r="AB247" s="13"/>
      <c r="AC247" s="13"/>
      <c r="AD247" s="13"/>
      <c r="AE247" s="13"/>
      <c r="AN247" s="3"/>
      <c r="AO247" s="3"/>
    </row>
    <row r="248" spans="24:41" ht="15">
      <c r="X248" s="12"/>
      <c r="Z248" s="13"/>
      <c r="AA248" s="13"/>
      <c r="AB248" s="13"/>
      <c r="AC248" s="13"/>
      <c r="AD248" s="13"/>
      <c r="AE248" s="13"/>
      <c r="AN248" s="3"/>
      <c r="AO248" s="60"/>
    </row>
    <row r="249" ht="15">
      <c r="AO249" s="61"/>
    </row>
  </sheetData>
  <autoFilter ref="A5:AP244"/>
  <mergeCells count="8">
    <mergeCell ref="A244:W244"/>
    <mergeCell ref="A1:AM1"/>
    <mergeCell ref="A2:AM2"/>
    <mergeCell ref="X4:AM4"/>
    <mergeCell ref="A4:D4"/>
    <mergeCell ref="E4:G4"/>
    <mergeCell ref="H4:J4"/>
    <mergeCell ref="K4:W4"/>
  </mergeCells>
  <printOptions/>
  <pageMargins left="0.25" right="0.25" top="0.75" bottom="0.75" header="0.3" footer="0.3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ALE-PC</dc:creator>
  <cp:keywords/>
  <dc:description/>
  <cp:lastModifiedBy>LOPEZ MEDRANDA MAYRA KATHERINE</cp:lastModifiedBy>
  <dcterms:created xsi:type="dcterms:W3CDTF">2021-06-07T17:17:17Z</dcterms:created>
  <dcterms:modified xsi:type="dcterms:W3CDTF">2023-04-18T16:48:53Z</dcterms:modified>
  <cp:category/>
  <cp:version/>
  <cp:contentType/>
  <cp:contentStatus/>
</cp:coreProperties>
</file>