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00" windowHeight="7020" firstSheet="1" activeTab="2"/>
  </bookViews>
  <sheets>
    <sheet name="Hoja1" sheetId="3" state="hidden" r:id="rId1"/>
    <sheet name="Hoja2" sheetId="4" r:id="rId2"/>
    <sheet name="PAPP 2022" sheetId="1" r:id="rId3"/>
  </sheets>
  <definedNames>
    <definedName name="_xlnm._FilterDatabase" localSheetId="2" hidden="1">'PAPP 2022'!$A$5:$BD$345</definedName>
  </definedNames>
  <calcPr calcId="152511"/>
  <pivotCaches>
    <pivotCache cacheId="0" r:id="rId4"/>
    <pivotCache cacheId="1" r:id="rId5"/>
  </pivotCaches>
  <extLst/>
</workbook>
</file>

<file path=xl/comments3.xml><?xml version="1.0" encoding="utf-8"?>
<comments xmlns="http://schemas.openxmlformats.org/spreadsheetml/2006/main">
  <authors>
    <author>GABRIELA MERA</author>
  </authors>
  <commentList>
    <comment ref="BB253" authorId="0">
      <text>
        <r>
          <rPr>
            <b/>
            <sz val="9"/>
            <rFont val="Tahoma"/>
            <family val="2"/>
          </rPr>
          <t>GABRIELA MERA:</t>
        </r>
        <r>
          <rPr>
            <sz val="9"/>
            <rFont val="Tahoma"/>
            <family val="2"/>
          </rPr>
          <t xml:space="preserve">
100 dolares liberados cert. Pres 117</t>
        </r>
      </text>
    </comment>
  </commentList>
</comments>
</file>

<file path=xl/sharedStrings.xml><?xml version="1.0" encoding="utf-8"?>
<sst xmlns="http://schemas.openxmlformats.org/spreadsheetml/2006/main" count="4518" uniqueCount="330">
  <si>
    <t>Etiquetas de fila</t>
  </si>
  <si>
    <t>Suma de PRESUPUESTO INICIAL</t>
  </si>
  <si>
    <t>266 0001</t>
  </si>
  <si>
    <t>Total general</t>
  </si>
  <si>
    <t>SERVICIO INTEGRADO DE SEGURIDAD ECU 911</t>
  </si>
  <si>
    <t>I. OBJETIVOS Y POLÍTICAS</t>
  </si>
  <si>
    <t>II. ESTRUCTURA ORGANIZATIVA</t>
  </si>
  <si>
    <t>III. ACTIVIDAD PAPP</t>
  </si>
  <si>
    <t>IV. ESTRUCTURA PROGRAMÁTICA</t>
  </si>
  <si>
    <t>V. PROGRAMACIÓN FINANCIERA</t>
  </si>
  <si>
    <t>OBJETIVOS PND</t>
  </si>
  <si>
    <t>POLÍTICAS PND</t>
  </si>
  <si>
    <t>OBJETIVOS ESTRATÉGICOS</t>
  </si>
  <si>
    <t>OBJETIVOS OPERATIVOS</t>
  </si>
  <si>
    <t>PLANTA CENTRAL / ZONAS</t>
  </si>
  <si>
    <t>DIRECCIÓN GENERAL / COORDINACIÓN / SUBDIRECCIÓN</t>
  </si>
  <si>
    <t>DIRECCIÓN</t>
  </si>
  <si>
    <t>MACROACTIVIDAD PAPP</t>
  </si>
  <si>
    <t>PONDERACIÓN</t>
  </si>
  <si>
    <t>EOD</t>
  </si>
  <si>
    <t>PG</t>
  </si>
  <si>
    <t>PY</t>
  </si>
  <si>
    <t>AC</t>
  </si>
  <si>
    <t>GEO</t>
  </si>
  <si>
    <t>NOMBRE GEO</t>
  </si>
  <si>
    <t>FTE</t>
  </si>
  <si>
    <t>ORG</t>
  </si>
  <si>
    <t>COR</t>
  </si>
  <si>
    <t>TIPO DE GASTO</t>
  </si>
  <si>
    <t>GG</t>
  </si>
  <si>
    <t>ÍTEM PRESUPUESTARIO</t>
  </si>
  <si>
    <t>DESCRIPCIÓN ÍTEM PRESUPUESTARIO</t>
  </si>
  <si>
    <t>PRESUPUESTO INICIAL</t>
  </si>
  <si>
    <t>PRESUPUESTO VIGENTE - 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</si>
  <si>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</si>
  <si>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</si>
  <si>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</si>
  <si>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</si>
  <si>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</si>
  <si>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</si>
  <si>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</si>
  <si>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</si>
  <si>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</si>
  <si>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</si>
  <si>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</si>
  <si>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</si>
  <si>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PROGRAMADO</t>
  </si>
  <si>
    <t>REVISIÓN DE SUMAS</t>
  </si>
  <si>
    <t>OBJETIVO 14: FORTALECER LAS CAPACIDADES DEL ESTADO CON ÉNFASIS EN LA ADMINISTRACIÓN DE JUSTICIA Y EFICIENCIA EN LOS PROCESOS DE REGULACIÓN Y CONTROL CON INDEPENDENCIA Y AUTONOMÍA.</t>
  </si>
  <si>
    <t>14.2 POTENCIAR LAS CAPACIDADES DE LOS DISTINTOS NIVELES DE GOBIERNO PARA EL CUMPLIMIENTO DE LOS OBJETIVOS NACIONALES Y LA PRESTACIÓN DE SERVICIOS CON CALIDAD.</t>
  </si>
  <si>
    <t>3. INCREMENTAR EL USO EFICIENTE DEL PRESUPUESTO DEL SIS ECU 911</t>
  </si>
  <si>
    <t>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</t>
  </si>
  <si>
    <t>COORDINACIÓN ZONAL</t>
  </si>
  <si>
    <t>COORDINACIÓN ZONAL 1</t>
  </si>
  <si>
    <t>GESTIÓN LOCAL ADMINISTRATIVA FINANCIERA Y DE ADMINISTRACIÓN DE RECURSOS HUMANOS</t>
  </si>
  <si>
    <t>ADMINISTRACIÓN CENTRAL</t>
  </si>
  <si>
    <t>ARRASTRE: CANCELACIÓN POR CONSUMO DE SERVICIO DE AGUA POTABLE CORRESPONDIENTE A DICIEMBRE DEL 2021</t>
  </si>
  <si>
    <t>TULCÁN</t>
  </si>
  <si>
    <t>CORRIENTE</t>
  </si>
  <si>
    <t>AGUA POTABLE</t>
  </si>
  <si>
    <t>PROVISIÓN POR CONSUMO DE SERVICIO DE AGUA POTABLE PERIODO ENERO A NOVIEMBRE 2022</t>
  </si>
  <si>
    <t>ARRASTRE: CANCELACIÓN POR CONSUMO DE SERVICIO DE ENERGÍA ELÉCTRICA CORRESPONDIENTE A DICIEMBRE DEL 2021</t>
  </si>
  <si>
    <t>ENERGÍA ELÉCTRICA</t>
  </si>
  <si>
    <t>PROVISIÓN POR CONSUMO DE SERVICIO DE ENERGÍA ELÉCTRICA PERIODO ENERO A NOVIEMBRE 2022</t>
  </si>
  <si>
    <t>ARRASTRE: CANCELACIÓN  POR CONSUMO DE SERVICIO DE CORREO NACIONAL A DICIEMBRE DEL 2021</t>
  </si>
  <si>
    <t>SERVICIO DE CORREO</t>
  </si>
  <si>
    <t>CONTRATACIÓN  DEL SERVICIO DE CORREO NACIONAL PERIODO ENERO A DICIEMBRE 2022</t>
  </si>
  <si>
    <t>ARRASTRE: CANCELACIÓN  POR EL  SERVICIO DE TRANSPORTE PERSONAL OPERATIVO DICIEMBRE DEL 2021</t>
  </si>
  <si>
    <t>TRANSPORTE DE PERSONAL</t>
  </si>
  <si>
    <t>CONTRATACIÓN  DEL SERVICIO DE TRANSPORTE PARA SERVIDORES DEL ÁREA OPERATIVA DEL CENTRO OPERATIVO LOCAL ECU 911 PARA ENERO-DICIEMBRE 2022, SE PAGA A MES VENCIDO</t>
  </si>
  <si>
    <t>CONTRATACIÓN DEL SERVICIO DE RECARGA DE EXTINTORES DEL CENTRO</t>
  </si>
  <si>
    <t>ALMACENAMIENTO, EMBALAJE, DESEMBALAJE, ENVASE, DESENVASE Y RECARGA DE EXTINTORES</t>
  </si>
  <si>
    <t>ADQUISICIÓN DE BIENES Y CANCELACIÓN  DE SERVICIOS NO PREVISIBLES, URGENTES Y DE VALOR REDUCIDO (CAJA CHICA).</t>
  </si>
  <si>
    <t>EDICIÓN, IMPRESIÓN, REPRODUCCIÓN, PUBLICACIONES, SUSCRIPCIONES, FOTOCOPIADO, TRADUCCIÓN, EMPASTADO, ENMARCACIÓN, SERIGRAFÍA, FOTOGRAFÍA, CARNETIZACIÓN, FILMACIÓN E IMÁGENES SATELITALES</t>
  </si>
  <si>
    <t>5. INCREMENTAR EL POSICIONAMIENTO DEL SERVICIO INTEGRADO DE SEGURIDAD ECU 911 A NIVEL NACIONAL E INTERNACIONAL.</t>
  </si>
  <si>
    <t>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</t>
  </si>
  <si>
    <t>COMUNICACIÓN SOCIAL</t>
  </si>
  <si>
    <t>CANCELACIÓN POR SPOTS PUBLICITARIOS EN RADIO Y TV Y PLATAFORMAS DIGITALES.</t>
  </si>
  <si>
    <t>DIFUSIÓN, INFORMACIÓN Y PUBLICIDAD</t>
  </si>
  <si>
    <t>ARRASTRE: CANCELACIÓN  POR EL SERVICIO DE LIMPIEZA DEL CENTRO OPERATIVO LOCAL ECU 911 DICIEMBRE DEL 2021</t>
  </si>
  <si>
    <t>SERVICIOS DE ASEO, LAVADO DE VESTIMENTA DE TRABAJO, FUMIGACIÓN, DESINFECCIÓN, LIMPIEZA DE INSTALACIONES, MANEJO DE DESECHOS CONTAMINADOS, RECUPERACIÓN Y CLASIFICACIÓN DE MATERIALES RECICLABLES</t>
  </si>
  <si>
    <t>CONTRATACIÓN  DEL SERVICIO DE LIMPIEZA PARA EL CENTRO OPERATIVO LOCAL ECU 911 PERIODO 2022 SE PAGA A MES VENCIDO</t>
  </si>
  <si>
    <t>ADQUISICIÓN DE PASAJES AÉREOS PARA LOS FUNCIONARIOS DEL CENTRO AÑO 2022</t>
  </si>
  <si>
    <t>PASAJES AL INTERIOR</t>
  </si>
  <si>
    <t>PROVISIÓN PARA  MOVILIZACIONES TERRESTRES DE FUNCIONARIOS DEL ECU 911  POR ACTIVIDADES INSTITUCIONALES AÑO 2022</t>
  </si>
  <si>
    <t>PROVISIÓN PARA ALIMENTACIÓN Y ESTADÍA DE LOS FUNCIONARIOS DEL CENTRO OPERATIVO LOCAL ECU 911 CUANDO SALEN A CUMPLIR COMISIÓN DE SERVICIOS FUERA DE SU LUGAR HABITUAL DE TRABAJO AÑO 2022</t>
  </si>
  <si>
    <t>VIÁTICOS Y SUBSISTENCIAS EN EL INTERIOR</t>
  </si>
  <si>
    <t>IMPERMEABILIZACIÓN DE TERRAZAS DEL CENTRO OPERATIVO TULCÁN</t>
  </si>
  <si>
    <t>EDIFICIOS, LOCALES, RESIDENCIAS Y CABLEADO ESTRUCTURADO (INSTALACIÓN, MANTENIMIENTO Y REPARACIÓN)</t>
  </si>
  <si>
    <t>CONTRATACIÓN PARA MANTENIMIENTO DE INFRAESTRUCTURA DEL CENTRO OPERATIVO LOCAL ECU 911 TULCÁN PARA EL 2022</t>
  </si>
  <si>
    <t>CONTRATACIÓN DEL SERVICIO DE MANTENIMIENTO Y REPARACIÓN DE MOBILIARIO DEL CENTRO AÑO 2022</t>
  </si>
  <si>
    <t>MOBILIARIOS (INSTALACIÓN, MANTENIMIENTO Y REPARACIÓN)</t>
  </si>
  <si>
    <t xml:space="preserve"> CONTRATACIÓN SERVICIO DE MANTENIMIENTO RELOJ BIOMÉTRICO </t>
  </si>
  <si>
    <t>MAQUINARIAS Y EQUIPOS (INSTALACIÓN, MANTENIMIENTO Y REPARACIÓN)</t>
  </si>
  <si>
    <t>CONTRATACIÓN DEL SERVICIO DE MANTENIMIENTO PREVENTIVO Y CORRECTIVO DEL ASCENSOR AÑO 2022</t>
  </si>
  <si>
    <t>CONTRATACIÓN DE REENCAUCHE DE LLANTAS DE LOS VEHÍCULOS DEL CENTRO OPERATIVO ECU 911  AÑO 2022 A FIN DE CUMPLIR EN LO ESTABLECIDO EN LA NORMATIVA PARA INSTITUCIONES DEL ESTADO</t>
  </si>
  <si>
    <t>VEHÍCULOS (SERVICIO PARA MANTENIMIENTO Y REPARACIÓN)</t>
  </si>
  <si>
    <t>CONTRATACIÓN DE MANO DE OBRA PARA MANTENIMIENTO DE VEHÍCULOS LIVIANOS DEL CENTRO OPERATIVO  ECU 911 PARA GARANTIZAR OPERATIVIDAD</t>
  </si>
  <si>
    <t xml:space="preserve"> ADQUISICIÓN DE EQUIPOS DE PROTECCIÓN INDIVIDUAL Y ROPA DE TRABAJO</t>
  </si>
  <si>
    <t>VESTUARIO, LENCERÍA, PRENDAS DE PROTECCIÓN Y ACCESORIOS PARA UNIFORMES DEL PERSONAL DE PROTECCIÓN, VIGILANCIA Y SEGURIDAD</t>
  </si>
  <si>
    <t>ADQUISICIÓN DE COMBUSTIBLES, LUBRICANTES, Y ADITIVOS EN GENERAL PARA MANTENIMIENTO DE LOS VEHÍCULOS DEL CENTRO OPERATIVO ECU 911 AÑO 2021</t>
  </si>
  <si>
    <t>COMBUSTIBLES Y LUBRICANTES</t>
  </si>
  <si>
    <t xml:space="preserve">ADQUISICIÓN DE COMBUSTIBLES PARA MOVILIZACIÓN DE VEHÍCULOS DEL CENTRO PERIODO 2021 </t>
  </si>
  <si>
    <t>ADQUISICIÓN DE COMBUSTIBLES PERIODO 2022 PARA ABASTECIMIENTO DE GENERADORES</t>
  </si>
  <si>
    <t>ELABORACIÓN DE FORMULARIOS PRE-IMPRESOS Y PRE-NUMERADOS PARA VALES DE CAJA CHICA, INGRESOS Y EGRESOS DE BODEGA, ÓRDENES DE COMBUSTIBLE, ÓRDENES DE MANTENIMIENTO, FORMULARIOS DE PERMISOS DE PERSONAL, SOLICITUD DE MOVILIZACIÓN</t>
  </si>
  <si>
    <t>MATERIALES DE OFICINA</t>
  </si>
  <si>
    <t>ADQUISICIÓN DE MATERIALES DE OFICINA AÑO 2022</t>
  </si>
  <si>
    <t>ADQUISICIÓN DE MATERIALES DE ASEO PARA EL CENTRO OPERATIVO LOCAL ECU 911 TULCÁN AÑO 2022</t>
  </si>
  <si>
    <t>MATERIALES DE ASEO</t>
  </si>
  <si>
    <t>ADQUISICIÓN DE TONERS NEGRO Y DE COLOR PARA IMPRESORAS DEL CENTRO OPERATIVO LOCAL ECU 911 TULCÁN AÑO 2022</t>
  </si>
  <si>
    <t>MATERIALES DE IMPRESIÓN, FOTOGRAFÍA, REPRODUCCIÓN Y PUBLICACIONES</t>
  </si>
  <si>
    <t>CANCELACIÓN  POR REPRODUCCIÓN DE REGLAMENTO INTERNO DE HIGIENE Y SEGURIDAD EN EL TRABAJO DE BOLSILLO PARA DISTRIBUIR A LOS SERVIDORES  Y TRABAJADORES DE LA COORDINACIÓN ZONAL 1 SERVICIO INTEGRADO DE SEGURIDAD ECU 911.</t>
  </si>
  <si>
    <t>ADQUISICIÓN DE SEÑALÉTICA DE SEGURIDAD PARA CENTROS OPERATIVOS LOCAL ECU 911 TULCÁN</t>
  </si>
  <si>
    <t>ADQUISICIÓN DE BIENES Y PAGO DE SERVICIOS NO PREVISIBLES, URGENTES Y DE VALOR REDUCIDO (CAJA CHICA).</t>
  </si>
  <si>
    <t>ADQUISICIÓN DE  MATERIAL DE FERRETERÍA COMO: FLUXÓMETROS, EMPAQUES, SISTEMAS DE DESAGÜE, EMPASTES, PINTURA DE INTERIOR Y EXTERIOR, SILICONAS, SOLVENTES, PINTURA ESMALTE, MATERIAL ELÉCTRICO, TACOS, PERNOS, TUERCAS AÑO 2022</t>
  </si>
  <si>
    <t>ADQUISICIÓN DE CARPA PARA VINCULACIÓN</t>
  </si>
  <si>
    <t>MATERIALES DIDÁCTICOS</t>
  </si>
  <si>
    <t>ADQUISICIÓN DE UN  INFLABLE PARA VINCULACIÓN</t>
  </si>
  <si>
    <t xml:space="preserve">ADQUISICIÓN DE REPUESTOS PARA SECADORES DE MANO </t>
  </si>
  <si>
    <t>REPUESTOS Y ACCESORIOS</t>
  </si>
  <si>
    <t>ADQUISICIÓN DE REPUESTOS PARA MANTENIMIENTO DE VEHÍCULOS LIVIANOS DEL CENTRO OPERATIVO  ECU 911 POR EL PERÍODO 2022</t>
  </si>
  <si>
    <t>ADQUISICIÓN DE REPUESTOS COMO FILTROS DE IMAGEN, MOTOR, CUCHILLAS, RODILLOS, PIÑONES, UÑETAS, COMPONENTES ELECTRÓNICOS INTERNOS DE IMPRESORAS</t>
  </si>
  <si>
    <t>ADQUISICIÓN DE DOS DISCOS DUROS DE 1 TB</t>
  </si>
  <si>
    <t>ADQUISICIÓN DE MENAJE DE HOGAR, TOALLAS PARA EL ÁREA DE DORMITORIOS, MANTELES PARA EL ÁREA DEL CATERING</t>
  </si>
  <si>
    <t>MENAJE Y ACCESORIOS DESCARTABLES</t>
  </si>
  <si>
    <t>ADQUISICIÓN DE PROGRAMAS PARA EDICIÓN DE AUDIO Y VIDEO</t>
  </si>
  <si>
    <t>INSUMOS, BIENES Y MATERIALES PARA PRODUCCIÓN DE PROGRAMAS DE RADIO, TELEVISIÓN, EVENTOS CULTURALES, ARTÍSTICOS Y ENTRETENIMIENTO EN GENERAL</t>
  </si>
  <si>
    <t xml:space="preserve">ADQUISICIÓN MICRÓFONO PARA CÁMARA DE VIDEO </t>
  </si>
  <si>
    <t xml:space="preserve">ADQUISICIÓN DE MASCARILLA QUIRÚRGICA 3 CAPAS ELÁSTICO TAMAÑO ESTÁNDAR </t>
  </si>
  <si>
    <t>DISPOSITIVOS MÉDICOS DE USO GENERAL</t>
  </si>
  <si>
    <t>ADQUISICIÓN DE BASUREROS DE BAÑO DE ACERO INOXIDABLE CON TAPA PARA EL CENTRO OPERATIVO LOCAL ECU 911 TULCÁN</t>
  </si>
  <si>
    <t xml:space="preserve">MOBILIARIO </t>
  </si>
  <si>
    <t>ADQUISICIÓN DE HERRAMIENTAS Y EQUIPOS MENORES NECESARIOS PARA EL  CENTRO</t>
  </si>
  <si>
    <t>HERRAMIENTAS Y EQUIPOS MENORES</t>
  </si>
  <si>
    <t>MATRICULACIÓN Y REVISIÓN VEHICULAR DE LOS VEHÍCULOS DEL CENTRO OPERATIVO LOCAL ECU 911 TULCÁN AÑO 2022</t>
  </si>
  <si>
    <t>TASAS GENERALES, IMPUESTOS, CONTRIBUCIONES, PERMISOS, LICENCIAS Y PATENTES</t>
  </si>
  <si>
    <t>CANCELACIÓN DEL PERMISO DE FUNCIONAMIENTO DEL CUERPO DE BOMBEROS AÑO 2022</t>
  </si>
  <si>
    <t>CANCELACIÓN POR TASA DE MEJORAS EN EL MUNICIPIO AÑO 2022</t>
  </si>
  <si>
    <t>OBJETIVO 9: GARANTIZAR LA SEGURIDAD CIUDADANA, ORDEN PÚBLICO Y GESTIÓN DE RIESGOS</t>
  </si>
  <si>
    <t>9.3 IMPULSAR LA REDUCCIÓN DE RIESGOS DE DESASTRES Y ATENCIÓN OPORTUNA A EMERGENCIAS ANTE AMENAZAS NATURALES O ANTRÓPICAS EN TODOS LO SECTORES Y NIVELES TERRITORIALES</t>
  </si>
  <si>
    <t>2. INCREMENTAR LA INNOVACIÓN Y EL USO DE TECNOLOGÍA EFICIENTE PARA LA ATENCIÓN ADECUADA DE EMERGENCIAS</t>
  </si>
  <si>
    <t>GESTIÓN LOCAL DE SOPORTE TECNOLÓGICO</t>
  </si>
  <si>
    <t>TECNOLOGÍA</t>
  </si>
  <si>
    <t>ARRASTRE: CANCELACIÓN POR DE SERVICIOS DE TELECOMUNICACIONES CORRESPONDIENTE A DICIEMBRE DEL 2021</t>
  </si>
  <si>
    <t>TELECOMUNICACIONES</t>
  </si>
  <si>
    <t>CONTRATACIÓN DE SERVICIOS DE TELECOMUNICACIONES CORRESPONDIENTE AL CONTRATO ENERO-DICIEMBRE 2021</t>
  </si>
  <si>
    <t>ADQUISICIÓN DE MATERIALES E INSUMOS PARA MANTENIMIENTOS E INSTALACIONES TECNOLÓGICAS DEL CENTRO</t>
  </si>
  <si>
    <t>ESMERALDAS</t>
  </si>
  <si>
    <t xml:space="preserve">TRANSPORTE DE PERSONAL </t>
  </si>
  <si>
    <t>CONTRATACIÓN SERVICIO DE IMPRESIÓN DE VINIL ADHESIVO PARA BRANDEO COMUNICACIONAL INTERNO DEL CENTRO</t>
  </si>
  <si>
    <t>CONTRATACIÓN SPOTS PUBLICITARIOS EN RADIO, TV Y PLATAFORMAS DIGITALES</t>
  </si>
  <si>
    <t>CONTRATACIÓN PARA MANTENIMIENTO DE INFRAESTRUCTURA DEL CENTRO OPERATIVO LOCAL ECU 911 ESMERALDAS PARA EL 2022</t>
  </si>
  <si>
    <t>CONTRATACIÓN SERVICIO PARA MANTENIMIENTO DE ALUCUBON EXTERNO</t>
  </si>
  <si>
    <t>CONTRATACIÓN SERVICIO DE MANTENIMIENTO ASCENSOR HYUNDAI</t>
  </si>
  <si>
    <t xml:space="preserve">CONTRATACIÓN SERVICIO PARA MANTENIMIENTO PREVENTIVO Y CORRECTIVO DEL BUS INSTITUCIONAL </t>
  </si>
  <si>
    <t xml:space="preserve"> CONTRATACIÓN SERVICIO PARA MANTENIMIENTO PREVENTIVO Y CORRECTIVO DE VEHÍCULOS LIVIANOS DEL CENTRO OPERATIVO  ECU 911 PARA GARANTIZAR OPERATIVIDAD</t>
  </si>
  <si>
    <t xml:space="preserve">REPOSICIÓN DE ADQUISICIÓN DE COMBUSTIBLES EN CUMPLIMIENTO DE COMISIÓN DE SERVICIOS AL INTERIOR DE LOS SERVIDORES DEL CENTRO </t>
  </si>
  <si>
    <t>CONTRATACIÓN DE SERVICIO PARA ADQUISICIÓN DE COMBUSTIBLES, LUBRICANTES, Y ADITIVOS EN GENERAL PARA MANTENIMIENTO DEL BUS</t>
  </si>
  <si>
    <t>CONTRATACIÓN DE SERVICIO PARA ADQUISICIÓN DE COMBUSTIBLES, LUBRICANTES, Y ADITIVOS EN GENERAL PARA MANTENIMIENTO DE LOS VEHÍCULOS LIVIANOS</t>
  </si>
  <si>
    <t xml:space="preserve">CONTRATACIÓN DE SERVICIO PARA ADQUISICIÓN DE COMBUSTIBLES PARA MOVILIZACIÓN DE VEHÍCULOS Y GENERADORES </t>
  </si>
  <si>
    <t>ADQUISICIÓN DE MATERIALES DE OFICINA PARA EL CENTRO</t>
  </si>
  <si>
    <t>ADQUISICIÓN DE MATERIALES DE OFICINA (SELLOS FOLEADORES, CERTIFICADOS DE COPIA)</t>
  </si>
  <si>
    <t>ADQUISICIÓN DE TARJETAS MAGNÉTICAS Y CORDONES IMAGEN INSTITUCIONAL PARA SERVIDORES DEL CENTRO</t>
  </si>
  <si>
    <t>ADQUISICIÓN DE MATERIALES DE ASEO PARA EL CENTRO OPERATIVO LOCAL ECU 911 ESMERALDAS AÑO 2022</t>
  </si>
  <si>
    <t>ADQUISICIÓN DE SEÑALÉTICA DE SEGURIDAD PARA CENTROS OPERATIVOS LOCAL ECU 911 ESMERALDAS</t>
  </si>
  <si>
    <t>ADQUISICIÓN DE TONERS NEGRO Y DE COLOR PARA IMPRESORAS DEL CENTRO OPERATIVO LOCAL ECU 911 ESMERALDAS AÑO 2022</t>
  </si>
  <si>
    <t xml:space="preserve"> ADQUISICIÓN DE BIENES Y PAGO DE SERVICIOS NO PREVISIBLES, URGENTES Y DE VALOR REDUCIDO (CAJA CHICA).</t>
  </si>
  <si>
    <t>ADQUISICIÓN DE  MATERIAL DE FERRETERÍA COMO: FLUXÓMETROS, EMPAQUES, SISTEMAS DE DESAGUE, EMPASTES, PINTURA DE INTERIOR Y EXTERIOR, SILICONAS, SOLVENTES, PINTURA ESMALTE, MATERIAL ELÉCTRICO, TACOS, PERNOS, TUERCAS AÑO 2022</t>
  </si>
  <si>
    <t>CONTRATACIÓN DE SERVICIO PARA ADQUISICIÓN DE REPUESTOS PARA MANTENIMIENTO DEL BUS DEL CENTRO OPERATIVO  ECU 911 POR EL PERÍODO 2021</t>
  </si>
  <si>
    <t>CONTRATACIÓN DE SERVICIO PARA ADQUISICIÓN DE REPUESTOS PARA MANTENIMIENTO DE VEHÍCULOS LIVIANOS DEL CENTRO OPERATIVO  ECU 911 POR EL PERÍODO 2021</t>
  </si>
  <si>
    <t>MATRICULACIÓN Y REVISIÓN VEHICULAR DE LOS VEHÍCULOS DEL CENTRO OPERATIVO LOCAL ECU 911 ESMERALDAS AÑO 2022</t>
  </si>
  <si>
    <t>ADQUISICIÓN DE REPUESTOS Y ACCESORIOS TECNOLÓGICOS PARA MAQUINARIAS, PLANTAS ELÉCTRICAS, EQUIPOS Y OTROS</t>
  </si>
  <si>
    <t>2. INCREMENTAR LA EFICIENCIA EN LA GESTIÓN FINANCIERA MEDIANTE EL FORTALECIMIENTO DE LAS METODOLOGÍAS, MEJORAMIENTO DE PROCESOS FINANCIEROS INTERNOS, APLICACIÓN DE NORMATIVAS Y REGULACIONES VIGENTES.</t>
  </si>
  <si>
    <t>GESTIÓN ZONAL ADMINISTRATIVA FINANCIERA Y DE ADMINISTRACIÓN DE RECURSOS HUMANOS</t>
  </si>
  <si>
    <t>CANCELACIÓN DE REMUNERACIONES Y BENEFICIOS SOCIALES</t>
  </si>
  <si>
    <t>IMBABURA</t>
  </si>
  <si>
    <t>REMUNERACIONES UNIFICADAS</t>
  </si>
  <si>
    <t>SALARIOS UNIFICADOS</t>
  </si>
  <si>
    <t>DÉCIMO TERCER SUELDO</t>
  </si>
  <si>
    <t>DÉCIMO CUARTO SUELDO</t>
  </si>
  <si>
    <t>HORAS EXTRAORDINARIAS Y SUPLEMENTARIAS</t>
  </si>
  <si>
    <t>APORTE PATRONAL</t>
  </si>
  <si>
    <t>FONDO DE RESERVA</t>
  </si>
  <si>
    <t>SERVICIOS PERSONALES POR CONTRATO</t>
  </si>
  <si>
    <t>GESTIÓN ZONAL DE OPERACIONES</t>
  </si>
  <si>
    <t>OPERACIONES</t>
  </si>
  <si>
    <t xml:space="preserve">SUBROGACIÓN </t>
  </si>
  <si>
    <t>GESTIÓN ZONAL DE TECNOLOGÍA Y SOPORTE</t>
  </si>
  <si>
    <t>IBARRA</t>
  </si>
  <si>
    <t>CONTRATACIÓN  DEL SERVICIO DE TRANSPORTE PARA SERVIDORES DEL ÁREA OPERATIVA DEL CENTRO OPERATIVO ZONAL ECU 911 IBARRA PARA ENERO-DICIEMBRE 2022, SE PAGA A MES VENCIDO</t>
  </si>
  <si>
    <t>FLETES Y MANIOBRAS</t>
  </si>
  <si>
    <t>GESTIÓN ZONAL DE COMUNICACIÓN SOCIAL</t>
  </si>
  <si>
    <t>ADQUISICIÓN DE MATERIAL DE POSICIONAMIENTO E IDENTIDAD DEL ECU 911 PARA EL CENTRO OPERATIVO ECU 911 IBARRA</t>
  </si>
  <si>
    <t>ARRASTRE CANCELACIÓN  POR EL SERVICIO DE SEGURIDAD Y VIGILANCIA DE LOS CENTROS OPERATIVOS QUE CONFORMAN LA ZONA 1  DICIEMBRE 2021, SE PAGA A MES VENCIDO</t>
  </si>
  <si>
    <t>SERVICIO DE SEGURIDAD Y VIGILANCIA</t>
  </si>
  <si>
    <t>CONTRATACIÓN DEL SERVICIO DE SEGURIDAD Y VIGILANCIA DE LOS CENTROS OPERATIVOS QUE CONFORMAN LA ZONA 1, AÑO 2022 SE PAGA A MES VENCIDO</t>
  </si>
  <si>
    <t>ARRASTRE: CANCELACIÓN  POR EL SERVICIO DE LIMPIEZA DEL CENTRO OPERATIVO ZONAL ECU 911 IBARRA  DICIEMBRE DEL 2021</t>
  </si>
  <si>
    <t>CONTRATACIÓN  DEL SERVICIO DE LIMPIEZA PARA EL CENTRO OPERATIVO ZONAL ECU 911 IBARRA PERIODO 2022 SE PAGA A MES VENCIDO</t>
  </si>
  <si>
    <t>PROVISIÓN PARA ALIMENTACIÓN Y ESTADÍA DE LOS FUNCIONARIOS DEL CENTRO OPERATIVO ZONAL ECU 911 IBARRA CUANDO SALEN A CUMPLIR COMISIÓN DE SERVICIOS FUERA DE SU LUGAR HABITUAL DE TRABAJO AÑO 2022</t>
  </si>
  <si>
    <t>CONTRATACIÓN PARA MANTENIMIENTO DE INFRAESTRUCTURA DEL CENTRO OPERATIVO ZONAL ECU 911 IBARRA PARA EL 2022</t>
  </si>
  <si>
    <t xml:space="preserve">ADECUACIÓN DEL ÁREA DE ARCHIVO JUNTO A LA OFICINA FINANCIERA DEL CENTRO OPERATIVO ZONAL ECU 911  IBARRA </t>
  </si>
  <si>
    <t>CONTRATACIÓN DEL SERVICIO DE MANTENIMIENTO DEL SISTEMA ELÉCTRICO DE LOS CENTROS OPERATIVOS ECU 911 IBARRA, TULCÁN, NUEVA LOJA Y ESMERALDAS AÑO 2022</t>
  </si>
  <si>
    <t>CONTRATACIÓN DEL SERVICIO DE MANTENIMIENTO PREVENTIVO Y CORRECTIVO DEL SISTEMA CONTRAINCENDIOS PARA LOS CENTROS OPERATIVOS ECU 911 IBARRA, TULCÁN, ESMERALDAS Y NUEVA LOJA AÑO 2022</t>
  </si>
  <si>
    <t>CONTRATACIÓN DEL SERVICIO DE MANTENIMIENTO PREVENTIVO Y CORRECTIVO PARA EL SOSTENIMIENTO TECNOLÓGICO DEL SISTEMA DE CLIMATIZACIÓN DE LOS CENTROS OPERATIVOS  ECU 911 IBARRA, ESMERALDAS, TULCÁN Y NUEVA LOJA AÑO 2022</t>
  </si>
  <si>
    <t>CONTRATACIÓN DEL SERVICIO DE MANTENIMIENTO PREVENTIVO Y CORRECTIVO DE ELECTRODOMÉSTICOS DEL CENTRO OPERATIVO ZONAL ECU 911 IBARRA</t>
  </si>
  <si>
    <t>CONTRATACIÓN POR MANTENIMIENTO PREVENTIVO Y CORRECTIVO DE FILTROS DE AGUA CON TECNOLOGÍA DE OSMOSIS INVERSA DEL CENTRO OPERATIVO ZONAL ECU 911 IBARRA</t>
  </si>
  <si>
    <t>CONTRATACIÓN DE MANO DE OBRA PARA MANTENIMIENTO DE VEHÍCULOS LIVIANOS Y VEHÍCULO PESADO DEL CENTRO OPERATIVO ZONAL ECU 911 IBARRA PARA GARANTIZAR OPERATIVIDAD</t>
  </si>
  <si>
    <t>CONTRATACIÓN DEL SERVICIO DE REENCAUCHE DE LLANTAS DE LOS VEHÍCULOS DEL CENTRO OPERATIVO ZONAL ECU 911 IBARRA  AÑO 2022 A FIN DE CUMPLIR EN LO ESTABLECIDO EN LA NORMATIVA PARA INSTITUCIONES DEL ESTADO</t>
  </si>
  <si>
    <t>ADQUISICIÓN DE COMBUSTIBLES, LUBRICANTES, Y ADITIVOS EN GENERAL PARA MANTENIMIENTO DE LOS VEHÍCULOS LIVIANOS Y VEHÍCULO INSTITUCIONAL DEL CENTRO OPERATIVO ZONAL ECU 911 IBARRA AÑO 2022</t>
  </si>
  <si>
    <t>ARRASTRE CANCELACIÓN  POR ADQUISICIÓN DE COMBUSTIBLES PARA MOVILIZACIÓN DE VEHÍCULOS DEL CENTRO OPERATIVO ZONAL ECU 911 IBARRA DICIEMBRE 2021</t>
  </si>
  <si>
    <t>ADQUISICIÓN DE COMBUSTIBLES PARA MOVILIZACIÓN DE VEHÍCULOS DEL CENTRO OPERATIVO ZONAL ECU 911 IBARRA PERIODO 2022</t>
  </si>
  <si>
    <t>ADQUISICIÓN DE COMBUSTIBLES PERIODO 2022 PARA ABASTECIMIENTO DE GENERADORES DEL CENTRO OPERATIVO ZONAL ECU 911 IBARRA</t>
  </si>
  <si>
    <t>REPOSICIÓN DE ADQUISICIÓN DE COMBUSTIBLES EN CUMPLIMIENTO DE COMISIÓN DE SERVICIOS AL INTERIOR DE LOS SERVIDORES DEL CENTRO OPERATIVO ZONAL ECU 911 IBARRA PERIODO 2022</t>
  </si>
  <si>
    <t>ADQUISICIÓN DE MATERIALES DE OFICINA PARA EL CENTRO OPERATIVO ZONAL ECU 911 IBARRA AÑO 2022</t>
  </si>
  <si>
    <t>ADQUISICIÓN DE MATERIALES DE ASEO PARA EL CENTRO OPERATIVO ZONAL ECU 911 IBARRA AÑO 2022</t>
  </si>
  <si>
    <t>ADQUISICIÓN DE TONERS NEGRO Y DE COLOR PARA IMPRESORAS DEL CENTRO OPERATIVO ZONAL ECU 911 IBARRA AÑO 2022</t>
  </si>
  <si>
    <t>ADQUISICIÓN DE REPUESTOS PARA MANTENIMIENTO DE VEHÍCULOS LIVIANOS Y VEHÍCULO PESADO DEL CENTRO OPERATIVO ZONAL  ECU 911 IBARRA POR EL PERÍODO 2022</t>
  </si>
  <si>
    <t>ADQUISICIÓN DE LLANTAS PARAS LOS VEHÍCULOS DEL CENTRO OPERATIVO ZONAL ECU 911 IBARRA  EU 911  AÑO 2022</t>
  </si>
  <si>
    <t>ADQUISICIÓN DE REPUESTOS COMO FILTROS DE IMAGEN, MOTOR, CUCHILLAS, RODILLOS, PIÑONES, UÑETAS, COMPONENTES ELECTRÓNICOS INTERNOS PARA IMPRESORAS DEL CENTRO OPERATIVO ZONAL ECU 911 IBARRA</t>
  </si>
  <si>
    <t>ADQUISICIÓN DE REPUESTOS PARA EL MANTENIMIENTO DEL SISTEMA ELÉCTRICO DE LOS CENTROS OPERATIVOS ECU 911 IBARRA, TULCÁN, NUEVA LOJA Y ESMERALDAS AÑO 2022</t>
  </si>
  <si>
    <t>ADQUISICIÓN DE MENAJE DE HOGAR, SÁBANAS, COBERTORES, FUNDAS DE ALMOHADAS, TOALLAS PARA EL ÁREA DE DORMITORIOS DEL CENTRO OPERATIVO ZONAL ECU 911 IBARRA</t>
  </si>
  <si>
    <t>ADQUISICIÓN DE BASUREROS DE BAÑO DE ACERO INOXIDABLE CON TAPA PARA EL CENTRO OPERATIVO ZONAL ECU 911 IBARRA</t>
  </si>
  <si>
    <t>MATRICULACIÓN Y REVISIÓN VEHICULAR DE LOS VEHÍCULOS DEL CENTRO OPERATIVO ZONAL ECU 911 IBARRA AÑO 2022</t>
  </si>
  <si>
    <t>CANCELACIÓN DEL PERMISO DE FUNCIONAMIENTO DEL CUERPO DE BOMBEROS AÑO 2022 DE LA COORDINACIÓN ZONAL 1 SIS ECU 911</t>
  </si>
  <si>
    <t>CANCELACIÓN POR TASA DE MEJORAS EN EL MUNICIPIO AÑO 2022 DE LA COORDINACIÓN ZONAL 1 SIS ECU 911</t>
  </si>
  <si>
    <t>CONTRATACIÓN DEL SERVICIO DE TELEPASS AÑO 2022 PARA CIRCULACIÓN DE LOS VEHÍCULOS INSTITUCIONALES DE LA ZONA 1 EN CARRETERAS CONCESIONADAS</t>
  </si>
  <si>
    <t>CONTRATACIÓN DEL SERVICIO DE  SOSTENIMIENTO TECNOLÓGICO DE SITIOS DE VIDEO MONITOREO DE LOS CENTROS OPERATIVOS ECU 911 PERTENECIENTES A LA COORDINACIÓN ZONAL 1</t>
  </si>
  <si>
    <t xml:space="preserve">MANTENIMIENTO Y REPARACIÓN DE EQUIPOS Y SISTEMAS INFORMÁTICOS </t>
  </si>
  <si>
    <t xml:space="preserve"> ADQUISICIÓN DE REPUESTOS Y ACCESORIOS TECNOLÓGICOS PARA MAQUINARIAS, PLANTAS ELÉCTRICAS, EQUIPOS Y OTROS</t>
  </si>
  <si>
    <t>LAGO AGRIO</t>
  </si>
  <si>
    <t>CANCELACIÓN POR BRANDEO ADHESIVO PARA LA SALA DE CAPACITACIÓN DEL CENTRO OPERATIVO LOCAL</t>
  </si>
  <si>
    <t>ADQUISICIÓN DE MATERIAL DE POSICIONAMIENTO E IDENTIDAD DEL ECU 911 PARA EL CENTRO OPERATIVO ECU 911 NUEVA LOJA</t>
  </si>
  <si>
    <t>CANCELACIÓN POR SPOTS PUBLICITARIOS EN RADIO Y TV STREAMMING Y PLATAFORMAS DIGITALES, PARA DIFUSIÓN DEL MODELO DE GESTIÓN Y BUEN USO DEL 911</t>
  </si>
  <si>
    <t>CONTRATACIÓN PARA MANTENIMIENTO DE INFRAESTRUCTURA DEL CENTRO OPERATIVO LOCAL ECU 911 NUEVA LOJA PARA EL 2022</t>
  </si>
  <si>
    <t>CONTRATACIÓN DEL SERVICIO DE MANTENIMIENTO PREVENTIVO Y CORRECTIVO DE ELECTRODOMÉSTICOS DEL CENTRO OPERATIVO LOCAL ECU 911 NUEVA LOJA</t>
  </si>
  <si>
    <t>CANCELACIÓN POR CONTRATACIÓN DE MANO DE OBRA PARA MANTENIMIENTO DE VEHÍCULOS LIVIANOS DEL CENTRO OPERATIVO  ECU 911 PARA GARANTIZAR OPERATIVIDAD</t>
  </si>
  <si>
    <t>ADQUISICIÓN DE BIENES Y PAGO DE SERVICIOS NO PREVISIBLES, URGENTES Y DE VALOR REDUCIDO (CAJA CHICA)</t>
  </si>
  <si>
    <t>CANCELACIÓN POR MANTENIMIENTO DE FILMADORA DEL ÁREA DE COMUNICACIÓN SOCIAL</t>
  </si>
  <si>
    <t>ADQUISICIÓN DE COMBUSTIBLES, LUBRICANTES, Y ADITIVOS EN GENERAL PARA MANTENIMIENTO DE LOS VEHÍCULOS DEL CENTRO OPERATIVO ECU 911 AÑO 2022</t>
  </si>
  <si>
    <t>ADQUISICIÓN DE COMBUSTIBLES PARA MOVILIZACIÓN DE VEHÍCULOS DEL CENTRO PERIODO 2022</t>
  </si>
  <si>
    <t>REPOSICIÓN DE ADQUISICIÓN DE COMBUSTIBLES EN CUMPLIMIENTO DE COMISIÓN DE SERVICIOS AL INTERIOR DE LOS SERVIDORES DEL CENTRO PERIODO 2022</t>
  </si>
  <si>
    <t>ADQUISICIÓN DE CARTULINA MARFIL LISA PARA TOP 3, CAPACITACIONES  Y FECHAS CONMEMORATIVAS.</t>
  </si>
  <si>
    <t>ADQUISICIÓN DE MATERIALES DE ASEO PARA EL CENTRO OPERATIVO LOCAL ECU 911 NUEVA LOJA AÑO 2022</t>
  </si>
  <si>
    <t>ADQUISICIÓN DE SEÑALÉTICA DE SEGURIDAD PARA CENTROS OPERATIVOS LOCAL ECU 911 NUEVA LOJA</t>
  </si>
  <si>
    <t>ADQUISICIÓN DE TONERS NEGRO Y DE COLOR PARA IMPRESORAS DEL CENTRO OPERATIVO LOCAL ECU 911 NUEVA LOJA AÑO 2022</t>
  </si>
  <si>
    <t>ADQUISICIÓN DE MATERIALES E INSUMOS PARA MANTENIMIENTO DEL CENTRO OPERATIVO LOCAL</t>
  </si>
  <si>
    <t>ADQUISICIÓN DE PANEL CON AISLAMIENTO ACÚSTICO PARA GRABACIÓN Y PRODUCCIÓN DE PROGRAMA RADIAL ECU AL DÍA Y OTROS.</t>
  </si>
  <si>
    <t>ADQUISICIÓN DE LLANTAS PARAS LOS VEHÍCULOS DEL CENTRO OPERATIVO LOCAL ECU 911 NUEVA LOJA  EU 911  AÑO 2022</t>
  </si>
  <si>
    <t>ADQUISICIÓN DE MENAJE DE HOGAR (PLATOS, CUCHARAS, VASOS, ENTRE OTROS)</t>
  </si>
  <si>
    <t>MATRICULACIÓN Y REVISIÓN VEHICULAR DE LOS VEHÍCULOS DEL CENTRO OPERATIVO LOCAL ECU 911 NUEVA LOJA AÑO 2022</t>
  </si>
  <si>
    <t xml:space="preserve"> ADQUISICIÓN DE MATERIALES E INSUMOS PARA MANTENIMIENTOS E INSTALACIONES TECNOLÓGICAS DEL CENTRO</t>
  </si>
  <si>
    <t>TOTAL</t>
  </si>
  <si>
    <t>SALDO DSIPONIBLE</t>
  </si>
  <si>
    <t>PLAN ANUAL DE LA POLÍTICA PÚBLICA - PAPP 2022</t>
  </si>
  <si>
    <t>INSUMOS, MATERIALES Y SUMINISTROS PARA CONSTRUCCIÓN, ELECTRICIDAD, PLOMERÍA, CARPINTERÍA, SEÑALIZACIÓN VIAL, NAVEGACIÓN, CONTRA INCENDIOS Y PLACAS</t>
  </si>
  <si>
    <t>CONTRATACIÓN DE SERVICIOS DE TELECOMUNICACIONES CORRESPONDIENTE AL CONTRATO ENERO-DICIEMBRE 2022</t>
  </si>
  <si>
    <t>TOTAL EJECUTADO</t>
  </si>
  <si>
    <t>MONTO NO EJECUTADO</t>
  </si>
  <si>
    <t>ENCARGOS</t>
  </si>
  <si>
    <t>Suma de PRESUPUESTO VIGENTE - TOTAL</t>
  </si>
  <si>
    <t>ADQUISICIÓN DE EQUIPOS TECNOLÓGICOS PARA LOS CENTROS OPERATIVOS ECU911 IBARRA, ESMERALDAS, NUEVA LOJA Y TULCÁN</t>
  </si>
  <si>
    <t>MAQUINARIAS Y EQUIPOS</t>
  </si>
  <si>
    <t>EQUIPOS, SISTEMAS Y PAQUETES INFORMÁTICOS</t>
  </si>
  <si>
    <t>PAGO POR MANTENIMIENTO Y REPARACIÓN DE FISURAS O GRIETAS Y CONTROL DE HUMEDAD DE PAREDES EXTERNAS, PINTURA EXTERNA DEL EDIFICIO ECU 911</t>
  </si>
  <si>
    <t>(Todas)</t>
  </si>
  <si>
    <t>SUSCRIPCIÓN CON DIARIO EL NORTE, PARA MEMBRECÍA VITALICIA DE DIARIOS EN FORMATO DIGITAL</t>
  </si>
  <si>
    <t>CONTRATACIÓN DE SERVICIO PARA MANTENIMIENTO Y REPARACIÓN DE FISURAS O GRIETAS Y CONTROL DE HUMEDAD DE PAREDES EXTERNAS, PINTURA EXTERNA DEL EDIFICIO ECU 911</t>
  </si>
  <si>
    <t>PAGO POR REPARACIÓN Y RECUPERACIÓN DE INFORMACIÓN IMPORTANTE DE LA UNIDAD DE DISCO DURO DE LA DIRECCIÓN ZONAL DE TECNOLOGÍA Y SOPORTE</t>
  </si>
  <si>
    <t>MANTENIMIENTO Y REPARACIÓN DE EQUIPOS Y SISTEMAS INFORMÁTICOS</t>
  </si>
  <si>
    <t>PAGO POR MANTENIMIENTO DE MOBILIARIO DEL CENTRO OPERATIVO ZONAL ECU 911 IBARRRA-2021 A FAVOR DE NIDIA CONSUELO PAMBI PAMBI</t>
  </si>
  <si>
    <t>CONTRATACION DEL SERVICIO DE MANTENIMIENTO PREVENTIVO Y CORRECTIVO DE IMPRESORAS DEL CENTRO OPERATIVO ZONAL ECU 911  IBARRA</t>
  </si>
  <si>
    <t>ADQUISICIÓN DE REPUESTOS PARA FILTROS DE AGUA CON TECNOLOGÍA DE OSMOSIS INVERSA DEL CENTRO OPERATIVO ZONAL ECU 911 IBARRA</t>
  </si>
  <si>
    <t>ADQUISICIÓN DE MATERIALES PARA MANTENIMIENTO DEL SISTEMA HIDRÀULICO Y SANITARIOS DEL EDIFICIO DEL CENTRO OPERATIVO ZONAL ECU 911 IBARRA</t>
  </si>
  <si>
    <t>IMPRESIÓN DE TARJETAS PVC, CINTA PARA CREDENCIALES PARA EL PERSONAL DEL CENTRO OPERATIVO ZONAL IBARRA.</t>
  </si>
  <si>
    <t>IMPRESIÓN DE TARJETAS PVC, CINTA PARA CREDENCIALES PARA EL PERSONAL DEL CENTRO OPERATIVO LOCAL ESMERALDAS.</t>
  </si>
  <si>
    <t>IMPRESIÓN DE TARJETAS PVC, CINTA PARA CREDENCIALES PARA EL PERSONAL DEL CENTRO OPERATIVO LOCAL NUEVA LOJA.</t>
  </si>
  <si>
    <t>IMPRESIÓN DE TARJETAS PVC, CINTA PARA CREDENCIALES PARA PARA EL PERSONAL DEL CENTRO OPERATIVO LOCAL TULCÁN.</t>
  </si>
  <si>
    <t>ADQUISICIÓN DE TARJETAS PVC, CINTA PARA CREDENCIALES Y PORTA CREDENCIALES PARA EL PERSONAL DEL CENTRO OPERATIVO ZONAL IBARRA.</t>
  </si>
  <si>
    <t>ADQUISICIÓN DE TARJETAS PVC, CINTA PARA CREDENCIALES Y PORTA CREDENCIALES PARA EL PERSONAL DEL CENTRO OPERATIVO LOCAL ESMERALDAS.</t>
  </si>
  <si>
    <t>ADQUISICIÓN DE TARJETAS PVC, CINTA PARA CREDENCIALES Y PORTA CREDENCIALES PARA EL PERSONAL DEL CENTRO OPERATIVO LOCAL NUEVA LOJA.</t>
  </si>
  <si>
    <t>ADQUISICIÓN DE TARJETAS PVC, CINTA PARA CREDENCIALES Y PORTA CREDENCIALES PARA EL PERSONAL DEL CENTRO OPERATIVO LOCAL TULCÁN.</t>
  </si>
  <si>
    <t>CONTRATACION DEL SERVICIO DE “MANTENIMIENTO Y ADECUACIÓN DE LA INFRAESTRUCTURA FÍSICA DEL EDIFICIO DEL CENTRO OPERATIVO ZONAL ECU 911 IBARRA”</t>
  </si>
  <si>
    <t>ADQUISICIÓN DE RESPUESTOS PARA MANTENIMIENTO PREVENTIVO Y CORRECTIVO DE ELECTRODOMÉSTICOS DEL CENTRO OPERATIVO ZONAL ECU 911 IBARRA</t>
  </si>
  <si>
    <t>CONTRATACIÓN DEL SERVICIO DE EMISIÓN DE PASAJES AÉREOS NACIONALES PARA EL CENTRO OPERATIVO LOCAL ECU 911 TULCAN</t>
  </si>
  <si>
    <t>CONTRATACIÓN DEL SERVICIO DE EMISIÓN DE PASAJES AÉREOS NACIONALES PARA EL CENTRO OPERATIVO LOCAL ECU 911 ESMERALDAS</t>
  </si>
  <si>
    <t>CONTRATACIÓN DEL SERVICIO DE EMISIÓN DE PASAJES AÉREOS NACIONALES PARA EL CENTRO OPERATIVO ZONAL ECU 911 IBARRA</t>
  </si>
  <si>
    <t>CONTRATACIÓN DEL SERVICIO DE EMISIÓN DE PASAJES AÉREOS NACIONALES PARA EL CENTRO OPERATIVO LOCAL ECU 911 LAGO AGRIO</t>
  </si>
  <si>
    <t>53</t>
  </si>
  <si>
    <t xml:space="preserve">COMPENSACION POR VACACIONES NO GOZADAS POR CESACION DE FUNCIONES </t>
  </si>
  <si>
    <t>ADQUISICIÓN DE RESPUESTOS PARA MANTENIMIENTO DE TELEVISORES DEL CENTRO OPERATIVO ZONAL ECU 911 IBARRA</t>
  </si>
  <si>
    <t>CONTRATACIÓN DEL SERVICIO DE MANTENIMIENTO PREVENTIVO Y CORRECTIVO DE TELEVISORES DEL CENTRO OPERATIVO ZONAL ECU 911 IBARRA</t>
  </si>
  <si>
    <t>ACTIVIDAD</t>
  </si>
  <si>
    <t>ADQUISICIÓN DE CARPA INFLABLE PARA EL CENTRO OPERATIVO LOCAL ECU 911 NUEVA LOJA</t>
  </si>
  <si>
    <t>CONTRATACION DEL SERVICIO DE MANO DE OBRA PARA LA REPARACION DEL VEHICULO POR SINIESTRO</t>
  </si>
  <si>
    <t>EDIFICIOS, LOCALES Y RESIDENCIAS, PARQUEADEROS, CASILLEROS JUDICIALES Y BANCARIOS (ARRENDAMIENTO)</t>
  </si>
  <si>
    <t>CANCELACIÓN DEL PARQUEADERO DEL VEHÍCULO SUZUKI SZ PEI7350 SINIESTRADO DEL CENTRO OPERATIVO LOCAL TULCÁN</t>
  </si>
  <si>
    <t>CERTIFICACIÓN0PAPP</t>
  </si>
  <si>
    <t>CONTRATACIÓN DE SERVICIO MANTENIMIENTO PREVENTIVO Y CORRECTIVO MESA INTELIGENTE SALA DE CRISIS, EQUIPOS ELECTRÓNICOS, INCLUYE REPUESTOS Y ACCESORIOS</t>
  </si>
  <si>
    <t>CANCELACIÓN POR ARRENDAMIENTO DE CASILLEROS JUDICIALES DEL ECU 911, EN LOS CANTONES IBARRA, ANTONIO ANTE, COTACACHI Y OTAVALO.</t>
  </si>
  <si>
    <t>ADQUISICIÓN DE MAQUINARIA Y EQUIPOS PARA EL CENTRO OPERATIVO ZONAL ECU 911 IBARRA</t>
  </si>
  <si>
    <t>CONTRATACIÓN DEL SERVICIO DE MANTENIMIENTO DE ESTRUCTURA METÁLICA DE INGRESO PRINCIPAL Y DE PUERTAS DE VIDRIO E INSTALACION DE LAMINA DE CONTROL SOLAR EN VENTANALES EXTERIORES DE OFICINAS ADMINISTRATIVAS DEL CENTRO OPERATIVO ZONAL  ECU 911 IBARRA</t>
  </si>
  <si>
    <t>ADQUISICIÓN DE MINI STAND PORTABLE (EXHIBIDOR DE PLÁSTICO) PARA LOS CENTROS OPERATIVOS QUE CONFORMAN LA COORDINACIÓN ZONAL 1 DEL SERVICIO INTEGRADO DE SEGURIDAD.</t>
  </si>
  <si>
    <t>MOBILIARIO</t>
  </si>
  <si>
    <t xml:space="preserve">ADQUISICIÓN DE MATERIAL DE POSICIONAMIENTO E IDENTIDAD DEL ECU 911 PARA EL CENTRO OPERATIVO ECU 911 TULCÁN  </t>
  </si>
  <si>
    <t>ADQUISICIÓN DE MATERIAL DE POSICIONAMIENTO E IDENTIDAD DEL ECU 911 PARA EL CENTRO OPERATIVO ECU 911 ESMERALDAS</t>
  </si>
  <si>
    <t xml:space="preserve">OBLIGACIONES DE EJERCICIOS ANTERIORES POR EGRESOS DE PERSONAL </t>
  </si>
  <si>
    <t>GESTIÓN LOCAL DE COMUNICACIÓN SOCIAL</t>
  </si>
  <si>
    <t>PAGO POR ADQUISICIÓN DE BATERÍAS PARA RADIOS APX 2000 DE LOS CENTROS OPERATIVOS ZONAL ECU 911 IBARRA, TULCÁN, ESMERALDAS, NUEVA LOJA.</t>
  </si>
  <si>
    <t>CONTRATACIÓN PARA MANTENIMIENTO DE INFRAESTRUCTURA INTERNA Y ADECUACIÓN DEL CERRAMIENTO EXTERNO DEL CENTRO OPERATIVO LOCAL ECU 911 ESMERALDAS PARA EL 2022</t>
  </si>
  <si>
    <t>CONTRATACION DE REPUESTOS PARA LA REPARACION DEL VEHICULO POR SINIESTRO</t>
  </si>
  <si>
    <t>ADECUACIÓN Y MEJORAMIENTO DEL CERRAMIENTO</t>
  </si>
  <si>
    <t>ADQUISICIÓN DE MATERIAL DE POSICIONAMIENTO E IDENTIDAD DEL ECU 911 PARA LOS CENTROS QUE CONFORMAN LA COORDINACIÓN ZONAL 1</t>
  </si>
  <si>
    <t>ADQUISICIÓN DE VENTILADORES DE PARED PARA OFICINAS PARA EL CENTRO OPERATIVO ZONAL ECU 911 IBARRA</t>
  </si>
  <si>
    <t>ADQUISICIÓN DE CINTAS PARA ETIQUETADORA PARA LA UNIDAD DE BIENES PARA EL CENTRO OPERATIVO LOCAL ECU 911  TULCAN</t>
  </si>
  <si>
    <t>ADQUISICIÓN DE CINTAS PARA ETIQUETADORA PARA LA UNIDAD DE BIENES PARA EL CENTRO OPERATIVO LOCAL ECU 911  ESMERALDAS</t>
  </si>
  <si>
    <t>ADQUISICIÓN DE CINTAS PARA ETIQUETADORA PARA LA UNIDAD DE BIENES PARA EL CENTRO OPERATIVO ZONAL ECU 911 IBARRA</t>
  </si>
  <si>
    <t>ADQUISICIÓN DE CINTAS PARA ETIQUETADORA PARA LA UNIDAD DE BIENES PARA EL CENTRO OPERATIVO LOCAL ECU 911  NUEVA LOJA</t>
  </si>
  <si>
    <t>ADQUISICIÓN DE ETIQUETADORA PARA LA UNIDAD DE BIENES PARA EL CENTRO OPERATIVO LOCAL ECU 911  TULCAN</t>
  </si>
  <si>
    <t>ADQUISICIÓN DE ETIQUETADORA PARA LA UNIDAD DE BIENES PARA EL CENTRO OPERATIVO LOCAL ECU 911  ESMERALDAS</t>
  </si>
  <si>
    <t>ADQUISICIÓN DE ETIQUETADORA PARA LA UNIDAD DE BIENES PARA EL CENTRO OPERATIVO ZONAL ECU 911 IBARRA</t>
  </si>
  <si>
    <t>ADQUISICIÓN DE ETIQUETADORA PARA LA UNIDAD DE BIENES PARA EL CENTRO OPERATIVO LOCAL ECU 911  NUEVA LOJA</t>
  </si>
  <si>
    <t>ADQUISICIÓN DE MATERIAL DIDÁCTICO TÍTERES PARA VINCULACIÓN DEL SIS ECU 911. INCLUYE STAND</t>
  </si>
  <si>
    <t xml:space="preserve">COMPENSACION POR TRANSPORTE </t>
  </si>
  <si>
    <t>ALIMENTACION</t>
  </si>
  <si>
    <t>POR CARGAS FAMILIARES</t>
  </si>
  <si>
    <t>SUBSIDIO DE ANTIGÜEDAD</t>
  </si>
  <si>
    <t>Diciembre</t>
  </si>
  <si>
    <t xml:space="preserve"> ADQUISICIÓN DE SEÑALÉTICA DE SEGURIDAD PARA CENTROS OPERATIVOS ECU 911 IBARRA</t>
  </si>
  <si>
    <t>ADQUISICIÓN DE SEÑALÉTICA DE SEGURIDAD PARA CENTROS OPERATIVOS LOCAL ECU 911 IBARRA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</si>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</sst>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€_-;\-* #,##0.00\ _€_-;_-* &quot;-&quot;??\ _€_-;_-@_-"/>
    <numFmt numFmtId="165" formatCode="00"/>
    <numFmt numFmtId="166" formatCode="000"/>
    <numFmt numFmtId="167" formatCode="0000"/>
    <numFmt numFmtId="168" formatCode="000000"/>
    <numFmt numFmtId="169" formatCode="&quot;$ &quot;#,##0.00"/>
    <numFmt numFmtId="170" formatCode="_(* #,##0.0_);_(* \(#,##0.0\);_(* &quot;-&quot;??_);_(@_)"/>
    <numFmt numFmtId="177" formatCode="#,##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57"/>
      <name val="Calibri"/>
      <family val="2"/>
    </font>
    <font>
      <sz val="20"/>
      <color indexed="8"/>
      <name val="Calibri"/>
      <family val="2"/>
    </font>
    <font>
      <b/>
      <sz val="20"/>
      <color indexed="56"/>
      <name val="Calibri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theme="0"/>
      <name val="Calibri"/>
      <family val="2"/>
    </font>
    <font>
      <b/>
      <sz val="10"/>
      <color indexed="9"/>
      <name val="Calibri"/>
      <family val="2"/>
    </font>
    <font>
      <b/>
      <sz val="8"/>
      <color theme="1"/>
      <name val="Cambria"/>
      <family val="1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8"/>
      <color theme="1"/>
      <name val="Times-Roman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162D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3B6F4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162D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421C5E"/>
        <bgColor indexed="64"/>
      </patternFill>
    </fill>
    <fill>
      <patternFill patternType="solid">
        <fgColor theme="5" tint="-0.49996998906135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Border="0" applyProtection="0">
      <alignment/>
    </xf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43" fontId="9" fillId="0" borderId="2" xfId="22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3" fontId="7" fillId="0" borderId="1" xfId="21" applyFont="1" applyFill="1" applyBorder="1" applyAlignment="1">
      <alignment horizontal="right" vertical="center"/>
    </xf>
    <xf numFmtId="43" fontId="8" fillId="0" borderId="1" xfId="21" applyFont="1" applyFill="1" applyBorder="1" applyAlignment="1">
      <alignment horizontal="right" vertical="center"/>
    </xf>
    <xf numFmtId="43" fontId="9" fillId="0" borderId="1" xfId="2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3" fontId="8" fillId="0" borderId="0" xfId="21" applyFont="1" applyAlignment="1">
      <alignment horizontal="right" vertical="center" wrapText="1"/>
    </xf>
    <xf numFmtId="43" fontId="7" fillId="0" borderId="0" xfId="21" applyFont="1" applyAlignment="1">
      <alignment horizontal="right" vertical="center" wrapText="1"/>
    </xf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6" fontId="11" fillId="0" borderId="0" xfId="0" applyNumberFormat="1" applyFont="1" applyAlignment="1">
      <alignment horizontal="center" vertical="center" wrapText="1"/>
    </xf>
    <xf numFmtId="167" fontId="11" fillId="0" borderId="0" xfId="0" applyNumberFormat="1" applyFont="1" applyAlignment="1">
      <alignment horizontal="center" vertical="center" wrapText="1"/>
    </xf>
    <xf numFmtId="168" fontId="11" fillId="0" borderId="0" xfId="0" applyNumberFormat="1" applyFont="1" applyAlignment="1">
      <alignment horizontal="center" vertical="center" wrapText="1"/>
    </xf>
    <xf numFmtId="43" fontId="12" fillId="0" borderId="0" xfId="21" applyFont="1" applyAlignment="1">
      <alignment horizontal="right" vertical="center" wrapText="1"/>
    </xf>
    <xf numFmtId="43" fontId="11" fillId="0" borderId="0" xfId="2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 wrapText="1"/>
    </xf>
    <xf numFmtId="166" fontId="13" fillId="5" borderId="1" xfId="0" applyNumberFormat="1" applyFont="1" applyFill="1" applyBorder="1" applyAlignment="1">
      <alignment horizontal="center" vertical="center" wrapText="1"/>
    </xf>
    <xf numFmtId="167" fontId="13" fillId="5" borderId="1" xfId="20" applyNumberFormat="1" applyFont="1" applyFill="1" applyBorder="1" applyAlignment="1" applyProtection="1">
      <alignment horizontal="center" vertical="center" wrapText="1"/>
      <protection/>
    </xf>
    <xf numFmtId="167" fontId="13" fillId="5" borderId="1" xfId="0" applyNumberFormat="1" applyFont="1" applyFill="1" applyBorder="1" applyAlignment="1">
      <alignment horizontal="center" vertical="center" wrapText="1"/>
    </xf>
    <xf numFmtId="168" fontId="13" fillId="5" borderId="1" xfId="0" applyNumberFormat="1" applyFont="1" applyFill="1" applyBorder="1" applyAlignment="1">
      <alignment horizontal="center" vertical="center" wrapText="1"/>
    </xf>
    <xf numFmtId="2" fontId="13" fillId="5" borderId="1" xfId="20" applyNumberFormat="1" applyFont="1" applyFill="1" applyBorder="1" applyAlignment="1" applyProtection="1">
      <alignment horizontal="center" vertical="center" wrapText="1"/>
      <protection/>
    </xf>
    <xf numFmtId="43" fontId="13" fillId="6" borderId="1" xfId="21" applyFont="1" applyFill="1" applyBorder="1" applyAlignment="1" applyProtection="1">
      <alignment horizontal="center" vertical="center" wrapText="1"/>
      <protection/>
    </xf>
    <xf numFmtId="43" fontId="14" fillId="7" borderId="1" xfId="21" applyFont="1" applyFill="1" applyBorder="1" applyAlignment="1" applyProtection="1">
      <alignment horizontal="center" vertical="center" wrapText="1"/>
      <protection/>
    </xf>
    <xf numFmtId="169" fontId="13" fillId="6" borderId="1" xfId="20" applyNumberFormat="1" applyFont="1" applyFill="1" applyBorder="1" applyAlignment="1" applyProtection="1">
      <alignment horizontal="center" vertical="center" wrapText="1"/>
      <protection/>
    </xf>
    <xf numFmtId="169" fontId="13" fillId="8" borderId="1" xfId="20" applyNumberFormat="1" applyFont="1" applyFill="1" applyBorder="1" applyAlignment="1" applyProtection="1">
      <alignment horizontal="center" vertical="center" wrapText="1"/>
      <protection/>
    </xf>
    <xf numFmtId="10" fontId="0" fillId="0" borderId="0" xfId="23" applyNumberFormat="1" applyFont="1"/>
    <xf numFmtId="43" fontId="8" fillId="9" borderId="1" xfId="21" applyFont="1" applyFill="1" applyBorder="1" applyAlignment="1">
      <alignment horizontal="right" vertical="center"/>
    </xf>
    <xf numFmtId="43" fontId="14" fillId="10" borderId="1" xfId="21" applyFont="1" applyFill="1" applyBorder="1" applyAlignment="1" applyProtection="1">
      <alignment horizontal="center" vertical="center" wrapText="1"/>
      <protection/>
    </xf>
    <xf numFmtId="0" fontId="2" fillId="11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43" fontId="7" fillId="12" borderId="1" xfId="21" applyFont="1" applyFill="1" applyBorder="1" applyAlignment="1">
      <alignment horizontal="right" vertical="center"/>
    </xf>
    <xf numFmtId="169" fontId="15" fillId="6" borderId="1" xfId="20" applyNumberFormat="1" applyFont="1" applyFill="1" applyBorder="1" applyAlignment="1" applyProtection="1">
      <alignment horizontal="center" vertical="center" wrapText="1"/>
      <protection/>
    </xf>
    <xf numFmtId="0" fontId="16" fillId="13" borderId="1" xfId="0" applyFont="1" applyFill="1" applyBorder="1" applyAlignment="1" applyProtection="1">
      <alignment horizontal="center" vertical="center" wrapText="1"/>
      <protection locked="0"/>
    </xf>
    <xf numFmtId="169" fontId="15" fillId="6" borderId="2" xfId="20" applyNumberFormat="1" applyFont="1" applyFill="1" applyBorder="1" applyAlignment="1" applyProtection="1">
      <alignment horizontal="center" vertical="center" wrapText="1"/>
      <protection/>
    </xf>
    <xf numFmtId="0" fontId="7" fillId="12" borderId="1" xfId="0" applyFont="1" applyFill="1" applyBorder="1" applyAlignment="1">
      <alignment horizontal="left" vertical="center"/>
    </xf>
    <xf numFmtId="0" fontId="6" fillId="12" borderId="1" xfId="0" applyFont="1" applyFill="1" applyBorder="1" applyAlignment="1">
      <alignment horizontal="left" vertical="center"/>
    </xf>
    <xf numFmtId="43" fontId="8" fillId="14" borderId="1" xfId="2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165" fontId="17" fillId="0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167" fontId="17" fillId="0" borderId="1" xfId="0" applyNumberFormat="1" applyFont="1" applyFill="1" applyBorder="1" applyAlignment="1">
      <alignment horizontal="center" vertical="center"/>
    </xf>
    <xf numFmtId="43" fontId="18" fillId="0" borderId="1" xfId="21" applyFont="1" applyFill="1" applyBorder="1" applyAlignment="1">
      <alignment horizontal="right" vertical="center"/>
    </xf>
    <xf numFmtId="43" fontId="8" fillId="15" borderId="1" xfId="21" applyFont="1" applyFill="1" applyBorder="1" applyAlignment="1">
      <alignment horizontal="right" vertical="center"/>
    </xf>
    <xf numFmtId="0" fontId="7" fillId="15" borderId="1" xfId="0" applyFont="1" applyFill="1" applyBorder="1" applyAlignment="1">
      <alignment horizontal="left" vertical="center"/>
    </xf>
    <xf numFmtId="43" fontId="18" fillId="15" borderId="1" xfId="21" applyFont="1" applyFill="1" applyBorder="1" applyAlignment="1">
      <alignment horizontal="right" vertical="center"/>
    </xf>
    <xf numFmtId="43" fontId="7" fillId="15" borderId="1" xfId="21" applyFont="1" applyFill="1" applyBorder="1" applyAlignment="1">
      <alignment horizontal="right" vertical="center"/>
    </xf>
    <xf numFmtId="43" fontId="0" fillId="0" borderId="0" xfId="0" applyNumberFormat="1"/>
    <xf numFmtId="43" fontId="17" fillId="0" borderId="1" xfId="21" applyFont="1" applyFill="1" applyBorder="1" applyAlignment="1">
      <alignment horizontal="right" vertical="center"/>
    </xf>
    <xf numFmtId="0" fontId="19" fillId="0" borderId="0" xfId="0" applyFont="1" applyFill="1"/>
    <xf numFmtId="0" fontId="0" fillId="0" borderId="0" xfId="0" applyFill="1"/>
    <xf numFmtId="43" fontId="8" fillId="12" borderId="1" xfId="21" applyFont="1" applyFill="1" applyBorder="1" applyAlignment="1">
      <alignment horizontal="right" vertical="center"/>
    </xf>
    <xf numFmtId="43" fontId="7" fillId="16" borderId="1" xfId="21" applyFont="1" applyFill="1" applyBorder="1" applyAlignment="1">
      <alignment horizontal="right" vertical="center"/>
    </xf>
    <xf numFmtId="0" fontId="11" fillId="12" borderId="0" xfId="0" applyFont="1" applyFill="1" applyBorder="1" applyAlignment="1">
      <alignment vertical="center"/>
    </xf>
    <xf numFmtId="43" fontId="17" fillId="16" borderId="1" xfId="21" applyFont="1" applyFill="1" applyBorder="1" applyAlignment="1">
      <alignment horizontal="right" vertical="center"/>
    </xf>
    <xf numFmtId="43" fontId="6" fillId="16" borderId="1" xfId="2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43" fontId="8" fillId="17" borderId="1" xfId="21" applyFont="1" applyFill="1" applyBorder="1" applyAlignment="1">
      <alignment horizontal="right" vertical="center"/>
    </xf>
    <xf numFmtId="0" fontId="7" fillId="17" borderId="1" xfId="0" applyFont="1" applyFill="1" applyBorder="1" applyAlignment="1">
      <alignment horizontal="left" vertical="center"/>
    </xf>
    <xf numFmtId="0" fontId="11" fillId="17" borderId="0" xfId="0" applyFont="1" applyFill="1" applyBorder="1" applyAlignment="1">
      <alignment vertical="center"/>
    </xf>
    <xf numFmtId="43" fontId="8" fillId="18" borderId="1" xfId="21" applyFont="1" applyFill="1" applyBorder="1" applyAlignment="1">
      <alignment horizontal="right" vertical="center"/>
    </xf>
    <xf numFmtId="0" fontId="6" fillId="18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left" vertical="center"/>
    </xf>
    <xf numFmtId="165" fontId="6" fillId="18" borderId="1" xfId="0" applyNumberFormat="1" applyFont="1" applyFill="1" applyBorder="1" applyAlignment="1">
      <alignment horizontal="center" vertical="center"/>
    </xf>
    <xf numFmtId="167" fontId="6" fillId="18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7" fillId="17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167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43" fontId="8" fillId="17" borderId="5" xfId="21" applyFont="1" applyFill="1" applyBorder="1" applyAlignment="1">
      <alignment horizontal="right" vertical="center"/>
    </xf>
    <xf numFmtId="43" fontId="7" fillId="0" borderId="5" xfId="21" applyFont="1" applyFill="1" applyBorder="1" applyAlignment="1">
      <alignment horizontal="right" vertical="center"/>
    </xf>
    <xf numFmtId="43" fontId="6" fillId="0" borderId="1" xfId="21" applyFont="1" applyFill="1" applyBorder="1" applyAlignment="1">
      <alignment horizontal="right" vertical="center"/>
    </xf>
    <xf numFmtId="43" fontId="6" fillId="12" borderId="1" xfId="21" applyFont="1" applyFill="1" applyBorder="1" applyAlignment="1">
      <alignment horizontal="right" vertical="center"/>
    </xf>
    <xf numFmtId="43" fontId="6" fillId="0" borderId="5" xfId="2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3" fontId="10" fillId="19" borderId="1" xfId="21" applyFont="1" applyFill="1" applyBorder="1" applyAlignment="1">
      <alignment horizontal="center" vertical="center" wrapText="1"/>
    </xf>
    <xf numFmtId="43" fontId="12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2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21" borderId="1" xfId="0" applyFont="1" applyFill="1" applyBorder="1" applyAlignment="1">
      <alignment horizontal="left" vertical="center"/>
    </xf>
    <xf numFmtId="43" fontId="8" fillId="21" borderId="1" xfId="21" applyFont="1" applyFill="1" applyBorder="1" applyAlignment="1">
      <alignment horizontal="right" vertical="center"/>
    </xf>
    <xf numFmtId="43" fontId="8" fillId="22" borderId="1" xfId="2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43" fontId="12" fillId="0" borderId="0" xfId="21" applyFont="1" applyAlignment="1">
      <alignment horizontal="center" vertical="center" wrapText="1"/>
    </xf>
    <xf numFmtId="43" fontId="8" fillId="0" borderId="1" xfId="21" applyFont="1" applyFill="1" applyBorder="1" applyAlignment="1">
      <alignment horizontal="center" vertical="center"/>
    </xf>
    <xf numFmtId="43" fontId="8" fillId="0" borderId="5" xfId="21" applyFont="1" applyFill="1" applyBorder="1" applyAlignment="1">
      <alignment horizontal="center" vertical="center"/>
    </xf>
    <xf numFmtId="43" fontId="8" fillId="0" borderId="0" xfId="21" applyFont="1" applyAlignment="1">
      <alignment horizontal="center" vertical="center" wrapText="1"/>
    </xf>
    <xf numFmtId="170" fontId="10" fillId="19" borderId="1" xfId="2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3" fontId="8" fillId="23" borderId="1" xfId="21" applyFont="1" applyFill="1" applyBorder="1" applyAlignment="1">
      <alignment horizontal="right" vertical="center"/>
    </xf>
    <xf numFmtId="0" fontId="11" fillId="23" borderId="1" xfId="0" applyFont="1" applyFill="1" applyBorder="1" applyAlignment="1">
      <alignment vertical="center"/>
    </xf>
    <xf numFmtId="0" fontId="7" fillId="23" borderId="1" xfId="0" applyFont="1" applyFill="1" applyBorder="1" applyAlignment="1">
      <alignment horizontal="left" vertical="center"/>
    </xf>
    <xf numFmtId="43" fontId="9" fillId="23" borderId="1" xfId="21" applyFont="1" applyFill="1" applyBorder="1" applyAlignment="1">
      <alignment horizontal="right" vertical="center"/>
    </xf>
    <xf numFmtId="0" fontId="22" fillId="23" borderId="1" xfId="0" applyFont="1" applyFill="1" applyBorder="1" applyAlignment="1">
      <alignment vertical="center"/>
    </xf>
    <xf numFmtId="0" fontId="6" fillId="23" borderId="1" xfId="0" applyFont="1" applyFill="1" applyBorder="1" applyAlignment="1">
      <alignment horizontal="left" vertical="center"/>
    </xf>
    <xf numFmtId="165" fontId="0" fillId="0" borderId="0" xfId="0" applyNumberFormat="1" applyAlignment="1">
      <alignment horizontal="left"/>
    </xf>
    <xf numFmtId="0" fontId="7" fillId="9" borderId="1" xfId="0" applyFont="1" applyFill="1" applyBorder="1" applyAlignment="1">
      <alignment horizontal="left" vertical="center"/>
    </xf>
    <xf numFmtId="0" fontId="22" fillId="9" borderId="1" xfId="0" applyFont="1" applyFill="1" applyBorder="1" applyAlignment="1">
      <alignment vertical="center"/>
    </xf>
    <xf numFmtId="43" fontId="8" fillId="24" borderId="1" xfId="21" applyFont="1" applyFill="1" applyBorder="1" applyAlignment="1">
      <alignment horizontal="right" vertical="center"/>
    </xf>
    <xf numFmtId="0" fontId="7" fillId="24" borderId="1" xfId="0" applyFont="1" applyFill="1" applyBorder="1" applyAlignment="1">
      <alignment horizontal="left" vertical="center"/>
    </xf>
    <xf numFmtId="0" fontId="7" fillId="25" borderId="1" xfId="0" applyFont="1" applyFill="1" applyBorder="1" applyAlignment="1">
      <alignment horizontal="left" vertical="center"/>
    </xf>
    <xf numFmtId="43" fontId="8" fillId="25" borderId="1" xfId="21" applyFont="1" applyFill="1" applyBorder="1" applyAlignment="1">
      <alignment horizontal="right" vertical="center"/>
    </xf>
    <xf numFmtId="0" fontId="11" fillId="25" borderId="1" xfId="0" applyFont="1" applyFill="1" applyBorder="1" applyAlignment="1">
      <alignment vertical="center"/>
    </xf>
    <xf numFmtId="43" fontId="8" fillId="26" borderId="1" xfId="21" applyFont="1" applyFill="1" applyBorder="1" applyAlignment="1">
      <alignment horizontal="right" vertical="center"/>
    </xf>
    <xf numFmtId="0" fontId="7" fillId="26" borderId="1" xfId="0" applyFont="1" applyFill="1" applyBorder="1" applyAlignment="1">
      <alignment horizontal="left" vertical="center"/>
    </xf>
    <xf numFmtId="0" fontId="11" fillId="26" borderId="1" xfId="0" applyFont="1" applyFill="1" applyBorder="1" applyAlignment="1">
      <alignment vertical="center"/>
    </xf>
    <xf numFmtId="0" fontId="22" fillId="26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11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3" fontId="13" fillId="27" borderId="1" xfId="21" applyFont="1" applyFill="1" applyBorder="1" applyAlignment="1">
      <alignment horizontal="center" vertical="center" wrapText="1"/>
    </xf>
    <xf numFmtId="0" fontId="13" fillId="28" borderId="10" xfId="0" applyFont="1" applyFill="1" applyBorder="1" applyAlignment="1">
      <alignment horizontal="center" vertical="center" wrapText="1"/>
    </xf>
    <xf numFmtId="0" fontId="13" fillId="28" borderId="11" xfId="0" applyFont="1" applyFill="1" applyBorder="1" applyAlignment="1">
      <alignment horizontal="center" vertical="center" wrapText="1"/>
    </xf>
    <xf numFmtId="0" fontId="13" fillId="29" borderId="0" xfId="0" applyFont="1" applyFill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wrapText="1"/>
    </xf>
    <xf numFmtId="0" fontId="13" fillId="30" borderId="11" xfId="0" applyFont="1" applyFill="1" applyBorder="1" applyAlignment="1">
      <alignment horizontal="center" vertical="center" wrapText="1"/>
    </xf>
    <xf numFmtId="0" fontId="13" fillId="31" borderId="11" xfId="0" applyFont="1" applyFill="1" applyBorder="1" applyAlignment="1">
      <alignment horizontal="center" vertical="center" wrapText="1"/>
    </xf>
    <xf numFmtId="0" fontId="13" fillId="31" borderId="12" xfId="0" applyFont="1" applyFill="1" applyBorder="1" applyAlignment="1">
      <alignment horizontal="center" vertical="center" wrapText="1"/>
    </xf>
    <xf numFmtId="43" fontId="7" fillId="12" borderId="0" xfId="21" applyFont="1" applyFill="1" applyAlignment="1">
      <alignment horizontal="righ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2" xfId="20"/>
    <cellStyle name="Millares" xfId="21"/>
    <cellStyle name="Millares 2" xfId="22"/>
    <cellStyle name="Porcentaje" xfId="23"/>
  </cellStyles>
  <dxfs count="5">
    <dxf>
      <numFmt numFmtId="43" formatCode="_(* #,##0.00_);_(* \(#,##0.00\);_(* &quot;-&quot;??_);_(@_)"/>
    </dxf>
    <dxf>
      <numFmt numFmtId="43" formatCode="_(* #,##0.00_);_(* \(#,##0.00\);_(* &quot;-&quot;??_);_(@_)"/>
    </dxf>
    <dxf>
      <numFmt numFmtId="177" formatCode="#,##0.00"/>
    </dxf>
    <dxf>
      <numFmt numFmtId="177" formatCode="#,##0.00"/>
    </dxf>
    <dxf>
      <numFmt numFmtId="177" formatCode="#,##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microsoft.com/office/2017/10/relationships/person" Target="persons/person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ejandra Llanos" id="{5F73187F-9553-4938-AD67-65DE17200886}" userId="" providerId=""/>
</personList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958" refreshedBy="Mafer" refreshedVersion="6">
  <cacheSource type="worksheet">
    <worksheetSource ref="A5:AY332" sheet="PAPP 2022"/>
  </cacheSource>
  <cacheFields count="41">
    <cacheField name="OBJETIVOS PND">
      <sharedItems containsMixedTypes="0" count="0"/>
    </cacheField>
    <cacheField name="POLÍTICAS PND">
      <sharedItems containsMixedTypes="0" count="0"/>
    </cacheField>
    <cacheField name="OBJETIVOS ESTRATÉGICOS">
      <sharedItems containsMixedTypes="0" count="0"/>
    </cacheField>
    <cacheField name="OBJETIVOS OPERATIVOS">
      <sharedItems containsMixedTypes="0" longText="1" count="0"/>
    </cacheField>
    <cacheField name="PLANTA CENTRAL / ZONAS">
      <sharedItems containsMixedTypes="0" count="0"/>
    </cacheField>
    <cacheField name="DIRECCIÓN GENERAL / COORDINACIÓN / SUBDIRECCIÓN">
      <sharedItems containsMixedTypes="0" count="0"/>
    </cacheField>
    <cacheField name="DIRECCIÓN">
      <sharedItems containsMixedTypes="0" count="0"/>
    </cacheField>
    <cacheField name="MACROACTIVIDAD PAPP">
      <sharedItems containsMixedTypes="0" count="0"/>
    </cacheField>
    <cacheField name="ACTIVIDAD PAPP">
      <sharedItems containsMixedTypes="0" longText="1" count="0"/>
    </cacheField>
    <cacheField name="PONDERACIÓN">
      <sharedItems containsMixedTypes="1" containsNumber="1" containsInteger="1" count="0"/>
    </cacheField>
    <cacheField name="EOD">
      <sharedItems containsMixedTypes="0" count="7">
        <s v="266 0001"/>
        <s v="266 0003"/>
        <s v="266 0004"/>
        <s v="266 0005"/>
        <s v="266 0006"/>
        <s v="266 0007"/>
        <s v="266 9999"/>
      </sharedItems>
    </cacheField>
    <cacheField name="PG" numFmtId="165">
      <sharedItems containsSemiMixedTypes="0" containsString="0" containsMixedTypes="0" containsNumber="1" containsInteger="1" count="0"/>
    </cacheField>
    <cacheField name="PY">
      <sharedItems containsMixedTypes="1" containsNumber="1" containsInteger="1" count="0"/>
    </cacheField>
    <cacheField name="AC">
      <sharedItems containsMixedTypes="1" containsNumber="1" containsInteger="1" count="0"/>
    </cacheField>
    <cacheField name="GEO">
      <sharedItems containsMixedTypes="1" containsNumber="1" containsInteger="1" count="0"/>
    </cacheField>
    <cacheField name="NOMBRE GEO">
      <sharedItems containsMixedTypes="0" count="0"/>
    </cacheField>
    <cacheField name="FTE">
      <sharedItems containsMixedTypes="1" containsNumber="1" containsInteger="1" count="0"/>
    </cacheField>
    <cacheField name="ORG" numFmtId="167">
      <sharedItems containsMixedTypes="1" containsNumber="1" containsInteger="1" count="0"/>
    </cacheField>
    <cacheField name="COR" numFmtId="167">
      <sharedItems containsMixedTypes="1" containsNumber="1" containsInteger="1" count="0"/>
    </cacheField>
    <cacheField name="TIPO DE GASTO">
      <sharedItems containsMixedTypes="0" count="0"/>
    </cacheField>
    <cacheField name="GG">
      <sharedItems containsSemiMixedTypes="0" containsString="0" containsMixedTypes="0" containsNumber="1" containsInteger="1" count="3">
        <n v="53"/>
        <n v="57"/>
        <n v="51"/>
      </sharedItems>
    </cacheField>
    <cacheField name="ÍTEM PRESUPUESTARIO">
      <sharedItems containsSemiMixedTypes="0" containsString="0" containsMixedTypes="0" containsNumber="1" containsInteger="1" count="0"/>
    </cacheField>
    <cacheField name="DESCRIPCIÓN ÍTEM PRESUPUESTARIO">
      <sharedItems containsMixedTypes="0" count="0"/>
    </cacheField>
    <cacheField name="PRESUPUESTO INICIAL" numFmtId="43">
      <sharedItems containsSemiMixedTypes="0" containsString="0" containsMixedTypes="0" containsNumber="1" containsInteger="1" count="0"/>
    </cacheField>
    <cacheField name="PRESUPUESTO VIGENTE - SUBTOTAL" numFmtId="43">
      <sharedItems containsSemiMixedTypes="0" containsString="0" containsMixedTypes="0" containsNumber="1" containsInteger="1" count="0"/>
    </cacheField>
    <cacheField name="PRESUPUESTO VIGENTE - IVA" numFmtId="43">
      <sharedItems containsSemiMixedTypes="0" containsString="0" containsMixedTypes="0" containsNumber="1" containsInteger="1" count="0"/>
    </cacheField>
    <cacheField name="PRESUPUESTO VIGENTE - TOTAL">
      <sharedItems containsSemiMixedTypes="0" containsString="0" containsMixedTypes="0" containsNumber="1" containsInteger="1" count="0"/>
    </cacheField>
    <cacheField name="ENE" numFmtId="43">
      <sharedItems containsSemiMixedTypes="0" containsString="0" containsMixedTypes="0" containsNumber="1" containsInteger="1" count="0"/>
    </cacheField>
    <cacheField name="FEB" numFmtId="43">
      <sharedItems containsSemiMixedTypes="0" containsString="0" containsMixedTypes="0" containsNumber="1" containsInteger="1" count="0"/>
    </cacheField>
    <cacheField name="MAR" numFmtId="43">
      <sharedItems containsSemiMixedTypes="0" containsString="0" containsMixedTypes="0" containsNumber="1" containsInteger="1" count="0"/>
    </cacheField>
    <cacheField name="ABR" numFmtId="43">
      <sharedItems containsSemiMixedTypes="0" containsString="0" containsMixedTypes="0" containsNumber="1" containsInteger="1" count="0"/>
    </cacheField>
    <cacheField name="MAY" numFmtId="43">
      <sharedItems containsSemiMixedTypes="0" containsString="0" containsMixedTypes="0" containsNumber="1" containsInteger="1" count="0"/>
    </cacheField>
    <cacheField name="JUN" numFmtId="43">
      <sharedItems containsSemiMixedTypes="0" containsString="0" containsMixedTypes="0" containsNumber="1" containsInteger="1" count="0"/>
    </cacheField>
    <cacheField name="JUL" numFmtId="43">
      <sharedItems containsSemiMixedTypes="0" containsString="0" containsMixedTypes="0" containsNumber="1" containsInteger="1" count="0"/>
    </cacheField>
    <cacheField name="AGO" numFmtId="43">
      <sharedItems containsSemiMixedTypes="0" containsString="0" containsMixedTypes="0" containsNumber="1" containsInteger="1" count="0"/>
    </cacheField>
    <cacheField name="SEP" numFmtId="43">
      <sharedItems containsSemiMixedTypes="0" containsString="0" containsMixedTypes="0" containsNumber="1" containsInteger="1" count="0"/>
    </cacheField>
    <cacheField name="OCT" numFmtId="43">
      <sharedItems containsSemiMixedTypes="0" containsString="0" containsMixedTypes="0" containsNumber="1" containsInteger="1" count="0"/>
    </cacheField>
    <cacheField name="NOV" numFmtId="43">
      <sharedItems containsSemiMixedTypes="0" containsString="0" containsMixedTypes="0" containsNumber="1" containsInteger="1" count="0"/>
    </cacheField>
    <cacheField name="DIC" numFmtId="43">
      <sharedItems containsSemiMixedTypes="0" containsString="0" containsMixedTypes="0" containsNumber="1" containsInteger="1" count="0"/>
    </cacheField>
    <cacheField name="TOTAL PROGRAMADO" numFmtId="43">
      <sharedItems containsSemiMixedTypes="0" containsString="0" containsMixedTypes="0" containsNumber="1" containsInteger="1" count="0"/>
    </cacheField>
    <cacheField name="REVISIÓN DE SUMAS" numFmtId="43">
      <sharedItems containsMixedTypes="1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cordCount="340" refreshedBy="GABRIELA MERA" refreshedVersion="5">
  <cacheSource type="worksheet">
    <worksheetSource ref="I5:BC345" sheet="PAPP 2022"/>
  </cacheSource>
  <cacheFields count="47">
    <cacheField name="ACTIVIDAD">
      <sharedItems containsMixedTypes="0" count="0"/>
    </cacheField>
    <cacheField name="PONDERACIÓN">
      <sharedItems containsSemiMixedTypes="0" containsString="0" containsMixedTypes="0" containsNumber="1" containsInteger="1" count="0"/>
    </cacheField>
    <cacheField name="EOD">
      <sharedItems containsMixedTypes="0" count="0"/>
    </cacheField>
    <cacheField name="PG" numFmtId="165">
      <sharedItems containsSemiMixedTypes="0" containsString="0" containsMixedTypes="0" containsNumber="1" containsInteger="1" count="2">
        <n v="1"/>
        <n v="55"/>
      </sharedItems>
    </cacheField>
    <cacheField name="PY" numFmtId="166">
      <sharedItems containsSemiMixedTypes="0" containsString="0" containsMixedTypes="0" containsNumber="1" containsInteger="1" count="0"/>
    </cacheField>
    <cacheField name="AC" numFmtId="166">
      <sharedItems containsSemiMixedTypes="0" containsString="0" containsMixedTypes="0" containsNumber="1" containsInteger="1" count="3">
        <n v="1"/>
        <n v="3"/>
        <n v="2"/>
      </sharedItems>
    </cacheField>
    <cacheField name="GEO" numFmtId="167">
      <sharedItems containsSemiMixedTypes="0" containsString="0" containsMixedTypes="0" containsNumber="1" containsInteger="1" count="0"/>
    </cacheField>
    <cacheField name="NOMBRE GEO" numFmtId="167">
      <sharedItems containsMixedTypes="0" count="5">
        <s v="TULCÁN"/>
        <s v="ESMERALDAS"/>
        <s v="IMBABURA"/>
        <s v="IBARRA"/>
        <s v="LAGO AGRIO"/>
      </sharedItems>
    </cacheField>
    <cacheField name="FTE" numFmtId="166">
      <sharedItems containsSemiMixedTypes="0" containsString="0" containsMixedTypes="0" containsNumber="1" containsInteger="1" count="0"/>
    </cacheField>
    <cacheField name="ORG" numFmtId="167">
      <sharedItems containsSemiMixedTypes="0" containsString="0" containsMixedTypes="0" containsNumber="1" containsInteger="1" count="0"/>
    </cacheField>
    <cacheField name="COR" numFmtId="167">
      <sharedItems containsSemiMixedTypes="0" containsString="0" containsMixedTypes="0" containsNumber="1" containsInteger="1" count="0"/>
    </cacheField>
    <cacheField name="TIPO DE GASTO">
      <sharedItems containsMixedTypes="0" count="0"/>
    </cacheField>
    <cacheField name="GG">
      <sharedItems containsMixedTypes="1" containsNumber="1" containsInteger="1" count="0"/>
    </cacheField>
    <cacheField name="ÍTEM PRESUPUESTARIO">
      <sharedItems containsSemiMixedTypes="0" containsString="0" containsMixedTypes="0" containsNumber="1" containsInteger="1" count="51">
        <n v="530101"/>
        <n v="530104"/>
        <n v="530106"/>
        <n v="530201"/>
        <n v="530203"/>
        <n v="530204"/>
        <n v="530207"/>
        <n v="530209"/>
        <n v="530301"/>
        <n v="530303"/>
        <n v="530402"/>
        <n v="530403"/>
        <n v="530404"/>
        <n v="530405"/>
        <n v="530802"/>
        <n v="530803"/>
        <n v="530804"/>
        <n v="530805"/>
        <n v="530807"/>
        <n v="530811"/>
        <n v="530812"/>
        <n v="530813"/>
        <n v="530820"/>
        <n v="530824"/>
        <n v="530826"/>
        <n v="531403"/>
        <n v="531406"/>
        <n v="570102"/>
        <n v="530105"/>
        <n v="531404"/>
        <n v="531407"/>
        <n v="530502"/>
        <n v="530704"/>
        <n v="510105"/>
        <n v="510106"/>
        <n v="510203"/>
        <n v="510204"/>
        <n v="510509"/>
        <n v="510601"/>
        <n v="510602"/>
        <n v="510510"/>
        <n v="510512"/>
        <n v="510513"/>
        <n v="510707"/>
        <n v="990101"/>
        <n v="510304"/>
        <n v="510306"/>
        <n v="510401"/>
        <n v="510408"/>
        <n v="530202"/>
        <n v="530208"/>
      </sharedItems>
    </cacheField>
    <cacheField name="DESCRIPCIÓN ÍTEM PRESUPUESTARIO">
      <sharedItems containsMixedTypes="0" count="0"/>
    </cacheField>
    <cacheField name="PRESUPUESTO INICIAL" numFmtId="43">
      <sharedItems containsSemiMixedTypes="0" containsString="0" containsMixedTypes="0" containsNumber="1" containsInteger="1" count="0"/>
    </cacheField>
    <cacheField name="PRESUPUESTO VIGENTE - TOTAL" numFmtId="43">
      <sharedItems containsSemiMixedTypes="0" containsString="0" containsMixedTypes="0" containsNumber="1" containsInteger="1" count="0"/>
    </cacheField>
    <cacheField name="ENE" numFmtId="43">
      <sharedItems containsSemiMixedTypes="0" containsString="0" containsMixedTypes="0" containsNumber="1" containsInteger="1" count="0"/>
    </cacheField>
    <cacheField name="ENE2" numFmtId="43">
      <sharedItems containsSemiMixedTypes="0" containsString="0" containsMixedTypes="0" containsNumber="1" containsInteger="1" count="0"/>
    </cacheField>
    <cacheField name="FEB" numFmtId="43">
      <sharedItems containsSemiMixedTypes="0" containsString="0" containsMixedTypes="0" containsNumber="1" containsInteger="1" count="0"/>
    </cacheField>
    <cacheField name="FEB2" numFmtId="43">
      <sharedItems containsSemiMixedTypes="0" containsString="0" containsMixedTypes="0" containsNumber="1" containsInteger="1" count="0"/>
    </cacheField>
    <cacheField name="MAR" numFmtId="43">
      <sharedItems containsSemiMixedTypes="0" containsString="0" containsMixedTypes="0" containsNumber="1" containsInteger="1" count="0"/>
    </cacheField>
    <cacheField name="MAR2" numFmtId="43">
      <sharedItems containsSemiMixedTypes="0" containsString="0" containsMixedTypes="0" containsNumber="1" containsInteger="1" count="0"/>
    </cacheField>
    <cacheField name="ABR" numFmtId="43">
      <sharedItems containsSemiMixedTypes="0" containsString="0" containsMixedTypes="0" containsNumber="1" containsInteger="1" count="0"/>
    </cacheField>
    <cacheField name="ABR2" numFmtId="43">
      <sharedItems containsSemiMixedTypes="0" containsString="0" containsMixedTypes="0" containsNumber="1" containsInteger="1" count="0"/>
    </cacheField>
    <cacheField name="MAY" numFmtId="43">
      <sharedItems containsSemiMixedTypes="0" containsString="0" containsMixedTypes="0" containsNumber="1" containsInteger="1" count="0"/>
    </cacheField>
    <cacheField name="MAY2" numFmtId="43">
      <sharedItems containsSemiMixedTypes="0" containsString="0" containsMixedTypes="0" containsNumber="1" containsInteger="1" count="0"/>
    </cacheField>
    <cacheField name="JUN" numFmtId="43">
      <sharedItems containsSemiMixedTypes="0" containsString="0" containsMixedTypes="0" containsNumber="1" containsInteger="1" count="0"/>
    </cacheField>
    <cacheField name="JUN2" numFmtId="43">
      <sharedItems containsSemiMixedTypes="0" containsString="0" containsMixedTypes="0" containsNumber="1" containsInteger="1" count="0"/>
    </cacheField>
    <cacheField name="JUL" numFmtId="43">
      <sharedItems containsSemiMixedTypes="0" containsString="0" containsMixedTypes="0" containsNumber="1" containsInteger="1" count="0"/>
    </cacheField>
    <cacheField name="JUL2" numFmtId="43">
      <sharedItems containsSemiMixedTypes="0" containsString="0" containsMixedTypes="0" containsNumber="1" containsInteger="1" count="0"/>
    </cacheField>
    <cacheField name="AGO" numFmtId="43">
      <sharedItems containsSemiMixedTypes="0" containsString="0" containsMixedTypes="0" containsNumber="1" containsInteger="1" count="0"/>
    </cacheField>
    <cacheField name="AGO2" numFmtId="43">
      <sharedItems containsSemiMixedTypes="0" containsString="0" containsMixedTypes="0" containsNumber="1" containsInteger="1" count="0"/>
    </cacheField>
    <cacheField name="SEP" numFmtId="43">
      <sharedItems containsSemiMixedTypes="0" containsString="0" containsMixedTypes="0" containsNumber="1" containsInteger="1" count="0"/>
    </cacheField>
    <cacheField name="SEP2" numFmtId="43">
      <sharedItems containsSemiMixedTypes="0" containsString="0" containsMixedTypes="0" containsNumber="1" containsInteger="1" count="0"/>
    </cacheField>
    <cacheField name="OCT" numFmtId="43">
      <sharedItems containsSemiMixedTypes="0" containsString="0" containsMixedTypes="0" containsNumber="1" containsInteger="1" count="0"/>
    </cacheField>
    <cacheField name="OCT2" numFmtId="43">
      <sharedItems containsString="0" containsBlank="1" containsMixedTypes="0" containsNumber="1" containsInteger="1" count="0"/>
    </cacheField>
    <cacheField name="NOV" numFmtId="43">
      <sharedItems containsString="0" containsBlank="1" containsMixedTypes="0" containsNumber="1" containsInteger="1" count="0"/>
    </cacheField>
    <cacheField name="NOV2" numFmtId="43">
      <sharedItems containsSemiMixedTypes="0" containsString="0" containsMixedTypes="0" containsNumber="1" containsInteger="1" count="0"/>
    </cacheField>
    <cacheField name="DIC" numFmtId="43">
      <sharedItems containsString="0" containsBlank="1" containsMixedTypes="0" containsNumber="1" containsInteger="1" count="0"/>
    </cacheField>
    <cacheField name="DIC2" numFmtId="43">
      <sharedItems containsString="0" containsBlank="1" containsMixedTypes="0" containsNumber="1" containsInteger="1" count="0"/>
    </cacheField>
    <cacheField name="TOTAL PROGRAMADO" numFmtId="43">
      <sharedItems containsSemiMixedTypes="0" containsString="0" containsMixedTypes="0" containsNumber="1" containsInteger="1" count="0"/>
    </cacheField>
    <cacheField name="REVISIÓN DE SUMAS" numFmtId="43">
      <sharedItems containsMixedTypes="1" containsNumber="1" containsInteger="1" count="0"/>
    </cacheField>
    <cacheField name="TOTAL EJECUTADO" numFmtId="43">
      <sharedItems containsSemiMixedTypes="0" containsString="0" containsMixedTypes="0" containsNumber="1" containsInteger="1" count="0"/>
    </cacheField>
    <cacheField name="MONTO NO EJECUTADO" numFmtId="43">
      <sharedItems containsSemiMixedTypes="0" containsString="0" containsMixedTypes="0" containsNumber="1" containsInteger="1" count="0"/>
    </cacheField>
    <cacheField name="CERTIFICACIÓN0PAPP" numFmtId="43">
      <sharedItems containsString="0" containsBlank="1" containsMixedTypes="0" containsNumber="1" containsInteger="1" count="0"/>
    </cacheField>
    <cacheField name="SALDO DSIPONIBLE" numFmtId="43">
      <sharedItems containsString="0" containsBlank="1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7"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RRASTRE: CANCELACIÓN POR CONSUMO DE SERVICIO DE AGUA POTABLE CORRESPONDIENTE A DICIEMBRE DEL 2021"/>
    <n v="1"/>
    <x v="0"/>
    <n v="1"/>
    <n v="0"/>
    <n v="1"/>
    <n v="401"/>
    <s v="TULCÁN"/>
    <n v="1"/>
    <n v="0"/>
    <n v="0"/>
    <s v="CORRIENTE"/>
    <x v="0"/>
    <n v="530101"/>
    <s v="AGUA POTABLE"/>
    <n v="100"/>
    <n v="100"/>
    <n v="0"/>
    <n v="100"/>
    <n v="100"/>
    <n v="0"/>
    <n v="0"/>
    <n v="0"/>
    <n v="0"/>
    <n v="0"/>
    <n v="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PROVISIÓN POR CONSUMO DE SERVICIO DE AGUA POTABLE PERIODO ENERO A NOVIEMBRE 2022"/>
    <n v="1"/>
    <x v="0"/>
    <n v="1"/>
    <n v="0"/>
    <n v="1"/>
    <n v="401"/>
    <s v="TULCÁN"/>
    <n v="1"/>
    <n v="0"/>
    <n v="0"/>
    <s v="CORRIENTE"/>
    <x v="0"/>
    <n v="530101"/>
    <s v="AGUA POTABLE"/>
    <n v="605"/>
    <n v="605"/>
    <n v="0"/>
    <n v="605"/>
    <n v="0"/>
    <n v="55"/>
    <n v="55"/>
    <n v="55"/>
    <n v="55"/>
    <n v="55"/>
    <n v="55"/>
    <n v="55"/>
    <n v="55"/>
    <n v="55"/>
    <n v="55"/>
    <n v="55"/>
    <n v="0"/>
    <n v="60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RRASTRE: CANCELACIÓN POR CONSUMO DE SERVICIO DE ENERGÍA ELÉCTRICA CORRESPONDIENTE A DICIEMBRE DEL 2021"/>
    <n v="1"/>
    <x v="0"/>
    <n v="1"/>
    <n v="0"/>
    <n v="1"/>
    <n v="401"/>
    <s v="TULCÁN"/>
    <n v="1"/>
    <n v="0"/>
    <n v="0"/>
    <s v="CORRIENTE"/>
    <x v="0"/>
    <n v="530104"/>
    <s v="ENERGÍA ELÉCTRICA"/>
    <n v="2100"/>
    <n v="2100"/>
    <n v="0"/>
    <n v="2100"/>
    <n v="2100"/>
    <n v="0"/>
    <n v="0"/>
    <n v="0"/>
    <n v="0"/>
    <n v="0"/>
    <n v="0"/>
    <n v="0"/>
    <n v="0"/>
    <n v="0"/>
    <n v="0"/>
    <n v="0"/>
    <n v="0"/>
    <n v="2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PROVISIÓN POR CONSUMO DE SERVICIO DE ENERGÍA ELÉCTRICA PERIODO ENERO A NOVIEMBRE 2022"/>
    <n v="1"/>
    <x v="0"/>
    <n v="1"/>
    <n v="0"/>
    <n v="1"/>
    <n v="401"/>
    <s v="TULCÁN"/>
    <n v="1"/>
    <n v="0"/>
    <n v="0"/>
    <s v="CORRIENTE"/>
    <x v="0"/>
    <n v="530104"/>
    <s v="ENERGÍA ELÉCTRICA"/>
    <n v="16233"/>
    <n v="16233"/>
    <n v="0"/>
    <n v="16233"/>
    <n v="0"/>
    <n v="2319"/>
    <n v="2319"/>
    <n v="2319"/>
    <n v="2319"/>
    <n v="2319"/>
    <n v="2319"/>
    <n v="2319"/>
    <n v="0"/>
    <n v="0"/>
    <n v="0"/>
    <n v="0"/>
    <n v="0"/>
    <n v="1623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RRASTRE: CANCELACIÓN  POR CONSUMO DE SERVICIO DE CORREO NACIONAL A DICIEMBRE DEL 2021"/>
    <n v="2"/>
    <x v="0"/>
    <n v="1"/>
    <n v="0"/>
    <n v="1"/>
    <n v="401"/>
    <s v="TULCÁN"/>
    <n v="1"/>
    <n v="0"/>
    <n v="0"/>
    <s v="CORRIENTE"/>
    <x v="0"/>
    <n v="530106"/>
    <s v="SERVICIO DE CORREO"/>
    <n v="112"/>
    <n v="100"/>
    <n v="12"/>
    <n v="112"/>
    <n v="100"/>
    <n v="0"/>
    <n v="0"/>
    <n v="0"/>
    <n v="0"/>
    <n v="0"/>
    <n v="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 DEL SERVICIO DE CORREO NACIONAL PERIODO ENERO A DICIEMBRE 2022"/>
    <n v="1"/>
    <x v="0"/>
    <n v="1"/>
    <n v="0"/>
    <n v="1"/>
    <n v="401"/>
    <s v="TULCÁN"/>
    <n v="1"/>
    <n v="0"/>
    <n v="0"/>
    <s v="CORRIENTE"/>
    <x v="0"/>
    <n v="530106"/>
    <s v="SERVICIO DE CORREO"/>
    <n v="381.92"/>
    <n v="341"/>
    <n v="40.92"/>
    <n v="381.92"/>
    <n v="0"/>
    <n v="31"/>
    <n v="31"/>
    <n v="31"/>
    <n v="31"/>
    <n v="31"/>
    <n v="31"/>
    <n v="31"/>
    <n v="31"/>
    <n v="31"/>
    <n v="31"/>
    <n v="31"/>
    <n v="0"/>
    <n v="341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RRASTRE: CANCELACIÓN  POR EL  SERVICIO DE TRANSPORTE PERSONAL OPERATIVO DICIEMBRE DEL 2021"/>
    <n v="1"/>
    <x v="0"/>
    <n v="1"/>
    <n v="0"/>
    <n v="1"/>
    <n v="401"/>
    <s v="TULCÁN"/>
    <n v="1"/>
    <n v="0"/>
    <n v="0"/>
    <s v="CORRIENTE"/>
    <x v="0"/>
    <n v="530201"/>
    <s v="TRANSPORTE DE PERSONAL"/>
    <n v="1840"/>
    <n v="1840"/>
    <n v="0"/>
    <n v="1840"/>
    <n v="1840"/>
    <n v="0"/>
    <n v="0"/>
    <n v="0"/>
    <n v="0"/>
    <n v="0"/>
    <n v="0"/>
    <n v="0"/>
    <n v="0"/>
    <n v="0"/>
    <n v="0"/>
    <n v="0"/>
    <n v="0"/>
    <n v="184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 DEL SERVICIO DE TRANSPORTE PARA SERVIDORES DEL ÁREA OPERATIVA DEL CENTRO OPERATIVO LOCAL ECU 911 PARA ENERO-DICIEMBRE 2022, SE PAGA A MES VENCIDO"/>
    <n v="1"/>
    <x v="0"/>
    <n v="1"/>
    <n v="0"/>
    <n v="1"/>
    <n v="401"/>
    <s v="TULCÁN"/>
    <n v="1"/>
    <n v="0"/>
    <n v="0"/>
    <s v="CORRIENTE"/>
    <x v="0"/>
    <n v="530201"/>
    <s v="TRANSPORTE DE PERSONAL"/>
    <n v="26763"/>
    <n v="26763"/>
    <n v="0"/>
    <n v="26763"/>
    <n v="0"/>
    <n v="2433"/>
    <n v="2433"/>
    <n v="2433"/>
    <n v="2433"/>
    <n v="2433"/>
    <n v="2433"/>
    <n v="2433"/>
    <n v="2433"/>
    <n v="2433"/>
    <n v="2433"/>
    <n v="2433"/>
    <n v="0"/>
    <n v="2676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DEL SERVICIO DE RECARGA DE EXTINTORES DEL CENTRO"/>
    <n v="1"/>
    <x v="0"/>
    <n v="1"/>
    <n v="0"/>
    <n v="1"/>
    <n v="401"/>
    <s v="TULCÁN"/>
    <n v="1"/>
    <n v="0"/>
    <n v="0"/>
    <s v="CORRIENTE"/>
    <x v="0"/>
    <n v="530203"/>
    <s v="ALMACENAMIENTO, EMBALAJE, DESEMBALAJE, ENVASE, DESENVASE Y RECARGA DE EXTINTORES"/>
    <n v="340.48"/>
    <n v="304"/>
    <n v="36.48"/>
    <n v="340.48"/>
    <n v="0"/>
    <n v="0"/>
    <n v="0"/>
    <n v="0"/>
    <n v="0"/>
    <n v="0"/>
    <n v="0"/>
    <n v="0"/>
    <n v="0"/>
    <n v="0"/>
    <n v="304"/>
    <n v="0"/>
    <n v="0"/>
    <n v="30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BIENES Y CANCELACIÓN  DE SERVICIOS NO PREVISIBLES, URGENTES Y DE VALOR REDUCIDO (CAJA CHICA)."/>
    <n v="2"/>
    <x v="0"/>
    <n v="1"/>
    <n v="0"/>
    <n v="1"/>
    <n v="401"/>
    <s v="TULCÁN"/>
    <n v="1"/>
    <n v="0"/>
    <n v="0"/>
    <s v="CORRIENTE"/>
    <x v="0"/>
    <n v="530204"/>
    <s v="EDICIÓN, IMPRESIÓN, REPRODUCCIÓN, PUBLICACIONES, SUSCRIPCIONES, FOTOCOPIADO, TRADUCCIÓN, EMPASTADO, ENMARCACIÓN, SERIGRAFÍA, FOTOGRAFÍA, CARNETIZACIÓN, FILMACIÓN E IMÁGENES SATELITALES"/>
    <n v="100"/>
    <n v="100"/>
    <n v="0"/>
    <n v="100"/>
    <n v="0"/>
    <n v="0"/>
    <n v="0"/>
    <n v="0"/>
    <n v="0"/>
    <n v="0"/>
    <n v="0"/>
    <n v="0"/>
    <n v="0"/>
    <n v="0"/>
    <n v="0"/>
    <n v="10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CREDENCIALES CON CORDÓN PARA SERVIDORES DEL ECU 911"/>
    <n v="1"/>
    <x v="0"/>
    <n v="1"/>
    <n v="0"/>
    <n v="1"/>
    <n v="401"/>
    <s v="TULCÁN"/>
    <n v="1"/>
    <n v="0"/>
    <n v="0"/>
    <s v="CORRIENTE"/>
    <x v="0"/>
    <n v="530204"/>
    <s v="EDICIÓN, IMPRESIÓN, REPRODUCCIÓN, PUBLICACIONES, SUSCRIPCIONES, FOTOCOPIADO, TRADUCCIÓN, EMPASTADO, ENMARCACIÓN, SERIGRAFÍA, FOTOGRAFÍA, CARNETIZACIÓN, FILMACIÓN E IMÁGENES SATELITALES"/>
    <n v="450.23999999999995"/>
    <n v="401.99999999999994"/>
    <n v="48.239999999999995"/>
    <n v="450.23999999999995"/>
    <n v="0"/>
    <n v="0"/>
    <n v="0"/>
    <n v="0"/>
    <n v="0"/>
    <n v="402"/>
    <n v="0"/>
    <n v="0"/>
    <n v="0"/>
    <n v="0"/>
    <n v="0"/>
    <n v="0"/>
    <n v="0"/>
    <n v="401.9999999999999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LOCAL DE COMUNICACIÓN SOCIAL"/>
    <s v="COMUNICACIÓN SOCIAL"/>
    <s v="ADQUISICIÓN DE MATERIAL DE POSICIONAMIENTO E IDENTIDAD DEL ECU 911 PARA EL CENTRO OPERATIVO TULCÁN  "/>
    <n v="2"/>
    <x v="0"/>
    <n v="1"/>
    <n v="0"/>
    <n v="1"/>
    <n v="401"/>
    <s v="TULCÁN"/>
    <n v="1"/>
    <n v="0"/>
    <n v="0"/>
    <s v="CORRIENTE"/>
    <x v="0"/>
    <n v="530204"/>
    <s v="EDICIÓN, IMPRESIÓN, REPRODUCCIÓN, PUBLICACIONES, SUSCRIPCIONES, FOTOCOPIADO, TRADUCCIÓN, EMPASTADO, ENMARCACIÓN, SERIGRAFÍA, FOTOGRAFÍA, CARNETIZACIÓN, FILMACIÓN E IMÁGENES SATELITALES"/>
    <n v="1382.0799999999992"/>
    <n v="1233.9999999999993"/>
    <n v="148.0799999999999"/>
    <n v="1382.0799999999992"/>
    <n v="0"/>
    <n v="0"/>
    <n v="0"/>
    <n v="1234"/>
    <n v="0"/>
    <n v="0"/>
    <n v="0"/>
    <n v="0"/>
    <n v="0"/>
    <n v="0"/>
    <n v="0"/>
    <n v="0"/>
    <n v="0"/>
    <n v="1233.999999999999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LOCAL DE COMUNICACIÓN SOCIAL"/>
    <s v="COMUNICACIÓN SOCIAL"/>
    <s v="CANCELACIÓN POR SPOTS PUBLICITARIOS EN RADIO Y TV Y PLATAFORMAS DIGITALES."/>
    <n v="2"/>
    <x v="0"/>
    <n v="1"/>
    <n v="0"/>
    <n v="1"/>
    <n v="401"/>
    <s v="TULCÁN"/>
    <n v="1"/>
    <n v="0"/>
    <n v="0"/>
    <s v="CORRIENTE"/>
    <x v="0"/>
    <n v="530207"/>
    <s v="DIFUSIÓN, INFORMACIÓN Y PUBLICIDAD"/>
    <n v="240.8"/>
    <n v="215"/>
    <n v="25.8"/>
    <n v="240.8"/>
    <n v="0"/>
    <n v="0"/>
    <n v="0"/>
    <n v="0"/>
    <n v="0"/>
    <n v="0"/>
    <n v="0"/>
    <n v="215"/>
    <n v="0"/>
    <n v="0"/>
    <n v="0"/>
    <n v="0"/>
    <n v="0"/>
    <n v="21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RRASTRE: CANCELACIÓN  POR EL SERVICIO DE LIMPIEZA DEL CENTRO OPERATIVO LOCAL ECU 911 DICIEMBRE DEL 2021"/>
    <n v="1"/>
    <x v="0"/>
    <n v="1"/>
    <n v="0"/>
    <n v="1"/>
    <n v="401"/>
    <s v="TULCÁN"/>
    <n v="1"/>
    <n v="0"/>
    <n v="0"/>
    <s v="CORRIENTE"/>
    <x v="0"/>
    <n v="530209"/>
    <s v="SERVICIOS DE ASEO, LAVADO DE VESTIMENTA DE TRABAJO, FUMIGACIÓN, DESINFECCIÓN, LIMPIEZA DE INSTALACIONES, MANEJO DE DESECHOS CONTAMINADOS, RECUPERACIÓN Y CLASIFICACIÓN DE MATERIALES RECICLABLES"/>
    <n v="3311.84"/>
    <n v="2957"/>
    <n v="354.84"/>
    <n v="3311.84"/>
    <n v="2957"/>
    <n v="0"/>
    <n v="0"/>
    <n v="0"/>
    <n v="0"/>
    <n v="0"/>
    <n v="0"/>
    <n v="0"/>
    <n v="0"/>
    <n v="0"/>
    <n v="0"/>
    <n v="0"/>
    <n v="0"/>
    <n v="295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 DEL SERVICIO DE LIMPIEZA PARA EL CENTRO OPERATIVO LOCAL ECU 911 PERIODO 2022 SE PAGA A MES VENCIDO"/>
    <n v="1"/>
    <x v="0"/>
    <n v="1"/>
    <n v="0"/>
    <n v="1"/>
    <n v="401"/>
    <s v="TULCÁN"/>
    <n v="1"/>
    <n v="0"/>
    <n v="0"/>
    <s v="CORRIENTE"/>
    <x v="0"/>
    <n v="530209"/>
    <s v="SERVICIOS DE ASEO, LAVADO DE VESTIMENTA DE TRABAJO, FUMIGACIÓN, DESINFECCIÓN, LIMPIEZA DE INSTALACIONES, MANEJO DE DESECHOS CONTAMINADOS, RECUPERACIÓN Y CLASIFICACIÓN DE MATERIALES RECICLABLES"/>
    <n v="21766.08"/>
    <n v="19434"/>
    <n v="2332.08"/>
    <n v="21766.08"/>
    <n v="0"/>
    <n v="3239"/>
    <n v="3239"/>
    <n v="3239"/>
    <n v="3239"/>
    <n v="3239"/>
    <n v="3239"/>
    <n v="0"/>
    <n v="0"/>
    <n v="0"/>
    <n v="0"/>
    <n v="0"/>
    <n v="0"/>
    <n v="1943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PASAJES AÉREOS PARA LOS FUNCIONARIOS DEL CENTRO AÑO 2022"/>
    <n v="2"/>
    <x v="0"/>
    <n v="1"/>
    <n v="0"/>
    <n v="1"/>
    <n v="401"/>
    <s v="TULCÁN"/>
    <n v="1"/>
    <n v="0"/>
    <n v="0"/>
    <s v="CORRIENTE"/>
    <x v="0"/>
    <n v="530301"/>
    <s v="PASAJES AL INTERIOR"/>
    <n v="100"/>
    <n v="100"/>
    <n v="0"/>
    <n v="100"/>
    <n v="0"/>
    <n v="0"/>
    <n v="0"/>
    <n v="0"/>
    <n v="0"/>
    <n v="0"/>
    <n v="0"/>
    <n v="0"/>
    <n v="0"/>
    <n v="0"/>
    <n v="0"/>
    <n v="10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PROVISIÓN PARA  MOVILIZACIONES TERRESTRES DE FUNCIONARIOS DEL ECU 911  POR ACTIVIDADES INSTITUCIONALES AÑO 2022"/>
    <n v="1"/>
    <x v="0"/>
    <n v="1"/>
    <n v="0"/>
    <n v="1"/>
    <n v="401"/>
    <s v="TULCÁN"/>
    <n v="1"/>
    <n v="0"/>
    <n v="0"/>
    <s v="CORRIENTE"/>
    <x v="0"/>
    <n v="530301"/>
    <s v="PASAJES AL INTERIOR"/>
    <n v="100"/>
    <n v="100"/>
    <n v="0"/>
    <n v="100"/>
    <n v="0"/>
    <n v="0"/>
    <n v="0"/>
    <n v="0"/>
    <n v="0"/>
    <n v="0"/>
    <n v="0"/>
    <n v="0"/>
    <n v="0"/>
    <n v="0"/>
    <n v="0"/>
    <n v="10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PROVISIÓN PARA ALIMENTACIÓN Y ESTADÍA DE LOS FUNCIONARIOS DEL CENTRO OPERATIVO LOCAL ECU 911 CUANDO SALEN A CUMPLIR COMISIÓN DE SERVICIOS FUERA DE SU LUGAR HABITUAL DE TRABAJO AÑO 2022"/>
    <n v="1"/>
    <x v="0"/>
    <n v="1"/>
    <n v="0"/>
    <n v="1"/>
    <n v="401"/>
    <s v="TULCÁN"/>
    <n v="1"/>
    <n v="0"/>
    <n v="0"/>
    <s v="CORRIENTE"/>
    <x v="0"/>
    <n v="530303"/>
    <s v="VIÁTICOS Y SUBSISTENCIAS EN EL INTERIOR"/>
    <n v="960"/>
    <n v="960"/>
    <n v="0"/>
    <n v="960"/>
    <n v="0"/>
    <n v="0"/>
    <n v="0"/>
    <n v="0"/>
    <n v="320"/>
    <n v="0"/>
    <n v="0"/>
    <n v="320"/>
    <n v="0"/>
    <n v="0"/>
    <n v="0"/>
    <n v="320"/>
    <n v="0"/>
    <n v="96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IMPERMEABILIZACIÓN DE TERRAZAS DEL CENTRO OPERATIVO TULCÁN"/>
    <n v="1"/>
    <x v="0"/>
    <n v="1"/>
    <n v="0"/>
    <n v="1"/>
    <n v="401"/>
    <s v="TULCÁN"/>
    <n v="1"/>
    <n v="0"/>
    <n v="0"/>
    <s v="CORRIENTE"/>
    <x v="0"/>
    <n v="530402"/>
    <s v="EDIFICIOS, LOCALES, RESIDENCIAS Y CABLEADO ESTRUCTURADO (INSTALACIÓN, MANTENIMIENTO Y REPARACIÓN)"/>
    <n v="3499.999999999999"/>
    <n v="3124.999999999999"/>
    <n v="374.9999999999999"/>
    <n v="3499.999999999999"/>
    <n v="0"/>
    <n v="0"/>
    <n v="0"/>
    <n v="0"/>
    <n v="0"/>
    <n v="0"/>
    <n v="0"/>
    <n v="0"/>
    <n v="3124.9999999999995"/>
    <n v="0"/>
    <n v="0"/>
    <n v="0"/>
    <n v="0"/>
    <n v="3124.999999999999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PARA MANTENIMIENTO DE INFRAESTRUCTURA DEL CENTRO OPERATIVO LOCAL ECU 911 TULCÁN PARA EL 2022"/>
    <n v="2"/>
    <x v="0"/>
    <n v="1"/>
    <n v="0"/>
    <n v="1"/>
    <n v="401"/>
    <s v="TULCÁN"/>
    <n v="1"/>
    <n v="0"/>
    <n v="0"/>
    <s v="CORRIENTE"/>
    <x v="0"/>
    <n v="530402"/>
    <s v="EDIFICIOS, LOCALES, RESIDENCIAS Y CABLEADO ESTRUCTURADO (INSTALACIÓN, MANTENIMIENTO Y REPARACIÓN)"/>
    <n v="5500.319999999997"/>
    <n v="4910.999999999997"/>
    <n v="589.3199999999996"/>
    <n v="5500.319999999997"/>
    <n v="0"/>
    <n v="0"/>
    <n v="0"/>
    <n v="0"/>
    <n v="0"/>
    <n v="0"/>
    <n v="0"/>
    <n v="4911"/>
    <n v="0"/>
    <n v="0"/>
    <n v="0"/>
    <n v="0"/>
    <n v="0"/>
    <n v="4910.99999999999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DEL SERVICIO DE MANTENIMIENTO Y REPARACIÓN DE MOBILIARIO DEL CENTRO AÑO 2022"/>
    <n v="2"/>
    <x v="0"/>
    <n v="1"/>
    <n v="0"/>
    <n v="1"/>
    <n v="401"/>
    <s v="TULCÁN"/>
    <n v="1"/>
    <n v="0"/>
    <n v="0"/>
    <s v="CORRIENTE"/>
    <x v="0"/>
    <n v="530403"/>
    <s v="MOBILIARIOS (INSTALACIÓN, MANTENIMIENTO Y REPARACIÓN)"/>
    <n v="1000.1599999999996"/>
    <n v="892.9999999999997"/>
    <n v="107.15999999999995"/>
    <n v="1000.1599999999996"/>
    <n v="0"/>
    <n v="0"/>
    <n v="0"/>
    <n v="0"/>
    <n v="0"/>
    <n v="0"/>
    <n v="0"/>
    <n v="0"/>
    <n v="0"/>
    <n v="893"/>
    <n v="0"/>
    <n v="0"/>
    <n v="0"/>
    <n v="892.999999999999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 CONTRATACIÓN SERVICIO DE MANTENIMIENTO RELOJ BIOMÉTRICO "/>
    <n v="1"/>
    <x v="0"/>
    <n v="1"/>
    <n v="0"/>
    <n v="1"/>
    <n v="401"/>
    <s v="TULCÁN"/>
    <n v="1"/>
    <n v="0"/>
    <n v="0"/>
    <s v="CORRIENTE"/>
    <x v="0"/>
    <n v="530404"/>
    <s v="MAQUINARIAS Y EQUIPOS (INSTALACIÓN, MANTENIMIENTO Y REPARACIÓN)"/>
    <n v="350.56"/>
    <n v="313"/>
    <n v="37.559999999999995"/>
    <n v="350.56"/>
    <n v="0"/>
    <n v="0"/>
    <n v="0"/>
    <n v="0"/>
    <n v="0"/>
    <n v="313"/>
    <n v="0"/>
    <n v="0"/>
    <n v="0"/>
    <n v="0"/>
    <n v="0"/>
    <n v="0"/>
    <n v="0"/>
    <n v="31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DEL SERVICIO DE MANTENIMIENTO PREVENTIVO Y CORRECTIVO DEL ASCENSOR AÑO 2022"/>
    <n v="1"/>
    <x v="0"/>
    <n v="1"/>
    <n v="0"/>
    <n v="1"/>
    <n v="401"/>
    <s v="TULCÁN"/>
    <n v="1"/>
    <n v="0"/>
    <n v="0"/>
    <s v="CORRIENTE"/>
    <x v="0"/>
    <n v="530404"/>
    <s v="MAQUINARIAS Y EQUIPOS (INSTALACIÓN, MANTENIMIENTO Y REPARACIÓN)"/>
    <n v="2106.72"/>
    <n v="1881"/>
    <n v="225.72"/>
    <n v="2106.72"/>
    <n v="0"/>
    <n v="171"/>
    <n v="171"/>
    <n v="171"/>
    <n v="171"/>
    <n v="171"/>
    <n v="171"/>
    <n v="171"/>
    <n v="171"/>
    <n v="171"/>
    <n v="171"/>
    <n v="171"/>
    <n v="0"/>
    <n v="1881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DE REENCAUCHE DE LLANTAS DE LOS VEHÍCULOS DEL CENTRO OPERATIVO ECU 911  AÑO 2022 A FIN DE CUMPLIR EN LO ESTABLECIDO EN LA NORMATIVA PARA INSTITUCIONES DEL ESTADO"/>
    <n v="2"/>
    <x v="0"/>
    <n v="1"/>
    <n v="0"/>
    <n v="1"/>
    <n v="401"/>
    <s v="TULCÁN"/>
    <n v="1"/>
    <n v="0"/>
    <n v="0"/>
    <s v="CORRIENTE"/>
    <x v="0"/>
    <n v="530405"/>
    <s v="VEHÍCULOS (SERVICIO PARA MANTENIMIENTO Y REPARACIÓN)"/>
    <n v="960.96"/>
    <n v="858"/>
    <n v="102.96"/>
    <n v="960.96"/>
    <n v="0"/>
    <n v="0"/>
    <n v="0"/>
    <n v="0"/>
    <n v="0"/>
    <n v="0"/>
    <n v="0"/>
    <n v="0"/>
    <n v="0"/>
    <n v="858"/>
    <n v="0"/>
    <n v="0"/>
    <n v="0"/>
    <n v="85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DE MANO DE OBRA PARA MANTENIMIENTO DE VEHÍCULOS LIVIANOS DEL CENTRO OPERATIVO  ECU 911 PARA GARANTIZAR OPERATIVIDAD"/>
    <n v="1"/>
    <x v="0"/>
    <n v="1"/>
    <n v="0"/>
    <n v="1"/>
    <n v="401"/>
    <s v="TULCÁN"/>
    <n v="1"/>
    <n v="0"/>
    <n v="0"/>
    <s v="CORRIENTE"/>
    <x v="0"/>
    <n v="530405"/>
    <s v="VEHÍCULOS (SERVICIO PARA MANTENIMIENTO Y REPARACIÓN)"/>
    <n v="651.84"/>
    <n v="582"/>
    <n v="69.84"/>
    <n v="651.84"/>
    <n v="0"/>
    <n v="0"/>
    <n v="0"/>
    <n v="194"/>
    <n v="0"/>
    <n v="0"/>
    <n v="0"/>
    <n v="194"/>
    <n v="0"/>
    <n v="0"/>
    <n v="194"/>
    <n v="0"/>
    <n v="0"/>
    <n v="582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 ADQUISICIÓN DE EQUIPOS DE PROTECCIÓN INDIVIDUAL Y ROPA DE TRABAJO"/>
    <n v="1"/>
    <x v="0"/>
    <n v="1"/>
    <n v="0"/>
    <n v="1"/>
    <n v="401"/>
    <s v="TULCÁN"/>
    <n v="1"/>
    <n v="0"/>
    <n v="0"/>
    <s v="CORRIENTE"/>
    <x v="0"/>
    <n v="530802"/>
    <s v="VESTUARIO, LENCERÍA, PRENDAS DE PROTECCIÓN Y ACCESORIOS PARA UNIFORMES DEL PERSONAL DE PROTECCIÓN, VIGILANCIA Y SEGURIDAD"/>
    <n v="1249.92"/>
    <n v="1116"/>
    <n v="133.92"/>
    <n v="1249.92"/>
    <n v="0"/>
    <n v="0"/>
    <n v="0"/>
    <n v="0"/>
    <n v="0"/>
    <n v="1116"/>
    <n v="0"/>
    <n v="0"/>
    <n v="0"/>
    <n v="0"/>
    <n v="0"/>
    <n v="0"/>
    <n v="0"/>
    <n v="1116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COMBUSTIBLES, LUBRICANTES, Y ADITIVOS EN GENERAL PARA MANTENIMIENTO DE LOS VEHÍCULOS DEL CENTRO OPERATIVO ECU 911 AÑO 2021"/>
    <n v="1"/>
    <x v="0"/>
    <n v="1"/>
    <n v="0"/>
    <n v="1"/>
    <n v="401"/>
    <s v="TULCÁN"/>
    <n v="1"/>
    <n v="0"/>
    <n v="0"/>
    <s v="CORRIENTE"/>
    <x v="0"/>
    <n v="530803"/>
    <s v="COMBUSTIBLES Y LUBRICANTES"/>
    <n v="366.24"/>
    <n v="327"/>
    <n v="39.24"/>
    <n v="366.24"/>
    <n v="0"/>
    <n v="0"/>
    <n v="0"/>
    <n v="109"/>
    <n v="0"/>
    <n v="0"/>
    <n v="0"/>
    <n v="109"/>
    <n v="0"/>
    <n v="0"/>
    <n v="109"/>
    <n v="0"/>
    <n v="0"/>
    <n v="32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COMBUSTIBLES PARA MOVILIZACIÓN DE VEHÍCULOS DEL CENTRO PERIODO 2021 "/>
    <n v="1"/>
    <x v="0"/>
    <n v="1"/>
    <n v="0"/>
    <n v="1"/>
    <n v="401"/>
    <s v="TULCÁN"/>
    <n v="1"/>
    <n v="0"/>
    <n v="0"/>
    <s v="CORRIENTE"/>
    <x v="0"/>
    <n v="530803"/>
    <s v="COMBUSTIBLES Y LUBRICANTES"/>
    <n v="1100.9599999999998"/>
    <n v="982.9999999999998"/>
    <n v="117.95999999999997"/>
    <n v="1100.9599999999998"/>
    <n v="0"/>
    <n v="0"/>
    <n v="0"/>
    <n v="0"/>
    <n v="0"/>
    <n v="0"/>
    <n v="0"/>
    <n v="0"/>
    <n v="0"/>
    <n v="0"/>
    <n v="982.9999999999998"/>
    <n v="0"/>
    <n v="0"/>
    <n v="982.999999999999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COMBUSTIBLES PERIODO 2022 PARA ABASTECIMIENTO DE GENERADORES"/>
    <n v="1"/>
    <x v="0"/>
    <n v="1"/>
    <n v="0"/>
    <n v="1"/>
    <n v="401"/>
    <s v="TULCÁN"/>
    <n v="1"/>
    <n v="0"/>
    <n v="0"/>
    <s v="CORRIENTE"/>
    <x v="0"/>
    <n v="530803"/>
    <s v="COMBUSTIBLES Y LUBRICANTES"/>
    <n v="400.9599999999998"/>
    <n v="357.99999999999983"/>
    <n v="42.95999999999998"/>
    <n v="400.9599999999998"/>
    <n v="0"/>
    <n v="0"/>
    <n v="0"/>
    <n v="0"/>
    <n v="0"/>
    <n v="0"/>
    <n v="357.9999999999999"/>
    <n v="0"/>
    <n v="0"/>
    <n v="0"/>
    <n v="0"/>
    <n v="0"/>
    <n v="0"/>
    <n v="357.9999999999998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ELABORACIÓN DE FORMULARIOS PRE-IMPRESOS Y PRE-NUMERADOS PARA VALES DE CAJA CHICA, INGRESOS Y EGRESOS DE BODEGA, ÓRDENES DE COMBUSTIBLE, ÓRDENES DE MANTENIMIENTO, FORMULARIOS DE PERMISOS DE PERSONAL, SOLICITUD DE MOVILIZACIÓN"/>
    <n v="2"/>
    <x v="0"/>
    <n v="1"/>
    <n v="0"/>
    <n v="1"/>
    <n v="401"/>
    <s v="TULCÁN"/>
    <n v="1"/>
    <n v="0"/>
    <n v="0"/>
    <s v="CORRIENTE"/>
    <x v="0"/>
    <n v="530804"/>
    <s v="MATERIALES DE OFICINA"/>
    <n v="112"/>
    <n v="100"/>
    <n v="12"/>
    <n v="112"/>
    <n v="0"/>
    <n v="0"/>
    <n v="0"/>
    <n v="0"/>
    <n v="100"/>
    <n v="0"/>
    <n v="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MATERIALES DE OFICINA AÑO 2022"/>
    <n v="1"/>
    <x v="0"/>
    <n v="1"/>
    <n v="0"/>
    <n v="1"/>
    <n v="401"/>
    <s v="TULCÁN"/>
    <n v="1"/>
    <n v="0"/>
    <n v="0"/>
    <s v="CORRIENTE"/>
    <x v="0"/>
    <n v="530804"/>
    <s v="MATERIALES DE OFICINA"/>
    <n v="699.9999999999999"/>
    <n v="624.9999999999999"/>
    <n v="74.99999999999999"/>
    <n v="699.9999999999999"/>
    <n v="0"/>
    <n v="0"/>
    <n v="0"/>
    <n v="0"/>
    <n v="624.9999999999999"/>
    <n v="0"/>
    <n v="0"/>
    <n v="0"/>
    <n v="0"/>
    <n v="0"/>
    <n v="0"/>
    <n v="0"/>
    <n v="0"/>
    <n v="624.9999999999999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MATERIALES DE ASEO PARA EL CENTRO OPERATIVO LOCAL ECU 911 TULCÁN AÑO 2022"/>
    <n v="1"/>
    <x v="0"/>
    <n v="1"/>
    <n v="0"/>
    <n v="1"/>
    <n v="401"/>
    <s v="TULCÁN"/>
    <n v="1"/>
    <n v="0"/>
    <n v="0"/>
    <s v="CORRIENTE"/>
    <x v="0"/>
    <n v="530805"/>
    <s v="MATERIALES DE ASEO"/>
    <n v="500.6399999999998"/>
    <n v="446.99999999999983"/>
    <n v="53.63999999999998"/>
    <n v="500.6399999999998"/>
    <n v="0"/>
    <n v="0"/>
    <n v="0"/>
    <n v="0"/>
    <n v="0"/>
    <n v="447"/>
    <n v="0"/>
    <n v="0"/>
    <n v="0"/>
    <n v="0"/>
    <n v="0"/>
    <n v="0"/>
    <n v="0"/>
    <n v="446.9999999999998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TONERS NEGRO Y DE COLOR PARA IMPRESORAS DEL CENTRO OPERATIVO LOCAL ECU 911 TULCÁN AÑO 2022"/>
    <n v="1"/>
    <x v="0"/>
    <n v="1"/>
    <n v="0"/>
    <n v="1"/>
    <n v="401"/>
    <s v="TULCÁN"/>
    <n v="1"/>
    <n v="0"/>
    <n v="0"/>
    <s v="CORRIENTE"/>
    <x v="0"/>
    <n v="530807"/>
    <s v="MATERIALES DE IMPRESIÓN, FOTOGRAFÍA, REPRODUCCIÓN Y PUBLICACIONES"/>
    <n v="3499.999999999999"/>
    <n v="3124.999999999999"/>
    <n v="374.9999999999999"/>
    <n v="3499.999999999999"/>
    <n v="0"/>
    <n v="0"/>
    <n v="0"/>
    <n v="0"/>
    <n v="0"/>
    <n v="0"/>
    <n v="0"/>
    <n v="0"/>
    <n v="3124.9999999999995"/>
    <n v="0"/>
    <n v="0"/>
    <n v="0"/>
    <n v="0"/>
    <n v="3124.999999999999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ANCELACIÓN  POR REPRODUCCIÓN DE REGLAMENTO INTERNO DE HIGIENE Y SEGURIDAD EN EL TRABAJO DE BOLSILLO PARA DISTRIBUIR A LOS SERVIDORES  Y TRABAJADORES DE LA COORDINACIÓN ZONAL 1 SERVICIO INTEGRADO DE SEGURIDAD ECU 911."/>
    <n v="1"/>
    <x v="0"/>
    <n v="1"/>
    <n v="0"/>
    <n v="1"/>
    <n v="401"/>
    <s v="TULCÁN"/>
    <n v="1"/>
    <n v="0"/>
    <n v="0"/>
    <s v="CORRIENTE"/>
    <x v="0"/>
    <n v="530807"/>
    <s v="MATERIALES DE IMPRESIÓN, FOTOGRAFÍA, REPRODUCCIÓN Y PUBLICACIONES"/>
    <n v="112"/>
    <n v="100"/>
    <n v="12"/>
    <n v="112"/>
    <n v="0"/>
    <n v="0"/>
    <n v="0"/>
    <n v="100"/>
    <n v="0"/>
    <n v="0"/>
    <n v="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SEÑALÉTICA DE SEGURIDAD PARA CENTROS OPERATIVOS LOCAL ECU 911 TULCÁN"/>
    <n v="1"/>
    <x v="0"/>
    <n v="1"/>
    <n v="0"/>
    <n v="1"/>
    <n v="401"/>
    <s v="TULCÁN"/>
    <n v="1"/>
    <n v="0"/>
    <n v="0"/>
    <s v="CORRIENTE"/>
    <x v="0"/>
    <n v="530807"/>
    <s v="MATERIALES DE IMPRESIÓN, FOTOGRAFÍA, REPRODUCCIÓN Y PUBLICACIONES"/>
    <n v="567.84"/>
    <n v="507"/>
    <n v="60.839999999999996"/>
    <n v="567.84"/>
    <n v="0"/>
    <n v="0"/>
    <n v="0"/>
    <n v="0"/>
    <n v="0"/>
    <n v="0"/>
    <n v="0"/>
    <n v="0"/>
    <n v="0"/>
    <n v="0"/>
    <n v="507"/>
    <n v="0"/>
    <n v="0"/>
    <n v="50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BIENES Y PAGO DE SERVICIOS NO PREVISIBLES, URGENTES Y DE VALOR REDUCIDO (CAJA CHICA)."/>
    <n v="2"/>
    <x v="0"/>
    <n v="1"/>
    <n v="0"/>
    <n v="1"/>
    <n v="401"/>
    <s v="TULCÁN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400"/>
    <n v="400"/>
    <n v="0"/>
    <n v="400"/>
    <n v="0"/>
    <n v="0"/>
    <n v="0"/>
    <n v="0"/>
    <n v="0"/>
    <n v="0"/>
    <n v="0"/>
    <n v="0"/>
    <n v="0"/>
    <n v="0"/>
    <n v="0"/>
    <n v="400"/>
    <n v="0"/>
    <n v="4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 MATERIAL DE FERRETERÍA COMO: FLUXÓMETROS, EMPAQUES, SISTEMAS DE DESAGÜE, EMPASTES, PINTURA DE INTERIOR Y EXTERIOR, SILICONAS, SOLVENTES, PINTURA ESMALTE, MATERIAL ELÉCTRICO, TACOS, PERNOS, TUERCAS AÑO 2022"/>
    <n v="1"/>
    <x v="0"/>
    <n v="1"/>
    <n v="0"/>
    <n v="1"/>
    <n v="401"/>
    <s v="TULCÁN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2500.96"/>
    <n v="2233"/>
    <n v="267.96"/>
    <n v="2500.96"/>
    <n v="0"/>
    <n v="0"/>
    <n v="0"/>
    <n v="0"/>
    <n v="0"/>
    <n v="0"/>
    <n v="2233"/>
    <n v="0"/>
    <n v="0"/>
    <n v="0"/>
    <n v="0"/>
    <n v="0"/>
    <n v="0"/>
    <n v="223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LOCAL DE COMUNICACIÓN SOCIAL"/>
    <s v="COMUNICACIÓN SOCIAL"/>
    <s v="ADQUISICIÓN DE CARPA PARA VINCULACIÓN"/>
    <n v="2"/>
    <x v="0"/>
    <n v="1"/>
    <n v="0"/>
    <n v="1"/>
    <n v="401"/>
    <s v="TULCÁN"/>
    <n v="1"/>
    <n v="0"/>
    <n v="0"/>
    <s v="CORRIENTE"/>
    <x v="0"/>
    <n v="530812"/>
    <s v="MATERIALES DIDÁCTICOS"/>
    <n v="200.4799999999999"/>
    <n v="178.99999999999991"/>
    <n v="21.47999999999999"/>
    <n v="200.4799999999999"/>
    <n v="0"/>
    <n v="0"/>
    <n v="0"/>
    <n v="0"/>
    <n v="0"/>
    <n v="0"/>
    <n v="0"/>
    <n v="179"/>
    <n v="0"/>
    <n v="0"/>
    <n v="0"/>
    <n v="0"/>
    <n v="0"/>
    <n v="178.99999999999991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LOCAL DE COMUNICACIÓN SOCIAL"/>
    <s v="COMUNICACIÓN SOCIAL"/>
    <s v="ADQUISICIÓN DE UN  INFLABLE PARA VINCULACIÓN"/>
    <n v="2"/>
    <x v="0"/>
    <n v="1"/>
    <n v="0"/>
    <n v="1"/>
    <n v="401"/>
    <s v="TULCÁN"/>
    <n v="1"/>
    <n v="0"/>
    <n v="0"/>
    <s v="CORRIENTE"/>
    <x v="0"/>
    <n v="530812"/>
    <s v="MATERIALES DIDÁCTICOS"/>
    <n v="600.3199999999996"/>
    <n v="535.9999999999997"/>
    <n v="64.31999999999995"/>
    <n v="600.3199999999996"/>
    <n v="0"/>
    <n v="0"/>
    <n v="0"/>
    <n v="0"/>
    <n v="0"/>
    <n v="0"/>
    <n v="0"/>
    <n v="0"/>
    <n v="536"/>
    <n v="0"/>
    <n v="0"/>
    <n v="0"/>
    <n v="0"/>
    <n v="535.999999999999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REPUESTOS PARA SECADORES DE MANO "/>
    <n v="1"/>
    <x v="0"/>
    <n v="1"/>
    <n v="0"/>
    <n v="1"/>
    <n v="401"/>
    <s v="TULCÁN"/>
    <n v="1"/>
    <n v="0"/>
    <n v="0"/>
    <s v="CORRIENTE"/>
    <x v="0"/>
    <n v="530813"/>
    <s v="REPUESTOS Y ACCESORIOS"/>
    <n v="200.4799999999999"/>
    <n v="178.99999999999991"/>
    <n v="21.47999999999999"/>
    <n v="200.4799999999999"/>
    <n v="0"/>
    <n v="0"/>
    <n v="0"/>
    <n v="0"/>
    <n v="179"/>
    <n v="0"/>
    <n v="0"/>
    <n v="0"/>
    <n v="0"/>
    <n v="0"/>
    <n v="0"/>
    <n v="0"/>
    <n v="0"/>
    <n v="178.99999999999991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REPUESTOS PARA MANTENIMIENTO DE VEHÍCULOS LIVIANOS DEL CENTRO OPERATIVO  ECU 911 POR EL PERÍODO 2022"/>
    <n v="1"/>
    <x v="0"/>
    <n v="1"/>
    <n v="0"/>
    <n v="1"/>
    <n v="401"/>
    <s v="TULCÁN"/>
    <n v="1"/>
    <n v="0"/>
    <n v="0"/>
    <s v="CORRIENTE"/>
    <x v="0"/>
    <n v="530813"/>
    <s v="REPUESTOS Y ACCESORIOS"/>
    <n v="430.0799999999998"/>
    <n v="383.99999999999983"/>
    <n v="46.07999999999998"/>
    <n v="430.0799999999998"/>
    <n v="0"/>
    <n v="0"/>
    <n v="0"/>
    <n v="128"/>
    <n v="0"/>
    <n v="0"/>
    <n v="0"/>
    <n v="128"/>
    <n v="0"/>
    <n v="0"/>
    <n v="128"/>
    <n v="0"/>
    <n v="0"/>
    <n v="383.9999999999998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REPUESTOS COMO FILTROS DE IMAGEN, MOTOR, CUCHILLAS, RODILLOS, PIÑONES, UÑETAS, COMPONENTES ELECTRÓNICOS INTERNOS DE IMPRESORAS"/>
    <n v="1"/>
    <x v="0"/>
    <n v="1"/>
    <n v="0"/>
    <n v="1"/>
    <n v="401"/>
    <s v="TULCÁN"/>
    <n v="1"/>
    <n v="0"/>
    <n v="0"/>
    <s v="CORRIENTE"/>
    <x v="0"/>
    <n v="530813"/>
    <s v="REPUESTOS Y ACCESORIOS"/>
    <n v="2000.3199999999993"/>
    <n v="1785.9999999999993"/>
    <n v="214.3199999999999"/>
    <n v="2000.3199999999993"/>
    <n v="0"/>
    <n v="0"/>
    <n v="0"/>
    <n v="0"/>
    <n v="0"/>
    <n v="0"/>
    <n v="0"/>
    <n v="1786"/>
    <n v="0"/>
    <n v="0"/>
    <n v="0"/>
    <n v="0"/>
    <n v="0"/>
    <n v="1785.999999999999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DOS DISCOS DUROS DE 1 TB"/>
    <n v="2"/>
    <x v="0"/>
    <n v="1"/>
    <n v="0"/>
    <n v="1"/>
    <n v="401"/>
    <s v="TULCÁN"/>
    <n v="1"/>
    <n v="0"/>
    <n v="0"/>
    <s v="CORRIENTE"/>
    <x v="0"/>
    <n v="530813"/>
    <s v="REPUESTOS Y ACCESORIOS"/>
    <n v="180.3199999999999"/>
    <n v="160.99999999999991"/>
    <n v="19.31999999999999"/>
    <n v="180.3199999999999"/>
    <n v="0"/>
    <n v="0"/>
    <n v="0"/>
    <n v="0"/>
    <n v="161"/>
    <n v="0"/>
    <n v="0"/>
    <n v="0"/>
    <n v="0"/>
    <n v="0"/>
    <n v="0"/>
    <n v="0"/>
    <n v="0"/>
    <n v="160.99999999999991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MENAJE DE HOGAR, TOALLAS PARA EL ÁREA DE DORMITORIOS, MANTELES PARA EL ÁREA DEL CATERING"/>
    <n v="3"/>
    <x v="0"/>
    <n v="1"/>
    <n v="0"/>
    <n v="1"/>
    <n v="401"/>
    <s v="TULCÁN"/>
    <n v="1"/>
    <n v="0"/>
    <n v="0"/>
    <s v="CORRIENTE"/>
    <x v="0"/>
    <n v="530820"/>
    <s v="MENAJE Y ACCESORIOS DESCARTABLES"/>
    <n v="300.1599999999998"/>
    <n v="267.99999999999983"/>
    <n v="32.159999999999975"/>
    <n v="300.1599999999998"/>
    <n v="0"/>
    <n v="0"/>
    <n v="0"/>
    <n v="0"/>
    <n v="0"/>
    <n v="268"/>
    <n v="0"/>
    <n v="0"/>
    <n v="0"/>
    <n v="0"/>
    <n v="0"/>
    <n v="0"/>
    <n v="0"/>
    <n v="267.9999999999998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LOCAL DE COMUNICACIÓN SOCIAL"/>
    <s v="COMUNICACIÓN SOCIAL"/>
    <s v="ADQUISICIÓN DE PROGRAMAS PARA EDICIÓN DE AUDIO Y VIDEO"/>
    <n v="2"/>
    <x v="0"/>
    <n v="1"/>
    <n v="0"/>
    <n v="1"/>
    <n v="401"/>
    <s v="TULCÁN"/>
    <n v="1"/>
    <n v="0"/>
    <n v="0"/>
    <s v="CORRIENTE"/>
    <x v="0"/>
    <n v="530824"/>
    <s v="INSUMOS, BIENES Y MATERIALES PARA PRODUCCIÓN DE PROGRAMAS DE RADIO, TELEVISIÓN, EVENTOS CULTURALES, ARTÍSTICOS Y ENTRETENIMIENTO EN GENERAL"/>
    <n v="1000.1599999999996"/>
    <n v="892.9999999999997"/>
    <n v="107.15999999999995"/>
    <n v="1000.1599999999996"/>
    <n v="0"/>
    <n v="0"/>
    <n v="0"/>
    <n v="0"/>
    <n v="0"/>
    <n v="0"/>
    <n v="0"/>
    <n v="0"/>
    <n v="893"/>
    <n v="0"/>
    <n v="0"/>
    <n v="0"/>
    <n v="0"/>
    <n v="892.999999999999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LOCAL DE COMUNICACIÓN SOCIAL"/>
    <s v="COMUNICACIÓN SOCIAL"/>
    <s v="ADQUISICIÓN MICRÓFONO PARA CÁMARA DE VIDEO "/>
    <n v="2"/>
    <x v="0"/>
    <n v="1"/>
    <n v="0"/>
    <n v="1"/>
    <n v="401"/>
    <s v="TULCÁN"/>
    <n v="1"/>
    <n v="0"/>
    <n v="0"/>
    <s v="CORRIENTE"/>
    <x v="0"/>
    <n v="530824"/>
    <s v="INSUMOS, BIENES Y MATERIALES PARA PRODUCCIÓN DE PROGRAMAS DE RADIO, TELEVISIÓN, EVENTOS CULTURALES, ARTÍSTICOS Y ENTRETENIMIENTO EN GENERAL"/>
    <n v="112"/>
    <n v="100"/>
    <n v="12"/>
    <n v="112"/>
    <n v="0"/>
    <n v="0"/>
    <n v="0"/>
    <n v="0"/>
    <n v="0"/>
    <n v="0"/>
    <n v="0"/>
    <n v="10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MASCARILLA QUIRÚRGICA 3 CAPAS ELÁSTICO TAMAÑO ESTÁNDAR "/>
    <n v="1"/>
    <x v="0"/>
    <n v="1"/>
    <n v="0"/>
    <n v="1"/>
    <n v="401"/>
    <s v="TULCÁN"/>
    <n v="1"/>
    <n v="0"/>
    <n v="0"/>
    <s v="CORRIENTE"/>
    <x v="0"/>
    <n v="530826"/>
    <s v="DISPOSITIVOS MÉDICOS DE USO GENERAL"/>
    <n v="470.3999999999998"/>
    <n v="419.99999999999983"/>
    <n v="50.39999999999998"/>
    <n v="470.3999999999998"/>
    <n v="0"/>
    <n v="0"/>
    <n v="420"/>
    <n v="0"/>
    <n v="0"/>
    <n v="0"/>
    <n v="0"/>
    <n v="0"/>
    <n v="0"/>
    <n v="0"/>
    <n v="0"/>
    <n v="0"/>
    <n v="0"/>
    <n v="419.9999999999998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BASUREROS DE BAÑO DE ACERO INOXIDABLE CON TAPA PARA EL CENTRO OPERATIVO LOCAL ECU 911 TULCÁN"/>
    <n v="2"/>
    <x v="0"/>
    <n v="1"/>
    <n v="0"/>
    <n v="1"/>
    <n v="401"/>
    <s v="TULCÁN"/>
    <n v="1"/>
    <n v="0"/>
    <n v="0"/>
    <s v="CORRIENTE"/>
    <x v="0"/>
    <n v="531403"/>
    <s v="MOBILIARIO "/>
    <n v="500.6399999999998"/>
    <n v="446.99999999999983"/>
    <n v="53.63999999999998"/>
    <n v="500.6399999999998"/>
    <n v="0"/>
    <n v="0"/>
    <n v="0"/>
    <n v="0"/>
    <n v="0"/>
    <n v="447"/>
    <n v="0"/>
    <n v="0"/>
    <n v="0"/>
    <n v="0"/>
    <n v="0"/>
    <n v="0"/>
    <n v="0"/>
    <n v="446.9999999999998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HERRAMIENTAS Y EQUIPOS MENORES NECESARIOS PARA EL  CENTRO"/>
    <n v="2"/>
    <x v="0"/>
    <n v="1"/>
    <n v="0"/>
    <n v="1"/>
    <n v="401"/>
    <s v="TULCÁN"/>
    <n v="1"/>
    <n v="0"/>
    <n v="0"/>
    <s v="CORRIENTE"/>
    <x v="0"/>
    <n v="531406"/>
    <s v="HERRAMIENTAS Y EQUIPOS MENORES"/>
    <n v="112"/>
    <n v="100"/>
    <n v="12"/>
    <n v="112"/>
    <n v="0"/>
    <n v="0"/>
    <n v="0"/>
    <n v="0"/>
    <n v="100"/>
    <n v="0"/>
    <n v="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MATRICULACIÓN Y REVISIÓN VEHICULAR DE LOS VEHÍCULOS DEL CENTRO OPERATIVO LOCAL ECU 911 TULCÁN AÑO 2022"/>
    <n v="1"/>
    <x v="0"/>
    <n v="1"/>
    <n v="0"/>
    <n v="1"/>
    <n v="401"/>
    <s v="TULCÁN"/>
    <n v="1"/>
    <n v="0"/>
    <n v="0"/>
    <s v="CORRIENTE"/>
    <x v="1"/>
    <n v="570102"/>
    <s v="TASAS GENERALES, IMPUESTOS, CONTRIBUCIONES, PERMISOS, LICENCIAS Y PATENTES"/>
    <n v="230"/>
    <n v="230"/>
    <n v="0"/>
    <n v="230"/>
    <n v="0"/>
    <n v="0"/>
    <n v="0"/>
    <n v="230"/>
    <n v="0"/>
    <n v="0"/>
    <n v="0"/>
    <n v="0"/>
    <n v="0"/>
    <n v="0"/>
    <n v="0"/>
    <n v="0"/>
    <n v="0"/>
    <n v="23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ANCELACIÓN DEL PERMISO DE FUNCIONAMIENTO DEL CUERPO DE BOMBEROS AÑO 2022"/>
    <n v="1"/>
    <x v="0"/>
    <n v="1"/>
    <n v="0"/>
    <n v="1"/>
    <n v="401"/>
    <s v="TULCÁN"/>
    <n v="1"/>
    <n v="0"/>
    <n v="0"/>
    <s v="CORRIENTE"/>
    <x v="1"/>
    <n v="570102"/>
    <s v="TASAS GENERALES, IMPUESTOS, CONTRIBUCIONES, PERMISOS, LICENCIAS Y PATENTES"/>
    <n v="100"/>
    <n v="100"/>
    <n v="0"/>
    <n v="100"/>
    <n v="0"/>
    <n v="0"/>
    <n v="0"/>
    <n v="100"/>
    <n v="0"/>
    <n v="0"/>
    <n v="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ANCELACIÓN POR TASA DE MEJORAS EN EL MUNICIPIO AÑO 2022"/>
    <n v="1"/>
    <x v="0"/>
    <n v="1"/>
    <n v="0"/>
    <n v="1"/>
    <n v="401"/>
    <s v="TULCÁN"/>
    <n v="1"/>
    <n v="0"/>
    <n v="0"/>
    <s v="CORRIENTE"/>
    <x v="1"/>
    <n v="570102"/>
    <s v="TASAS GENERALES, IMPUESTOS, CONTRIBUCIONES, PERMISOS, LICENCIAS Y PATENTES"/>
    <n v="1600"/>
    <n v="1600"/>
    <n v="0"/>
    <n v="1600"/>
    <n v="0"/>
    <n v="0"/>
    <n v="0"/>
    <n v="1600"/>
    <n v="0"/>
    <n v="0"/>
    <n v="0"/>
    <n v="0"/>
    <n v="0"/>
    <n v="0"/>
    <n v="0"/>
    <n v="0"/>
    <n v="0"/>
    <n v="16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BIENES Y PAGO DE SERVICIOS NO PREVISIBLES, URGENTES Y DE VALOR REDUCIDO (CAJA CHICA)."/>
    <n v="1"/>
    <x v="0"/>
    <n v="1"/>
    <n v="0"/>
    <n v="1"/>
    <n v="401"/>
    <s v="TULCÁN"/>
    <n v="1"/>
    <n v="0"/>
    <n v="0"/>
    <s v="CORRIENTE"/>
    <x v="1"/>
    <n v="570102"/>
    <s v="TASAS GENERALES, IMPUESTOS, CONTRIBUCIONES, PERMISOS, LICENCIAS Y PATENTES"/>
    <n v="100"/>
    <n v="100"/>
    <n v="0"/>
    <n v="100"/>
    <n v="0"/>
    <n v="0"/>
    <n v="0"/>
    <n v="100"/>
    <n v="0"/>
    <n v="0"/>
    <n v="0"/>
    <n v="0"/>
    <n v="0"/>
    <n v="0"/>
    <n v="0"/>
    <n v="0"/>
    <n v="0"/>
    <n v="10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ARRASTRE: CANCELACIÓN POR DE SERVICIOS DE TELECOMUNICACIONES CORRESPONDIENTE A DICIEMBRE DEL 2021"/>
    <n v="1"/>
    <x v="0"/>
    <n v="55"/>
    <n v="0"/>
    <n v="3"/>
    <n v="401"/>
    <s v="TULCÁN"/>
    <n v="1"/>
    <n v="0"/>
    <n v="0"/>
    <s v="CORRIENTE"/>
    <x v="0"/>
    <n v="530105"/>
    <s v="TELECOMUNICACIONES"/>
    <n v="10300.639999999994"/>
    <n v="9196.999999999995"/>
    <n v="1103.6399999999994"/>
    <n v="10300.639999999994"/>
    <n v="9196.999999999995"/>
    <n v="0"/>
    <n v="0"/>
    <n v="0"/>
    <n v="0"/>
    <n v="0"/>
    <n v="0"/>
    <n v="0"/>
    <n v="0"/>
    <n v="0"/>
    <n v="0"/>
    <n v="0"/>
    <n v="0"/>
    <n v="9196.999999999995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CONTRATACIÓN DE SERVICIOS DE TELECOMUNICACIONES CORRESPONDIENTE AL CONTRATO ENERO-DICIEMBRE 2021"/>
    <n v="1"/>
    <x v="0"/>
    <n v="55"/>
    <n v="0"/>
    <n v="3"/>
    <n v="401"/>
    <s v="TULCÁN"/>
    <n v="1"/>
    <n v="0"/>
    <n v="0"/>
    <s v="CORRIENTE"/>
    <x v="0"/>
    <n v="530105"/>
    <s v="TELECOMUNICACIONES"/>
    <n v="78010.24"/>
    <n v="69652"/>
    <n v="8358.24"/>
    <n v="78010.24"/>
    <n v="0"/>
    <n v="6332"/>
    <n v="6332"/>
    <n v="6332"/>
    <n v="6332"/>
    <n v="6332"/>
    <n v="6332"/>
    <n v="6332"/>
    <n v="6332"/>
    <n v="6332"/>
    <n v="6332"/>
    <n v="6332"/>
    <n v="0"/>
    <n v="69652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ADQUISICIÓN DE BIENES Y PAGO DE SERVICIOS NO PREVISIBLES, URGENTES Y DE VALOR REDUCIDO (CAJA CHICA)."/>
    <n v="2"/>
    <x v="0"/>
    <n v="55"/>
    <n v="0"/>
    <n v="3"/>
    <n v="401"/>
    <s v="TULCÁN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300"/>
    <n v="300"/>
    <n v="0"/>
    <n v="300"/>
    <n v="0"/>
    <n v="0"/>
    <n v="0"/>
    <n v="0"/>
    <n v="0"/>
    <n v="0"/>
    <n v="0"/>
    <n v="0"/>
    <n v="0"/>
    <n v="0"/>
    <n v="0"/>
    <n v="300"/>
    <n v="0"/>
    <n v="30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ADQUISICIÓN DE MATERIALES E INSUMOS PARA MANTENIMIENTOS E INSTALACIONES TECNOLÓGICAS DEL CENTRO"/>
    <n v="1"/>
    <x v="0"/>
    <n v="55"/>
    <n v="0"/>
    <n v="3"/>
    <n v="401"/>
    <s v="TULCÁN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1200.6399999999992"/>
    <n v="1071.9999999999993"/>
    <n v="128.6399999999999"/>
    <n v="1200.6399999999992"/>
    <n v="0"/>
    <n v="0"/>
    <n v="0"/>
    <n v="0"/>
    <n v="1072"/>
    <n v="0"/>
    <n v="0"/>
    <n v="0"/>
    <n v="0"/>
    <n v="0"/>
    <n v="0"/>
    <n v="0"/>
    <n v="0"/>
    <n v="1071.9999999999993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ADQUISICIÓN DE BIENES Y PAGO DE SERVICIOS NO PREVISIBLES, URGENTES Y DE VALOR REDUCIDO (CAJA CHICA)."/>
    <n v="2"/>
    <x v="0"/>
    <n v="55"/>
    <n v="0"/>
    <n v="3"/>
    <n v="401"/>
    <s v="TULCÁN"/>
    <n v="1"/>
    <n v="0"/>
    <n v="0"/>
    <s v="CORRIENTE"/>
    <x v="0"/>
    <n v="530813"/>
    <s v="REPUESTOS Y ACCESORIOS"/>
    <n v="150"/>
    <n v="150"/>
    <n v="0"/>
    <n v="150"/>
    <n v="0"/>
    <n v="0"/>
    <n v="0"/>
    <n v="50"/>
    <n v="0"/>
    <n v="0"/>
    <n v="50"/>
    <n v="0"/>
    <n v="0"/>
    <n v="50"/>
    <n v="0"/>
    <n v="0"/>
    <n v="0"/>
    <n v="15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ADQUISICIÓN DE REPUESTOS  Y ACCESORIOS PARA TECNOLOGÍA LOCAL"/>
    <n v="1"/>
    <x v="0"/>
    <n v="55"/>
    <n v="0"/>
    <n v="3"/>
    <n v="401"/>
    <s v="TULCÁN"/>
    <n v="1"/>
    <n v="0"/>
    <n v="0"/>
    <s v="CORRIENTE"/>
    <x v="0"/>
    <n v="530813"/>
    <s v="REPUESTOS Y ACCESORIOS"/>
    <n v="5200.159999999998"/>
    <n v="4642.999999999998"/>
    <n v="557.1599999999997"/>
    <n v="5200.159999999998"/>
    <n v="0"/>
    <n v="0"/>
    <n v="0"/>
    <n v="0"/>
    <n v="0"/>
    <n v="0"/>
    <n v="0"/>
    <n v="4643"/>
    <n v="0"/>
    <n v="0"/>
    <n v="0"/>
    <n v="0"/>
    <n v="0"/>
    <n v="4642.99999999999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RRASTRE: CANCELACIÓN POR CONSUMO DE SERVICIO DE AGUA POTABLE CORRESPONDIENTE A DICIEMBRE DEL 2021"/>
    <n v="1"/>
    <x v="0"/>
    <n v="1"/>
    <n v="0"/>
    <n v="1"/>
    <n v="801"/>
    <s v="ESMERALDAS"/>
    <n v="1"/>
    <n v="0"/>
    <n v="0"/>
    <s v="CORRIENTE"/>
    <x v="0"/>
    <n v="530101"/>
    <s v="AGUA POTABLE"/>
    <n v="100"/>
    <n v="100"/>
    <n v="0"/>
    <n v="100"/>
    <n v="100"/>
    <n v="0"/>
    <n v="0"/>
    <n v="0"/>
    <n v="0"/>
    <n v="0"/>
    <n v="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PROVISIÓN POR CONSUMO DE SERVICIO DE AGUA POTABLE PERIODO ENERO A NOVIEMBRE 2022"/>
    <n v="1"/>
    <x v="0"/>
    <n v="1"/>
    <n v="0"/>
    <n v="1"/>
    <n v="801"/>
    <s v="ESMERALDAS"/>
    <n v="1"/>
    <n v="0"/>
    <n v="0"/>
    <s v="CORRIENTE"/>
    <x v="0"/>
    <n v="530101"/>
    <s v="AGUA POTABLE"/>
    <n v="880"/>
    <n v="880"/>
    <n v="0"/>
    <n v="880"/>
    <n v="0"/>
    <n v="80"/>
    <n v="80"/>
    <n v="80"/>
    <n v="80"/>
    <n v="80"/>
    <n v="80"/>
    <n v="80"/>
    <n v="80"/>
    <n v="80"/>
    <n v="80"/>
    <n v="80"/>
    <n v="0"/>
    <n v="88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RRASTRE: CANCELACIÓN POR CONSUMO DE SERVICIO DE ENERGÍA ELÉCTRICA CORRESPONDIENTE A DICIEMBRE DEL 2021"/>
    <n v="1"/>
    <x v="0"/>
    <n v="1"/>
    <n v="0"/>
    <n v="1"/>
    <n v="801"/>
    <s v="ESMERALDAS"/>
    <n v="1"/>
    <n v="0"/>
    <n v="0"/>
    <s v="CORRIENTE"/>
    <x v="0"/>
    <n v="530104"/>
    <s v="ENERGÍA ELÉCTRICA"/>
    <n v="5500"/>
    <n v="5500"/>
    <n v="0"/>
    <n v="5500"/>
    <n v="5500"/>
    <n v="0"/>
    <n v="0"/>
    <n v="0"/>
    <n v="0"/>
    <n v="0"/>
    <n v="0"/>
    <n v="0"/>
    <n v="0"/>
    <n v="0"/>
    <n v="0"/>
    <n v="0"/>
    <n v="0"/>
    <n v="55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PROVISIÓN POR CONSUMO DE SERVICIO DE ENERGÍA ELÉCTRICA PERIODO ENERO A NOVIEMBRE 2022"/>
    <n v="1"/>
    <x v="0"/>
    <n v="1"/>
    <n v="0"/>
    <n v="1"/>
    <n v="801"/>
    <s v="ESMERALDAS"/>
    <n v="1"/>
    <n v="0"/>
    <n v="0"/>
    <s v="CORRIENTE"/>
    <x v="0"/>
    <n v="530104"/>
    <s v="ENERGÍA ELÉCTRICA"/>
    <n v="38500"/>
    <n v="38500"/>
    <n v="0"/>
    <n v="38500"/>
    <n v="0"/>
    <n v="5500"/>
    <n v="5500"/>
    <n v="5500"/>
    <n v="5500"/>
    <n v="5500"/>
    <n v="5500"/>
    <n v="5500"/>
    <n v="0"/>
    <n v="0"/>
    <n v="0"/>
    <n v="0"/>
    <n v="0"/>
    <n v="385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RRASTRE: CANCELACIÓN  POR CONSUMO DE SERVICIO DE CORREO NACIONAL A DICIEMBRE DEL 2021"/>
    <n v="2"/>
    <x v="0"/>
    <n v="1"/>
    <n v="0"/>
    <n v="1"/>
    <n v="801"/>
    <s v="ESMERALDAS"/>
    <n v="1"/>
    <n v="0"/>
    <n v="0"/>
    <s v="CORRIENTE"/>
    <x v="0"/>
    <n v="530106"/>
    <s v="SERVICIO DE CORREO"/>
    <n v="112"/>
    <n v="100"/>
    <n v="12"/>
    <n v="112"/>
    <n v="100"/>
    <n v="0"/>
    <n v="0"/>
    <n v="0"/>
    <n v="0"/>
    <n v="0"/>
    <n v="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 DEL SERVICIO DE CORREO NACIONAL PERIODO ENERO A DICIEMBRE 2022"/>
    <n v="1"/>
    <x v="0"/>
    <n v="1"/>
    <n v="0"/>
    <n v="1"/>
    <n v="801"/>
    <s v="ESMERALDAS"/>
    <n v="1"/>
    <n v="0"/>
    <n v="0"/>
    <s v="CORRIENTE"/>
    <x v="0"/>
    <n v="530106"/>
    <s v="SERVICIO DE CORREO"/>
    <n v="517.44"/>
    <n v="462"/>
    <n v="55.44"/>
    <n v="517.44"/>
    <n v="0"/>
    <n v="42"/>
    <n v="42"/>
    <n v="42"/>
    <n v="42"/>
    <n v="42"/>
    <n v="42"/>
    <n v="42"/>
    <n v="42"/>
    <n v="42"/>
    <n v="42"/>
    <n v="42"/>
    <n v="0"/>
    <n v="462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RRASTRE: CANCELACIÓN  POR EL  SERVICIO DE TRANSPORTE PERSONAL OPERATIVO DICIEMBRE DEL 2021"/>
    <n v="1"/>
    <x v="0"/>
    <n v="1"/>
    <n v="0"/>
    <n v="1"/>
    <n v="801"/>
    <s v="ESMERALDAS"/>
    <n v="1"/>
    <n v="0"/>
    <n v="0"/>
    <s v="CORRIENTE"/>
    <x v="0"/>
    <n v="530201"/>
    <s v="TRANSPORTE DE PERSONAL "/>
    <n v="4592"/>
    <n v="4592"/>
    <n v="0"/>
    <n v="4592"/>
    <n v="4592"/>
    <n v="0"/>
    <n v="0"/>
    <n v="0"/>
    <n v="0"/>
    <n v="0"/>
    <n v="0"/>
    <n v="0"/>
    <n v="0"/>
    <n v="0"/>
    <n v="0"/>
    <n v="0"/>
    <n v="0"/>
    <n v="4592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 DEL SERVICIO DE TRANSPORTE PARA SERVIDORES DEL ÁREA OPERATIVA DEL CENTRO OPERATIVO LOCAL ECU 911 PARA ENERO-DICIEMBRE 2022, SE PAGA A MES VENCIDO"/>
    <n v="1"/>
    <x v="0"/>
    <n v="1"/>
    <n v="0"/>
    <n v="1"/>
    <n v="801"/>
    <s v="ESMERALDAS"/>
    <n v="1"/>
    <n v="0"/>
    <n v="0"/>
    <s v="CORRIENTE"/>
    <x v="0"/>
    <n v="530201"/>
    <s v="TRANSPORTE DE PERSONAL "/>
    <n v="50523"/>
    <n v="50523"/>
    <n v="0"/>
    <n v="50523"/>
    <n v="0"/>
    <n v="4593"/>
    <n v="4593"/>
    <n v="4593"/>
    <n v="4593"/>
    <n v="4593"/>
    <n v="4593"/>
    <n v="4593"/>
    <n v="4593"/>
    <n v="4593"/>
    <n v="4593"/>
    <n v="4593"/>
    <n v="0"/>
    <n v="5052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DEL SERVICIO DE RECARGA DE EXTINTORES DEL CENTRO"/>
    <n v="1"/>
    <x v="0"/>
    <n v="1"/>
    <n v="0"/>
    <n v="1"/>
    <n v="801"/>
    <s v="ESMERALDAS"/>
    <n v="1"/>
    <n v="0"/>
    <n v="0"/>
    <s v="CORRIENTE"/>
    <x v="0"/>
    <n v="530203"/>
    <s v="ALMACENAMIENTO, EMBALAJE, DESEMBALAJE, ENVASE, DESENVASE Y RECARGA DE EXTINTORES"/>
    <n v="500.6399999999998"/>
    <n v="446.99999999999983"/>
    <n v="53.63999999999998"/>
    <n v="500.6399999999998"/>
    <n v="0"/>
    <n v="0"/>
    <n v="0"/>
    <n v="0"/>
    <n v="0"/>
    <n v="0"/>
    <n v="0"/>
    <n v="447"/>
    <n v="0"/>
    <n v="0"/>
    <n v="0"/>
    <n v="0"/>
    <n v="0"/>
    <n v="446.9999999999998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LOCAL DE COMUNICACIÓN SOCIAL"/>
    <s v="COMUNICACIÓN SOCIAL"/>
    <s v="CONTRATACIÓN SERVICIO DE IMPRESIÓN DE VINIL ADHESIVO PARA BRANDEO COMUNICACIONAL INTERNO DEL CENTRO"/>
    <n v="1"/>
    <x v="0"/>
    <n v="1"/>
    <n v="0"/>
    <n v="1"/>
    <n v="801"/>
    <s v="ESMERALDAS"/>
    <n v="1"/>
    <n v="0"/>
    <n v="0"/>
    <s v="CORRIENTE"/>
    <x v="0"/>
    <n v="530204"/>
    <s v="EDICIÓN, IMPRESIÓN, REPRODUCCIÓN, PUBLICACIONES, SUSCRIPCIONES, FOTOCOPIADO, TRADUCCIÓN, EMPASTADO, ENMARCACIÓN, SERIGRAFÍA, FOTOGRAFÍA, CARNETIZACIÓN, FILMACIÓN E IMÁGENES SATELITALES"/>
    <n v="1882.7199999999998"/>
    <n v="1680.9999999999998"/>
    <n v="201.71999999999997"/>
    <n v="1882.7199999999998"/>
    <n v="0"/>
    <n v="0"/>
    <n v="0"/>
    <n v="0"/>
    <n v="1681"/>
    <n v="0"/>
    <n v="0"/>
    <n v="0"/>
    <n v="0"/>
    <n v="0"/>
    <n v="0"/>
    <n v="0"/>
    <n v="0"/>
    <n v="1680.999999999999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LOCAL DE COMUNICACIÓN SOCIAL"/>
    <s v="COMUNICACIÓN SOCIAL"/>
    <s v="ADQUISICIÓN DE MATERIAL DE POSICIONAMIENTO E IDENTIDAD DEL ECU 911 PARA EL CENTRO"/>
    <n v="1"/>
    <x v="0"/>
    <n v="1"/>
    <n v="0"/>
    <n v="1"/>
    <n v="801"/>
    <s v="ESMERALDAS"/>
    <n v="1"/>
    <n v="0"/>
    <n v="0"/>
    <s v="CORRIENTE"/>
    <x v="0"/>
    <n v="530204"/>
    <s v="EDICIÓN, IMPRESIÓN, REPRODUCCIÓN, PUBLICACIONES, SUSCRIPCIONES, FOTOCOPIADO, TRADUCCIÓN, EMPASTADO, ENMARCACIÓN, SERIGRAFÍA, FOTOGRAFÍA, CARNETIZACIÓN, FILMACIÓN E IMÁGENES SATELITALES"/>
    <n v="1448.16"/>
    <n v="1293"/>
    <n v="155.16"/>
    <n v="1448.16"/>
    <n v="0"/>
    <n v="0"/>
    <n v="0"/>
    <n v="1293"/>
    <n v="0"/>
    <n v="0"/>
    <n v="0"/>
    <n v="0"/>
    <n v="0"/>
    <n v="0"/>
    <n v="0"/>
    <n v="0"/>
    <n v="0"/>
    <n v="129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LOCAL DE COMUNICACIÓN SOCIAL"/>
    <s v="COMUNICACIÓN SOCIAL"/>
    <s v="CONTRATACIÓN SPOTS PUBLICITARIOS EN RADIO, TV Y PLATAFORMAS DIGITALES"/>
    <n v="1"/>
    <x v="0"/>
    <n v="1"/>
    <n v="0"/>
    <n v="1"/>
    <n v="801"/>
    <s v="ESMERALDAS"/>
    <n v="1"/>
    <n v="0"/>
    <n v="0"/>
    <s v="CORRIENTE"/>
    <x v="0"/>
    <n v="530207"/>
    <s v="DIFUSIÓN, INFORMACIÓN Y PUBLICIDAD"/>
    <n v="500.6399999999998"/>
    <n v="446.99999999999983"/>
    <n v="53.63999999999998"/>
    <n v="500.6399999999998"/>
    <n v="0"/>
    <n v="0"/>
    <n v="0"/>
    <n v="0"/>
    <n v="447"/>
    <n v="0"/>
    <n v="0"/>
    <n v="0"/>
    <n v="0"/>
    <n v="0"/>
    <n v="0"/>
    <n v="0"/>
    <n v="0"/>
    <n v="446.9999999999998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RRASTRE: CANCELACIÓN  POR EL SERVICIO DE LIMPIEZA DEL CENTRO OPERATIVO LOCAL ECU 911 DICIEMBRE DEL 2021"/>
    <n v="1"/>
    <x v="0"/>
    <n v="1"/>
    <n v="0"/>
    <n v="1"/>
    <n v="801"/>
    <s v="ESMERALDAS"/>
    <n v="1"/>
    <n v="0"/>
    <n v="0"/>
    <s v="CORRIENTE"/>
    <x v="0"/>
    <n v="530209"/>
    <s v="SERVICIOS DE ASEO, LAVADO DE VESTIMENTA DE TRABAJO, FUMIGACIÓN, DESINFECCIÓN, LIMPIEZA DE INSTALACIONES, MANEJO DE DESECHOS CONTAMINADOS, RECUPERACIÓN Y CLASIFICACIÓN DE MATERIALES RECICLABLES"/>
    <n v="3328.6399999999985"/>
    <n v="2971.9999999999986"/>
    <n v="356.6399999999998"/>
    <n v="3328.6399999999985"/>
    <n v="2972"/>
    <n v="0"/>
    <n v="0"/>
    <n v="0"/>
    <n v="0"/>
    <n v="0"/>
    <n v="0"/>
    <n v="0"/>
    <n v="0"/>
    <n v="0"/>
    <n v="0"/>
    <n v="0"/>
    <n v="0"/>
    <n v="2971.9999999999986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 DEL SERVICIO DE LIMPIEZA PARA EL CENTRO OPERATIVO LOCAL ECU 911 PERIODO 2022 SE PAGA A MES VENCIDO"/>
    <n v="1"/>
    <x v="0"/>
    <n v="1"/>
    <n v="0"/>
    <n v="1"/>
    <n v="801"/>
    <s v="ESMERALDAS"/>
    <n v="1"/>
    <n v="0"/>
    <n v="0"/>
    <s v="CORRIENTE"/>
    <x v="0"/>
    <n v="530209"/>
    <s v="SERVICIOS DE ASEO, LAVADO DE VESTIMENTA DE TRABAJO, FUMIGACIÓN, DESINFECCIÓN, LIMPIEZA DE INSTALACIONES, MANEJO DE DESECHOS CONTAMINADOS, RECUPERACIÓN Y CLASIFICACIÓN DE MATERIALES RECICLABLES"/>
    <n v="19965.12"/>
    <n v="17826"/>
    <n v="2139.12"/>
    <n v="19965.12"/>
    <n v="0"/>
    <n v="2971"/>
    <n v="2971"/>
    <n v="2971"/>
    <n v="2971"/>
    <n v="2971"/>
    <n v="2971"/>
    <n v="0"/>
    <n v="0"/>
    <n v="0"/>
    <n v="0"/>
    <n v="0"/>
    <n v="0"/>
    <n v="17826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PROVISIÓN PARA  MOVILIZACIONES TERRESTRES DE FUNCIONARIOS DEL ECU 911  POR ACTIVIDADES INSTITUCIONALES AÑO 2022"/>
    <n v="1"/>
    <x v="0"/>
    <n v="1"/>
    <n v="0"/>
    <n v="1"/>
    <n v="801"/>
    <s v="ESMERALDAS"/>
    <n v="1"/>
    <n v="0"/>
    <n v="0"/>
    <s v="CORRIENTE"/>
    <x v="0"/>
    <n v="530301"/>
    <s v="PASAJES AL INTERIOR"/>
    <n v="200"/>
    <n v="200"/>
    <n v="0"/>
    <n v="200"/>
    <n v="0"/>
    <n v="0"/>
    <n v="0"/>
    <n v="0"/>
    <n v="0"/>
    <n v="0"/>
    <n v="200"/>
    <n v="0"/>
    <n v="0"/>
    <n v="0"/>
    <n v="0"/>
    <n v="0"/>
    <n v="0"/>
    <n v="2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PROVISIÓN PARA ALIMENTACIÓN Y ESTADÍA DE LOS FUNCIONARIOS DEL CENTRO OPERATIVO LOCAL ECU 911 CUANDO SALEN A CUMPLIR COMISIÓN DE SERVICIOS FUERA DE SU LUGAR HABITUAL DE TRABAJO AÑO 2022"/>
    <n v="1"/>
    <x v="0"/>
    <n v="1"/>
    <n v="0"/>
    <n v="1"/>
    <n v="801"/>
    <s v="ESMERALDAS"/>
    <n v="1"/>
    <n v="0"/>
    <n v="0"/>
    <s v="CORRIENTE"/>
    <x v="0"/>
    <n v="530303"/>
    <s v="VIÁTICOS Y SUBSISTENCIAS EN EL INTERIOR"/>
    <n v="2001"/>
    <n v="2001"/>
    <n v="0"/>
    <n v="2001"/>
    <n v="0"/>
    <n v="0"/>
    <n v="0"/>
    <n v="667"/>
    <n v="0"/>
    <n v="0"/>
    <n v="667"/>
    <n v="0"/>
    <n v="0"/>
    <n v="0"/>
    <n v="667"/>
    <n v="0"/>
    <n v="0"/>
    <n v="2001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PARA MANTENIMIENTO DE INFRAESTRUCTURA DEL CENTRO OPERATIVO LOCAL ECU 911 ESMERALDAS PARA EL 2022"/>
    <n v="1"/>
    <x v="0"/>
    <n v="1"/>
    <n v="0"/>
    <n v="1"/>
    <n v="801"/>
    <s v="ESMERALDAS"/>
    <n v="1"/>
    <n v="0"/>
    <n v="0"/>
    <s v="CORRIENTE"/>
    <x v="0"/>
    <n v="530402"/>
    <s v="EDIFICIOS, LOCALES, RESIDENCIAS Y CABLEADO ESTRUCTURADO (INSTALACIÓN, MANTENIMIENTO Y REPARACIÓN)"/>
    <n v="5500.319999999997"/>
    <n v="4910.999999999997"/>
    <n v="589.3199999999996"/>
    <n v="5500.319999999997"/>
    <n v="0"/>
    <n v="0"/>
    <n v="0"/>
    <n v="0"/>
    <n v="0"/>
    <n v="4911"/>
    <n v="0"/>
    <n v="0"/>
    <n v="0"/>
    <n v="0"/>
    <n v="0"/>
    <n v="0"/>
    <n v="0"/>
    <n v="4910.99999999999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SERVICIO PARA MANTENIMIENTO DE ALUCUBON EXTERNO"/>
    <n v="1"/>
    <x v="0"/>
    <n v="1"/>
    <n v="0"/>
    <n v="1"/>
    <n v="801"/>
    <s v="ESMERALDAS"/>
    <n v="1"/>
    <n v="0"/>
    <n v="0"/>
    <s v="CORRIENTE"/>
    <x v="0"/>
    <n v="530402"/>
    <s v="EDIFICIOS, LOCALES, RESIDENCIAS Y CABLEADO ESTRUCTURADO (INSTALACIÓN, MANTENIMIENTO Y REPARACIÓN)"/>
    <n v="2020.48"/>
    <n v="1804"/>
    <n v="216.48"/>
    <n v="2020.48"/>
    <n v="0"/>
    <n v="0"/>
    <n v="0"/>
    <n v="0"/>
    <n v="0"/>
    <n v="1804"/>
    <n v="0"/>
    <n v="0"/>
    <n v="0"/>
    <n v="0"/>
    <n v="0"/>
    <n v="0"/>
    <n v="0"/>
    <n v="180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SERVICIO DE MANTENIMIENTO ASCENSOR HYUNDAI"/>
    <n v="1"/>
    <x v="0"/>
    <n v="1"/>
    <n v="0"/>
    <n v="1"/>
    <n v="801"/>
    <s v="ESMERALDAS"/>
    <n v="1"/>
    <n v="0"/>
    <n v="0"/>
    <s v="CORRIENTE"/>
    <x v="0"/>
    <n v="530404"/>
    <s v="MAQUINARIAS Y EQUIPOS (INSTALACIÓN, MANTENIMIENTO Y REPARACIÓN)"/>
    <n v="1063.9999999999995"/>
    <n v="949.9999999999995"/>
    <n v="113.99999999999994"/>
    <n v="1063.9999999999995"/>
    <n v="0"/>
    <n v="0"/>
    <n v="189.99999999999997"/>
    <n v="0"/>
    <n v="189.99999999999997"/>
    <n v="0"/>
    <n v="189.99999999999997"/>
    <n v="0"/>
    <n v="189.99999999999997"/>
    <n v="0"/>
    <n v="189.99999999999997"/>
    <n v="0"/>
    <n v="0"/>
    <n v="949.999999999999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 CONTRATACIÓN SERVICIO DE MANTENIMIENTO RELOJ BIOMÉTRICO "/>
    <n v="1"/>
    <x v="0"/>
    <n v="1"/>
    <n v="0"/>
    <n v="1"/>
    <n v="801"/>
    <s v="ESMERALDAS"/>
    <n v="1"/>
    <n v="0"/>
    <n v="0"/>
    <s v="CORRIENTE"/>
    <x v="0"/>
    <n v="530404"/>
    <s v="MAQUINARIAS Y EQUIPOS (INSTALACIÓN, MANTENIMIENTO Y REPARACIÓN)"/>
    <n v="269.92"/>
    <n v="241"/>
    <n v="28.919999999999998"/>
    <n v="269.92"/>
    <n v="0"/>
    <n v="0"/>
    <n v="0"/>
    <n v="0"/>
    <n v="241"/>
    <n v="0"/>
    <n v="0"/>
    <n v="0"/>
    <n v="0"/>
    <n v="0"/>
    <n v="0"/>
    <n v="0"/>
    <n v="0"/>
    <n v="241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SERVICIO PARA MANTENIMIENTO PREVENTIVO Y CORRECTIVO DEL BUS INSTITUCIONAL "/>
    <n v="1"/>
    <x v="0"/>
    <n v="1"/>
    <n v="0"/>
    <n v="1"/>
    <n v="801"/>
    <s v="ESMERALDAS"/>
    <n v="1"/>
    <n v="0"/>
    <n v="0"/>
    <s v="CORRIENTE"/>
    <x v="0"/>
    <n v="530405"/>
    <s v="VEHÍCULOS (SERVICIO PARA MANTENIMIENTO Y REPARACIÓN)"/>
    <n v="300.1599999999998"/>
    <n v="267.99999999999983"/>
    <n v="32.159999999999975"/>
    <n v="300.1599999999998"/>
    <n v="0"/>
    <n v="0"/>
    <n v="0"/>
    <n v="0"/>
    <n v="134"/>
    <n v="0"/>
    <n v="0"/>
    <n v="0"/>
    <n v="0"/>
    <n v="134"/>
    <n v="0"/>
    <n v="0"/>
    <n v="0"/>
    <n v="267.9999999999998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 CONTRATACIÓN SERVICIO PARA MANTENIMIENTO PREVENTIVO Y CORRECTIVO DE VEHÍCULOS LIVIANOS DEL CENTRO OPERATIVO  ECU 911 PARA GARANTIZAR OPERATIVIDAD"/>
    <n v="1"/>
    <x v="0"/>
    <n v="1"/>
    <n v="0"/>
    <n v="1"/>
    <n v="801"/>
    <s v="ESMERALDAS"/>
    <n v="1"/>
    <n v="0"/>
    <n v="0"/>
    <s v="CORRIENTE"/>
    <x v="0"/>
    <n v="530405"/>
    <s v="VEHÍCULOS (SERVICIO PARA MANTENIMIENTO Y REPARACIÓN)"/>
    <n v="2402.4"/>
    <n v="2145"/>
    <n v="257.4"/>
    <n v="2402.4"/>
    <n v="0"/>
    <n v="0"/>
    <n v="429"/>
    <n v="0"/>
    <n v="429"/>
    <n v="0"/>
    <n v="429"/>
    <n v="0"/>
    <n v="429"/>
    <n v="0"/>
    <n v="429"/>
    <n v="0"/>
    <n v="0"/>
    <n v="214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 ADQUISICIÓN DE EQUIPOS DE PROTECCIÓN INDIVIDUAL Y ROPA DE TRABAJO"/>
    <n v="1"/>
    <x v="0"/>
    <n v="1"/>
    <n v="0"/>
    <n v="1"/>
    <n v="801"/>
    <s v="ESMERALDAS"/>
    <n v="1"/>
    <n v="0"/>
    <n v="0"/>
    <s v="CORRIENTE"/>
    <x v="0"/>
    <n v="530802"/>
    <s v="VESTUARIO, LENCERÍA, PRENDAS DE PROTECCIÓN Y ACCESORIOS PARA UNIFORMES DEL PERSONAL DE PROTECCIÓN, VIGILANCIA Y SEGURIDAD"/>
    <n v="1279.0399999999995"/>
    <n v="1141.9999999999995"/>
    <n v="137.03999999999994"/>
    <n v="1279.0399999999995"/>
    <n v="0"/>
    <n v="0"/>
    <n v="0"/>
    <n v="0"/>
    <n v="0"/>
    <n v="1142"/>
    <n v="0"/>
    <n v="0"/>
    <n v="0"/>
    <n v="0"/>
    <n v="0"/>
    <n v="0"/>
    <n v="0"/>
    <n v="1141.999999999999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REPOSICIÓN DE ADQUISICIÓN DE COMBUSTIBLES EN CUMPLIMIENTO DE COMISIÓN DE SERVICIOS AL INTERIOR DE LOS SERVIDORES DEL CENTRO "/>
    <n v="1"/>
    <x v="0"/>
    <n v="1"/>
    <n v="0"/>
    <n v="1"/>
    <n v="801"/>
    <s v="ESMERALDAS"/>
    <n v="1"/>
    <n v="0"/>
    <n v="0"/>
    <s v="CORRIENTE"/>
    <x v="0"/>
    <n v="530803"/>
    <s v="COMBUSTIBLES Y LUBRICANTES"/>
    <n v="100"/>
    <n v="100"/>
    <n v="0"/>
    <n v="100"/>
    <n v="0"/>
    <n v="0"/>
    <n v="0"/>
    <n v="0"/>
    <n v="0"/>
    <n v="0"/>
    <n v="10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DE SERVICIO PARA ADQUISICIÓN DE COMBUSTIBLES, LUBRICANTES, Y ADITIVOS EN GENERAL PARA MANTENIMIENTO DEL BUS"/>
    <n v="1"/>
    <x v="0"/>
    <n v="1"/>
    <n v="0"/>
    <n v="1"/>
    <n v="801"/>
    <s v="ESMERALDAS"/>
    <n v="1"/>
    <n v="0"/>
    <n v="0"/>
    <s v="CORRIENTE"/>
    <x v="0"/>
    <n v="530803"/>
    <s v="COMBUSTIBLES Y LUBRICANTES"/>
    <n v="111.99999999999997"/>
    <n v="99.99999999999997"/>
    <n v="11.999999999999996"/>
    <n v="111.99999999999997"/>
    <n v="0"/>
    <n v="0"/>
    <n v="0"/>
    <n v="0"/>
    <n v="50"/>
    <n v="0"/>
    <n v="0"/>
    <n v="0"/>
    <n v="0"/>
    <n v="50"/>
    <n v="0"/>
    <n v="0"/>
    <n v="0"/>
    <n v="99.9999999999999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DE SERVICIO PARA ADQUISICIÓN DE COMBUSTIBLES, LUBRICANTES, Y ADITIVOS EN GENERAL PARA MANTENIMIENTO DE LOS VEHÍCULOS LIVIANOS"/>
    <n v="1"/>
    <x v="0"/>
    <n v="1"/>
    <n v="0"/>
    <n v="1"/>
    <n v="801"/>
    <s v="ESMERALDAS"/>
    <n v="1"/>
    <n v="0"/>
    <n v="0"/>
    <s v="CORRIENTE"/>
    <x v="0"/>
    <n v="530803"/>
    <s v="COMBUSTIBLES Y LUBRICANTES"/>
    <n v="380.8"/>
    <n v="340"/>
    <n v="40.8"/>
    <n v="380.8"/>
    <n v="0"/>
    <n v="0"/>
    <n v="68"/>
    <n v="0"/>
    <n v="68"/>
    <n v="0"/>
    <n v="68"/>
    <n v="0"/>
    <n v="68"/>
    <n v="0"/>
    <n v="68"/>
    <n v="0"/>
    <n v="0"/>
    <n v="34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DE SERVICIO PARA ADQUISICIÓN DE COMBUSTIBLES PARA MOVILIZACIÓN DE VEHÍCULOS Y GENERADORES "/>
    <n v="1"/>
    <x v="0"/>
    <n v="1"/>
    <n v="0"/>
    <n v="1"/>
    <n v="801"/>
    <s v="ESMERALDAS"/>
    <n v="1"/>
    <n v="0"/>
    <n v="0"/>
    <s v="CORRIENTE"/>
    <x v="0"/>
    <n v="530803"/>
    <s v="COMBUSTIBLES Y LUBRICANTES"/>
    <n v="3460.8"/>
    <n v="3090"/>
    <n v="370.8"/>
    <n v="3460.8"/>
    <n v="0"/>
    <n v="0"/>
    <n v="309"/>
    <n v="309"/>
    <n v="309"/>
    <n v="309"/>
    <n v="309"/>
    <n v="309"/>
    <n v="309"/>
    <n v="309"/>
    <n v="309"/>
    <n v="309"/>
    <n v="0"/>
    <n v="309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MATERIALES DE OFICINA PARA EL CENTRO"/>
    <n v="1"/>
    <x v="0"/>
    <n v="1"/>
    <n v="0"/>
    <n v="1"/>
    <n v="801"/>
    <s v="ESMERALDAS"/>
    <n v="1"/>
    <n v="0"/>
    <n v="0"/>
    <s v="CORRIENTE"/>
    <x v="0"/>
    <n v="530804"/>
    <s v="MATERIALES DE OFICINA"/>
    <n v="2000.3199999999993"/>
    <n v="1785.9999999999993"/>
    <n v="214.3199999999999"/>
    <n v="2000.3199999999993"/>
    <n v="0"/>
    <n v="0"/>
    <n v="0"/>
    <n v="1786"/>
    <n v="0"/>
    <n v="0"/>
    <n v="0"/>
    <n v="0"/>
    <n v="0"/>
    <n v="0"/>
    <n v="0"/>
    <n v="0"/>
    <n v="0"/>
    <n v="1785.999999999999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MATERIALES DE OFICINA (SELLOS FOLEADORES, CERTIFICADOS DE COPIA)"/>
    <n v="1"/>
    <x v="0"/>
    <n v="1"/>
    <n v="0"/>
    <n v="1"/>
    <n v="801"/>
    <s v="ESMERALDAS"/>
    <n v="1"/>
    <n v="0"/>
    <n v="0"/>
    <s v="CORRIENTE"/>
    <x v="0"/>
    <n v="530804"/>
    <s v="MATERIALES DE OFICINA"/>
    <n v="500.6399999999998"/>
    <n v="446.99999999999983"/>
    <n v="53.63999999999998"/>
    <n v="500.6399999999998"/>
    <n v="0"/>
    <n v="0"/>
    <n v="0"/>
    <n v="447"/>
    <n v="0"/>
    <n v="0"/>
    <n v="0"/>
    <n v="0"/>
    <n v="0"/>
    <n v="0"/>
    <n v="0"/>
    <n v="0"/>
    <n v="0"/>
    <n v="446.9999999999998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TARJETAS MAGNÉTICAS Y CORDONES IMAGEN INSTITUCIONAL PARA SERVIDORES DEL CENTRO"/>
    <n v="1"/>
    <x v="0"/>
    <n v="1"/>
    <n v="0"/>
    <n v="1"/>
    <n v="801"/>
    <s v="ESMERALDAS"/>
    <n v="1"/>
    <n v="0"/>
    <n v="0"/>
    <s v="CORRIENTE"/>
    <x v="0"/>
    <n v="530804"/>
    <s v="MATERIALES DE OFICINA"/>
    <n v="335.99999999999994"/>
    <n v="299.99999999999994"/>
    <n v="35.99999999999999"/>
    <n v="335.99999999999994"/>
    <n v="0"/>
    <n v="0"/>
    <n v="0"/>
    <n v="0"/>
    <n v="299.99999999999994"/>
    <n v="0"/>
    <n v="0"/>
    <n v="0"/>
    <n v="0"/>
    <n v="0"/>
    <n v="0"/>
    <n v="0"/>
    <n v="0"/>
    <n v="299.9999999999999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ELABORACIÓN DE FORMULARIOS PRE-IMPRESOS Y PRE-NUMERADOS PARA VALES DE CAJA CHICA, INGRESOS Y EGRESOS DE BODEGA, ÓRDENES DE COMBUSTIBLE, ÓRDENES DE MANTENIMIENTO, FORMULARIOS DE PERMISOS DE PERSONAL, SOLICITUD DE MOVILIZACIÓN"/>
    <n v="1"/>
    <x v="0"/>
    <n v="1"/>
    <n v="0"/>
    <n v="1"/>
    <n v="801"/>
    <s v="ESMERALDAS"/>
    <n v="1"/>
    <n v="0"/>
    <n v="0"/>
    <s v="CORRIENTE"/>
    <x v="0"/>
    <n v="530804"/>
    <s v="MATERIALES DE OFICINA"/>
    <n v="112"/>
    <n v="100"/>
    <n v="12"/>
    <n v="112"/>
    <n v="0"/>
    <n v="0"/>
    <n v="0"/>
    <n v="100"/>
    <n v="0"/>
    <n v="0"/>
    <n v="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MATERIALES DE ASEO PARA EL CENTRO OPERATIVO LOCAL ECU 911 ESMERALDAS AÑO 2022"/>
    <n v="1"/>
    <x v="0"/>
    <n v="1"/>
    <n v="0"/>
    <n v="1"/>
    <n v="801"/>
    <s v="ESMERALDAS"/>
    <n v="1"/>
    <n v="0"/>
    <n v="0"/>
    <s v="CORRIENTE"/>
    <x v="0"/>
    <n v="530805"/>
    <s v="MATERIALES DE ASEO"/>
    <n v="1500.7999999999993"/>
    <n v="1339.9999999999993"/>
    <n v="160.79999999999993"/>
    <n v="1500.7999999999993"/>
    <n v="0"/>
    <n v="0"/>
    <n v="0"/>
    <n v="1340"/>
    <n v="0"/>
    <n v="0"/>
    <n v="0"/>
    <n v="0"/>
    <n v="0"/>
    <n v="0"/>
    <n v="0"/>
    <n v="0"/>
    <n v="0"/>
    <n v="1339.999999999999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ANCELACIÓN  POR REPRODUCCIÓN DE REGLAMENTO INTERNO DE HIGIENE Y SEGURIDAD EN EL TRABAJO DE BOLSILLO PARA DISTRIBUIR A LOS SERVIDORES  Y TRABAJADORES DE LA COORDINACIÓN ZONAL 1 SERVICIO INTEGRADO DE SEGURIDAD ECU 911."/>
    <n v="1"/>
    <x v="0"/>
    <n v="1"/>
    <n v="0"/>
    <n v="1"/>
    <n v="801"/>
    <s v="ESMERALDAS"/>
    <n v="1"/>
    <n v="0"/>
    <n v="0"/>
    <s v="CORRIENTE"/>
    <x v="0"/>
    <n v="530807"/>
    <s v="MATERIALES DE IMPRESIÓN, FOTOGRAFÍA, REPRODUCCIÓN Y PUBLICACIONES"/>
    <n v="139.99999999999994"/>
    <n v="124.99999999999994"/>
    <n v="14.999999999999993"/>
    <n v="139.99999999999994"/>
    <n v="0"/>
    <n v="0"/>
    <n v="0"/>
    <n v="124.99999999999999"/>
    <n v="0"/>
    <n v="0"/>
    <n v="0"/>
    <n v="0"/>
    <n v="0"/>
    <n v="0"/>
    <n v="0"/>
    <n v="0"/>
    <n v="0"/>
    <n v="124.9999999999999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SEÑALÉTICA DE SEGURIDAD PARA CENTROS OPERATIVOS LOCAL ECU 911 ESMERALDAS"/>
    <n v="1"/>
    <x v="0"/>
    <n v="1"/>
    <n v="0"/>
    <n v="1"/>
    <n v="801"/>
    <s v="ESMERALDAS"/>
    <n v="1"/>
    <n v="0"/>
    <n v="0"/>
    <s v="CORRIENTE"/>
    <x v="0"/>
    <n v="530807"/>
    <s v="MATERIALES DE IMPRESIÓN, FOTOGRAFÍA, REPRODUCCIÓN Y PUBLICACIONES"/>
    <n v="327.04"/>
    <n v="292"/>
    <n v="35.04"/>
    <n v="327.04"/>
    <n v="0"/>
    <n v="0"/>
    <n v="0"/>
    <n v="0"/>
    <n v="0"/>
    <n v="0"/>
    <n v="0"/>
    <n v="0"/>
    <n v="0"/>
    <n v="0"/>
    <n v="292"/>
    <n v="0"/>
    <n v="0"/>
    <n v="292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TONERS NEGRO Y DE COLOR PARA IMPRESORAS DEL CENTRO OPERATIVO LOCAL ECU 911 ESMERALDAS AÑO 2022"/>
    <n v="1"/>
    <x v="0"/>
    <n v="1"/>
    <n v="0"/>
    <n v="1"/>
    <n v="801"/>
    <s v="ESMERALDAS"/>
    <n v="1"/>
    <n v="0"/>
    <n v="0"/>
    <s v="CORRIENTE"/>
    <x v="0"/>
    <n v="530807"/>
    <s v="MATERIALES DE IMPRESIÓN, FOTOGRAFÍA, REPRODUCCIÓN Y PUBLICACIONES"/>
    <n v="3000.4799999999996"/>
    <n v="2678.9999999999995"/>
    <n v="321.47999999999996"/>
    <n v="3000.4799999999996"/>
    <n v="0"/>
    <n v="0"/>
    <n v="0"/>
    <n v="0"/>
    <n v="0"/>
    <n v="0"/>
    <n v="0"/>
    <n v="2679"/>
    <n v="0"/>
    <n v="0"/>
    <n v="0"/>
    <n v="0"/>
    <n v="0"/>
    <n v="2678.999999999999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 ADQUISICIÓN DE BIENES Y PAGO DE SERVICIOS NO PREVISIBLES, URGENTES Y DE VALOR REDUCIDO (CAJA CHICA)."/>
    <n v="1"/>
    <x v="0"/>
    <n v="1"/>
    <n v="0"/>
    <n v="1"/>
    <n v="801"/>
    <s v="ESMERALDAS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480"/>
    <n v="480"/>
    <n v="0"/>
    <n v="480"/>
    <n v="0"/>
    <n v="0"/>
    <n v="0"/>
    <n v="96"/>
    <n v="0"/>
    <n v="96"/>
    <n v="0"/>
    <n v="96"/>
    <n v="0"/>
    <n v="96"/>
    <n v="0"/>
    <n v="96"/>
    <n v="0"/>
    <n v="48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 MATERIAL DE FERRETERÍA COMO: FLUXÓMETROS, EMPAQUES, SISTEMAS DE DESAGUE, EMPASTES, PINTURA DE INTERIOR Y EXTERIOR, SILICONAS, SOLVENTES, PINTURA ESMALTE, MATERIAL ELÉCTRICO, TACOS, PERNOS, TUERCAS AÑO 2022"/>
    <n v="1"/>
    <x v="0"/>
    <n v="1"/>
    <n v="0"/>
    <n v="1"/>
    <n v="801"/>
    <s v="ESMERALDAS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3499.999999999999"/>
    <n v="3124.999999999999"/>
    <n v="374.9999999999999"/>
    <n v="3499.999999999999"/>
    <n v="0"/>
    <n v="0"/>
    <n v="0"/>
    <n v="0"/>
    <n v="0"/>
    <n v="0"/>
    <n v="3124.9999999999995"/>
    <n v="0"/>
    <n v="0"/>
    <n v="0"/>
    <n v="0"/>
    <n v="0"/>
    <n v="0"/>
    <n v="3124.999999999999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DE SERVICIO PARA ADQUISICIÓN DE REPUESTOS PARA MANTENIMIENTO DEL BUS DEL CENTRO OPERATIVO  ECU 911 POR EL PERÍODO 2021"/>
    <n v="1"/>
    <x v="0"/>
    <n v="1"/>
    <n v="0"/>
    <n v="1"/>
    <n v="801"/>
    <s v="ESMERALDAS"/>
    <n v="1"/>
    <n v="0"/>
    <n v="0"/>
    <s v="CORRIENTE"/>
    <x v="0"/>
    <n v="530813"/>
    <s v="REPUESTOS Y ACCESORIOS"/>
    <n v="600.3199999999996"/>
    <n v="535.9999999999997"/>
    <n v="64.31999999999995"/>
    <n v="600.3199999999996"/>
    <n v="0"/>
    <n v="0"/>
    <n v="0"/>
    <n v="0"/>
    <n v="268"/>
    <n v="0"/>
    <n v="0"/>
    <n v="0"/>
    <n v="0"/>
    <n v="268"/>
    <n v="0"/>
    <n v="0"/>
    <n v="0"/>
    <n v="535.999999999999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DE SERVICIO PARA ADQUISICIÓN DE REPUESTOS PARA MANTENIMIENTO DE VEHÍCULOS LIVIANOS DEL CENTRO OPERATIVO  ECU 911 POR EL PERÍODO 2021"/>
    <n v="1"/>
    <x v="0"/>
    <n v="1"/>
    <n v="0"/>
    <n v="1"/>
    <n v="801"/>
    <s v="ESMERALDAS"/>
    <n v="1"/>
    <n v="0"/>
    <n v="0"/>
    <s v="CORRIENTE"/>
    <x v="0"/>
    <n v="530813"/>
    <s v="REPUESTOS Y ACCESORIOS"/>
    <n v="1803.2"/>
    <n v="1610"/>
    <n v="193.2"/>
    <n v="1803.2"/>
    <n v="0"/>
    <n v="0"/>
    <n v="322"/>
    <n v="0"/>
    <n v="322"/>
    <n v="0"/>
    <n v="322"/>
    <n v="0"/>
    <n v="322"/>
    <n v="0"/>
    <n v="322"/>
    <n v="0"/>
    <n v="0"/>
    <n v="161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BIENES Y PAGO DE SERVICIOS NO PREVISIBLES, URGENTES Y DE VALOR REDUCIDO (CAJA CHICA)."/>
    <n v="1"/>
    <x v="0"/>
    <n v="1"/>
    <n v="0"/>
    <n v="1"/>
    <n v="801"/>
    <s v="ESMERALDAS"/>
    <n v="1"/>
    <n v="0"/>
    <n v="0"/>
    <s v="CORRIENTE"/>
    <x v="0"/>
    <n v="530813"/>
    <s v="REPUESTOS Y ACCESORIOS"/>
    <n v="120"/>
    <n v="120"/>
    <n v="0"/>
    <n v="120"/>
    <n v="0"/>
    <n v="0"/>
    <n v="0"/>
    <n v="24"/>
    <n v="0"/>
    <n v="24"/>
    <n v="0"/>
    <n v="24"/>
    <n v="0"/>
    <n v="24"/>
    <n v="0"/>
    <n v="24"/>
    <n v="0"/>
    <n v="12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MASCARILLA QUIRÚRGICA 3 CAPAS ELÁSTICO TAMAÑO ESTÁNDAR "/>
    <n v="1"/>
    <x v="0"/>
    <n v="1"/>
    <n v="0"/>
    <n v="1"/>
    <n v="801"/>
    <s v="ESMERALDAS"/>
    <n v="1"/>
    <n v="0"/>
    <n v="0"/>
    <s v="CORRIENTE"/>
    <x v="0"/>
    <n v="530826"/>
    <s v="DISPOSITIVOS MÉDICOS DE USO GENERAL"/>
    <n v="1063.9999999999995"/>
    <n v="949.9999999999995"/>
    <n v="113.99999999999994"/>
    <n v="1063.9999999999995"/>
    <n v="0"/>
    <n v="0"/>
    <n v="949.9999999999999"/>
    <n v="0"/>
    <n v="0"/>
    <n v="0"/>
    <n v="0"/>
    <n v="0"/>
    <n v="0"/>
    <n v="0"/>
    <n v="0"/>
    <n v="0"/>
    <n v="0"/>
    <n v="949.999999999999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ANCELACIÓN DEL PERMISO DE FUNCIONAMIENTO DEL CUERPO DE BOMBEROS AÑO 2022"/>
    <n v="1"/>
    <x v="0"/>
    <n v="1"/>
    <n v="0"/>
    <n v="1"/>
    <n v="801"/>
    <s v="ESMERALDAS"/>
    <n v="1"/>
    <n v="0"/>
    <n v="0"/>
    <s v="CORRIENTE"/>
    <x v="1"/>
    <n v="570102"/>
    <s v="TASAS GENERALES, IMPUESTOS, CONTRIBUCIONES, PERMISOS, LICENCIAS Y PATENTES"/>
    <n v="800"/>
    <n v="800"/>
    <n v="0"/>
    <n v="800"/>
    <n v="0"/>
    <n v="0"/>
    <n v="800"/>
    <n v="0"/>
    <n v="0"/>
    <n v="0"/>
    <n v="0"/>
    <n v="0"/>
    <n v="0"/>
    <n v="0"/>
    <n v="0"/>
    <n v="0"/>
    <n v="0"/>
    <n v="8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MATRICULACIÓN Y REVISIÓN VEHICULAR DE LOS VEHÍCULOS DEL CENTRO OPERATIVO LOCAL ECU 911 ESMERALDAS AÑO 2022"/>
    <n v="1"/>
    <x v="0"/>
    <n v="1"/>
    <n v="0"/>
    <n v="1"/>
    <n v="801"/>
    <s v="ESMERALDAS"/>
    <n v="1"/>
    <n v="0"/>
    <n v="0"/>
    <s v="CORRIENTE"/>
    <x v="1"/>
    <n v="570102"/>
    <s v="TASAS GENERALES, IMPUESTOS, CONTRIBUCIONES, PERMISOS, LICENCIAS Y PATENTES"/>
    <n v="300"/>
    <n v="300"/>
    <n v="0"/>
    <n v="300"/>
    <n v="0"/>
    <n v="0"/>
    <n v="300"/>
    <n v="0"/>
    <n v="0"/>
    <n v="0"/>
    <n v="0"/>
    <n v="0"/>
    <n v="0"/>
    <n v="0"/>
    <n v="0"/>
    <n v="0"/>
    <n v="0"/>
    <n v="3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ANCELACIÓN POR TASA DE MEJORAS EN EL MUNICIPIO AÑO 2022"/>
    <n v="1"/>
    <x v="0"/>
    <n v="1"/>
    <n v="0"/>
    <n v="1"/>
    <n v="801"/>
    <s v="ESMERALDAS"/>
    <n v="1"/>
    <n v="0"/>
    <n v="0"/>
    <s v="CORRIENTE"/>
    <x v="1"/>
    <n v="570102"/>
    <s v="TASAS GENERALES, IMPUESTOS, CONTRIBUCIONES, PERMISOS, LICENCIAS Y PATENTES"/>
    <n v="400"/>
    <n v="400"/>
    <n v="0"/>
    <n v="400"/>
    <n v="0"/>
    <n v="0"/>
    <n v="400"/>
    <n v="0"/>
    <n v="0"/>
    <n v="0"/>
    <n v="0"/>
    <n v="0"/>
    <n v="0"/>
    <n v="0"/>
    <n v="0"/>
    <n v="0"/>
    <n v="0"/>
    <n v="40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ARRASTRE: CANCELACIÓN POR DE SERVICIOS DE TELECOMUNICACIONES CORRESPONDIENTE A DICIEMBRE DEL 2021"/>
    <n v="1"/>
    <x v="0"/>
    <n v="55"/>
    <n v="0"/>
    <n v="3"/>
    <n v="801"/>
    <s v="ESMERALDAS"/>
    <n v="1"/>
    <n v="0"/>
    <n v="0"/>
    <s v="CORRIENTE"/>
    <x v="0"/>
    <n v="530105"/>
    <s v="TELECOMUNICACIONES"/>
    <n v="14761.599999999999"/>
    <n v="13179.999999999998"/>
    <n v="1581.5999999999997"/>
    <n v="14761.599999999999"/>
    <n v="13179.999999999998"/>
    <n v="0"/>
    <n v="0"/>
    <n v="0"/>
    <n v="0"/>
    <n v="0"/>
    <n v="0"/>
    <n v="0"/>
    <n v="0"/>
    <n v="0"/>
    <n v="0"/>
    <n v="0"/>
    <n v="0"/>
    <n v="13179.999999999998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CONTRATACIÓN DE SERVICIOS DE TELECOMUNICACIONES CORRESPONDIENTE AL CONTRATO ENERO-DICIEMBRE 2021"/>
    <n v="1"/>
    <x v="0"/>
    <n v="55"/>
    <n v="0"/>
    <n v="3"/>
    <n v="801"/>
    <s v="ESMERALDAS"/>
    <n v="1"/>
    <n v="0"/>
    <n v="0"/>
    <s v="CORRIENTE"/>
    <x v="0"/>
    <n v="530105"/>
    <s v="TELECOMUNICACIONES"/>
    <n v="177124.64"/>
    <n v="158147"/>
    <n v="18977.64"/>
    <n v="177124.64"/>
    <n v="0"/>
    <n v="14377"/>
    <n v="14377"/>
    <n v="14377"/>
    <n v="14377"/>
    <n v="14377"/>
    <n v="14377"/>
    <n v="14377"/>
    <n v="14377"/>
    <n v="14377"/>
    <n v="14377"/>
    <n v="14377"/>
    <n v="0"/>
    <n v="158147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ADQUISICIÓN DE MATERIALES E INSUMOS PARA MANTENIMIENTOS E INSTALACIONES TECNOLÓGICAS DEL CENTRO"/>
    <n v="2"/>
    <x v="0"/>
    <n v="55"/>
    <n v="0"/>
    <n v="3"/>
    <n v="801"/>
    <s v="ESMERALDAS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3000.4799999999996"/>
    <n v="2678.9999999999995"/>
    <n v="321.47999999999996"/>
    <n v="3000.4799999999996"/>
    <n v="0"/>
    <n v="0"/>
    <n v="0"/>
    <n v="0"/>
    <n v="0"/>
    <n v="2679"/>
    <n v="0"/>
    <n v="0"/>
    <n v="0"/>
    <n v="0"/>
    <n v="0"/>
    <n v="0"/>
    <n v="0"/>
    <n v="2678.9999999999995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ADQUISICIÓN DE BIENES Y PAGO DE SERVICIOS NO PREVISIBLES, URGENTES Y DE VALOR REDUCIDO (CAJA CHICA)."/>
    <n v="2"/>
    <x v="0"/>
    <n v="55"/>
    <n v="0"/>
    <n v="3"/>
    <n v="801"/>
    <s v="ESMERALDAS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500"/>
    <n v="500"/>
    <n v="0"/>
    <n v="500"/>
    <n v="0"/>
    <n v="0"/>
    <n v="50"/>
    <n v="50"/>
    <n v="50"/>
    <n v="50"/>
    <n v="50"/>
    <n v="50"/>
    <n v="50"/>
    <n v="50"/>
    <n v="50"/>
    <n v="50"/>
    <n v="0"/>
    <n v="50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ADQUISICIÓN DE REPUESTOS Y ACCESORIOS TECNOLÓGICOS PARA MAQUINARIAS, PLANTAS ELÉCTRICAS, EQUIPOS Y OTROS"/>
    <n v="2"/>
    <x v="0"/>
    <n v="55"/>
    <n v="0"/>
    <n v="3"/>
    <n v="801"/>
    <s v="ESMERALDAS"/>
    <n v="1"/>
    <n v="0"/>
    <n v="0"/>
    <s v="CORRIENTE"/>
    <x v="0"/>
    <n v="530813"/>
    <s v="REPUESTOS Y ACCESORIOS"/>
    <n v="6999.999999999998"/>
    <n v="6249.999999999998"/>
    <n v="749.9999999999998"/>
    <n v="6999.999999999998"/>
    <n v="0"/>
    <n v="0"/>
    <n v="0"/>
    <n v="0"/>
    <n v="6250"/>
    <n v="0"/>
    <n v="0"/>
    <n v="0"/>
    <n v="0"/>
    <n v="0"/>
    <n v="0"/>
    <n v="0"/>
    <n v="0"/>
    <n v="6249.999999999998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ADQUISICIÓN DE BIENES Y PAGO DE SERVICIOS NO PREVISIBLES, URGENTES Y DE VALOR REDUCIDO (CAJA CHICA)."/>
    <n v="2"/>
    <x v="0"/>
    <n v="55"/>
    <n v="0"/>
    <n v="3"/>
    <n v="801"/>
    <s v="ESMERALDAS"/>
    <n v="1"/>
    <n v="0"/>
    <n v="0"/>
    <s v="CORRIENTE"/>
    <x v="0"/>
    <n v="530813"/>
    <s v="REPUESTOS Y ACCESORIOS"/>
    <n v="200"/>
    <n v="200"/>
    <n v="0"/>
    <n v="200"/>
    <n v="0"/>
    <n v="0"/>
    <n v="20"/>
    <n v="20"/>
    <n v="20"/>
    <n v="20"/>
    <n v="20"/>
    <n v="20"/>
    <n v="20"/>
    <n v="20"/>
    <n v="20"/>
    <n v="20"/>
    <n v="0"/>
    <n v="2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ADMINISTRATIVA FINANCIERA Y DE ADMINISTRACIÓN DE RECURSOS HUMANOS"/>
    <s v="ADMINISTRACIÓN CENTRAL"/>
    <s v="CANCELACIÓN DE REMUNERACIONES Y BENEFICIOS SOCIALES"/>
    <n v="1"/>
    <x v="0"/>
    <n v="1"/>
    <n v="0"/>
    <n v="1"/>
    <n v="1000"/>
    <s v="IMBABURA"/>
    <n v="1"/>
    <n v="0"/>
    <n v="0"/>
    <s v="CORRIENTE"/>
    <x v="2"/>
    <n v="510105"/>
    <s v="REMUNERACIONES UNIFICADAS"/>
    <n v="769920"/>
    <n v="769920"/>
    <n v="0"/>
    <n v="769920"/>
    <n v="64160"/>
    <n v="64160"/>
    <n v="64160"/>
    <n v="64160"/>
    <n v="64160"/>
    <n v="64160"/>
    <n v="64160"/>
    <n v="64160"/>
    <n v="64160"/>
    <n v="64160"/>
    <n v="64160"/>
    <n v="64160"/>
    <n v="0"/>
    <n v="76992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ADMINISTRATIVA FINANCIERA Y DE ADMINISTRACIÓN DE RECURSOS HUMANOS"/>
    <s v="ADMINISTRACIÓN CENTRAL"/>
    <s v="CANCELACIÓN DE REMUNERACIONES Y BENEFICIOS SOCIALES"/>
    <n v="1"/>
    <x v="0"/>
    <n v="1"/>
    <n v="0"/>
    <n v="1"/>
    <n v="1000"/>
    <s v="IMBABURA"/>
    <n v="1"/>
    <n v="0"/>
    <n v="0"/>
    <s v="CORRIENTE"/>
    <x v="2"/>
    <n v="510106"/>
    <s v="SALARIOS UNIFICADOS"/>
    <n v="67272"/>
    <n v="67272"/>
    <n v="0"/>
    <n v="67272"/>
    <n v="4500"/>
    <n v="4500"/>
    <n v="4500"/>
    <n v="4500"/>
    <n v="4500"/>
    <n v="4500"/>
    <n v="4500"/>
    <n v="4500"/>
    <n v="4500"/>
    <n v="4500"/>
    <n v="4500"/>
    <n v="17772"/>
    <n v="0"/>
    <n v="67272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ADMINISTRATIVA FINANCIERA Y DE ADMINISTRACIÓN DE RECURSOS HUMANOS"/>
    <s v="ADMINISTRACIÓN CENTRAL"/>
    <s v="CANCELACIÓN DE REMUNERACIONES Y BENEFICIOS SOCIALES"/>
    <n v="1"/>
    <x v="0"/>
    <n v="1"/>
    <n v="0"/>
    <n v="1"/>
    <n v="1000"/>
    <s v="IMBABURA"/>
    <n v="1"/>
    <n v="0"/>
    <n v="0"/>
    <s v="CORRIENTE"/>
    <x v="2"/>
    <n v="510203"/>
    <s v="DÉCIMO TERCER SUELDO"/>
    <n v="72134"/>
    <n v="72134"/>
    <n v="0"/>
    <n v="72134"/>
    <n v="1125"/>
    <n v="1125"/>
    <n v="1125"/>
    <n v="1125"/>
    <n v="1125"/>
    <n v="1125"/>
    <n v="1125"/>
    <n v="1125"/>
    <n v="1125"/>
    <n v="1125"/>
    <n v="1125"/>
    <n v="59759"/>
    <n v="0"/>
    <n v="7213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ADMINISTRATIVA FINANCIERA Y DE ADMINISTRACIÓN DE RECURSOS HUMANOS"/>
    <s v="ADMINISTRACIÓN CENTRAL"/>
    <s v="CANCELACIÓN DE REMUNERACIONES Y BENEFICIOS SOCIALES"/>
    <n v="1"/>
    <x v="0"/>
    <n v="1"/>
    <n v="0"/>
    <n v="1"/>
    <n v="1000"/>
    <s v="IMBABURA"/>
    <n v="1"/>
    <n v="0"/>
    <n v="0"/>
    <s v="CORRIENTE"/>
    <x v="2"/>
    <n v="510204"/>
    <s v="DÉCIMO CUARTO SUELDO"/>
    <n v="26000"/>
    <n v="26000"/>
    <n v="0"/>
    <n v="26000"/>
    <n v="430"/>
    <n v="430"/>
    <n v="5200"/>
    <n v="430"/>
    <n v="430"/>
    <n v="430"/>
    <n v="430"/>
    <n v="16500"/>
    <n v="430"/>
    <n v="430"/>
    <n v="430"/>
    <n v="430"/>
    <n v="0"/>
    <n v="260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ADMINISTRATIVA FINANCIERA Y DE ADMINISTRACIÓN DE RECURSOS HUMANOS"/>
    <s v="ADMINISTRACIÓN CENTRAL"/>
    <s v="CANCELACIÓN DE REMUNERACIONES Y BENEFICIOS SOCIALES"/>
    <n v="1"/>
    <x v="0"/>
    <n v="1"/>
    <n v="0"/>
    <n v="1"/>
    <n v="1000"/>
    <s v="IMBABURA"/>
    <n v="1"/>
    <n v="0"/>
    <n v="0"/>
    <s v="CORRIENTE"/>
    <x v="2"/>
    <n v="510509"/>
    <s v="HORAS EXTRAORDINARIAS Y SUPLEMENTARIAS"/>
    <n v="3000"/>
    <n v="3000"/>
    <n v="0"/>
    <n v="3000"/>
    <n v="250"/>
    <n v="250"/>
    <n v="250"/>
    <n v="250"/>
    <n v="250"/>
    <n v="250"/>
    <n v="250"/>
    <n v="250"/>
    <n v="250"/>
    <n v="250"/>
    <n v="250"/>
    <n v="250"/>
    <n v="0"/>
    <n v="30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ADMINISTRATIVA FINANCIERA Y DE ADMINISTRACIÓN DE RECURSOS HUMANOS"/>
    <s v="ADMINISTRACIÓN CENTRAL"/>
    <s v="CANCELACIÓN DE REMUNERACIONES Y BENEFICIOS SOCIALES"/>
    <n v="1"/>
    <x v="0"/>
    <n v="1"/>
    <n v="0"/>
    <n v="1"/>
    <n v="1000"/>
    <s v="IMBABURA"/>
    <n v="1"/>
    <n v="0"/>
    <n v="0"/>
    <s v="CORRIENTE"/>
    <x v="2"/>
    <n v="510601"/>
    <s v="APORTE PATRONAL"/>
    <n v="85924"/>
    <n v="85924"/>
    <n v="0"/>
    <n v="85924"/>
    <n v="7160"/>
    <n v="7160"/>
    <n v="7160"/>
    <n v="7160"/>
    <n v="7160"/>
    <n v="7160"/>
    <n v="7160"/>
    <n v="7160"/>
    <n v="7160"/>
    <n v="7160"/>
    <n v="7160"/>
    <n v="7164"/>
    <n v="0"/>
    <n v="8592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ADMINISTRATIVA FINANCIERA Y DE ADMINISTRACIÓN DE RECURSOS HUMANOS"/>
    <s v="ADMINISTRACIÓN CENTRAL"/>
    <s v="CANCELACIÓN DE REMUNERACIONES Y BENEFICIOS SOCIALES"/>
    <n v="1"/>
    <x v="0"/>
    <n v="1"/>
    <n v="0"/>
    <n v="1"/>
    <n v="1000"/>
    <s v="IMBABURA"/>
    <n v="1"/>
    <n v="0"/>
    <n v="0"/>
    <s v="CORRIENTE"/>
    <x v="2"/>
    <n v="510602"/>
    <s v="FONDO DE RESERVA"/>
    <n v="72134"/>
    <n v="72134"/>
    <n v="0"/>
    <n v="72134"/>
    <n v="6011"/>
    <n v="6011"/>
    <n v="6011"/>
    <n v="6011"/>
    <n v="6011"/>
    <n v="6011"/>
    <n v="6011"/>
    <n v="6011"/>
    <n v="6011"/>
    <n v="6011"/>
    <n v="6011"/>
    <n v="6013"/>
    <n v="0"/>
    <n v="7213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ADMINISTRATIVA FINANCIERA Y DE ADMINISTRACIÓN DE RECURSOS HUMANOS"/>
    <s v="ADMINISTRACIÓN CENTRAL"/>
    <s v="CANCELACIÓN DE REMUNERACIONES Y BENEFICIOS SOCIALES"/>
    <n v="1"/>
    <x v="0"/>
    <n v="1"/>
    <n v="0"/>
    <n v="2"/>
    <n v="1000"/>
    <s v="IMBABURA"/>
    <n v="1"/>
    <n v="0"/>
    <n v="0"/>
    <s v="CORRIENTE"/>
    <x v="2"/>
    <n v="510203"/>
    <s v="DÉCIMO TERCER SUELDO"/>
    <n v="4398"/>
    <n v="4398"/>
    <n v="0"/>
    <n v="4398"/>
    <n v="306"/>
    <n v="306"/>
    <n v="306"/>
    <n v="306"/>
    <n v="306"/>
    <n v="306"/>
    <n v="306"/>
    <n v="306"/>
    <n v="306"/>
    <n v="306"/>
    <n v="306"/>
    <n v="1032"/>
    <n v="0"/>
    <n v="439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ADMINISTRATIVA FINANCIERA Y DE ADMINISTRACIÓN DE RECURSOS HUMANOS"/>
    <s v="ADMINISTRACIÓN CENTRAL"/>
    <s v="CANCELACIÓN DE REMUNERACIONES Y BENEFICIOS SOCIALES"/>
    <n v="1"/>
    <x v="0"/>
    <n v="1"/>
    <n v="0"/>
    <n v="2"/>
    <n v="1000"/>
    <s v="IMBABURA"/>
    <n v="1"/>
    <n v="0"/>
    <n v="0"/>
    <s v="CORRIENTE"/>
    <x v="2"/>
    <n v="510204"/>
    <s v="DÉCIMO CUARTO SUELDO"/>
    <n v="2400"/>
    <n v="2400"/>
    <n v="0"/>
    <n v="2400"/>
    <n v="120"/>
    <n v="120"/>
    <n v="800"/>
    <n v="120"/>
    <n v="120"/>
    <n v="120"/>
    <n v="120"/>
    <n v="400"/>
    <n v="120"/>
    <n v="120"/>
    <n v="120"/>
    <n v="120"/>
    <n v="0"/>
    <n v="24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ADMINISTRATIVA FINANCIERA Y DE ADMINISTRACIÓN DE RECURSOS HUMANOS"/>
    <s v="ADMINISTRACIÓN CENTRAL"/>
    <s v="CANCELACIÓN DE REMUNERACIONES Y BENEFICIOS SOCIALES"/>
    <n v="1"/>
    <x v="0"/>
    <n v="1"/>
    <n v="0"/>
    <n v="2"/>
    <n v="1000"/>
    <s v="IMBABURA"/>
    <n v="1"/>
    <n v="0"/>
    <n v="0"/>
    <s v="CORRIENTE"/>
    <x v="2"/>
    <n v="510510"/>
    <s v="SERVICIOS PERSONALES POR CONTRATO"/>
    <n v="52776"/>
    <n v="52776"/>
    <n v="0"/>
    <n v="52776"/>
    <n v="4398"/>
    <n v="4398"/>
    <n v="4398"/>
    <n v="4398"/>
    <n v="4398"/>
    <n v="4398"/>
    <n v="4398"/>
    <n v="4398"/>
    <n v="4398"/>
    <n v="4398"/>
    <n v="4398"/>
    <n v="4398"/>
    <n v="0"/>
    <n v="52776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ADMINISTRATIVA FINANCIERA Y DE ADMINISTRACIÓN DE RECURSOS HUMANOS"/>
    <s v="ADMINISTRACIÓN CENTRAL"/>
    <s v="CANCELACIÓN DE REMUNERACIONES Y BENEFICIOS SOCIALES"/>
    <n v="1"/>
    <x v="0"/>
    <n v="1"/>
    <n v="0"/>
    <n v="2"/>
    <n v="1000"/>
    <s v="IMBABURA"/>
    <n v="1"/>
    <n v="0"/>
    <n v="0"/>
    <s v="CORRIENTE"/>
    <x v="2"/>
    <n v="510601"/>
    <s v="APORTE PATRONAL"/>
    <n v="5093"/>
    <n v="5093"/>
    <n v="0"/>
    <n v="5093"/>
    <n v="424"/>
    <n v="424"/>
    <n v="424"/>
    <n v="424"/>
    <n v="424"/>
    <n v="424"/>
    <n v="424"/>
    <n v="424"/>
    <n v="424"/>
    <n v="424"/>
    <n v="424"/>
    <n v="429"/>
    <n v="0"/>
    <n v="509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ADMINISTRATIVA FINANCIERA Y DE ADMINISTRACIÓN DE RECURSOS HUMANOS"/>
    <s v="ADMINISTRACIÓN CENTRAL"/>
    <s v="CANCELACIÓN DE REMUNERACIONES Y BENEFICIOS SOCIALES"/>
    <n v="1"/>
    <x v="0"/>
    <n v="1"/>
    <n v="0"/>
    <n v="2"/>
    <n v="1000"/>
    <s v="IMBABURA"/>
    <n v="1"/>
    <n v="0"/>
    <n v="0"/>
    <s v="CORRIENTE"/>
    <x v="2"/>
    <n v="510602"/>
    <s v="FONDO DE RESERVA"/>
    <n v="4398"/>
    <n v="4398"/>
    <n v="0"/>
    <n v="4398"/>
    <n v="366"/>
    <n v="366"/>
    <n v="366"/>
    <n v="366"/>
    <n v="366"/>
    <n v="366"/>
    <n v="366"/>
    <n v="366"/>
    <n v="366"/>
    <n v="366"/>
    <n v="366"/>
    <n v="372"/>
    <n v="0"/>
    <n v="4398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DE OPERACIONES"/>
    <s v="OPERACIONES"/>
    <s v="CANCELACIÓN DE REMUNERACIONES Y BENEFICIOS SOCIALES"/>
    <n v="1"/>
    <x v="0"/>
    <n v="55"/>
    <n v="0"/>
    <n v="2"/>
    <n v="1000"/>
    <s v="IMBABURA"/>
    <n v="1"/>
    <n v="0"/>
    <n v="0"/>
    <s v="CORRIENTE"/>
    <x v="2"/>
    <n v="510105"/>
    <s v="REMUNERACIONES UNIFICADAS"/>
    <n v="1649652"/>
    <n v="1649652"/>
    <n v="0"/>
    <n v="1649652"/>
    <n v="137471"/>
    <n v="137471"/>
    <n v="137471"/>
    <n v="137471"/>
    <n v="137471"/>
    <n v="137471"/>
    <n v="137471"/>
    <n v="137471"/>
    <n v="137471"/>
    <n v="137471"/>
    <n v="137471"/>
    <n v="137471"/>
    <n v="0"/>
    <n v="1649652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DE OPERACIONES"/>
    <s v="OPERACIONES"/>
    <s v="CANCELACIÓN DE REMUNERACIONES Y BENEFICIOS SOCIALES"/>
    <n v="1"/>
    <x v="0"/>
    <n v="55"/>
    <n v="0"/>
    <n v="2"/>
    <n v="1000"/>
    <s v="IMBABURA"/>
    <n v="1"/>
    <n v="0"/>
    <n v="0"/>
    <s v="CORRIENTE"/>
    <x v="2"/>
    <n v="510203"/>
    <s v="DÉCIMO TERCER SUELDO"/>
    <n v="89656"/>
    <n v="89656"/>
    <n v="0"/>
    <n v="89656"/>
    <n v="2800"/>
    <n v="2800"/>
    <n v="2800"/>
    <n v="2800"/>
    <n v="2800"/>
    <n v="2800"/>
    <n v="2800"/>
    <n v="2800"/>
    <n v="2800"/>
    <n v="2800"/>
    <n v="2800"/>
    <n v="58856"/>
    <n v="0"/>
    <n v="89656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DE OPERACIONES"/>
    <s v="OPERACIONES"/>
    <s v="CANCELACIÓN DE REMUNERACIONES Y BENEFICIOS SOCIALES"/>
    <n v="1"/>
    <x v="0"/>
    <n v="55"/>
    <n v="0"/>
    <n v="2"/>
    <n v="1000"/>
    <s v="IMBABURA"/>
    <n v="1"/>
    <n v="0"/>
    <n v="0"/>
    <s v="CORRIENTE"/>
    <x v="2"/>
    <n v="510204"/>
    <s v="DÉCIMO CUARTO SUELDO"/>
    <n v="68400"/>
    <n v="68400"/>
    <n v="0"/>
    <n v="68400"/>
    <n v="3000"/>
    <n v="3000"/>
    <n v="19000"/>
    <n v="3000"/>
    <n v="3000"/>
    <n v="3000"/>
    <n v="3000"/>
    <n v="19400"/>
    <n v="3000"/>
    <n v="3000"/>
    <n v="3000"/>
    <n v="3000"/>
    <n v="0"/>
    <n v="6840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DE OPERACIONES"/>
    <s v="OPERACIONES"/>
    <s v="CANCELACIÓN DE REMUNERACIONES Y BENEFICIOS SOCIALES"/>
    <n v="1"/>
    <x v="0"/>
    <n v="55"/>
    <n v="0"/>
    <n v="2"/>
    <n v="1000"/>
    <s v="IMBABURA"/>
    <n v="1"/>
    <n v="0"/>
    <n v="0"/>
    <s v="CORRIENTE"/>
    <x v="2"/>
    <n v="510510"/>
    <s v="SERVICIOS PERSONALES POR CONTRATO"/>
    <n v="29424"/>
    <n v="29424"/>
    <n v="0"/>
    <n v="29424"/>
    <n v="2452"/>
    <n v="2452"/>
    <n v="2452"/>
    <n v="2452"/>
    <n v="2452"/>
    <n v="2452"/>
    <n v="2452"/>
    <n v="2452"/>
    <n v="2452"/>
    <n v="2452"/>
    <n v="2452"/>
    <n v="2452"/>
    <n v="0"/>
    <n v="29424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DE OPERACIONES"/>
    <s v="OPERACIONES"/>
    <s v="CANCELACIÓN DE REMUNERACIONES Y BENEFICIOS SOCIALES"/>
    <n v="1"/>
    <x v="0"/>
    <n v="55"/>
    <n v="0"/>
    <n v="2"/>
    <n v="1000"/>
    <s v="IMBABURA"/>
    <n v="1"/>
    <n v="0"/>
    <n v="0"/>
    <s v="CORRIENTE"/>
    <x v="2"/>
    <n v="510512"/>
    <s v="SUBROGACIÓN "/>
    <n v="1384"/>
    <n v="1384"/>
    <n v="0"/>
    <n v="1384"/>
    <n v="0"/>
    <n v="0"/>
    <n v="346"/>
    <n v="346"/>
    <n v="0"/>
    <n v="346"/>
    <n v="0"/>
    <n v="346"/>
    <n v="0"/>
    <n v="0"/>
    <n v="0"/>
    <n v="0"/>
    <n v="0"/>
    <n v="1384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DE OPERACIONES"/>
    <s v="OPERACIONES"/>
    <s v="CANCELACIÓN DE REMUNERACIONES Y BENEFICIOS SOCIALES"/>
    <n v="1"/>
    <x v="0"/>
    <n v="55"/>
    <n v="0"/>
    <n v="2"/>
    <n v="1000"/>
    <s v="IMBABURA"/>
    <n v="1"/>
    <n v="0"/>
    <n v="0"/>
    <s v="CORRIENTE"/>
    <x v="2"/>
    <n v="510601"/>
    <s v="APORTE PATRONAL"/>
    <n v="162031"/>
    <n v="162031"/>
    <n v="0"/>
    <n v="162031"/>
    <n v="13502"/>
    <n v="13502"/>
    <n v="13502"/>
    <n v="13502"/>
    <n v="13502"/>
    <n v="13502"/>
    <n v="13502"/>
    <n v="13502"/>
    <n v="13502"/>
    <n v="13502"/>
    <n v="13502"/>
    <n v="13509"/>
    <n v="0"/>
    <n v="162031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DE OPERACIONES"/>
    <s v="OPERACIONES"/>
    <s v="CANCELACIÓN DE REMUNERACIONES Y BENEFICIOS SOCIALES"/>
    <n v="1"/>
    <x v="0"/>
    <n v="55"/>
    <n v="0"/>
    <n v="2"/>
    <n v="1000"/>
    <s v="IMBABURA"/>
    <n v="1"/>
    <n v="0"/>
    <n v="0"/>
    <s v="CORRIENTE"/>
    <x v="2"/>
    <n v="510602"/>
    <s v="FONDO DE RESERVA"/>
    <n v="139923"/>
    <n v="139923"/>
    <n v="0"/>
    <n v="139923"/>
    <n v="11660"/>
    <n v="11660"/>
    <n v="11660"/>
    <n v="11660"/>
    <n v="11660"/>
    <n v="11660"/>
    <n v="11660"/>
    <n v="11660"/>
    <n v="11660"/>
    <n v="11660"/>
    <n v="11660"/>
    <n v="11663"/>
    <n v="0"/>
    <n v="139923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DE TECNOLOGÍA Y SOPORTE"/>
    <s v="TECNOLOGÍA"/>
    <s v="CANCELACIÓN DE REMUNERACIONES Y BENEFICIOS SOCIALES"/>
    <n v="1"/>
    <x v="0"/>
    <n v="55"/>
    <n v="0"/>
    <n v="3"/>
    <n v="1000"/>
    <s v="IMBABURA"/>
    <n v="1"/>
    <n v="0"/>
    <n v="0"/>
    <s v="CORRIENTE"/>
    <x v="2"/>
    <n v="510105"/>
    <s v="REMUNERACIONES UNIFICADAS"/>
    <n v="225888"/>
    <n v="225888"/>
    <n v="0"/>
    <n v="225888"/>
    <n v="18824"/>
    <n v="18824"/>
    <n v="18824"/>
    <n v="18824"/>
    <n v="18824"/>
    <n v="18824"/>
    <n v="18824"/>
    <n v="18824"/>
    <n v="18824"/>
    <n v="18824"/>
    <n v="18824"/>
    <n v="18824"/>
    <n v="0"/>
    <n v="225888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DE TECNOLOGÍA Y SOPORTE"/>
    <s v="TECNOLOGÍA"/>
    <s v="CANCELACIÓN DE REMUNERACIONES Y BENEFICIOS SOCIALES"/>
    <n v="1"/>
    <x v="0"/>
    <n v="55"/>
    <n v="0"/>
    <n v="3"/>
    <n v="1000"/>
    <s v="IMBABURA"/>
    <n v="1"/>
    <n v="0"/>
    <n v="0"/>
    <s v="CORRIENTE"/>
    <x v="2"/>
    <n v="510203"/>
    <s v="DÉCIMO TERCER SUELDO"/>
    <n v="22460"/>
    <n v="22460"/>
    <n v="0"/>
    <n v="22460"/>
    <n v="202"/>
    <n v="202"/>
    <n v="202"/>
    <n v="202"/>
    <n v="202"/>
    <n v="202"/>
    <n v="202"/>
    <n v="202"/>
    <n v="202"/>
    <n v="202"/>
    <n v="202"/>
    <n v="20238"/>
    <n v="0"/>
    <n v="2246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DE TECNOLOGÍA Y SOPORTE"/>
    <s v="TECNOLOGÍA"/>
    <s v="CANCELACIÓN DE REMUNERACIONES Y BENEFICIOS SOCIALES"/>
    <n v="1"/>
    <x v="0"/>
    <n v="55"/>
    <n v="0"/>
    <n v="3"/>
    <n v="1000"/>
    <s v="IMBABURA"/>
    <n v="1"/>
    <n v="0"/>
    <n v="0"/>
    <s v="CORRIENTE"/>
    <x v="2"/>
    <n v="510204"/>
    <s v="DÉCIMO CUARTO SUELDO"/>
    <n v="6800"/>
    <n v="6800"/>
    <n v="0"/>
    <n v="6800"/>
    <n v="100"/>
    <n v="100"/>
    <n v="1600"/>
    <n v="100"/>
    <n v="100"/>
    <n v="100"/>
    <n v="100"/>
    <n v="4200"/>
    <n v="100"/>
    <n v="100"/>
    <n v="100"/>
    <n v="100"/>
    <n v="0"/>
    <n v="680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DE TECNOLOGÍA Y SOPORTE"/>
    <s v="TECNOLOGÍA"/>
    <s v="CANCELACIÓN DE REMUNERACIONES Y BENEFICIOS SOCIALES"/>
    <n v="1"/>
    <x v="0"/>
    <n v="55"/>
    <n v="0"/>
    <n v="3"/>
    <n v="1000"/>
    <s v="IMBABURA"/>
    <n v="1"/>
    <n v="0"/>
    <n v="0"/>
    <s v="CORRIENTE"/>
    <x v="2"/>
    <n v="510510"/>
    <s v="SERVICIOS PERSONALES POR CONTRATO"/>
    <n v="43632"/>
    <n v="43632"/>
    <n v="0"/>
    <n v="43632"/>
    <n v="3636"/>
    <n v="3636"/>
    <n v="3636"/>
    <n v="3636"/>
    <n v="3636"/>
    <n v="3636"/>
    <n v="3636"/>
    <n v="3636"/>
    <n v="3636"/>
    <n v="3636"/>
    <n v="3636"/>
    <n v="3636"/>
    <n v="0"/>
    <n v="43632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DE TECNOLOGÍA Y SOPORTE"/>
    <s v="TECNOLOGÍA"/>
    <s v="CANCELACIÓN DE REMUNERACIONES Y BENEFICIOS SOCIALES"/>
    <n v="1"/>
    <x v="0"/>
    <n v="55"/>
    <n v="0"/>
    <n v="3"/>
    <n v="1000"/>
    <s v="IMBABURA"/>
    <n v="1"/>
    <n v="0"/>
    <n v="0"/>
    <s v="CORRIENTE"/>
    <x v="2"/>
    <n v="510601"/>
    <s v="APORTE PATRONAL"/>
    <n v="26009"/>
    <n v="26009"/>
    <n v="0"/>
    <n v="26009"/>
    <n v="2167"/>
    <n v="2167"/>
    <n v="2167"/>
    <n v="2167"/>
    <n v="2167"/>
    <n v="2167"/>
    <n v="2167"/>
    <n v="2167"/>
    <n v="2167"/>
    <n v="2167"/>
    <n v="2167"/>
    <n v="2172"/>
    <n v="0"/>
    <n v="26009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1"/>
    <s v="GESTIÓN ZONAL DE TECNOLOGÍA Y SOPORTE"/>
    <s v="TECNOLOGÍA"/>
    <s v="CANCELACIÓN DE REMUNERACIONES Y BENEFICIOS SOCIALES"/>
    <n v="1"/>
    <x v="0"/>
    <n v="55"/>
    <n v="0"/>
    <n v="3"/>
    <n v="1000"/>
    <s v="IMBABURA"/>
    <n v="1"/>
    <n v="0"/>
    <n v="0"/>
    <s v="CORRIENTE"/>
    <x v="2"/>
    <n v="510602"/>
    <s v="FONDO DE RESERVA"/>
    <n v="22460"/>
    <n v="22460"/>
    <n v="0"/>
    <n v="22460"/>
    <n v="1871"/>
    <n v="1871"/>
    <n v="1871"/>
    <n v="1871"/>
    <n v="1871"/>
    <n v="1871"/>
    <n v="1871"/>
    <n v="1871"/>
    <n v="1871"/>
    <n v="1871"/>
    <n v="1871"/>
    <n v="1879"/>
    <n v="0"/>
    <n v="2246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RRASTRE: CANCELACIÓN POR CONSUMO DE SERVICIO DE AGUA POTABLE CORRESPONDIENTE A DICIEMBRE DEL 2021"/>
    <n v="2"/>
    <x v="0"/>
    <n v="1"/>
    <n v="0"/>
    <n v="1"/>
    <n v="1001"/>
    <s v="IBARRA"/>
    <n v="1"/>
    <n v="0"/>
    <n v="0"/>
    <s v="CORRIENTE"/>
    <x v="0"/>
    <n v="530101"/>
    <s v="AGUA POTABLE"/>
    <n v="125"/>
    <n v="125"/>
    <n v="0"/>
    <n v="125"/>
    <n v="125"/>
    <n v="0"/>
    <n v="0"/>
    <n v="0"/>
    <n v="0"/>
    <n v="0"/>
    <n v="0"/>
    <n v="0"/>
    <n v="0"/>
    <n v="0"/>
    <n v="0"/>
    <n v="0"/>
    <n v="0"/>
    <n v="12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PROVISIÓN POR CONSUMO DE SERVICIO DE AGUA POTABLE PERIODO ENERO A NOVIEMBRE 2022"/>
    <n v="1"/>
    <x v="0"/>
    <n v="1"/>
    <n v="0"/>
    <n v="1"/>
    <n v="1001"/>
    <s v="IBARRA"/>
    <n v="1"/>
    <n v="0"/>
    <n v="0"/>
    <s v="CORRIENTE"/>
    <x v="0"/>
    <n v="530101"/>
    <s v="AGUA POTABLE"/>
    <n v="1056"/>
    <n v="1056"/>
    <n v="0"/>
    <n v="1056"/>
    <n v="0"/>
    <n v="96"/>
    <n v="96"/>
    <n v="96"/>
    <n v="96"/>
    <n v="96"/>
    <n v="96"/>
    <n v="96"/>
    <n v="96"/>
    <n v="96"/>
    <n v="96"/>
    <n v="96"/>
    <n v="0"/>
    <n v="1056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RRASTRE: CANCELACIÓN POR CONSUMO DE SERVICIO DE ENERGÍA ELÉCTRICA CORRESPONDIENTE A DICIEMBRE DEL 2021"/>
    <n v="2"/>
    <x v="0"/>
    <n v="1"/>
    <n v="0"/>
    <n v="1"/>
    <n v="1001"/>
    <s v="IBARRA"/>
    <n v="1"/>
    <n v="0"/>
    <n v="0"/>
    <s v="CORRIENTE"/>
    <x v="0"/>
    <n v="530104"/>
    <s v="ENERGÍA ELÉCTRICA"/>
    <n v="1200"/>
    <n v="1200"/>
    <n v="0"/>
    <n v="1200"/>
    <n v="1200"/>
    <n v="0"/>
    <n v="0"/>
    <n v="0"/>
    <n v="0"/>
    <n v="0"/>
    <n v="0"/>
    <n v="0"/>
    <n v="0"/>
    <n v="0"/>
    <n v="0"/>
    <n v="0"/>
    <n v="0"/>
    <n v="12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PROVISIÓN POR CONSUMO DE SERVICIO DE ENERGÍA ELÉCTRICA PERIODO ENERO A NOVIEMBRE 2022"/>
    <n v="1"/>
    <x v="0"/>
    <n v="1"/>
    <n v="0"/>
    <n v="1"/>
    <n v="1001"/>
    <s v="IBARRA"/>
    <n v="1"/>
    <n v="0"/>
    <n v="0"/>
    <s v="CORRIENTE"/>
    <x v="0"/>
    <n v="530104"/>
    <s v="ENERGÍA ELÉCTRICA"/>
    <n v="7000"/>
    <n v="7000"/>
    <n v="0"/>
    <n v="7000"/>
    <n v="0"/>
    <n v="1000"/>
    <n v="1000"/>
    <n v="1000"/>
    <n v="1000"/>
    <n v="1000"/>
    <n v="1000"/>
    <n v="1000"/>
    <n v="0"/>
    <n v="0"/>
    <n v="0"/>
    <n v="0"/>
    <n v="0"/>
    <n v="70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RRASTRE: CANCELACIÓN  POR CONSUMO DE SERVICIO DE CORREO NACIONAL A DICIEMBRE DEL 2021"/>
    <n v="2"/>
    <x v="0"/>
    <n v="1"/>
    <n v="0"/>
    <n v="1"/>
    <n v="1001"/>
    <s v="IBARRA"/>
    <n v="1"/>
    <n v="0"/>
    <n v="0"/>
    <s v="CORRIENTE"/>
    <x v="0"/>
    <n v="530106"/>
    <s v="SERVICIO DE CORREO"/>
    <n v="112"/>
    <n v="100"/>
    <n v="12"/>
    <n v="112"/>
    <n v="100"/>
    <n v="0"/>
    <n v="0"/>
    <n v="0"/>
    <n v="0"/>
    <n v="0"/>
    <n v="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 DEL SERVICIO DE CORREO NACIONAL PERIODO ENERO A DICIEMBRE 2022"/>
    <n v="1"/>
    <x v="0"/>
    <n v="1"/>
    <n v="0"/>
    <n v="1"/>
    <n v="1001"/>
    <s v="IBARRA"/>
    <n v="1"/>
    <n v="0"/>
    <n v="0"/>
    <s v="CORRIENTE"/>
    <x v="0"/>
    <n v="530106"/>
    <s v="SERVICIO DE CORREO"/>
    <n v="542.08"/>
    <n v="484"/>
    <n v="58.08"/>
    <n v="542.08"/>
    <n v="0"/>
    <n v="44"/>
    <n v="44"/>
    <n v="44"/>
    <n v="44"/>
    <n v="44"/>
    <n v="44"/>
    <n v="44"/>
    <n v="44"/>
    <n v="44"/>
    <n v="44"/>
    <n v="44"/>
    <n v="0"/>
    <n v="48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RRASTRE: CANCELACIÓN  POR EL  SERVICIO DE TRANSPORTE PERSONAL OPERATIVO DICIEMBRE DEL 2021"/>
    <n v="2"/>
    <x v="0"/>
    <n v="1"/>
    <n v="0"/>
    <n v="1"/>
    <n v="1001"/>
    <s v="IBARRA"/>
    <n v="1"/>
    <n v="0"/>
    <n v="0"/>
    <s v="CORRIENTE"/>
    <x v="0"/>
    <n v="530201"/>
    <s v="TRANSPORTE DE PERSONAL"/>
    <n v="5118"/>
    <n v="5118"/>
    <n v="0"/>
    <n v="5118"/>
    <n v="5118"/>
    <n v="0"/>
    <n v="0"/>
    <n v="0"/>
    <n v="0"/>
    <n v="0"/>
    <n v="0"/>
    <n v="0"/>
    <n v="0"/>
    <n v="0"/>
    <n v="0"/>
    <n v="0"/>
    <n v="0"/>
    <n v="511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 DEL SERVICIO DE TRANSPORTE PARA SERVIDORES DEL ÁREA OPERATIVA DEL CENTRO OPERATIVO ZONAL ECU 911 IBARRA PARA ENERO-DICIEMBRE 2022, SE PAGA A MES VENCIDO"/>
    <n v="1"/>
    <x v="0"/>
    <n v="1"/>
    <n v="0"/>
    <n v="1"/>
    <n v="1001"/>
    <s v="IBARRA"/>
    <n v="1"/>
    <n v="0"/>
    <n v="0"/>
    <s v="CORRIENTE"/>
    <x v="0"/>
    <n v="530201"/>
    <s v="TRANSPORTE DE PERSONAL"/>
    <n v="72006"/>
    <n v="72006"/>
    <n v="0"/>
    <n v="72006"/>
    <n v="0"/>
    <n v="6546"/>
    <n v="6546"/>
    <n v="6546"/>
    <n v="6546"/>
    <n v="6546"/>
    <n v="6546"/>
    <n v="6546"/>
    <n v="6546"/>
    <n v="6546"/>
    <n v="6546"/>
    <n v="6546"/>
    <n v="0"/>
    <n v="72006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BIENES Y CANCELACIÓN  DE SERVICIOS NO PREVISIBLES, URGENTES Y DE VALOR REDUCIDO (CAJA CHICA)."/>
    <n v="2"/>
    <x v="0"/>
    <n v="1"/>
    <n v="0"/>
    <n v="1"/>
    <n v="1001"/>
    <s v="IBARRA"/>
    <n v="1"/>
    <n v="0"/>
    <n v="0"/>
    <s v="CORRIENTE"/>
    <x v="0"/>
    <n v="530202"/>
    <s v="FLETES Y MANIOBRAS"/>
    <n v="100"/>
    <n v="100"/>
    <n v="0"/>
    <n v="100"/>
    <n v="0"/>
    <n v="0"/>
    <n v="0"/>
    <n v="0"/>
    <n v="0"/>
    <n v="0"/>
    <n v="0"/>
    <n v="0"/>
    <n v="0"/>
    <n v="0"/>
    <n v="10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DEL SERVICIO DE RECARGA DE EXTINTORES DEL CENTRO"/>
    <n v="1"/>
    <x v="0"/>
    <n v="1"/>
    <n v="0"/>
    <n v="1"/>
    <n v="1001"/>
    <s v="IBARRA"/>
    <n v="1"/>
    <n v="0"/>
    <n v="0"/>
    <s v="CORRIENTE"/>
    <x v="0"/>
    <n v="530203"/>
    <s v="ALMACENAMIENTO, EMBALAJE, DESEMBALAJE, ENVASE, DESENVASE Y RECARGA DE EXTINTORES"/>
    <n v="300.15999999999985"/>
    <n v="267.9999999999999"/>
    <n v="32.15999999999998"/>
    <n v="300.15999999999985"/>
    <n v="0"/>
    <n v="0"/>
    <n v="0"/>
    <n v="0"/>
    <n v="0"/>
    <n v="0"/>
    <n v="268"/>
    <n v="0"/>
    <n v="0"/>
    <n v="0"/>
    <n v="0"/>
    <n v="0"/>
    <n v="0"/>
    <n v="267.9999999999999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BIENES Y CANCELACIÓN  DE SERVICIOS NO PREVISIBLES, URGENTES Y DE VALOR REDUCIDO (CAJA CHICA)."/>
    <n v="2"/>
    <x v="0"/>
    <n v="1"/>
    <n v="0"/>
    <n v="1"/>
    <n v="1001"/>
    <s v="IBARRA"/>
    <n v="1"/>
    <n v="0"/>
    <n v="0"/>
    <s v="CORRIENTE"/>
    <x v="0"/>
    <n v="530204"/>
    <s v="EDICIÓN, IMPRESIÓN, REPRODUCCIÓN, PUBLICACIONES, SUSCRIPCIONES, FOTOCOPIADO, TRADUCCIÓN, EMPASTADO, ENMARCACIÓN, SERIGRAFÍA, FOTOGRAFÍA, CARNETIZACIÓN, FILMACIÓN E IMÁGENES SATELITALES"/>
    <n v="102"/>
    <n v="102"/>
    <n v="0"/>
    <n v="102"/>
    <n v="0"/>
    <n v="34"/>
    <n v="0"/>
    <n v="0"/>
    <n v="34"/>
    <n v="0"/>
    <n v="0"/>
    <n v="34"/>
    <n v="0"/>
    <n v="0"/>
    <n v="0"/>
    <n v="0"/>
    <n v="0"/>
    <n v="102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ZONAL DE COMUNICACIÓN SOCIAL"/>
    <s v="COMUNICACIÓN SOCIAL"/>
    <s v="SUSCRIPCIÓN CON DIARIO EL NORTE, PARA PROVISIÓN DE DIARIOS EN FORMATO DIGITAL POR 1 AÑO (01/04/2022 AL 31/03/2023) PARA EL CENTRO OPERATIVO ECU 911 IBARRA  "/>
    <n v="2"/>
    <x v="0"/>
    <n v="1"/>
    <n v="0"/>
    <n v="1"/>
    <n v="1001"/>
    <s v="IBARRA"/>
    <n v="1"/>
    <n v="0"/>
    <n v="0"/>
    <s v="CORRIENTE"/>
    <x v="0"/>
    <n v="530204"/>
    <s v="EDICIÓN, IMPRESIÓN, REPRODUCCIÓN, PUBLICACIONES, SUSCRIPCIONES, FOTOCOPIADO, TRADUCCIÓN, EMPASTADO, ENMARCACIÓN, SERIGRAFÍA, FOTOGRAFÍA, CARNETIZACIÓN, FILMACIÓN E IMÁGENES SATELITALES"/>
    <n v="112"/>
    <n v="100"/>
    <n v="12"/>
    <n v="112"/>
    <n v="0"/>
    <n v="0"/>
    <n v="0"/>
    <n v="100"/>
    <n v="0"/>
    <n v="0"/>
    <n v="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ZONAL DE COMUNICACIÓN SOCIAL"/>
    <s v="COMUNICACIÓN SOCIAL"/>
    <s v="ADQUISICIÓN DE MATERIAL DE POSICIONAMIENTO E IDENTIDAD DEL ECU 911 PARA EL CENTRO OPERATIVO ECU 911 IBARRA"/>
    <n v="1"/>
    <x v="0"/>
    <n v="1"/>
    <n v="0"/>
    <n v="1"/>
    <n v="1001"/>
    <s v="IBARRA"/>
    <n v="1"/>
    <n v="0"/>
    <n v="0"/>
    <s v="CORRIENTE"/>
    <x v="0"/>
    <n v="530204"/>
    <s v="EDICIÓN, IMPRESIÓN, REPRODUCCIÓN, PUBLICACIONES, SUSCRIPCIONES, FOTOCOPIADO, TRADUCCIÓN, EMPASTADO, ENMARCACIÓN, SERIGRAFÍA, FOTOGRAFÍA, CARNETIZACIÓN, FILMACIÓN E IMÁGENES SATELITALES"/>
    <n v="2200.8"/>
    <n v="1965"/>
    <n v="235.79999999999998"/>
    <n v="2200.8"/>
    <n v="0"/>
    <n v="0"/>
    <n v="0"/>
    <n v="1965"/>
    <n v="0"/>
    <n v="0"/>
    <n v="0"/>
    <n v="0"/>
    <n v="0"/>
    <n v="0"/>
    <n v="0"/>
    <n v="0"/>
    <n v="0"/>
    <n v="196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CREDENCIALES INSTITUCIONALES PARA EL PERSONAL DEL CENTRO OPERATIVO ZONAL ECU 911 IBARRA"/>
    <n v="1"/>
    <x v="0"/>
    <n v="1"/>
    <n v="0"/>
    <n v="1"/>
    <n v="1001"/>
    <s v="IBARRA"/>
    <n v="1"/>
    <n v="0"/>
    <n v="0"/>
    <s v="CORRIENTE"/>
    <x v="0"/>
    <n v="530204"/>
    <s v="EDICIÓN, IMPRESIÓN, REPRODUCCIÓN, PUBLICACIONES, SUSCRIPCIONES, FOTOCOPIADO, TRADUCCIÓN, EMPASTADO, ENMARCACIÓN, SERIGRAFÍA, FOTOGRAFÍA, CARNETIZACIÓN, FILMACIÓN E IMÁGENES SATELITALES"/>
    <n v="263.2"/>
    <n v="234.99999999999997"/>
    <n v="28.199999999999996"/>
    <n v="263.2"/>
    <n v="0"/>
    <n v="0"/>
    <n v="235"/>
    <n v="0"/>
    <n v="0"/>
    <n v="0"/>
    <n v="0"/>
    <n v="0"/>
    <n v="0"/>
    <n v="0"/>
    <n v="0"/>
    <n v="0"/>
    <n v="0"/>
    <n v="234.9999999999999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RRASTRE CANCELACIÓN  POR EL SERVICIO DE SEGURIDAD Y VIGILANCIA DE LOS CENTROS OPERATIVOS QUE CONFORMAN LA ZONA 1  DICIEMBRE 2021, SE PAGA A MES VENCIDO"/>
    <n v="2"/>
    <x v="0"/>
    <n v="1"/>
    <n v="0"/>
    <n v="1"/>
    <n v="1001"/>
    <s v="IBARRA"/>
    <n v="1"/>
    <n v="0"/>
    <n v="0"/>
    <s v="CORRIENTE"/>
    <x v="0"/>
    <n v="530208"/>
    <s v="SERVICIO DE SEGURIDAD Y VIGILANCIA"/>
    <n v="27851.04"/>
    <n v="24867"/>
    <n v="2984.04"/>
    <n v="27851.04"/>
    <n v="24867"/>
    <n v="0"/>
    <n v="0"/>
    <n v="0"/>
    <n v="0"/>
    <n v="0"/>
    <n v="0"/>
    <n v="0"/>
    <n v="0"/>
    <n v="0"/>
    <n v="0"/>
    <n v="0"/>
    <n v="0"/>
    <n v="2486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DEL SERVICIO DE SEGURIDAD Y VIGILANCIA DE LOS CENTROS OPERATIVOS QUE CONFORMAN LA ZONA 1, AÑO 2022 SE PAGA A MES VENCIDO"/>
    <n v="1"/>
    <x v="0"/>
    <n v="1"/>
    <n v="0"/>
    <n v="1"/>
    <n v="1001"/>
    <s v="IBARRA"/>
    <n v="1"/>
    <n v="0"/>
    <n v="0"/>
    <s v="CORRIENTE"/>
    <x v="0"/>
    <n v="530208"/>
    <s v="SERVICIO DE SEGURIDAD Y VIGILANCIA"/>
    <n v="302406.72"/>
    <n v="270006"/>
    <n v="32400.719999999998"/>
    <n v="302406.72"/>
    <n v="0"/>
    <n v="24546"/>
    <n v="24546"/>
    <n v="24546"/>
    <n v="24546"/>
    <n v="24546"/>
    <n v="24546"/>
    <n v="24546"/>
    <n v="24546"/>
    <n v="24546"/>
    <n v="24546"/>
    <n v="24546"/>
    <n v="0"/>
    <n v="270006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RRASTRE: CANCELACIÓN  POR EL SERVICIO DE LIMPIEZA DEL CENTRO OPERATIVO ZONAL ECU 911 IBARRA  DICIEMBRE DEL 2021"/>
    <n v="2"/>
    <x v="0"/>
    <n v="1"/>
    <n v="0"/>
    <n v="1"/>
    <n v="1001"/>
    <s v="IBARRA"/>
    <n v="1"/>
    <n v="0"/>
    <n v="0"/>
    <s v="CORRIENTE"/>
    <x v="0"/>
    <n v="530209"/>
    <s v="SERVICIOS DE ASEO, LAVADO DE VESTIMENTA DE TRABAJO, FUMIGACIÓN, DESINFECCIÓN, LIMPIEZA DE INSTALACIONES, MANEJO DE DESECHOS CONTAMINADOS, RECUPERACIÓN Y CLASIFICACIÓN DE MATERIALES RECICLABLES"/>
    <n v="3324.159999999999"/>
    <n v="2967.999999999999"/>
    <n v="356.15999999999985"/>
    <n v="3324.159999999999"/>
    <n v="2968"/>
    <n v="0"/>
    <n v="0"/>
    <n v="0"/>
    <n v="0"/>
    <n v="0"/>
    <n v="0"/>
    <n v="0"/>
    <n v="0"/>
    <n v="0"/>
    <n v="0"/>
    <n v="0"/>
    <n v="0"/>
    <n v="2967.999999999999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 DEL SERVICIO DE LIMPIEZA PARA EL CENTRO OPERATIVO ZONAL ECU 911 IBARRA PERIODO 2022 SE PAGA A MES VENCIDO"/>
    <n v="1"/>
    <x v="0"/>
    <n v="1"/>
    <n v="0"/>
    <n v="1"/>
    <n v="1001"/>
    <s v="IBARRA"/>
    <n v="1"/>
    <n v="0"/>
    <n v="0"/>
    <s v="CORRIENTE"/>
    <x v="0"/>
    <n v="530209"/>
    <s v="SERVICIOS DE ASEO, LAVADO DE VESTIMENTA DE TRABAJO, FUMIGACIÓN, DESINFECCIÓN, LIMPIEZA DE INSTALACIONES, MANEJO DE DESECHOS CONTAMINADOS, RECUPERACIÓN Y CLASIFICACIÓN DE MATERIALES RECICLABLES"/>
    <n v="21752.64"/>
    <n v="19422"/>
    <n v="2330.64"/>
    <n v="21752.64"/>
    <n v="0"/>
    <n v="3237"/>
    <n v="3237"/>
    <n v="3237"/>
    <n v="3237"/>
    <n v="3237"/>
    <n v="3237"/>
    <n v="0"/>
    <n v="0"/>
    <n v="0"/>
    <n v="0"/>
    <n v="0"/>
    <n v="0"/>
    <n v="19422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PROVISIÓN PARA  MOVILIZACIONES TERRESTRES DE FUNCIONARIOS DEL ECU 911  POR ACTIVIDADES INSTITUCIONALES AÑO 2022"/>
    <n v="1"/>
    <x v="0"/>
    <n v="1"/>
    <n v="0"/>
    <n v="1"/>
    <n v="1001"/>
    <s v="IBARRA"/>
    <n v="1"/>
    <n v="0"/>
    <n v="0"/>
    <s v="CORRIENTE"/>
    <x v="0"/>
    <n v="530301"/>
    <s v="PASAJES AL INTERIOR"/>
    <n v="100"/>
    <n v="100"/>
    <n v="0"/>
    <n v="100"/>
    <n v="0"/>
    <n v="0"/>
    <n v="20"/>
    <n v="0"/>
    <n v="20"/>
    <n v="0"/>
    <n v="0"/>
    <n v="20"/>
    <n v="0"/>
    <n v="20"/>
    <n v="0"/>
    <n v="2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PROVISIÓN PARA ALIMENTACIÓN Y ESTADÍA DE LOS FUNCIONARIOS DEL CENTRO OPERATIVO ZONAL ECU 911 IBARRA CUANDO SALEN A CUMPLIR COMISIÓN DE SERVICIOS FUERA DE SU LUGAR HABITUAL DE TRABAJO AÑO 2022"/>
    <n v="1"/>
    <x v="0"/>
    <n v="1"/>
    <n v="0"/>
    <n v="1"/>
    <n v="1001"/>
    <s v="IBARRA"/>
    <n v="1"/>
    <n v="0"/>
    <n v="0"/>
    <s v="CORRIENTE"/>
    <x v="0"/>
    <n v="530303"/>
    <s v="VIÁTICOS Y SUBSISTENCIAS EN EL INTERIOR"/>
    <n v="4037"/>
    <n v="4037"/>
    <n v="0"/>
    <n v="4037"/>
    <n v="0"/>
    <n v="367"/>
    <n v="367"/>
    <n v="367"/>
    <n v="367"/>
    <n v="367"/>
    <n v="367"/>
    <n v="367"/>
    <n v="367"/>
    <n v="367"/>
    <n v="367"/>
    <n v="367"/>
    <n v="0"/>
    <n v="403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PARA MANTENIMIENTO DE INFRAESTRUCTURA DEL CENTRO OPERATIVO ZONAL ECU 911 IBARRA PARA EL 2022"/>
    <n v="1"/>
    <x v="0"/>
    <n v="1"/>
    <n v="0"/>
    <n v="1"/>
    <n v="1001"/>
    <s v="IBARRA"/>
    <n v="1"/>
    <n v="0"/>
    <n v="0"/>
    <s v="CORRIENTE"/>
    <x v="0"/>
    <n v="530402"/>
    <s v="EDIFICIOS, LOCALES, RESIDENCIAS Y CABLEADO ESTRUCTURADO (INSTALACIÓN, MANTENIMIENTO Y REPARACIÓN)"/>
    <n v="2500.96"/>
    <n v="2233"/>
    <n v="267.96"/>
    <n v="2500.96"/>
    <n v="0"/>
    <n v="0"/>
    <n v="0"/>
    <n v="0"/>
    <n v="0"/>
    <n v="0"/>
    <n v="0"/>
    <n v="2233"/>
    <n v="0"/>
    <n v="0"/>
    <n v="0"/>
    <n v="0"/>
    <n v="0"/>
    <n v="223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DEL SERVICIO DE MANTENIMIENTO DE ESTRUCTURA METÁLICA DE INGRESO PRINCIPAL Y DE PUERTAS DE VIDRIO DEL CENTRO OPERATIVO ZONAL ECU 911 IBARRA"/>
    <n v="1"/>
    <x v="0"/>
    <n v="1"/>
    <n v="0"/>
    <n v="1"/>
    <n v="1001"/>
    <s v="IBARRA"/>
    <n v="1"/>
    <n v="0"/>
    <n v="0"/>
    <s v="CORRIENTE"/>
    <x v="0"/>
    <n v="530402"/>
    <s v="EDIFICIOS, LOCALES, RESIDENCIAS Y CABLEADO ESTRUCTURADO (INSTALACIÓN, MANTENIMIENTO Y REPARACIÓN)"/>
    <n v="4000.639999999999"/>
    <n v="3571.999999999999"/>
    <n v="428.6399999999999"/>
    <n v="4000.639999999999"/>
    <n v="0"/>
    <n v="0"/>
    <n v="0"/>
    <n v="3572"/>
    <n v="0"/>
    <n v="0"/>
    <n v="0"/>
    <n v="0"/>
    <n v="0"/>
    <n v="0"/>
    <n v="0"/>
    <n v="0"/>
    <n v="0"/>
    <n v="3571.999999999999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ECUACIÓN DEL ÁREA DE ARCHIVO JUNTO A LA OFICINA FINANCIERA DEL CENTRO OPERATIVO ZONAL ECU 911  IBARRA "/>
    <n v="2"/>
    <x v="0"/>
    <n v="1"/>
    <n v="0"/>
    <n v="1"/>
    <n v="1001"/>
    <s v="IBARRA"/>
    <n v="1"/>
    <n v="0"/>
    <n v="0"/>
    <s v="CORRIENTE"/>
    <x v="0"/>
    <n v="530402"/>
    <s v="EDIFICIOS, LOCALES, RESIDENCIAS Y CABLEADO ESTRUCTURADO (INSTALACIÓN, MANTENIMIENTO Y REPARACIÓN)"/>
    <n v="5000.8"/>
    <n v="4465"/>
    <n v="535.8"/>
    <n v="5000.8"/>
    <n v="0"/>
    <n v="0"/>
    <n v="0"/>
    <n v="0"/>
    <n v="0"/>
    <n v="0"/>
    <n v="4465"/>
    <n v="0"/>
    <n v="0"/>
    <n v="0"/>
    <n v="0"/>
    <n v="0"/>
    <n v="0"/>
    <n v="446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DEL SERVICIO DE MANTENIMIENTO DEL SISTEMA ELÉCTRICO DE LOS CENTROS OPERATIVOS ECU 911 IBARRA, TULCÁN, NUEVA LOJA Y ESMERALDAS AÑO 2022"/>
    <n v="1"/>
    <x v="0"/>
    <n v="1"/>
    <n v="0"/>
    <n v="1"/>
    <n v="1001"/>
    <s v="IBARRA"/>
    <n v="1"/>
    <n v="0"/>
    <n v="0"/>
    <s v="CORRIENTE"/>
    <x v="0"/>
    <n v="530402"/>
    <s v="EDIFICIOS, LOCALES, RESIDENCIAS Y CABLEADO ESTRUCTURADO (INSTALACIÓN, MANTENIMIENTO Y REPARACIÓN)"/>
    <n v="250006.39999999994"/>
    <n v="223219.99999999994"/>
    <n v="26786.39999999999"/>
    <n v="250006.39999999994"/>
    <n v="0"/>
    <n v="0"/>
    <n v="22322"/>
    <n v="22322"/>
    <n v="22322"/>
    <n v="22322"/>
    <n v="22322"/>
    <n v="22322"/>
    <n v="22322"/>
    <n v="22322"/>
    <n v="22322"/>
    <n v="22322"/>
    <n v="0"/>
    <n v="223219.9999999999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DEL SERVICIO DE MANTENIMIENTO PREVENTIVO Y CORRECTIVO DEL SISTEMA CONTRAINCENDIOS PARA LOS CENTROS OPERATIVOS ECU 911 IBARRA, TULCÁN, ESMERALDAS Y NUEVA LOJA AÑO 2022"/>
    <n v="1"/>
    <x v="0"/>
    <n v="1"/>
    <n v="0"/>
    <n v="1"/>
    <n v="1001"/>
    <s v="IBARRA"/>
    <n v="1"/>
    <n v="0"/>
    <n v="0"/>
    <s v="CORRIENTE"/>
    <x v="0"/>
    <n v="530402"/>
    <s v="EDIFICIOS, LOCALES, RESIDENCIAS Y CABLEADO ESTRUCTURADO (INSTALACIÓN, MANTENIMIENTO Y REPARACIÓN)"/>
    <n v="2562.56"/>
    <n v="2288"/>
    <n v="274.56"/>
    <n v="2562.56"/>
    <n v="0"/>
    <n v="0"/>
    <n v="0"/>
    <n v="0"/>
    <n v="0"/>
    <n v="2288"/>
    <n v="0"/>
    <n v="0"/>
    <n v="0"/>
    <n v="0"/>
    <n v="0"/>
    <n v="0"/>
    <n v="0"/>
    <n v="228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DEL SERVICIO DE MANTENIMIENTO Y REPARACIÓN DE MOBILIARIO DEL CENTRO AÑO 2022"/>
    <n v="3"/>
    <x v="0"/>
    <n v="1"/>
    <n v="0"/>
    <n v="1"/>
    <n v="1001"/>
    <s v="IBARRA"/>
    <n v="1"/>
    <n v="0"/>
    <n v="0"/>
    <s v="CORRIENTE"/>
    <x v="0"/>
    <n v="530403"/>
    <s v="MOBILIARIOS (INSTALACIÓN, MANTENIMIENTO Y REPARACIÓN)"/>
    <n v="2000.3199999999995"/>
    <n v="1785.9999999999995"/>
    <n v="214.31999999999994"/>
    <n v="2000.3199999999995"/>
    <n v="0"/>
    <n v="0"/>
    <n v="0"/>
    <n v="0"/>
    <n v="0"/>
    <n v="1786"/>
    <n v="0"/>
    <n v="0"/>
    <n v="0"/>
    <n v="0"/>
    <n v="0"/>
    <n v="0"/>
    <n v="0"/>
    <n v="1785.999999999999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DEL SERVICIO DE MANTENIMIENTO PREVENTIVO Y CORRECTIVO PARA EL SOSTENIMIENTO TECNOLÓGICO DEL SISTEMA DE CLIMATIZACIÓN DE LOS CENTROS OPERATIVOS  ECU 911 IBARRA, ESMERALDAS, TULCÁN Y NUEVA LOJA AÑO 2022"/>
    <n v="1"/>
    <x v="0"/>
    <n v="1"/>
    <n v="0"/>
    <n v="1"/>
    <n v="1001"/>
    <s v="IBARRA"/>
    <n v="1"/>
    <n v="0"/>
    <n v="0"/>
    <s v="CORRIENTE"/>
    <x v="0"/>
    <n v="530404"/>
    <s v="MAQUINARIAS Y EQUIPOS (INSTALACIÓN, MANTENIMIENTO Y REPARACIÓN)"/>
    <n v="165001.76"/>
    <n v="147323"/>
    <n v="17678.76"/>
    <n v="165001.76"/>
    <n v="0"/>
    <n v="13393"/>
    <n v="13393"/>
    <n v="13393"/>
    <n v="13393"/>
    <n v="13393"/>
    <n v="13393"/>
    <n v="13393"/>
    <n v="13393"/>
    <n v="13393"/>
    <n v="13393"/>
    <n v="13393"/>
    <n v="0"/>
    <n v="14732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DEL SERVICIO DE MANTENIMIENTO PREVENTIVO Y CORRECTIVO DEL ASCENSOR AÑO 2022"/>
    <n v="1"/>
    <x v="0"/>
    <n v="1"/>
    <n v="0"/>
    <n v="1"/>
    <n v="1001"/>
    <s v="IBARRA"/>
    <n v="1"/>
    <n v="0"/>
    <n v="0"/>
    <s v="CORRIENTE"/>
    <x v="0"/>
    <n v="530404"/>
    <s v="MAQUINARIAS Y EQUIPOS (INSTALACIÓN, MANTENIMIENTO Y REPARACIÓN)"/>
    <n v="2106.72"/>
    <n v="1881"/>
    <n v="225.72"/>
    <n v="2106.72"/>
    <n v="0"/>
    <n v="171"/>
    <n v="171"/>
    <n v="171"/>
    <n v="171"/>
    <n v="171"/>
    <n v="171"/>
    <n v="171"/>
    <n v="171"/>
    <n v="171"/>
    <n v="171"/>
    <n v="171"/>
    <n v="0"/>
    <n v="1881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DEL SERVICIO DE MANTENIMIENTO PREVENTIVO Y CORRECTIVO DE ELECTRODOMÉSTICOS DEL CENTRO OPERATIVO ZONAL ECU 911 IBARRA"/>
    <n v="2"/>
    <x v="0"/>
    <n v="1"/>
    <n v="0"/>
    <n v="1"/>
    <n v="1001"/>
    <s v="IBARRA"/>
    <n v="1"/>
    <n v="0"/>
    <n v="0"/>
    <s v="CORRIENTE"/>
    <x v="0"/>
    <n v="530404"/>
    <s v="MAQUINARIAS Y EQUIPOS (INSTALACIÓN, MANTENIMIENTO Y REPARACIÓN)"/>
    <n v="2000.3199999999995"/>
    <n v="1785.9999999999995"/>
    <n v="214.31999999999994"/>
    <n v="2000.3199999999995"/>
    <n v="0"/>
    <n v="0"/>
    <n v="0"/>
    <n v="0"/>
    <n v="1786"/>
    <n v="0"/>
    <n v="0"/>
    <n v="0"/>
    <n v="0"/>
    <n v="0"/>
    <n v="0"/>
    <n v="0"/>
    <n v="0"/>
    <n v="1785.999999999999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POR MANTENIMIENTO PREVENTIVO Y CORRECTIVO DE FILTROS DE AGUA CON TECNOLOGÍA DE OSMOSIS INVERSA DEL CENTRO OPERATIVO ZONAL ECU 911 IBARRA"/>
    <n v="2"/>
    <x v="0"/>
    <n v="1"/>
    <n v="0"/>
    <n v="1"/>
    <n v="1001"/>
    <s v="IBARRA"/>
    <n v="1"/>
    <n v="0"/>
    <n v="0"/>
    <s v="CORRIENTE"/>
    <x v="0"/>
    <n v="530404"/>
    <s v="MAQUINARIAS Y EQUIPOS (INSTALACIÓN, MANTENIMIENTO Y REPARACIÓN)"/>
    <n v="1500.7999999999995"/>
    <n v="1339.9999999999995"/>
    <n v="160.79999999999993"/>
    <n v="1500.7999999999995"/>
    <n v="0"/>
    <n v="0"/>
    <n v="1340"/>
    <n v="0"/>
    <n v="0"/>
    <n v="0"/>
    <n v="0"/>
    <n v="0"/>
    <n v="0"/>
    <n v="0"/>
    <n v="0"/>
    <n v="0"/>
    <n v="0"/>
    <n v="1339.999999999999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DE MANO DE OBRA PARA MANTENIMIENTO DE VEHÍCULOS LIVIANOS Y VEHÍCULO PESADO DEL CENTRO OPERATIVO ZONAL ECU 911 IBARRA PARA GARANTIZAR OPERATIVIDAD"/>
    <n v="1"/>
    <x v="0"/>
    <n v="1"/>
    <n v="0"/>
    <n v="1"/>
    <n v="1001"/>
    <s v="IBARRA"/>
    <n v="1"/>
    <n v="0"/>
    <n v="0"/>
    <s v="CORRIENTE"/>
    <x v="0"/>
    <n v="530405"/>
    <s v="VEHÍCULOS (SERVICIO PARA MANTENIMIENTO Y REPARACIÓN)"/>
    <n v="1505.2799999999995"/>
    <n v="1343.9999999999995"/>
    <n v="161.27999999999994"/>
    <n v="1505.2799999999995"/>
    <n v="0"/>
    <n v="0"/>
    <n v="224"/>
    <n v="0"/>
    <n v="0"/>
    <n v="224"/>
    <n v="224"/>
    <n v="224"/>
    <n v="0"/>
    <n v="224"/>
    <n v="0"/>
    <n v="224"/>
    <n v="0"/>
    <n v="1343.999999999999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DEL SERVICIO DE REENCAUCHE DE LLANTAS DE LOS VEHÍCULOS DEL CENTRO OPERATIVO ZONAL ECU 911 IBARRA  AÑO 2022 A FIN DE CUMPLIR EN LO ESTABLECIDO EN LA NORMATIVA PARA INSTITUCIONES DEL ESTADO"/>
    <n v="2"/>
    <x v="0"/>
    <n v="1"/>
    <n v="0"/>
    <n v="1"/>
    <n v="1001"/>
    <s v="IBARRA"/>
    <n v="1"/>
    <n v="0"/>
    <n v="0"/>
    <s v="CORRIENTE"/>
    <x v="0"/>
    <n v="530405"/>
    <s v="VEHÍCULOS (SERVICIO PARA MANTENIMIENTO Y REPARACIÓN)"/>
    <n v="1500.7999999999995"/>
    <n v="1339.9999999999995"/>
    <n v="160.79999999999993"/>
    <n v="1500.7999999999995"/>
    <n v="0"/>
    <n v="0"/>
    <n v="0"/>
    <n v="1340"/>
    <n v="0"/>
    <n v="0"/>
    <n v="0"/>
    <n v="0"/>
    <n v="0"/>
    <n v="0"/>
    <n v="0"/>
    <n v="0"/>
    <n v="0"/>
    <n v="1339.999999999999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 ADQUISICIÓN DE EQUIPOS DE PROTECCIÓN INDIVIDUAL Y ROPA DE TRABAJO"/>
    <n v="1"/>
    <x v="0"/>
    <n v="1"/>
    <n v="0"/>
    <n v="1"/>
    <n v="1001"/>
    <s v="IBARRA"/>
    <n v="1"/>
    <n v="0"/>
    <n v="0"/>
    <s v="CORRIENTE"/>
    <x v="0"/>
    <n v="530802"/>
    <s v="VESTUARIO, LENCERÍA, PRENDAS DE PROTECCIÓN Y ACCESORIOS PARA UNIFORMES DEL PERSONAL DE PROTECCIÓN, VIGILANCIA Y SEGURIDAD"/>
    <n v="1207.3599999999994"/>
    <n v="1077.9999999999995"/>
    <n v="129.35999999999993"/>
    <n v="1207.3599999999994"/>
    <n v="0"/>
    <n v="0"/>
    <n v="0"/>
    <n v="0"/>
    <n v="0"/>
    <n v="1078"/>
    <n v="0"/>
    <n v="0"/>
    <n v="0"/>
    <n v="0"/>
    <n v="0"/>
    <n v="0"/>
    <n v="0"/>
    <n v="1077.999999999999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COMBUSTIBLES, LUBRICANTES, Y ADITIVOS EN GENERAL PARA MANTENIMIENTO DE LOS VEHÍCULOS LIVIANOS Y VEHÍCULO INSTITUCIONAL DEL CENTRO OPERATIVO ZONAL ECU 911 IBARRA AÑO 2022"/>
    <n v="1"/>
    <x v="0"/>
    <n v="1"/>
    <n v="0"/>
    <n v="1"/>
    <n v="1001"/>
    <s v="IBARRA"/>
    <n v="1"/>
    <n v="0"/>
    <n v="0"/>
    <s v="CORRIENTE"/>
    <x v="0"/>
    <n v="530803"/>
    <s v="COMBUSTIBLES Y LUBRICANTES"/>
    <n v="1001.2799999999997"/>
    <n v="893.9999999999998"/>
    <n v="107.27999999999997"/>
    <n v="1001.2799999999997"/>
    <n v="0"/>
    <n v="0"/>
    <n v="149"/>
    <n v="0"/>
    <n v="0"/>
    <n v="149"/>
    <n v="149"/>
    <n v="149"/>
    <n v="0"/>
    <n v="149"/>
    <n v="0"/>
    <n v="149"/>
    <n v="0"/>
    <n v="893.999999999999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RRASTRE CANCELACIÓN  POR ADQUISICIÓN DE COMBUSTIBLES PARA MOVILIZACIÓN DE VEHÍCULOS DEL CENTRO OPERATIVO ZONAL ECU 911 IBARRA DICIEMBRE 2021"/>
    <n v="2"/>
    <x v="0"/>
    <n v="1"/>
    <n v="0"/>
    <n v="1"/>
    <n v="1001"/>
    <s v="IBARRA"/>
    <n v="1"/>
    <n v="0"/>
    <n v="0"/>
    <s v="CORRIENTE"/>
    <x v="0"/>
    <n v="530803"/>
    <s v="COMBUSTIBLES Y LUBRICANTES"/>
    <n v="300.15999999999985"/>
    <n v="267.9999999999999"/>
    <n v="32.15999999999998"/>
    <n v="300.15999999999985"/>
    <n v="267.99999999999994"/>
    <n v="0"/>
    <n v="0"/>
    <n v="0"/>
    <n v="0"/>
    <n v="0"/>
    <n v="0"/>
    <n v="0"/>
    <n v="0"/>
    <n v="0"/>
    <n v="0"/>
    <n v="0"/>
    <n v="0"/>
    <n v="267.9999999999999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COMBUSTIBLES PARA MOVILIZACIÓN DE VEHÍCULOS DEL CENTRO OPERATIVO ZONAL ECU 911 IBARRA PERIODO 2022"/>
    <n v="1"/>
    <x v="0"/>
    <n v="1"/>
    <n v="0"/>
    <n v="1"/>
    <n v="1001"/>
    <s v="IBARRA"/>
    <n v="1"/>
    <n v="0"/>
    <n v="0"/>
    <s v="CORRIENTE"/>
    <x v="0"/>
    <n v="530803"/>
    <s v="COMBUSTIBLES Y LUBRICANTES"/>
    <n v="2500.96"/>
    <n v="2233"/>
    <n v="267.96"/>
    <n v="2500.96"/>
    <n v="0"/>
    <n v="203"/>
    <n v="203"/>
    <n v="203"/>
    <n v="203"/>
    <n v="203"/>
    <n v="203"/>
    <n v="203"/>
    <n v="203"/>
    <n v="203"/>
    <n v="203"/>
    <n v="203"/>
    <n v="0"/>
    <n v="223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COMBUSTIBLES PERIODO 2022 PARA ABASTECIMIENTO DE GENERADORES DEL CENTRO OPERATIVO ZONAL ECU 911 IBARRA"/>
    <n v="1"/>
    <x v="0"/>
    <n v="1"/>
    <n v="0"/>
    <n v="1"/>
    <n v="1001"/>
    <s v="IBARRA"/>
    <n v="1"/>
    <n v="0"/>
    <n v="0"/>
    <s v="CORRIENTE"/>
    <x v="0"/>
    <n v="530803"/>
    <s v="COMBUSTIBLES Y LUBRICANTES"/>
    <n v="500.6399999999999"/>
    <n v="446.9999999999999"/>
    <n v="53.639999999999986"/>
    <n v="500.6399999999999"/>
    <n v="0"/>
    <n v="0"/>
    <n v="0"/>
    <n v="0"/>
    <n v="0"/>
    <n v="0"/>
    <n v="0"/>
    <n v="0"/>
    <n v="0"/>
    <n v="446.99999999999994"/>
    <n v="0"/>
    <n v="0"/>
    <n v="0"/>
    <n v="446.9999999999999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REPOSICIÓN DE ADQUISICIÓN DE COMBUSTIBLES EN CUMPLIMIENTO DE COMISIÓN DE SERVICIOS AL INTERIOR DE LOS SERVIDORES DEL CENTRO OPERATIVO ZONAL ECU 911 IBARRA PERIODO 2022"/>
    <n v="1"/>
    <x v="0"/>
    <n v="1"/>
    <n v="0"/>
    <n v="1"/>
    <n v="1001"/>
    <s v="IBARRA"/>
    <n v="1"/>
    <n v="0"/>
    <n v="0"/>
    <s v="CORRIENTE"/>
    <x v="0"/>
    <n v="530803"/>
    <s v="COMBUSTIBLES Y LUBRICANTES"/>
    <n v="100"/>
    <n v="100"/>
    <n v="0"/>
    <n v="100"/>
    <n v="0"/>
    <n v="0"/>
    <n v="20"/>
    <n v="0"/>
    <n v="0"/>
    <n v="0"/>
    <n v="20"/>
    <n v="0"/>
    <n v="20"/>
    <n v="0"/>
    <n v="20"/>
    <n v="2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ELABORACIÓN DE FORMULARIOS PRE-IMPRESOS Y PRE-NUMERADOS PARA VALES DE CAJA CHICA, INGRESOS Y EGRESOS DE BODEGA, ÓRDENES DE COMBUSTIBLE, ÓRDENES DE MANTENIMIENTO, FORMULARIOS DE PERMISOS DE PERSONAL, SOLICITUD DE MOVILIZACIÓN"/>
    <n v="2"/>
    <x v="0"/>
    <n v="1"/>
    <n v="0"/>
    <n v="1"/>
    <n v="1001"/>
    <s v="IBARRA"/>
    <n v="1"/>
    <n v="0"/>
    <n v="0"/>
    <s v="CORRIENTE"/>
    <x v="0"/>
    <n v="530804"/>
    <s v="MATERIALES DE OFICINA"/>
    <n v="150.07999999999993"/>
    <n v="133.99999999999994"/>
    <n v="16.07999999999999"/>
    <n v="150.07999999999993"/>
    <n v="0"/>
    <n v="0"/>
    <n v="0"/>
    <n v="134"/>
    <n v="0"/>
    <n v="0"/>
    <n v="0"/>
    <n v="0"/>
    <n v="0"/>
    <n v="0"/>
    <n v="0"/>
    <n v="0"/>
    <n v="0"/>
    <n v="133.9999999999999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MATERIALES DE OFICINA PARA EL CENTRO OPERATIVO ZONAL ECU 911 IBARRA AÑO 2022"/>
    <n v="2"/>
    <x v="0"/>
    <n v="1"/>
    <n v="0"/>
    <n v="1"/>
    <n v="1001"/>
    <s v="IBARRA"/>
    <n v="1"/>
    <n v="0"/>
    <n v="0"/>
    <s v="CORRIENTE"/>
    <x v="0"/>
    <n v="530804"/>
    <s v="MATERIALES DE OFICINA"/>
    <n v="1500.8"/>
    <n v="1340"/>
    <n v="160.8"/>
    <n v="1500.8"/>
    <n v="0"/>
    <n v="0"/>
    <n v="0"/>
    <n v="670"/>
    <n v="670"/>
    <n v="0"/>
    <n v="0"/>
    <n v="0"/>
    <n v="0"/>
    <n v="0"/>
    <n v="0"/>
    <n v="0"/>
    <n v="0"/>
    <n v="134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MATERIALES DE ASEO PARA EL CENTRO OPERATIVO ZONAL ECU 911 IBARRA AÑO 2022"/>
    <n v="2"/>
    <x v="0"/>
    <n v="1"/>
    <n v="0"/>
    <n v="1"/>
    <n v="1001"/>
    <s v="IBARRA"/>
    <n v="1"/>
    <n v="0"/>
    <n v="0"/>
    <s v="CORRIENTE"/>
    <x v="0"/>
    <n v="530805"/>
    <s v="MATERIALES DE ASEO"/>
    <n v="1500.7999999999995"/>
    <n v="1339.9999999999995"/>
    <n v="160.79999999999993"/>
    <n v="1500.7999999999995"/>
    <n v="0"/>
    <n v="0"/>
    <n v="0"/>
    <n v="670"/>
    <n v="670"/>
    <n v="0"/>
    <n v="0"/>
    <n v="0"/>
    <n v="0"/>
    <n v="0"/>
    <n v="0"/>
    <n v="0"/>
    <n v="0"/>
    <n v="1339.999999999999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TONERS NEGRO Y DE COLOR PARA IMPRESORAS DEL CENTRO OPERATIVO ZONAL ECU 911 IBARRA AÑO 2022"/>
    <n v="1"/>
    <x v="0"/>
    <n v="1"/>
    <n v="0"/>
    <n v="1"/>
    <n v="1001"/>
    <s v="IBARRA"/>
    <n v="1"/>
    <n v="0"/>
    <n v="0"/>
    <s v="CORRIENTE"/>
    <x v="0"/>
    <n v="530807"/>
    <s v="MATERIALES DE IMPRESIÓN, FOTOGRAFÍA, REPRODUCCIÓN Y PUBLICACIONES"/>
    <n v="6000.959999999999"/>
    <n v="5357.999999999999"/>
    <n v="642.9599999999999"/>
    <n v="6000.959999999999"/>
    <n v="0"/>
    <n v="0"/>
    <n v="0"/>
    <n v="5358"/>
    <n v="0"/>
    <n v="0"/>
    <n v="0"/>
    <n v="0"/>
    <n v="0"/>
    <n v="0"/>
    <n v="0"/>
    <n v="0"/>
    <n v="0"/>
    <n v="5357.999999999999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ANCELACIÓN  POR REPRODUCCIÓN DE REGLAMENTO INTERNO DE HIGIENE Y SEGURIDAD EN EL TRABAJO DE BOLSILLO PARA DISTRIBUIR A LOS SERVIDORES  Y TRABAJADORES DE LA COORDINACIÓN ZONAL 1 SERVICIO INTEGRADO DE SEGURIDAD ECU 911."/>
    <n v="1"/>
    <x v="0"/>
    <n v="1"/>
    <n v="0"/>
    <n v="1"/>
    <n v="1001"/>
    <s v="IBARRA"/>
    <n v="1"/>
    <n v="0"/>
    <n v="0"/>
    <s v="CORRIENTE"/>
    <x v="0"/>
    <n v="530807"/>
    <s v="MATERIALES DE IMPRESIÓN, FOTOGRAFÍA, REPRODUCCIÓN Y PUBLICACIONES"/>
    <n v="139.99999999999994"/>
    <n v="124.99999999999994"/>
    <n v="14.999999999999993"/>
    <n v="139.99999999999994"/>
    <n v="0"/>
    <n v="0"/>
    <n v="0"/>
    <n v="124.99999999999999"/>
    <n v="0"/>
    <n v="0"/>
    <n v="0"/>
    <n v="0"/>
    <n v="0"/>
    <n v="0"/>
    <n v="0"/>
    <n v="0"/>
    <n v="0"/>
    <n v="124.9999999999999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 ADQUISICIÓN DE SEÑALÉTICA DE SEGURIDAD PARA CENTROS OPERATIVOS ECU 911 IBARRA, TULCÁN, NUEVA LOJA Y ESMERALDAS"/>
    <n v="1"/>
    <x v="0"/>
    <n v="1"/>
    <n v="0"/>
    <n v="1"/>
    <n v="1001"/>
    <s v="IBARRA"/>
    <n v="1"/>
    <n v="0"/>
    <n v="0"/>
    <s v="CORRIENTE"/>
    <x v="0"/>
    <n v="530807"/>
    <s v="MATERIALES DE IMPRESIÓN, FOTOGRAFÍA, REPRODUCCIÓN Y PUBLICACIONES"/>
    <n v="650.72"/>
    <n v="581"/>
    <n v="69.72"/>
    <n v="650.72"/>
    <n v="0"/>
    <n v="0"/>
    <n v="0"/>
    <n v="0"/>
    <n v="0"/>
    <n v="0"/>
    <n v="0"/>
    <n v="0"/>
    <n v="0"/>
    <n v="0"/>
    <n v="581"/>
    <n v="0"/>
    <n v="0"/>
    <n v="581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 MATERIAL DE FERRETERÍA COMO: FLUXÓMETROS, EMPAQUES, SISTEMAS DE DESAGUE, EMPASTES, PINTURA DE INTERIOR Y EXTERIOR, SILICONAS, SOLVENTES, PINTURA ESMALTE, MATERIAL ELÉCTRICO, TACOS, PERNOS, TUERCAS AÑO 2022"/>
    <n v="1"/>
    <x v="0"/>
    <n v="1"/>
    <n v="0"/>
    <n v="1"/>
    <n v="1001"/>
    <s v="IBARRA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2500.96"/>
    <n v="2233"/>
    <n v="267.96"/>
    <n v="2500.96"/>
    <n v="0"/>
    <n v="0"/>
    <n v="0"/>
    <n v="0"/>
    <n v="0"/>
    <n v="0"/>
    <n v="2233"/>
    <n v="0"/>
    <n v="0"/>
    <n v="0"/>
    <n v="0"/>
    <n v="0"/>
    <n v="0"/>
    <n v="223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BIENES Y CANCELACIÓN  DE SERVICIOS NO PREVISIBLES, URGENTES Y DE VALOR REDUCIDO (CAJA CHICA)."/>
    <n v="1"/>
    <x v="0"/>
    <n v="1"/>
    <n v="0"/>
    <n v="1"/>
    <n v="1001"/>
    <s v="IBARRA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800"/>
    <n v="800"/>
    <n v="0"/>
    <n v="800"/>
    <n v="0"/>
    <n v="100"/>
    <n v="0"/>
    <n v="100"/>
    <n v="100"/>
    <n v="0"/>
    <n v="100"/>
    <n v="100"/>
    <n v="0"/>
    <n v="100"/>
    <n v="100"/>
    <n v="100"/>
    <n v="0"/>
    <n v="8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REPUESTOS PARA MANTENIMIENTO DE VEHÍCULOS LIVIANOS Y VEHÍCULO PESADO DEL CENTRO OPERATIVO ZONAL  ECU 911 IBARRA POR EL PERÍODO 2022"/>
    <n v="1"/>
    <x v="0"/>
    <n v="1"/>
    <n v="0"/>
    <n v="1"/>
    <n v="1001"/>
    <s v="IBARRA"/>
    <n v="1"/>
    <n v="0"/>
    <n v="0"/>
    <s v="CORRIENTE"/>
    <x v="0"/>
    <n v="530813"/>
    <s v="REPUESTOS Y ACCESORIOS"/>
    <n v="3507.84"/>
    <n v="3132"/>
    <n v="375.84"/>
    <n v="3507.84"/>
    <n v="0"/>
    <n v="0"/>
    <n v="348"/>
    <n v="348"/>
    <n v="348"/>
    <n v="348"/>
    <n v="348"/>
    <n v="348"/>
    <n v="348"/>
    <n v="348"/>
    <n v="0"/>
    <n v="348"/>
    <n v="0"/>
    <n v="3132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LLANTAS PARAS LOS VEHÍCULOS DEL CENTRO OPERATIVO ZONAL ECU 911 IBARRA  EU 911  AÑO 2022"/>
    <n v="1"/>
    <x v="0"/>
    <n v="1"/>
    <n v="0"/>
    <n v="1"/>
    <n v="1001"/>
    <s v="IBARRA"/>
    <n v="1"/>
    <n v="0"/>
    <n v="0"/>
    <s v="CORRIENTE"/>
    <x v="0"/>
    <n v="530813"/>
    <s v="REPUESTOS Y ACCESORIOS"/>
    <n v="1000.1599999999997"/>
    <n v="892.9999999999998"/>
    <n v="107.15999999999997"/>
    <n v="1000.1599999999997"/>
    <n v="0"/>
    <n v="0"/>
    <n v="0"/>
    <n v="0"/>
    <n v="893"/>
    <n v="0"/>
    <n v="0"/>
    <n v="0"/>
    <n v="0"/>
    <n v="0"/>
    <n v="0"/>
    <n v="0"/>
    <n v="0"/>
    <n v="892.999999999999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REPUESTOS COMO FILTROS DE IMAGEN, MOTOR, CUCHILLAS, RODILLOS, PIÑONES, UÑETAS, COMPONENTES ELECTRÓNICOS INTERNOS PARA IMPRESORAS DEL CENTRO OPERATIVO ZONAL ECU 911 IBARRA"/>
    <n v="2"/>
    <x v="0"/>
    <n v="1"/>
    <n v="0"/>
    <n v="1"/>
    <n v="1001"/>
    <s v="IBARRA"/>
    <n v="1"/>
    <n v="0"/>
    <n v="0"/>
    <s v="CORRIENTE"/>
    <x v="0"/>
    <n v="530813"/>
    <s v="REPUESTOS Y ACCESORIOS"/>
    <n v="2002.5599999999995"/>
    <n v="1787.9999999999995"/>
    <n v="214.55999999999995"/>
    <n v="2002.5599999999995"/>
    <n v="0"/>
    <n v="0"/>
    <n v="596"/>
    <n v="0"/>
    <n v="0"/>
    <n v="596"/>
    <n v="0"/>
    <n v="0"/>
    <n v="0"/>
    <n v="596"/>
    <n v="0"/>
    <n v="0"/>
    <n v="0"/>
    <n v="1787.999999999999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REPUESTOS PARA EL MANTENIMIENTO DEL SISTEMA ELÉCTRICO DE LOS CENTROS OPERATIVOS ECU 911 IBARRA, TULCÁN, NUEVA LOJA Y ESMERALDAS AÑO 2022"/>
    <n v="1"/>
    <x v="0"/>
    <n v="1"/>
    <n v="0"/>
    <n v="1"/>
    <n v="1001"/>
    <s v="IBARRA"/>
    <n v="1"/>
    <n v="0"/>
    <n v="0"/>
    <s v="CORRIENTE"/>
    <x v="0"/>
    <n v="530813"/>
    <s v="REPUESTOS Y ACCESORIOS"/>
    <n v="50000.16"/>
    <n v="44643"/>
    <n v="5357.16"/>
    <n v="50000.16"/>
    <n v="0"/>
    <n v="0"/>
    <n v="0"/>
    <n v="0"/>
    <n v="0"/>
    <n v="14881"/>
    <n v="14881"/>
    <n v="14881"/>
    <n v="0"/>
    <n v="0"/>
    <n v="0"/>
    <n v="0"/>
    <n v="0"/>
    <n v="4464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BIENES Y PAGO DE SERVICIOS NO PREVISIBLES, URGENTES Y DE VALOR REDUCIDO (CAJA CHICA)."/>
    <n v="1"/>
    <x v="0"/>
    <n v="1"/>
    <n v="0"/>
    <n v="1"/>
    <n v="1001"/>
    <s v="IBARRA"/>
    <n v="1"/>
    <n v="0"/>
    <n v="0"/>
    <s v="CORRIENTE"/>
    <x v="0"/>
    <n v="530813"/>
    <s v="REPUESTOS Y ACCESORIOS"/>
    <n v="112"/>
    <n v="100"/>
    <n v="12"/>
    <n v="112"/>
    <n v="0"/>
    <n v="20"/>
    <n v="0"/>
    <n v="20"/>
    <n v="0"/>
    <n v="20"/>
    <n v="0"/>
    <n v="20"/>
    <n v="0"/>
    <n v="2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MENAJE DE HOGAR, SÁBANAS, COBERTORES, FUNDAS DE ALMOHADAS, TOALLAS PARA EL ÁREA DE DORMITORIOS DEL CENTRO OPERATIVO ZONAL ECU 911 IBARRA"/>
    <n v="2"/>
    <x v="0"/>
    <n v="1"/>
    <n v="0"/>
    <n v="1"/>
    <n v="1001"/>
    <s v="IBARRA"/>
    <n v="1"/>
    <n v="0"/>
    <n v="0"/>
    <s v="CORRIENTE"/>
    <x v="0"/>
    <n v="530820"/>
    <s v="MENAJE Y ACCESORIOS DESCARTABLES"/>
    <n v="800.7999999999997"/>
    <n v="714.9999999999998"/>
    <n v="85.79999999999997"/>
    <n v="800.7999999999997"/>
    <n v="0"/>
    <n v="0"/>
    <n v="0"/>
    <n v="0"/>
    <n v="0"/>
    <n v="0"/>
    <n v="715"/>
    <n v="0"/>
    <n v="0"/>
    <n v="0"/>
    <n v="0"/>
    <n v="0"/>
    <n v="0"/>
    <n v="714.999999999999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MASCARILLA QUIRÚRGICA 3 CAPAS ELÁSTICO TAMAÑO ESTÁNDAR "/>
    <n v="1"/>
    <x v="0"/>
    <n v="1"/>
    <n v="0"/>
    <n v="1"/>
    <n v="1001"/>
    <s v="IBARRA"/>
    <n v="1"/>
    <n v="0"/>
    <n v="0"/>
    <s v="CORRIENTE"/>
    <x v="0"/>
    <n v="530826"/>
    <s v="DISPOSITIVOS MÉDICOS DE USO GENERAL"/>
    <n v="738.08"/>
    <n v="659"/>
    <n v="79.08"/>
    <n v="738.08"/>
    <n v="0"/>
    <n v="0"/>
    <n v="659"/>
    <n v="0"/>
    <n v="0"/>
    <n v="0"/>
    <n v="0"/>
    <n v="0"/>
    <n v="0"/>
    <n v="0"/>
    <n v="0"/>
    <n v="0"/>
    <n v="0"/>
    <n v="659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ADQUISICIÓN DE BASUREROS DE BAÑO DE ACERO INOXIDABLE CON TAPA PARA EL CENTRO OPERATIVO ZONAL ECU 911 IBARRA"/>
    <n v="2"/>
    <x v="0"/>
    <n v="1"/>
    <n v="0"/>
    <n v="1"/>
    <n v="1001"/>
    <s v="IBARRA"/>
    <n v="1"/>
    <n v="0"/>
    <n v="0"/>
    <s v="CORRIENTE"/>
    <x v="0"/>
    <n v="531403"/>
    <s v="MOBILIARIO "/>
    <n v="500.6399999999999"/>
    <n v="446.9999999999999"/>
    <n v="53.639999999999986"/>
    <n v="500.6399999999999"/>
    <n v="0"/>
    <n v="0"/>
    <n v="0"/>
    <n v="447"/>
    <n v="0"/>
    <n v="0"/>
    <n v="0"/>
    <n v="0"/>
    <n v="0"/>
    <n v="0"/>
    <n v="0"/>
    <n v="0"/>
    <n v="0"/>
    <n v="446.9999999999999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MATRICULACIÓN Y REVISIÓN VEHICULAR DE LOS VEHÍCULOS DEL CENTRO OPERATIVO ZONAL ECU 911 IBARRA AÑO 2022"/>
    <n v="1"/>
    <x v="0"/>
    <n v="1"/>
    <n v="0"/>
    <n v="1"/>
    <n v="1001"/>
    <s v="IBARRA"/>
    <n v="1"/>
    <n v="0"/>
    <n v="0"/>
    <s v="CORRIENTE"/>
    <x v="1"/>
    <n v="570102"/>
    <s v="TASAS GENERALES, IMPUESTOS, CONTRIBUCIONES, PERMISOS, LICENCIAS Y PATENTES"/>
    <n v="1000"/>
    <n v="1000"/>
    <n v="0"/>
    <n v="1000"/>
    <n v="0"/>
    <n v="500"/>
    <n v="0"/>
    <n v="0"/>
    <n v="0"/>
    <n v="0"/>
    <n v="0"/>
    <n v="0"/>
    <n v="0"/>
    <n v="0"/>
    <n v="0"/>
    <n v="500"/>
    <n v="0"/>
    <n v="10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ANCELACIÓN DEL PERMISO DE FUNCIONAMIENTO DEL CUERPO DE BOMBEROS AÑO 2022 DE LA COORDINACIÓN ZONAL 1 SIS ECU 911"/>
    <n v="1"/>
    <x v="0"/>
    <n v="1"/>
    <n v="0"/>
    <n v="1"/>
    <n v="1001"/>
    <s v="IBARRA"/>
    <n v="1"/>
    <n v="0"/>
    <n v="0"/>
    <s v="CORRIENTE"/>
    <x v="1"/>
    <n v="570102"/>
    <s v="TASAS GENERALES, IMPUESTOS, CONTRIBUCIONES, PERMISOS, LICENCIAS Y PATENTES"/>
    <n v="200"/>
    <n v="200"/>
    <n v="0"/>
    <n v="200"/>
    <n v="0"/>
    <n v="0"/>
    <n v="200"/>
    <n v="0"/>
    <n v="0"/>
    <n v="0"/>
    <n v="0"/>
    <n v="0"/>
    <n v="0"/>
    <n v="0"/>
    <n v="0"/>
    <n v="0"/>
    <n v="0"/>
    <n v="2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ANCELACIÓN POR TASA DE MEJORAS EN EL MUNICIPIO AÑO 2022 DE LA COORDINACIÓN ZONAL 1 SIS ECU 911"/>
    <n v="1"/>
    <x v="0"/>
    <n v="1"/>
    <n v="0"/>
    <n v="1"/>
    <n v="1001"/>
    <s v="IBARRA"/>
    <n v="1"/>
    <n v="0"/>
    <n v="0"/>
    <s v="CORRIENTE"/>
    <x v="1"/>
    <n v="570102"/>
    <s v="TASAS GENERALES, IMPUESTOS, CONTRIBUCIONES, PERMISOS, LICENCIAS Y PATENTES"/>
    <n v="302"/>
    <n v="302"/>
    <n v="0"/>
    <n v="302"/>
    <n v="0"/>
    <n v="100"/>
    <n v="0"/>
    <n v="0"/>
    <n v="0"/>
    <n v="0"/>
    <n v="0"/>
    <n v="0"/>
    <n v="0"/>
    <n v="0"/>
    <n v="0"/>
    <n v="202"/>
    <n v="0"/>
    <n v="302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ADMINISTRATIVA FINANCIERA Y DE ADMINISTRACIÓN DE RECURSOS HUMANOS"/>
    <s v="ADMINISTRACIÓN CENTRAL"/>
    <s v="CONTRATACIÓN DEL SERVICIO DE TELEPASS AÑO 2022 PARA CIRCULACIÓN DE LOS VEHÍCULOS INSTITUCIONALES DE LA ZONA 1 EN CARRETERAS CONCESIONADAS"/>
    <n v="1"/>
    <x v="0"/>
    <n v="1"/>
    <n v="0"/>
    <n v="1"/>
    <n v="1001"/>
    <s v="IBARRA"/>
    <n v="1"/>
    <n v="0"/>
    <n v="0"/>
    <s v="CORRIENTE"/>
    <x v="1"/>
    <n v="570102"/>
    <s v="TASAS GENERALES, IMPUESTOS, CONTRIBUCIONES, PERMISOS, LICENCIAS Y PATENTES"/>
    <n v="1000"/>
    <n v="1000"/>
    <n v="0"/>
    <n v="1000"/>
    <n v="0"/>
    <n v="0"/>
    <n v="0"/>
    <n v="0"/>
    <n v="0"/>
    <n v="0"/>
    <n v="0"/>
    <n v="0"/>
    <n v="0"/>
    <n v="0"/>
    <n v="1000"/>
    <n v="0"/>
    <n v="0"/>
    <n v="100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DE TECNOLOGÍA Y SOPORTE"/>
    <s v="TECNOLOGÍA"/>
    <s v="ARRASTRE: CANCELACIÓN POR DE SERVICIOS DE TELECOMUNICACIONES CORRESPONDIENTE A DICIEMBRE DEL 2021"/>
    <n v="1"/>
    <x v="0"/>
    <n v="55"/>
    <n v="0"/>
    <n v="3"/>
    <n v="1001"/>
    <s v="IBARRA"/>
    <n v="1"/>
    <n v="0"/>
    <n v="0"/>
    <s v="CORRIENTE"/>
    <x v="0"/>
    <n v="530105"/>
    <s v="TELECOMUNICACIONES"/>
    <n v="15358.559999999994"/>
    <n v="13712.999999999995"/>
    <n v="1645.5599999999993"/>
    <n v="15358.559999999994"/>
    <n v="13712.999999999995"/>
    <n v="0"/>
    <n v="0"/>
    <n v="0"/>
    <n v="0"/>
    <n v="0"/>
    <n v="0"/>
    <n v="0"/>
    <n v="0"/>
    <n v="0"/>
    <n v="0"/>
    <n v="0"/>
    <n v="0"/>
    <n v="13712.999999999995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DE TECNOLOGÍA Y SOPORTE"/>
    <s v="TECNOLOGÍA"/>
    <s v="CONTRATACIÓN DE SERVICIOS DE TELECOMUNICACIONES CORRESPONDIENTE AL CONTRATO ENERO-DICIEMBRE 2021"/>
    <n v="1"/>
    <x v="0"/>
    <n v="55"/>
    <n v="0"/>
    <n v="3"/>
    <n v="1001"/>
    <s v="IBARRA"/>
    <n v="1"/>
    <n v="0"/>
    <n v="0"/>
    <s v="CORRIENTE"/>
    <x v="0"/>
    <n v="530105"/>
    <s v="TELECOMUNICACIONES"/>
    <n v="117311.03999999995"/>
    <n v="104741.99999999996"/>
    <n v="12569.039999999994"/>
    <n v="117311.03999999995"/>
    <n v="0"/>
    <n v="9521.999999999998"/>
    <n v="9521.999999999998"/>
    <n v="9521.999999999998"/>
    <n v="9521.999999999998"/>
    <n v="9521.999999999998"/>
    <n v="9521.999999999998"/>
    <n v="9521.999999999998"/>
    <n v="9521.999999999998"/>
    <n v="9521.999999999998"/>
    <n v="9521.999999999998"/>
    <n v="9521.999999999998"/>
    <n v="0"/>
    <n v="104741.99999999996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DE TECNOLOGÍA Y SOPORTE"/>
    <s v="TECNOLOGÍA"/>
    <s v="CONTRATACIÓN DEL SERVICIO DE  SOSTENIMIENTO TECNOLÓGICO DE SITIOS DE VIDEO MONITOREO DE LOS CENTROS OPERATIVOS ECU 911 PERTENECIENTES A LA COORDINACIÓN ZONAL 1"/>
    <n v="1"/>
    <x v="0"/>
    <n v="55"/>
    <n v="0"/>
    <n v="3"/>
    <n v="1001"/>
    <s v="IBARRA"/>
    <n v="1"/>
    <n v="0"/>
    <n v="0"/>
    <s v="CORRIENTE"/>
    <x v="0"/>
    <n v="530704"/>
    <s v="MANTENIMIENTO Y REPARACIÓN DE EQUIPOS Y SISTEMAS INFORMÁTICOS "/>
    <n v="103604.47999999997"/>
    <n v="92503.99999999997"/>
    <n v="11100.479999999996"/>
    <n v="103604.47999999997"/>
    <n v="0"/>
    <n v="0"/>
    <n v="0"/>
    <n v="11563"/>
    <n v="11563"/>
    <n v="11563"/>
    <n v="11563"/>
    <n v="11563"/>
    <n v="11563"/>
    <n v="11563"/>
    <n v="11563"/>
    <n v="0"/>
    <n v="0"/>
    <n v="92503.99999999997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DE TECNOLOGÍA Y SOPORTE"/>
    <s v="TECNOLOGÍA"/>
    <s v="ADQUISICIÓN DE BIENES Y PAGO DE SERVICIOS NO PREVISIBLES, URGENTES Y DE VALOR REDUCIDO (CAJA CHICA)."/>
    <n v="2"/>
    <x v="0"/>
    <n v="55"/>
    <n v="0"/>
    <n v="3"/>
    <n v="1001"/>
    <s v="IBARRA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150"/>
    <n v="150"/>
    <n v="0"/>
    <n v="150"/>
    <n v="0"/>
    <n v="0"/>
    <n v="15"/>
    <n v="15"/>
    <n v="15"/>
    <n v="15"/>
    <n v="15"/>
    <n v="15"/>
    <n v="15"/>
    <n v="15"/>
    <n v="15"/>
    <n v="15"/>
    <n v="0"/>
    <n v="15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DE TECNOLOGÍA Y SOPORTE"/>
    <s v="TECNOLOGÍA"/>
    <s v="ADQUISICIÓN DE MATERIALES E INSUMOS PARA MANTENIMIENTOS E INSTALACIONES TECNOLÓGICAS DEL CENTRO"/>
    <n v="2"/>
    <x v="0"/>
    <n v="55"/>
    <n v="0"/>
    <n v="3"/>
    <n v="1001"/>
    <s v="IBARRA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1000.1599999999997"/>
    <n v="892.9999999999998"/>
    <n v="107.15999999999997"/>
    <n v="1000.1599999999997"/>
    <n v="0"/>
    <n v="0"/>
    <n v="0"/>
    <n v="0"/>
    <n v="893"/>
    <n v="0"/>
    <n v="0"/>
    <n v="0"/>
    <n v="0"/>
    <n v="0"/>
    <n v="0"/>
    <n v="0"/>
    <n v="0"/>
    <n v="892.9999999999998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DE TECNOLOGÍA Y SOPORTE"/>
    <s v="TECNOLOGÍA"/>
    <s v=" ADQUISICIÓN DE REPUESTOS Y ACCESORIOS TECNOLÓGICOS PARA MAQUINARIAS, PLANTAS ELÉCTRICAS, EQUIPOS Y OTROS"/>
    <n v="2"/>
    <x v="0"/>
    <n v="55"/>
    <n v="0"/>
    <n v="3"/>
    <n v="1001"/>
    <s v="IBARRA"/>
    <n v="1"/>
    <n v="0"/>
    <n v="0"/>
    <s v="CORRIENTE"/>
    <x v="0"/>
    <n v="530813"/>
    <s v="REPUESTOS Y ACCESORIOS"/>
    <n v="5000.8"/>
    <n v="4465"/>
    <n v="535.8"/>
    <n v="5000.8"/>
    <n v="0"/>
    <n v="0"/>
    <n v="0"/>
    <n v="0"/>
    <n v="4465"/>
    <n v="0"/>
    <n v="0"/>
    <n v="0"/>
    <n v="0"/>
    <n v="0"/>
    <n v="0"/>
    <n v="0"/>
    <n v="0"/>
    <n v="4465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ZONAL DE TECNOLOGÍA Y SOPORTE"/>
    <s v="TECNOLOGÍA"/>
    <s v=" ADQUISICIÓN DE BIENES Y PAGO DE SERVICIOS NO PREVISIBLES, URGENTES Y DE VALOR REDUCIDO (CAJA CHICA)."/>
    <n v="2"/>
    <x v="0"/>
    <n v="55"/>
    <n v="0"/>
    <n v="3"/>
    <n v="1001"/>
    <s v="IBARRA"/>
    <n v="1"/>
    <n v="0"/>
    <n v="0"/>
    <s v="CORRIENTE"/>
    <x v="0"/>
    <n v="530813"/>
    <s v="REPUESTOS Y ACCESORIOS"/>
    <n v="190"/>
    <n v="190"/>
    <n v="0"/>
    <n v="190"/>
    <n v="0"/>
    <n v="0"/>
    <n v="19"/>
    <n v="19"/>
    <n v="19"/>
    <n v="19"/>
    <n v="19"/>
    <n v="19"/>
    <n v="19"/>
    <n v="19"/>
    <n v="19"/>
    <n v="19"/>
    <n v="0"/>
    <n v="19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RRASTRE: CANCELACIÓN POR CONSUMO DE SERVICIO DE AGUA POTABLE CORRESPONDIENTE A DICIEMBRE DEL 2021"/>
    <n v="1"/>
    <x v="0"/>
    <n v="1"/>
    <n v="0"/>
    <n v="1"/>
    <n v="2101"/>
    <s v="LAGO AGRIO"/>
    <n v="1"/>
    <n v="0"/>
    <n v="0"/>
    <s v="CORRIENTE"/>
    <x v="0"/>
    <n v="530101"/>
    <s v="AGUA POTABLE"/>
    <n v="100"/>
    <n v="100"/>
    <n v="0"/>
    <n v="100"/>
    <n v="100"/>
    <n v="0"/>
    <n v="0"/>
    <n v="0"/>
    <n v="0"/>
    <n v="0"/>
    <n v="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PROVISIÓN POR CONSUMO DE SERVICIO DE AGUA POTABLE PERIODO ENERO A NOVIEMBRE 2022"/>
    <n v="1"/>
    <x v="0"/>
    <n v="1"/>
    <n v="0"/>
    <n v="1"/>
    <n v="2101"/>
    <s v="LAGO AGRIO"/>
    <n v="1"/>
    <n v="0"/>
    <n v="0"/>
    <s v="CORRIENTE"/>
    <x v="0"/>
    <n v="530101"/>
    <s v="AGUA POTABLE"/>
    <n v="605"/>
    <n v="605"/>
    <n v="0"/>
    <n v="605"/>
    <n v="0"/>
    <n v="55"/>
    <n v="55"/>
    <n v="55"/>
    <n v="55"/>
    <n v="55"/>
    <n v="55"/>
    <n v="55"/>
    <n v="55"/>
    <n v="55"/>
    <n v="55"/>
    <n v="55"/>
    <n v="0"/>
    <n v="60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RRASTRE: CANCELACIÓN POR CONSUMO DE SERVICIO DE ENERGÍA ELÉCTRICA CORRESPONDIENTE A DICIEMBRE DEL 2021"/>
    <n v="1"/>
    <x v="0"/>
    <n v="1"/>
    <n v="0"/>
    <n v="1"/>
    <n v="2101"/>
    <s v="LAGO AGRIO"/>
    <n v="1"/>
    <n v="0"/>
    <n v="0"/>
    <s v="CORRIENTE"/>
    <x v="0"/>
    <n v="530104"/>
    <s v="ENERGÍA ELÉCTRICA"/>
    <n v="7500"/>
    <n v="7500"/>
    <n v="0"/>
    <n v="7500"/>
    <n v="7500"/>
    <n v="0"/>
    <n v="0"/>
    <n v="0"/>
    <n v="0"/>
    <n v="0"/>
    <n v="0"/>
    <n v="0"/>
    <n v="0"/>
    <n v="0"/>
    <n v="0"/>
    <n v="0"/>
    <n v="0"/>
    <n v="75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PROVISIÓN POR CONSUMO DE SERVICIO DE ENERGÍA ELÉCTRICA PERIODO ENERO A NOVIEMBRE 2022"/>
    <n v="1"/>
    <x v="0"/>
    <n v="1"/>
    <n v="0"/>
    <n v="1"/>
    <n v="2101"/>
    <s v="LAGO AGRIO"/>
    <n v="1"/>
    <n v="0"/>
    <n v="0"/>
    <s v="CORRIENTE"/>
    <x v="0"/>
    <n v="530104"/>
    <s v="ENERGÍA ELÉCTRICA"/>
    <n v="52500"/>
    <n v="52500"/>
    <n v="0"/>
    <n v="52500"/>
    <n v="0"/>
    <n v="7500"/>
    <n v="7500"/>
    <n v="7500"/>
    <n v="7500"/>
    <n v="7500"/>
    <n v="7500"/>
    <n v="7500"/>
    <n v="0"/>
    <n v="0"/>
    <n v="0"/>
    <n v="0"/>
    <n v="0"/>
    <n v="525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RRASTRE: CANCELACIÓN  POR CONSUMO DE SERVICIO DE CORREO NACIONAL A DICIEMBRE DEL 2021"/>
    <n v="2"/>
    <x v="0"/>
    <n v="1"/>
    <n v="0"/>
    <n v="1"/>
    <n v="2101"/>
    <s v="LAGO AGRIO"/>
    <n v="1"/>
    <n v="0"/>
    <n v="0"/>
    <s v="CORRIENTE"/>
    <x v="0"/>
    <n v="530106"/>
    <s v="SERVICIO DE CORREO"/>
    <n v="112"/>
    <n v="100"/>
    <n v="12"/>
    <n v="112"/>
    <n v="100"/>
    <n v="0"/>
    <n v="0"/>
    <n v="0"/>
    <n v="0"/>
    <n v="0"/>
    <n v="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 DEL SERVICIO DE CORREO NACIONAL PERIODO ENERO A DICIEMBRE 2022"/>
    <n v="1"/>
    <x v="0"/>
    <n v="1"/>
    <n v="0"/>
    <n v="1"/>
    <n v="2101"/>
    <s v="LAGO AGRIO"/>
    <n v="1"/>
    <n v="0"/>
    <n v="0"/>
    <s v="CORRIENTE"/>
    <x v="0"/>
    <n v="530106"/>
    <s v="SERVICIO DE CORREO"/>
    <n v="529.76"/>
    <n v="472.99999999999994"/>
    <n v="56.75999999999999"/>
    <n v="529.76"/>
    <n v="0"/>
    <n v="43"/>
    <n v="43"/>
    <n v="43"/>
    <n v="43"/>
    <n v="43"/>
    <n v="43"/>
    <n v="43"/>
    <n v="43"/>
    <n v="43"/>
    <n v="43"/>
    <n v="43"/>
    <n v="0"/>
    <n v="472.9999999999999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RRASTRE: CANCELACIÓN  POR EL  SERVICIO DE TRANSPORTE PERSONAL OPERATIVO DICIEMBRE DEL 2021"/>
    <n v="1"/>
    <x v="0"/>
    <n v="1"/>
    <n v="0"/>
    <n v="1"/>
    <n v="2101"/>
    <s v="LAGO AGRIO"/>
    <n v="1"/>
    <n v="0"/>
    <n v="0"/>
    <s v="CORRIENTE"/>
    <x v="0"/>
    <n v="530201"/>
    <s v="TRANSPORTE DE PERSONAL"/>
    <n v="5640"/>
    <n v="5640"/>
    <n v="0"/>
    <n v="5640"/>
    <n v="5640"/>
    <n v="0"/>
    <n v="0"/>
    <n v="0"/>
    <n v="0"/>
    <n v="0"/>
    <n v="0"/>
    <n v="0"/>
    <n v="0"/>
    <n v="0"/>
    <n v="0"/>
    <n v="0"/>
    <n v="0"/>
    <n v="564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 DEL SERVICIO DE TRANSPORTE PARA SERVIDORES DEL ÁREA OPERATIVA DEL CENTRO OPERATIVO LOCAL ECU 911 PARA ENERO-DICIEMBRE 2022, SE PAGA A MES VENCIDO"/>
    <n v="1"/>
    <x v="0"/>
    <n v="1"/>
    <n v="0"/>
    <n v="1"/>
    <n v="2101"/>
    <s v="LAGO AGRIO"/>
    <n v="1"/>
    <n v="0"/>
    <n v="0"/>
    <s v="CORRIENTE"/>
    <x v="0"/>
    <n v="530201"/>
    <s v="TRANSPORTE DE PERSONAL"/>
    <n v="72655"/>
    <n v="72655"/>
    <n v="0"/>
    <n v="72655"/>
    <n v="0"/>
    <n v="6605"/>
    <n v="6605"/>
    <n v="6605"/>
    <n v="6605"/>
    <n v="6605"/>
    <n v="6605"/>
    <n v="6605"/>
    <n v="6605"/>
    <n v="6605"/>
    <n v="6605"/>
    <n v="6605"/>
    <n v="0"/>
    <n v="7265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DEL SERVICIO DE RECARGA DE EXTINTORES DEL CENTRO"/>
    <n v="1"/>
    <x v="0"/>
    <n v="1"/>
    <n v="0"/>
    <n v="1"/>
    <n v="2101"/>
    <s v="LAGO AGRIO"/>
    <n v="1"/>
    <n v="0"/>
    <n v="0"/>
    <s v="CORRIENTE"/>
    <x v="0"/>
    <n v="530203"/>
    <s v="ALMACENAMIENTO, EMBALAJE, DESEMBALAJE, ENVASE, DESENVASE Y RECARGA DE EXTINTORES"/>
    <n v="600.3199999999996"/>
    <n v="535.9999999999997"/>
    <n v="64.31999999999995"/>
    <n v="600.3199999999996"/>
    <n v="0"/>
    <n v="0"/>
    <n v="0"/>
    <n v="0"/>
    <n v="0"/>
    <n v="0"/>
    <n v="0"/>
    <n v="536"/>
    <n v="0"/>
    <n v="0"/>
    <n v="0"/>
    <n v="0"/>
    <n v="0"/>
    <n v="535.999999999999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LOCAL DE COMUNICACIÓN SOCIAL"/>
    <s v="COMUNICACIÓN SOCIAL"/>
    <s v="CANCELACIÓN POR BRANDEO ADHESIVO PARA LA SALA DE CAPACITACIÓN DEL CENTRO OPERATIVO LOCAL"/>
    <n v="1"/>
    <x v="0"/>
    <n v="1"/>
    <n v="0"/>
    <n v="1"/>
    <n v="2101"/>
    <s v="LAGO AGRIO"/>
    <n v="1"/>
    <n v="0"/>
    <n v="0"/>
    <s v="CORRIENTE"/>
    <x v="0"/>
    <n v="530204"/>
    <s v="EDICIÓN, IMPRESIÓN, REPRODUCCIÓN, PUBLICACIONES, SUSCRIPCIONES, FOTOCOPIADO, TRADUCCIÓN, EMPASTADO, ENMARCACIÓN, SERIGRAFÍA, FOTOGRAFÍA, CARNETIZACIÓN, FILMACIÓN E IMÁGENES SATELITALES"/>
    <n v="300.1599999999998"/>
    <n v="267.99999999999983"/>
    <n v="32.159999999999975"/>
    <n v="300.1599999999998"/>
    <n v="0"/>
    <n v="0"/>
    <n v="0"/>
    <n v="0"/>
    <n v="0"/>
    <n v="0"/>
    <n v="268"/>
    <n v="0"/>
    <n v="0"/>
    <n v="0"/>
    <n v="0"/>
    <n v="0"/>
    <n v="0"/>
    <n v="267.9999999999998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ELABORACIÓN DE 48 CREDENCIALES INCLUYE PORTACREDENCIAL Y CORDÓN PARA PERSONAL DEL ECU 911."/>
    <n v="3"/>
    <x v="0"/>
    <n v="1"/>
    <n v="0"/>
    <n v="1"/>
    <n v="2101"/>
    <s v="LAGO AGRIO"/>
    <n v="1"/>
    <n v="0"/>
    <n v="0"/>
    <s v="CORRIENTE"/>
    <x v="0"/>
    <n v="530204"/>
    <s v="EDICIÓN, IMPRESIÓN, REPRODUCCIÓN, PUBLICACIONES, SUSCRIPCIONES, FOTOCOPIADO, TRADUCCIÓN, EMPASTADO, ENMARCACIÓN, SERIGRAFÍA, FOTOGRAFÍA, CARNETIZACIÓN, FILMACIÓN E IMÁGENES SATELITALES"/>
    <n v="240.8"/>
    <n v="215"/>
    <n v="25.8"/>
    <n v="240.8"/>
    <n v="0"/>
    <n v="0"/>
    <n v="0"/>
    <n v="215"/>
    <n v="0"/>
    <n v="0"/>
    <n v="0"/>
    <n v="0"/>
    <n v="0"/>
    <n v="0"/>
    <n v="0"/>
    <n v="0"/>
    <n v="0"/>
    <n v="21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BIENES Y CANCELACIÓN  DE SERVICIOS NO PREVISIBLES, URGENTES Y DE VALOR REDUCIDO (CAJA CHICA)."/>
    <n v="1"/>
    <x v="0"/>
    <n v="1"/>
    <n v="0"/>
    <n v="1"/>
    <n v="2101"/>
    <s v="LAGO AGRIO"/>
    <n v="1"/>
    <n v="0"/>
    <n v="0"/>
    <s v="CORRIENTE"/>
    <x v="0"/>
    <n v="530204"/>
    <s v="EDICIÓN, IMPRESIÓN, REPRODUCCIÓN, PUBLICACIONES, SUSCRIPCIONES, FOTOCOPIADO, TRADUCCIÓN, EMPASTADO, ENMARCACIÓN, SERIGRAFÍA, FOTOGRAFÍA, CARNETIZACIÓN, FILMACIÓN E IMÁGENES SATELITALES"/>
    <n v="150"/>
    <n v="150"/>
    <n v="0"/>
    <n v="150"/>
    <n v="0"/>
    <n v="0"/>
    <n v="0"/>
    <n v="0"/>
    <n v="0"/>
    <n v="0"/>
    <n v="0"/>
    <n v="150"/>
    <n v="0"/>
    <n v="0"/>
    <n v="0"/>
    <n v="0"/>
    <n v="0"/>
    <n v="15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LOCAL DE COMUNICACIÓN SOCIAL"/>
    <s v="COMUNICACIÓN SOCIAL"/>
    <s v="ADQUISICIÓN DE MATERIAL DE POSICIONAMIENTO E IDENTIDAD DEL ECU 911 PARA EL CENTRO OPERATIVO ECU 911 NUEVA LOJA"/>
    <n v="2"/>
    <x v="0"/>
    <n v="1"/>
    <n v="0"/>
    <n v="1"/>
    <n v="2101"/>
    <s v="LAGO AGRIO"/>
    <n v="1"/>
    <n v="0"/>
    <n v="0"/>
    <s v="CORRIENTE"/>
    <x v="0"/>
    <n v="530204"/>
    <s v="EDICIÓN, IMPRESIÓN, REPRODUCCIÓN, PUBLICACIONES, SUSCRIPCIONES, FOTOCOPIADO, TRADUCCIÓN, EMPASTADO, ENMARCACIÓN, SERIGRAFÍA, FOTOGRAFÍA, CARNETIZACIÓN, FILMACIÓN E IMÁGENES SATELITALES"/>
    <n v="1367.5199999999998"/>
    <n v="1220.9999999999998"/>
    <n v="146.51999999999995"/>
    <n v="1367.5199999999998"/>
    <n v="0"/>
    <n v="0"/>
    <n v="0"/>
    <n v="1221"/>
    <n v="0"/>
    <n v="0"/>
    <n v="0"/>
    <n v="0"/>
    <n v="0"/>
    <n v="0"/>
    <n v="0"/>
    <n v="0"/>
    <n v="0"/>
    <n v="1220.999999999999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LOCAL DE COMUNICACIÓN SOCIAL"/>
    <s v="COMUNICACIÓN SOCIAL"/>
    <s v="CANCELACIÓN POR SPOTS PUBLICITARIOS EN RADIO Y TV STREAMMING Y PLATAFORMAS DIGITALES, PARA DIFUSIÓN DEL MODELO DE GESTIÓN Y BUEN USO DEL 911"/>
    <n v="2"/>
    <x v="0"/>
    <n v="1"/>
    <n v="0"/>
    <n v="1"/>
    <n v="2101"/>
    <s v="LAGO AGRIO"/>
    <n v="1"/>
    <n v="0"/>
    <n v="0"/>
    <s v="CORRIENTE"/>
    <x v="0"/>
    <n v="530207"/>
    <s v="DIFUSIÓN, INFORMACIÓN Y PUBLICIDAD"/>
    <n v="302.3999999999998"/>
    <n v="269.99999999999983"/>
    <n v="32.39999999999998"/>
    <n v="302.3999999999998"/>
    <n v="0"/>
    <n v="0"/>
    <n v="27"/>
    <n v="27"/>
    <n v="27"/>
    <n v="27"/>
    <n v="27"/>
    <n v="27"/>
    <n v="27"/>
    <n v="27"/>
    <n v="27"/>
    <n v="27"/>
    <n v="0"/>
    <n v="269.9999999999998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RRASTRE: CANCELACIÓN  POR EL SERVICIO DE LIMPIEZA DEL CENTRO OPERATIVO LOCAL ECU 911 DICIEMBRE DEL 2021"/>
    <n v="1"/>
    <x v="0"/>
    <n v="1"/>
    <n v="0"/>
    <n v="1"/>
    <n v="2101"/>
    <s v="LAGO AGRIO"/>
    <n v="1"/>
    <n v="0"/>
    <n v="0"/>
    <s v="CORRIENTE"/>
    <x v="0"/>
    <n v="530209"/>
    <s v="SERVICIOS DE ASEO, LAVADO DE VESTIMENTA DE TRABAJO, FUMIGACIÓN, DESINFECCIÓN, LIMPIEZA DE INSTALACIONES, MANEJO DE DESECHOS CONTAMINADOS, RECUPERACIÓN Y CLASIFICACIÓN DE MATERIALES RECICLABLES"/>
    <n v="3821.4399999999996"/>
    <n v="3411.9999999999995"/>
    <n v="409.43999999999994"/>
    <n v="3821.4399999999996"/>
    <n v="3412"/>
    <n v="0"/>
    <n v="0"/>
    <n v="0"/>
    <n v="0"/>
    <n v="0"/>
    <n v="0"/>
    <n v="0"/>
    <n v="0"/>
    <n v="0"/>
    <n v="0"/>
    <n v="0"/>
    <n v="0"/>
    <n v="3411.999999999999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 DEL SERVICIO DE LIMPIEZA PARA EL CENTRO OPERATIVO LOCAL ECU 911 PERIODO 2022 SE PAGA A MES VENCIDO"/>
    <n v="1"/>
    <x v="0"/>
    <n v="1"/>
    <n v="0"/>
    <n v="1"/>
    <n v="2101"/>
    <s v="LAGO AGRIO"/>
    <n v="1"/>
    <n v="0"/>
    <n v="0"/>
    <s v="CORRIENTE"/>
    <x v="0"/>
    <n v="530209"/>
    <s v="SERVICIOS DE ASEO, LAVADO DE VESTIMENTA DE TRABAJO, FUMIGACIÓN, DESINFECCIÓN, LIMPIEZA DE INSTALACIONES, MANEJO DE DESECHOS CONTAMINADOS, RECUPERACIÓN Y CLASIFICACIÓN DE MATERIALES RECICLABLES"/>
    <n v="25011.84"/>
    <n v="22332"/>
    <n v="2679.8399999999997"/>
    <n v="25011.84"/>
    <n v="0"/>
    <n v="3722"/>
    <n v="3722"/>
    <n v="3722"/>
    <n v="3722"/>
    <n v="3722"/>
    <n v="3722"/>
    <n v="0"/>
    <n v="0"/>
    <n v="0"/>
    <n v="0"/>
    <n v="0"/>
    <n v="0"/>
    <n v="22332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PROVISIÓN PARA  MOVILIZACIONES TERRESTRES DE FUNCIONARIOS DEL ECU 911  POR ACTIVIDADES INSTITUCIONALES AÑO 2022"/>
    <n v="1"/>
    <x v="0"/>
    <n v="1"/>
    <n v="0"/>
    <n v="1"/>
    <n v="2101"/>
    <s v="LAGO AGRIO"/>
    <n v="1"/>
    <n v="0"/>
    <n v="0"/>
    <s v="CORRIENTE"/>
    <x v="0"/>
    <n v="530301"/>
    <s v="PASAJES AL INTERIOR"/>
    <n v="100"/>
    <n v="100"/>
    <n v="0"/>
    <n v="100"/>
    <n v="0"/>
    <n v="0"/>
    <n v="0"/>
    <n v="25"/>
    <n v="0"/>
    <n v="25"/>
    <n v="0"/>
    <n v="25"/>
    <n v="0"/>
    <n v="0"/>
    <n v="25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PROVISIÓN PARA ALIMENTACIÓN Y ESTADÍA DE LOS FUNCIONARIOS DEL CENTRO OPERATIVO LOCAL ECU 911 CUANDO SALEN A CUMPLIR COMISIÓN DE SERVICIOS FUERA DE SU LUGAR HABITUAL DE TRABAJO AÑO 2022"/>
    <n v="1"/>
    <x v="0"/>
    <n v="1"/>
    <n v="0"/>
    <n v="1"/>
    <n v="2101"/>
    <s v="LAGO AGRIO"/>
    <n v="1"/>
    <n v="0"/>
    <n v="0"/>
    <s v="CORRIENTE"/>
    <x v="0"/>
    <n v="530303"/>
    <s v="VIÁTICOS Y SUBSISTENCIAS EN EL INTERIOR"/>
    <n v="1500"/>
    <n v="1500"/>
    <n v="0"/>
    <n v="1500"/>
    <n v="0"/>
    <n v="0"/>
    <n v="150"/>
    <n v="150"/>
    <n v="150"/>
    <n v="150"/>
    <n v="150"/>
    <n v="150"/>
    <n v="150"/>
    <n v="150"/>
    <n v="150"/>
    <n v="150"/>
    <n v="0"/>
    <n v="15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PARA MANTENIMIENTO DE INFRAESTRUCTURA DEL CENTRO OPERATIVO LOCAL ECU 911 NUEVA LOJA PARA EL 2022"/>
    <n v="1"/>
    <x v="0"/>
    <n v="1"/>
    <n v="0"/>
    <n v="1"/>
    <n v="2101"/>
    <s v="LAGO AGRIO"/>
    <n v="1"/>
    <n v="0"/>
    <n v="0"/>
    <s v="CORRIENTE"/>
    <x v="0"/>
    <n v="530402"/>
    <s v="EDIFICIOS, LOCALES, RESIDENCIAS Y CABLEADO ESTRUCTURADO (INSTALACIÓN, MANTENIMIENTO Y REPARACIÓN)"/>
    <n v="3300.6399999999985"/>
    <n v="2946.9999999999986"/>
    <n v="353.6399999999998"/>
    <n v="3300.6399999999985"/>
    <n v="0"/>
    <n v="0"/>
    <n v="0"/>
    <n v="0"/>
    <n v="0"/>
    <n v="0"/>
    <n v="0"/>
    <n v="0"/>
    <n v="0"/>
    <n v="2947"/>
    <n v="0"/>
    <n v="0"/>
    <n v="0"/>
    <n v="2946.9999999999986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DEL SERVICIO DE MANTENIMIENTO Y REPARACIÓN DE MOBILIARIO DEL CENTRO AÑO 2022"/>
    <n v="1"/>
    <x v="0"/>
    <n v="1"/>
    <n v="0"/>
    <n v="1"/>
    <n v="2101"/>
    <s v="LAGO AGRIO"/>
    <n v="1"/>
    <n v="0"/>
    <n v="0"/>
    <s v="CORRIENTE"/>
    <x v="0"/>
    <n v="530403"/>
    <s v="MOBILIARIOS (INSTALACIÓN, MANTENIMIENTO Y REPARACIÓN)"/>
    <n v="1000.1599999999996"/>
    <n v="892.9999999999997"/>
    <n v="107.15999999999995"/>
    <n v="1000.1599999999996"/>
    <n v="0"/>
    <n v="0"/>
    <n v="0"/>
    <n v="0"/>
    <n v="0"/>
    <n v="0"/>
    <n v="0"/>
    <n v="893"/>
    <n v="0"/>
    <n v="0"/>
    <n v="0"/>
    <n v="0"/>
    <n v="0"/>
    <n v="892.999999999999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 CONTRATACIÓN SERVICIO DE MANTENIMIENTO RELOJ BIOMÉTRICO "/>
    <n v="1"/>
    <x v="0"/>
    <n v="1"/>
    <n v="0"/>
    <n v="1"/>
    <n v="2101"/>
    <s v="LAGO AGRIO"/>
    <n v="1"/>
    <n v="0"/>
    <n v="0"/>
    <s v="CORRIENTE"/>
    <x v="0"/>
    <n v="530404"/>
    <s v="MAQUINARIAS Y EQUIPOS (INSTALACIÓN, MANTENIMIENTO Y REPARACIÓN)"/>
    <n v="350.56"/>
    <n v="313"/>
    <n v="37.559999999999995"/>
    <n v="350.56"/>
    <n v="0"/>
    <n v="0"/>
    <n v="0"/>
    <n v="0"/>
    <n v="0"/>
    <n v="0"/>
    <n v="0"/>
    <n v="0"/>
    <n v="0"/>
    <n v="313"/>
    <n v="0"/>
    <n v="0"/>
    <n v="0"/>
    <n v="31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DEL SERVICIO DE MANTENIMIENTO PREVENTIVO Y CORRECTIVO DE ELECTRODOMÉSTICOS DEL CENTRO OPERATIVO LOCAL ECU 911 NUEVA LOJA"/>
    <n v="3"/>
    <x v="0"/>
    <n v="1"/>
    <n v="0"/>
    <n v="1"/>
    <n v="2101"/>
    <s v="LAGO AGRIO"/>
    <n v="1"/>
    <n v="0"/>
    <n v="0"/>
    <s v="CORRIENTE"/>
    <x v="0"/>
    <n v="530404"/>
    <s v="MAQUINARIAS Y EQUIPOS (INSTALACIÓN, MANTENIMIENTO Y REPARACIÓN)"/>
    <n v="400.9599999999998"/>
    <n v="357.99999999999983"/>
    <n v="42.95999999999998"/>
    <n v="400.9599999999998"/>
    <n v="0"/>
    <n v="0"/>
    <n v="0"/>
    <n v="0"/>
    <n v="358"/>
    <n v="0"/>
    <n v="0"/>
    <n v="0"/>
    <n v="0"/>
    <n v="0"/>
    <n v="0"/>
    <n v="0"/>
    <n v="0"/>
    <n v="357.9999999999998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ONTRATACIÓN DEL SERVICIO DE MANTENIMIENTO PREVENTIVO Y CORRECTIVO DEL ASCENSOR AÑO 2022"/>
    <n v="1"/>
    <x v="0"/>
    <n v="1"/>
    <n v="0"/>
    <n v="1"/>
    <n v="2101"/>
    <s v="LAGO AGRIO"/>
    <n v="1"/>
    <n v="0"/>
    <n v="0"/>
    <s v="CORRIENTE"/>
    <x v="0"/>
    <n v="530404"/>
    <s v="MAQUINARIAS Y EQUIPOS (INSTALACIÓN, MANTENIMIENTO Y REPARACIÓN)"/>
    <n v="2106.72"/>
    <n v="1881"/>
    <n v="225.72"/>
    <n v="2106.72"/>
    <n v="0"/>
    <n v="171"/>
    <n v="171"/>
    <n v="171"/>
    <n v="171"/>
    <n v="171"/>
    <n v="171"/>
    <n v="171"/>
    <n v="171"/>
    <n v="171"/>
    <n v="171"/>
    <n v="171"/>
    <n v="0"/>
    <n v="1881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ANCELACIÓN POR CONTRATACIÓN DE MANO DE OBRA PARA MANTENIMIENTO DE VEHÍCULOS LIVIANOS DEL CENTRO OPERATIVO  ECU 911 PARA GARANTIZAR OPERATIVIDAD"/>
    <n v="1"/>
    <x v="0"/>
    <n v="1"/>
    <n v="0"/>
    <n v="1"/>
    <n v="2101"/>
    <s v="LAGO AGRIO"/>
    <n v="1"/>
    <n v="0"/>
    <n v="0"/>
    <s v="CORRIENTE"/>
    <x v="0"/>
    <n v="530405"/>
    <s v="VEHÍCULOS (SERVICIO PARA MANTENIMIENTO Y REPARACIÓN)"/>
    <n v="1903.9999999999995"/>
    <n v="1699.9999999999995"/>
    <n v="203.99999999999994"/>
    <n v="1903.9999999999995"/>
    <n v="0"/>
    <n v="0"/>
    <n v="340"/>
    <n v="0"/>
    <n v="340"/>
    <n v="0"/>
    <n v="340"/>
    <n v="0"/>
    <n v="340"/>
    <n v="0"/>
    <n v="340"/>
    <n v="0"/>
    <n v="0"/>
    <n v="1699.999999999999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BIENES Y PAGO DE SERVICIOS NO PREVISIBLES, URGENTES Y DE VALOR REDUCIDO (CAJA CHICA)"/>
    <n v="1"/>
    <x v="0"/>
    <n v="1"/>
    <n v="0"/>
    <n v="1"/>
    <n v="2101"/>
    <s v="LAGO AGRIO"/>
    <n v="1"/>
    <n v="0"/>
    <n v="0"/>
    <s v="CORRIENTE"/>
    <x v="0"/>
    <n v="530405"/>
    <s v="VEHÍCULOS (SERVICIO PARA MANTENIMIENTO Y REPARACIÓN)"/>
    <n v="100"/>
    <n v="100"/>
    <n v="0"/>
    <n v="100"/>
    <n v="0"/>
    <n v="0"/>
    <n v="0"/>
    <n v="25"/>
    <n v="0"/>
    <n v="25"/>
    <n v="0"/>
    <n v="25"/>
    <n v="0"/>
    <n v="0"/>
    <n v="25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LOCAL DE COMUNICACIÓN SOCIAL"/>
    <s v="COMUNICACIÓN SOCIAL"/>
    <s v="CANCELACIÓN POR MANTENIMIENTO DE FILMADORA DEL ÁREA DE COMUNICACIÓN SOCIAL"/>
    <n v="1"/>
    <x v="0"/>
    <n v="1"/>
    <n v="0"/>
    <n v="1"/>
    <n v="2101"/>
    <s v="LAGO AGRIO"/>
    <n v="1"/>
    <n v="0"/>
    <n v="0"/>
    <s v="CORRIENTE"/>
    <x v="0"/>
    <n v="530704"/>
    <s v="MANTENIMIENTO Y REPARACIÓN DE EQUIPOS Y SISTEMAS INFORMÁTICOS "/>
    <n v="299.04"/>
    <n v="267"/>
    <n v="32.04"/>
    <n v="299.04"/>
    <n v="0"/>
    <n v="0"/>
    <n v="0"/>
    <n v="0"/>
    <n v="267"/>
    <n v="0"/>
    <n v="0"/>
    <n v="0"/>
    <n v="0"/>
    <n v="0"/>
    <n v="0"/>
    <n v="0"/>
    <n v="0"/>
    <n v="26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 ADQUISICIÓN DE EQUIPOS DE PROTECCIÓN INDIVIDUAL Y ROPA DE TRABAJO"/>
    <n v="1"/>
    <x v="0"/>
    <n v="1"/>
    <n v="0"/>
    <n v="1"/>
    <n v="2101"/>
    <s v="LAGO AGRIO"/>
    <n v="1"/>
    <n v="0"/>
    <n v="0"/>
    <s v="CORRIENTE"/>
    <x v="0"/>
    <n v="530802"/>
    <s v="VESTUARIO, LENCERÍA, PRENDAS DE PROTECCIÓN Y ACCESORIOS PARA UNIFORMES DEL PERSONAL DE PROTECCIÓN, VIGILANCIA Y SEGURIDAD"/>
    <n v="1990.2399999999996"/>
    <n v="1776.9999999999995"/>
    <n v="213.23999999999992"/>
    <n v="1990.2399999999996"/>
    <n v="0"/>
    <n v="0"/>
    <n v="0"/>
    <n v="0"/>
    <n v="0"/>
    <n v="1777"/>
    <n v="0"/>
    <n v="0"/>
    <n v="0"/>
    <n v="0"/>
    <n v="0"/>
    <n v="0"/>
    <n v="0"/>
    <n v="1776.999999999999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COMBUSTIBLES, LUBRICANTES, Y ADITIVOS EN GENERAL PARA MANTENIMIENTO DE LOS VEHÍCULOS DEL CENTRO OPERATIVO ECU 911 AÑO 2022"/>
    <n v="1"/>
    <x v="0"/>
    <n v="1"/>
    <n v="0"/>
    <n v="1"/>
    <n v="2101"/>
    <s v="LAGO AGRIO"/>
    <n v="1"/>
    <n v="0"/>
    <n v="0"/>
    <s v="CORRIENTE"/>
    <x v="0"/>
    <n v="530803"/>
    <s v="COMBUSTIBLES Y LUBRICANTES"/>
    <n v="671.9999999999999"/>
    <n v="599.9999999999999"/>
    <n v="71.99999999999999"/>
    <n v="671.9999999999999"/>
    <n v="0"/>
    <n v="0"/>
    <n v="120"/>
    <n v="0"/>
    <n v="120"/>
    <n v="0"/>
    <n v="120"/>
    <n v="0"/>
    <n v="120"/>
    <n v="0"/>
    <n v="120"/>
    <n v="0"/>
    <n v="0"/>
    <n v="599.9999999999999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COMBUSTIBLES PARA MOVILIZACIÓN DE VEHÍCULOS DEL CENTRO PERIODO 2022"/>
    <n v="1"/>
    <x v="0"/>
    <n v="1"/>
    <n v="0"/>
    <n v="1"/>
    <n v="2101"/>
    <s v="LAGO AGRIO"/>
    <n v="1"/>
    <n v="0"/>
    <n v="0"/>
    <s v="CORRIENTE"/>
    <x v="0"/>
    <n v="530803"/>
    <s v="COMBUSTIBLES Y LUBRICANTES"/>
    <n v="2005.92"/>
    <n v="1791"/>
    <n v="214.92"/>
    <n v="2005.92"/>
    <n v="0"/>
    <n v="0"/>
    <n v="0"/>
    <n v="199"/>
    <n v="199"/>
    <n v="199"/>
    <n v="199"/>
    <n v="199"/>
    <n v="199"/>
    <n v="199"/>
    <n v="199"/>
    <n v="199"/>
    <n v="0"/>
    <n v="1791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REPOSICIÓN DE ADQUISICIÓN DE COMBUSTIBLES EN CUMPLIMIENTO DE COMISIÓN DE SERVICIOS AL INTERIOR DE LOS SERVIDORES DEL CENTRO PERIODO 2022"/>
    <n v="1"/>
    <x v="0"/>
    <n v="1"/>
    <n v="0"/>
    <n v="1"/>
    <n v="2101"/>
    <s v="LAGO AGRIO"/>
    <n v="1"/>
    <n v="0"/>
    <n v="0"/>
    <s v="CORRIENTE"/>
    <x v="0"/>
    <n v="530803"/>
    <s v="COMBUSTIBLES Y LUBRICANTES"/>
    <n v="100"/>
    <n v="100"/>
    <n v="0"/>
    <n v="100"/>
    <n v="0"/>
    <n v="0"/>
    <n v="0"/>
    <n v="0"/>
    <n v="0"/>
    <n v="0"/>
    <n v="25"/>
    <n v="0"/>
    <n v="25"/>
    <n v="0"/>
    <n v="25"/>
    <n v="25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COMBUSTIBLES PERIODO 2022 PARA ABASTECIMIENTO DE GENERADORES"/>
    <n v="1"/>
    <x v="0"/>
    <n v="1"/>
    <n v="0"/>
    <n v="1"/>
    <n v="2101"/>
    <s v="LAGO AGRIO"/>
    <n v="1"/>
    <n v="0"/>
    <n v="0"/>
    <s v="CORRIENTE"/>
    <x v="0"/>
    <n v="530803"/>
    <s v="COMBUSTIBLES Y LUBRICANTES"/>
    <n v="500.6399999999998"/>
    <n v="446.99999999999983"/>
    <n v="53.63999999999998"/>
    <n v="500.6399999999998"/>
    <n v="0"/>
    <n v="0"/>
    <n v="0"/>
    <n v="0"/>
    <n v="0"/>
    <n v="0"/>
    <n v="0"/>
    <n v="0"/>
    <n v="446.9999999999999"/>
    <n v="0"/>
    <n v="0"/>
    <n v="0"/>
    <n v="0"/>
    <n v="446.9999999999998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ELABORACIÓN DE FORMULARIOS PRE-IMPRESOS Y PRE-NUMERADOS PARA VALES DE CAJA CHICA, INGRESOS Y EGRESOS DE BODEGA, ÓRDENES DE COMBUSTIBLE, ÓRDENES DE MANTENIMIENTO, FORMULARIOS DE PERMISOS DE PERSONAL, SOLICITUD DE MOVILIZACIÓN"/>
    <n v="2"/>
    <x v="0"/>
    <n v="1"/>
    <n v="0"/>
    <n v="1"/>
    <n v="2101"/>
    <s v="LAGO AGRIO"/>
    <n v="1"/>
    <n v="0"/>
    <n v="0"/>
    <s v="CORRIENTE"/>
    <x v="0"/>
    <n v="530804"/>
    <s v="MATERIALES DE OFICINA"/>
    <n v="112"/>
    <n v="100"/>
    <n v="12"/>
    <n v="112"/>
    <n v="0"/>
    <n v="0"/>
    <n v="0"/>
    <n v="0"/>
    <n v="0"/>
    <n v="0"/>
    <n v="10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MATERIALES DE OFICINA AÑO 2022"/>
    <n v="1"/>
    <x v="0"/>
    <n v="1"/>
    <n v="0"/>
    <n v="1"/>
    <n v="2101"/>
    <s v="LAGO AGRIO"/>
    <n v="1"/>
    <n v="0"/>
    <n v="0"/>
    <s v="CORRIENTE"/>
    <x v="0"/>
    <n v="530804"/>
    <s v="MATERIALES DE OFICINA"/>
    <n v="1500.7999999999993"/>
    <n v="1339.9999999999993"/>
    <n v="160.79999999999993"/>
    <n v="1500.7999999999993"/>
    <n v="0"/>
    <n v="0"/>
    <n v="0"/>
    <n v="0"/>
    <n v="0"/>
    <n v="0"/>
    <n v="1340"/>
    <n v="0"/>
    <n v="0"/>
    <n v="0"/>
    <n v="0"/>
    <n v="0"/>
    <n v="0"/>
    <n v="1339.999999999999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LOCAL DE COMUNICACIÓN SOCIAL"/>
    <s v="COMUNICACIÓN SOCIAL"/>
    <s v="ADQUISICIÓN DE CARTULINA MARFIL LISA PARA TOP 3, CAPACITACIONES  Y FECHAS CONMEMORATIVAS."/>
    <n v="2"/>
    <x v="0"/>
    <n v="1"/>
    <n v="0"/>
    <n v="1"/>
    <n v="2101"/>
    <s v="LAGO AGRIO"/>
    <n v="1"/>
    <n v="0"/>
    <n v="0"/>
    <s v="CORRIENTE"/>
    <x v="0"/>
    <n v="530804"/>
    <s v="MATERIALES DE OFICINA"/>
    <n v="120.95999999999995"/>
    <n v="107.99999999999996"/>
    <n v="12.959999999999994"/>
    <n v="120.95999999999995"/>
    <n v="0"/>
    <n v="0"/>
    <n v="0"/>
    <n v="108"/>
    <n v="0"/>
    <n v="0"/>
    <n v="0"/>
    <n v="0"/>
    <n v="0"/>
    <n v="0"/>
    <n v="0"/>
    <n v="0"/>
    <n v="0"/>
    <n v="107.99999999999996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MATERIALES DE ASEO PARA EL CENTRO OPERATIVO LOCAL ECU 911 NUEVA LOJA AÑO 2022"/>
    <n v="1"/>
    <x v="0"/>
    <n v="1"/>
    <n v="0"/>
    <n v="1"/>
    <n v="2101"/>
    <s v="LAGO AGRIO"/>
    <n v="1"/>
    <n v="0"/>
    <n v="0"/>
    <s v="CORRIENTE"/>
    <x v="0"/>
    <n v="530805"/>
    <s v="MATERIALES DE ASEO"/>
    <n v="2000.3199999999993"/>
    <n v="1785.9999999999993"/>
    <n v="214.3199999999999"/>
    <n v="2000.3199999999993"/>
    <n v="0"/>
    <n v="0"/>
    <n v="0"/>
    <n v="0"/>
    <n v="0"/>
    <n v="0"/>
    <n v="1786"/>
    <n v="0"/>
    <n v="0"/>
    <n v="0"/>
    <n v="0"/>
    <n v="0"/>
    <n v="0"/>
    <n v="1785.999999999999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ANCELACIÓN  POR REPRODUCCIÓN DE REGLAMENTO INTERNO DE HIGIENE Y SEGURIDAD EN EL TRABAJO DE BOLSILLO PARA DISTRIBUIR A LOS SERVIDORES  Y TRABAJADORES DE LA COORDINACIÓN ZONAL 1 SERVICIO INTEGRADO DE SEGURIDAD ECU 911."/>
    <n v="1"/>
    <x v="0"/>
    <n v="1"/>
    <n v="0"/>
    <n v="1"/>
    <n v="2101"/>
    <s v="LAGO AGRIO"/>
    <n v="1"/>
    <n v="0"/>
    <n v="0"/>
    <s v="CORRIENTE"/>
    <x v="0"/>
    <n v="530807"/>
    <s v="MATERIALES DE IMPRESIÓN, FOTOGRAFÍA, REPRODUCCIÓN Y PUBLICACIONES"/>
    <n v="112"/>
    <n v="100"/>
    <n v="12"/>
    <n v="112"/>
    <n v="0"/>
    <n v="0"/>
    <n v="0"/>
    <n v="100"/>
    <n v="0"/>
    <n v="0"/>
    <n v="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SEÑALÉTICA DE SEGURIDAD PARA CENTROS OPERATIVOS LOCAL ECU 911 NUEVA LOJA"/>
    <n v="1"/>
    <x v="0"/>
    <n v="1"/>
    <n v="0"/>
    <n v="1"/>
    <n v="2101"/>
    <s v="LAGO AGRIO"/>
    <n v="1"/>
    <n v="0"/>
    <n v="0"/>
    <s v="CORRIENTE"/>
    <x v="0"/>
    <n v="530807"/>
    <s v="MATERIALES DE IMPRESIÓN, FOTOGRAFÍA, REPRODUCCIÓN Y PUBLICACIONES"/>
    <n v="680.96"/>
    <n v="608"/>
    <n v="72.96"/>
    <n v="680.96"/>
    <n v="0"/>
    <n v="0"/>
    <n v="0"/>
    <n v="0"/>
    <n v="0"/>
    <n v="0"/>
    <n v="0"/>
    <n v="0"/>
    <n v="0"/>
    <n v="0"/>
    <n v="608"/>
    <n v="0"/>
    <n v="0"/>
    <n v="60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TONERS NEGRO Y DE COLOR PARA IMPRESORAS DEL CENTRO OPERATIVO LOCAL ECU 911 NUEVA LOJA AÑO 2022"/>
    <n v="1"/>
    <x v="0"/>
    <n v="1"/>
    <n v="0"/>
    <n v="1"/>
    <n v="2101"/>
    <s v="LAGO AGRIO"/>
    <n v="1"/>
    <n v="0"/>
    <n v="0"/>
    <s v="CORRIENTE"/>
    <x v="0"/>
    <n v="530807"/>
    <s v="MATERIALES DE IMPRESIÓN, FOTOGRAFÍA, REPRODUCCIÓN Y PUBLICACIONES"/>
    <n v="3000.4799999999996"/>
    <n v="2678.9999999999995"/>
    <n v="321.47999999999996"/>
    <n v="3000.4799999999996"/>
    <n v="0"/>
    <n v="0"/>
    <n v="0"/>
    <n v="2679"/>
    <n v="0"/>
    <n v="0"/>
    <n v="0"/>
    <n v="0"/>
    <n v="0"/>
    <n v="0"/>
    <n v="0"/>
    <n v="0"/>
    <n v="0"/>
    <n v="2678.999999999999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MATERIALES E INSUMOS PARA MANTENIMIENTO DEL CENTRO OPERATIVO LOCAL"/>
    <n v="2"/>
    <x v="0"/>
    <n v="1"/>
    <n v="0"/>
    <n v="1"/>
    <n v="2101"/>
    <s v="LAGO AGRIO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1000.1599999999996"/>
    <n v="892.9999999999997"/>
    <n v="107.15999999999995"/>
    <n v="1000.1599999999996"/>
    <n v="0"/>
    <n v="0"/>
    <n v="0"/>
    <n v="0"/>
    <n v="893"/>
    <n v="0"/>
    <n v="0"/>
    <n v="0"/>
    <n v="0"/>
    <n v="0"/>
    <n v="0"/>
    <n v="0"/>
    <n v="0"/>
    <n v="892.999999999999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BIENES Y PAGO DE SERVICIOS NO PREVISIBLES, URGENTES Y DE VALOR REDUCIDO (CAJA CHICA)"/>
    <n v="1"/>
    <x v="0"/>
    <n v="1"/>
    <n v="0"/>
    <n v="1"/>
    <n v="2101"/>
    <s v="LAGO AGRIO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250"/>
    <n v="250"/>
    <n v="0"/>
    <n v="250"/>
    <n v="0"/>
    <n v="0"/>
    <n v="0"/>
    <n v="50"/>
    <n v="0"/>
    <n v="50"/>
    <n v="0"/>
    <n v="50"/>
    <n v="0"/>
    <n v="50"/>
    <n v="0"/>
    <n v="50"/>
    <n v="0"/>
    <n v="25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LOCAL DE COMUNICACIÓN SOCIAL"/>
    <s v="COMUNICACIÓN SOCIAL"/>
    <s v="ADQUISICIÓN DE PANEL CON AISLAMIENTO ACÚSTICO PARA GRABACIÓN Y PRODUCCIÓN DE PROGRAMA RADIAL ECU AL DÍA Y OTROS."/>
    <n v="2"/>
    <x v="0"/>
    <n v="1"/>
    <n v="0"/>
    <n v="1"/>
    <n v="2101"/>
    <s v="LAGO AGRIO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300.1599999999998"/>
    <n v="267.99999999999983"/>
    <n v="32.159999999999975"/>
    <n v="300.1599999999998"/>
    <n v="0"/>
    <n v="0"/>
    <n v="0"/>
    <n v="0"/>
    <n v="0"/>
    <n v="0"/>
    <n v="268"/>
    <n v="0"/>
    <n v="0"/>
    <n v="0"/>
    <n v="0"/>
    <n v="0"/>
    <n v="0"/>
    <n v="267.9999999999998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 MATERIAL DE FERRETERÍA COMO: FLUXÓMETROS, EMPAQUES, SISTEMAS DE DESAGÜE, EMPASTES, PINTURA DE INTERIOR Y EXTERIOR, SILICONAS, SOLVENTES, PINTURA ESMALTE, MATERIAL ELÉCTRICO, TACOS, PERNOS, TUERCAS AÑO 2022"/>
    <n v="1"/>
    <x v="0"/>
    <n v="1"/>
    <n v="0"/>
    <n v="1"/>
    <n v="2101"/>
    <s v="LAGO AGRIO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2200.8"/>
    <n v="1965"/>
    <n v="235.79999999999998"/>
    <n v="2200.8"/>
    <n v="0"/>
    <n v="0"/>
    <n v="0"/>
    <n v="0"/>
    <n v="0"/>
    <n v="0"/>
    <n v="1965"/>
    <n v="0"/>
    <n v="0"/>
    <n v="0"/>
    <n v="0"/>
    <n v="0"/>
    <n v="0"/>
    <n v="196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5. INCREMENTAR EL POSICIONAMIENTO DEL SERVICIO INTEGRADO DE SEGURIDAD ECU 911 A NIVEL NACIONAL E INTERNACIONAL."/>
    <s v="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"/>
    <s v="COORDINACIÓN ZONAL"/>
    <s v="COORDINACIÓN ZONAL 1"/>
    <s v="GESTIÓN LOCAL DE COMUNICACIÓN SOCIAL"/>
    <s v="COMUNICACIÓN SOCIAL"/>
    <s v="ADQUISICIÓN DE MATERIAL DIDÁCTICO INFLABLE Y CARPA PARA VINCULACIÓN "/>
    <n v="2"/>
    <x v="0"/>
    <n v="1"/>
    <n v="0"/>
    <n v="1"/>
    <n v="2101"/>
    <s v="LAGO AGRIO"/>
    <n v="1"/>
    <n v="0"/>
    <n v="0"/>
    <s v="CORRIENTE"/>
    <x v="0"/>
    <n v="530812"/>
    <s v="MATERIALES DIDÁCTICOS"/>
    <n v="600.3199999999996"/>
    <n v="535.9999999999997"/>
    <n v="64.31999999999995"/>
    <n v="600.3199999999996"/>
    <n v="0"/>
    <n v="0"/>
    <n v="0"/>
    <n v="0"/>
    <n v="536"/>
    <n v="0"/>
    <n v="0"/>
    <n v="0"/>
    <n v="0"/>
    <n v="0"/>
    <n v="0"/>
    <n v="0"/>
    <n v="0"/>
    <n v="535.999999999999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REPUESTOS PARA MANTENIMIENTO DE VEHÍCULOS LIVIANOS DEL CENTRO OPERATIVO  ECU 911 POR EL PERÍODO 2022"/>
    <n v="1"/>
    <x v="0"/>
    <n v="1"/>
    <n v="0"/>
    <n v="1"/>
    <n v="2101"/>
    <s v="LAGO AGRIO"/>
    <n v="1"/>
    <n v="0"/>
    <n v="0"/>
    <s v="CORRIENTE"/>
    <x v="0"/>
    <n v="530813"/>
    <s v="REPUESTOS Y ACCESORIOS"/>
    <n v="2934.4"/>
    <n v="2620"/>
    <n v="314.4"/>
    <n v="2934.4"/>
    <n v="0"/>
    <n v="0"/>
    <n v="524"/>
    <n v="0"/>
    <n v="524"/>
    <n v="0"/>
    <n v="524"/>
    <n v="0"/>
    <n v="524"/>
    <n v="0"/>
    <n v="524"/>
    <n v="0"/>
    <n v="0"/>
    <n v="262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REPUESTOS COMO FILTROS DE IMAGEN, MOTOR, CUCHILLAS, RODILLOS, PIÑONES, UÑETAS, COMPONENTES ELECTRÓNICOS INTERNOS DE IMPRESORAS"/>
    <n v="1"/>
    <x v="0"/>
    <n v="1"/>
    <n v="0"/>
    <n v="1"/>
    <n v="2101"/>
    <s v="LAGO AGRIO"/>
    <n v="1"/>
    <n v="0"/>
    <n v="0"/>
    <s v="CORRIENTE"/>
    <x v="0"/>
    <n v="530813"/>
    <s v="REPUESTOS Y ACCESORIOS"/>
    <n v="1000.1599999999996"/>
    <n v="892.9999999999997"/>
    <n v="107.15999999999995"/>
    <n v="1000.1599999999996"/>
    <n v="0"/>
    <n v="0"/>
    <n v="0"/>
    <n v="0"/>
    <n v="0"/>
    <n v="0"/>
    <n v="0"/>
    <n v="0"/>
    <n v="0"/>
    <n v="893"/>
    <n v="0"/>
    <n v="0"/>
    <n v="0"/>
    <n v="892.9999999999997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BIENES Y PAGO DE SERVICIOS NO PREVISIBLES, URGENTES Y DE VALOR REDUCIDO (CAJA CHICA)"/>
    <n v="1"/>
    <x v="0"/>
    <n v="1"/>
    <n v="0"/>
    <n v="1"/>
    <n v="2101"/>
    <s v="LAGO AGRIO"/>
    <n v="1"/>
    <n v="0"/>
    <n v="0"/>
    <s v="CORRIENTE"/>
    <x v="0"/>
    <n v="530813"/>
    <s v="REPUESTOS Y ACCESORIOS"/>
    <n v="100"/>
    <n v="100"/>
    <n v="0"/>
    <n v="100"/>
    <n v="0"/>
    <n v="0"/>
    <n v="0"/>
    <n v="25"/>
    <n v="0"/>
    <n v="25"/>
    <n v="0"/>
    <n v="25"/>
    <n v="0"/>
    <n v="0"/>
    <n v="25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LLANTAS PARAS LOS VEHÍCULOS DEL CENTRO OPERATIVO LOCAL ECU 911 NUEVA LOJA  EU 911  AÑO 2022"/>
    <n v="1"/>
    <x v="0"/>
    <n v="1"/>
    <n v="0"/>
    <n v="1"/>
    <n v="2101"/>
    <s v="LAGO AGRIO"/>
    <n v="1"/>
    <n v="0"/>
    <n v="0"/>
    <s v="CORRIENTE"/>
    <x v="0"/>
    <n v="530813"/>
    <s v="REPUESTOS Y ACCESORIOS"/>
    <n v="1500.7999999999993"/>
    <n v="1339.9999999999993"/>
    <n v="160.79999999999993"/>
    <n v="1500.7999999999993"/>
    <n v="0"/>
    <n v="0"/>
    <n v="0"/>
    <n v="0"/>
    <n v="1340"/>
    <n v="0"/>
    <n v="0"/>
    <n v="0"/>
    <n v="0"/>
    <n v="0"/>
    <n v="0"/>
    <n v="0"/>
    <n v="0"/>
    <n v="1339.999999999999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MENAJE DE HOGAR (PLATOS, CUCHARAS, VASOS, ENTRE OTROS)"/>
    <n v="3"/>
    <x v="0"/>
    <n v="1"/>
    <n v="0"/>
    <n v="1"/>
    <n v="2101"/>
    <s v="LAGO AGRIO"/>
    <n v="1"/>
    <n v="0"/>
    <n v="0"/>
    <s v="CORRIENTE"/>
    <x v="0"/>
    <n v="530820"/>
    <s v="MENAJE Y ACCESORIOS DESCARTABLES"/>
    <n v="500.6399999999998"/>
    <n v="446.99999999999983"/>
    <n v="53.63999999999998"/>
    <n v="500.6399999999998"/>
    <n v="0"/>
    <n v="0"/>
    <n v="0"/>
    <n v="0"/>
    <n v="0"/>
    <n v="0"/>
    <n v="0"/>
    <n v="447"/>
    <n v="0"/>
    <n v="0"/>
    <n v="0"/>
    <n v="0"/>
    <n v="0"/>
    <n v="446.9999999999998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MASCARILLA QUIRÚRGICA 3 CAPAS ELÁSTICO TAMAÑO ESTÁNDAR "/>
    <n v="1"/>
    <x v="0"/>
    <n v="1"/>
    <n v="0"/>
    <n v="1"/>
    <n v="2101"/>
    <s v="LAGO AGRIO"/>
    <n v="1"/>
    <n v="0"/>
    <n v="0"/>
    <s v="CORRIENTE"/>
    <x v="0"/>
    <n v="530826"/>
    <s v="DISPOSITIVOS MÉDICOS DE USO GENERAL"/>
    <n v="537.6"/>
    <n v="480"/>
    <n v="57.599999999999994"/>
    <n v="537.6"/>
    <n v="0"/>
    <n v="0"/>
    <n v="480"/>
    <n v="0"/>
    <n v="0"/>
    <n v="0"/>
    <n v="0"/>
    <n v="0"/>
    <n v="0"/>
    <n v="0"/>
    <n v="0"/>
    <n v="0"/>
    <n v="0"/>
    <n v="48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MATRICULACIÓN Y REVISIÓN VEHICULAR DE LOS VEHÍCULOS DEL CENTRO OPERATIVO LOCAL ECU 911 NUEVA LOJA AÑO 2022"/>
    <n v="1"/>
    <x v="0"/>
    <n v="1"/>
    <n v="0"/>
    <n v="1"/>
    <n v="2101"/>
    <s v="LAGO AGRIO"/>
    <n v="1"/>
    <n v="0"/>
    <n v="0"/>
    <s v="CORRIENTE"/>
    <x v="1"/>
    <n v="570102"/>
    <s v="TASAS GENERALES, IMPUESTOS, CONTRIBUCIONES, PERMISOS, LICENCIAS Y PATENTES"/>
    <n v="200"/>
    <n v="200"/>
    <n v="0"/>
    <n v="200"/>
    <n v="0"/>
    <n v="200"/>
    <n v="0"/>
    <n v="0"/>
    <n v="0"/>
    <n v="0"/>
    <n v="0"/>
    <n v="0"/>
    <n v="0"/>
    <n v="0"/>
    <n v="0"/>
    <n v="0"/>
    <n v="0"/>
    <n v="2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ANCELACIÓN DEL PERMISO DE FUNCIONAMIENTO DEL CUERPO DE BOMBEROS AÑO 2022"/>
    <n v="1"/>
    <x v="0"/>
    <n v="1"/>
    <n v="0"/>
    <n v="1"/>
    <n v="2101"/>
    <s v="LAGO AGRIO"/>
    <n v="1"/>
    <n v="0"/>
    <n v="0"/>
    <s v="CORRIENTE"/>
    <x v="1"/>
    <n v="570102"/>
    <s v="TASAS GENERALES, IMPUESTOS, CONTRIBUCIONES, PERMISOS, LICENCIAS Y PATENTES"/>
    <n v="500"/>
    <n v="500"/>
    <n v="0"/>
    <n v="500"/>
    <n v="0"/>
    <n v="0"/>
    <n v="500"/>
    <n v="0"/>
    <n v="0"/>
    <n v="0"/>
    <n v="0"/>
    <n v="0"/>
    <n v="0"/>
    <n v="0"/>
    <n v="0"/>
    <n v="0"/>
    <n v="0"/>
    <n v="5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CANCELACIÓN POR TASA DE MEJORAS EN EL MUNICIPIO AÑO 2022"/>
    <n v="1"/>
    <x v="0"/>
    <n v="1"/>
    <n v="0"/>
    <n v="1"/>
    <n v="2101"/>
    <s v="LAGO AGRIO"/>
    <n v="1"/>
    <n v="0"/>
    <n v="0"/>
    <s v="CORRIENTE"/>
    <x v="1"/>
    <n v="570102"/>
    <s v="TASAS GENERALES, IMPUESTOS, CONTRIBUCIONES, PERMISOS, LICENCIAS Y PATENTES"/>
    <n v="500"/>
    <n v="500"/>
    <n v="0"/>
    <n v="500"/>
    <n v="0"/>
    <n v="0"/>
    <n v="500"/>
    <n v="0"/>
    <n v="0"/>
    <n v="0"/>
    <n v="0"/>
    <n v="0"/>
    <n v="0"/>
    <n v="0"/>
    <n v="0"/>
    <n v="0"/>
    <n v="0"/>
    <n v="5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ADMINISTRATIVA FINANCIERA Y DE ADMINISTRACIÓN DE RECURSOS HUMANOS"/>
    <s v="ADMINISTRACIÓN CENTRAL"/>
    <s v="ADQUISICIÓN DE BIENES Y PAGO DE SERVICIOS NO PREVISIBLES, URGENTES Y DE VALOR REDUCIDO (CAJA CHICA)"/>
    <n v="1"/>
    <x v="0"/>
    <n v="1"/>
    <n v="0"/>
    <n v="1"/>
    <n v="2101"/>
    <s v="LAGO AGRIO"/>
    <n v="1"/>
    <n v="0"/>
    <n v="0"/>
    <s v="CORRIENTE"/>
    <x v="1"/>
    <n v="570102"/>
    <s v="TASAS GENERALES, IMPUESTOS, CONTRIBUCIONES, PERMISOS, LICENCIAS Y PATENTES"/>
    <n v="150"/>
    <n v="150"/>
    <n v="0"/>
    <n v="150"/>
    <n v="0"/>
    <n v="0"/>
    <n v="0"/>
    <n v="30"/>
    <n v="0"/>
    <n v="30"/>
    <n v="0"/>
    <n v="30"/>
    <n v="0"/>
    <n v="30"/>
    <n v="0"/>
    <n v="30"/>
    <n v="0"/>
    <n v="15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ARRASTRE: CANCELACIÓN POR DE SERVICIOS DE TELECOMUNICACIONES CORRESPONDIENTE A DICIEMBRE DEL 2021"/>
    <n v="1"/>
    <x v="0"/>
    <n v="55"/>
    <n v="0"/>
    <n v="3"/>
    <n v="2101"/>
    <s v="LAGO AGRIO"/>
    <n v="1"/>
    <n v="0"/>
    <n v="0"/>
    <s v="CORRIENTE"/>
    <x v="0"/>
    <n v="530105"/>
    <s v="TELECOMUNICACIONES"/>
    <n v="13100.639999999994"/>
    <n v="11696.999999999995"/>
    <n v="1403.6399999999992"/>
    <n v="13100.639999999994"/>
    <n v="11696.999999999995"/>
    <n v="0"/>
    <n v="0"/>
    <n v="0"/>
    <n v="0"/>
    <n v="0"/>
    <n v="0"/>
    <n v="0"/>
    <n v="0"/>
    <n v="0"/>
    <n v="0"/>
    <n v="0"/>
    <n v="0"/>
    <n v="11696.999999999995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CONTRATACIÓN DE SERVICIOS DE TELECOMUNICACIONES CORRESPONDIENTE AL CONTRATO ENERO-DICIEMBRE 2021"/>
    <n v="1"/>
    <x v="0"/>
    <n v="55"/>
    <n v="0"/>
    <n v="3"/>
    <n v="2101"/>
    <s v="LAGO AGRIO"/>
    <n v="1"/>
    <n v="0"/>
    <n v="0"/>
    <s v="CORRIENTE"/>
    <x v="0"/>
    <n v="530105"/>
    <s v="TELECOMUNICACIONES"/>
    <n v="107430.39999999995"/>
    <n v="95919.99999999996"/>
    <n v="11510.399999999994"/>
    <n v="107430.39999999995"/>
    <n v="0"/>
    <n v="8719.999999999998"/>
    <n v="8719.999999999998"/>
    <n v="8719.999999999998"/>
    <n v="8719.999999999998"/>
    <n v="8719.999999999998"/>
    <n v="8719.999999999998"/>
    <n v="8719.999999999998"/>
    <n v="8719.999999999998"/>
    <n v="8719.999999999998"/>
    <n v="8719.999999999998"/>
    <n v="8719.999999999998"/>
    <n v="0"/>
    <n v="95919.99999999996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 ADQUISICIÓN DE MATERIALES E INSUMOS PARA MANTENIMIENTOS E INSTALACIONES TECNOLÓGICAS DEL CENTRO"/>
    <n v="2"/>
    <x v="0"/>
    <n v="55"/>
    <n v="0"/>
    <n v="3"/>
    <n v="2101"/>
    <s v="LAGO AGRIO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1500.7999999999993"/>
    <n v="1339.9999999999993"/>
    <n v="160.79999999999993"/>
    <n v="1500.7999999999993"/>
    <n v="0"/>
    <n v="0"/>
    <n v="0"/>
    <n v="0"/>
    <n v="1340"/>
    <n v="0"/>
    <n v="0"/>
    <n v="0"/>
    <n v="0"/>
    <n v="0"/>
    <n v="0"/>
    <n v="0"/>
    <n v="0"/>
    <n v="1339.9999999999993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ADQUISICIÓN DE BIENES Y PAGO DE SERVICIOS NO PREVISIBLES, URGENTES Y DE VALOR REDUCIDO (CAJA CHICA)."/>
    <n v="2"/>
    <x v="0"/>
    <n v="55"/>
    <n v="0"/>
    <n v="3"/>
    <n v="2101"/>
    <s v="LAGO AGRIO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300"/>
    <n v="300"/>
    <n v="0"/>
    <n v="300"/>
    <n v="0"/>
    <n v="0"/>
    <n v="30"/>
    <n v="30"/>
    <n v="30"/>
    <n v="30"/>
    <n v="30"/>
    <n v="30"/>
    <n v="30"/>
    <n v="30"/>
    <n v="30"/>
    <n v="30"/>
    <n v="0"/>
    <n v="30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1"/>
    <s v="GESTIÓN LOCAL DE SOPORTE TECNOLÓGICO"/>
    <s v="TECNOLOGÍA"/>
    <s v=" ADQUISICIÓN DE REPUESTOS Y ACCESORIOS TECNOLÓGICOS PARA MAQUINARIAS, PLANTAS ELÉCTRICAS, EQUIPOS Y OTROS"/>
    <n v="2"/>
    <x v="0"/>
    <n v="55"/>
    <n v="0"/>
    <n v="3"/>
    <n v="2101"/>
    <s v="LAGO AGRIO"/>
    <n v="1"/>
    <n v="0"/>
    <n v="0"/>
    <s v="CORRIENTE"/>
    <x v="0"/>
    <n v="530813"/>
    <s v="REPUESTOS Y ACCESORIOS"/>
    <n v="5400.64"/>
    <n v="4822"/>
    <n v="578.64"/>
    <n v="5400.64"/>
    <n v="0"/>
    <n v="0"/>
    <n v="0"/>
    <n v="0"/>
    <n v="4822"/>
    <n v="0"/>
    <n v="0"/>
    <n v="0"/>
    <n v="0"/>
    <n v="0"/>
    <n v="0"/>
    <n v="0"/>
    <n v="0"/>
    <n v="4822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ADMINISTRATIVA FINANCIERA Y DE ADMINISTRACIÓN DE RECURSOS HUMANOS"/>
    <s v="ADMINISTRACIÓN CENTRAL"/>
    <s v="CANCELACIÓN DE REMUNERACIONES Y BENEFICIOS SOCIALES"/>
    <n v="1"/>
    <x v="1"/>
    <n v="1"/>
    <s v="000"/>
    <n v="2"/>
    <n v="600"/>
    <s v="CHIMBORAZO"/>
    <s v="001"/>
    <s v="0000"/>
    <s v="0000"/>
    <s v="CORRIENTE"/>
    <x v="2"/>
    <n v="510203"/>
    <s v="DÉCIMO TERCER SUELDO"/>
    <n v="2932"/>
    <n v="2932"/>
    <n v="0"/>
    <n v="2932"/>
    <n v="183"/>
    <n v="183"/>
    <n v="183"/>
    <n v="183"/>
    <n v="183"/>
    <n v="183"/>
    <n v="183"/>
    <n v="183"/>
    <n v="183"/>
    <n v="183"/>
    <n v="183"/>
    <n v="919"/>
    <n v="0"/>
    <n v="2932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ADMINISTRATIVA FINANCIERA Y DE ADMINISTRACIÓN DE RECURSOS HUMANOS"/>
    <s v="ADMINISTRACIÓN CENTRAL"/>
    <s v="CANCELACIÓN DE REMUNERACIONES Y BENEFICIOS SOCIALES"/>
    <n v="1"/>
    <x v="1"/>
    <n v="1"/>
    <s v="000"/>
    <n v="2"/>
    <n v="600"/>
    <s v="CHIMBORAZO"/>
    <s v="001"/>
    <s v="0000"/>
    <s v="0000"/>
    <s v="CORRIENTE"/>
    <x v="2"/>
    <n v="510204"/>
    <s v="DÉCIMO CUARTO SUELDO"/>
    <n v="1600"/>
    <n v="1600"/>
    <n v="0"/>
    <n v="1600"/>
    <n v="100"/>
    <n v="100"/>
    <n v="100"/>
    <n v="100"/>
    <n v="100"/>
    <n v="100"/>
    <n v="100"/>
    <n v="500"/>
    <n v="100"/>
    <n v="100"/>
    <n v="100"/>
    <n v="100"/>
    <n v="0"/>
    <n v="16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ADMINISTRATIVA FINANCIERA Y DE ADMINISTRACIÓN DE RECURSOS HUMANOS"/>
    <s v="ADMINISTRACIÓN CENTRAL"/>
    <s v="CANCELACIÓN DE REMUNERACIONES Y BENEFICIOS SOCIALES"/>
    <n v="1"/>
    <x v="1"/>
    <n v="1"/>
    <s v="000"/>
    <n v="2"/>
    <n v="600"/>
    <s v="CHIMBORAZO"/>
    <s v="001"/>
    <s v="0000"/>
    <s v="0000"/>
    <s v="CORRIENTE"/>
    <x v="2"/>
    <n v="510510"/>
    <s v="SERVICIOS PERSONALES POR CONTRATO"/>
    <n v="35184"/>
    <n v="35184"/>
    <n v="0"/>
    <n v="35184"/>
    <n v="2932"/>
    <n v="2932"/>
    <n v="2932"/>
    <n v="2932"/>
    <n v="2932"/>
    <n v="2932"/>
    <n v="2932"/>
    <n v="2932"/>
    <n v="2932"/>
    <n v="2932"/>
    <n v="2932"/>
    <n v="2932"/>
    <n v="0"/>
    <n v="3518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ADMINISTRATIVA FINANCIERA Y DE ADMINISTRACIÓN DE RECURSOS HUMANOS"/>
    <s v="ADMINISTRACIÓN CENTRAL"/>
    <s v="CANCELACIÓN DE REMUNERACIONES Y BENEFICIOS SOCIALES"/>
    <n v="1"/>
    <x v="1"/>
    <n v="1"/>
    <s v="000"/>
    <n v="2"/>
    <n v="600"/>
    <s v="CHIMBORAZO"/>
    <s v="001"/>
    <s v="0000"/>
    <s v="0000"/>
    <s v="CORRIENTE"/>
    <x v="2"/>
    <n v="510601"/>
    <s v="APORTE PATRONAL"/>
    <n v="3396"/>
    <n v="3396"/>
    <n v="0"/>
    <n v="3396"/>
    <n v="283"/>
    <n v="283"/>
    <n v="283"/>
    <n v="283"/>
    <n v="283"/>
    <n v="283"/>
    <n v="283"/>
    <n v="283"/>
    <n v="283"/>
    <n v="283"/>
    <n v="283"/>
    <n v="283"/>
    <n v="0"/>
    <n v="3396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ADMINISTRATIVA FINANCIERA Y DE ADMINISTRACIÓN DE RECURSOS HUMANOS"/>
    <s v="ADMINISTRACIÓN CENTRAL"/>
    <s v="CANCELACIÓN DE REMUNERACIONES Y BENEFICIOS SOCIALES"/>
    <n v="1"/>
    <x v="1"/>
    <n v="1"/>
    <s v="000"/>
    <n v="2"/>
    <n v="600"/>
    <s v="CHIMBORAZO"/>
    <s v="001"/>
    <s v="0000"/>
    <s v="0000"/>
    <s v="CORRIENTE"/>
    <x v="2"/>
    <n v="510602"/>
    <s v="FONDO DE RESERVA"/>
    <n v="2932"/>
    <n v="2932"/>
    <n v="0"/>
    <n v="2932"/>
    <n v="244"/>
    <n v="244"/>
    <n v="244"/>
    <n v="244"/>
    <n v="244"/>
    <n v="244"/>
    <n v="244"/>
    <n v="244"/>
    <n v="244"/>
    <n v="244"/>
    <n v="244"/>
    <n v="248"/>
    <n v="0"/>
    <n v="2932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DE OPERACIONES"/>
    <s v="OPERACIONES"/>
    <s v="CANCELACIÓN DE REMUNERACIONES Y BENEFICIOS SOCIALES"/>
    <n v="1"/>
    <x v="1"/>
    <n v="55"/>
    <s v="000"/>
    <n v="2"/>
    <n v="600"/>
    <s v="CHIMBORAZO"/>
    <s v="001"/>
    <s v="0000"/>
    <s v="0000"/>
    <s v="CORRIENTE"/>
    <x v="2"/>
    <n v="510105"/>
    <s v="REMUNERACIONES UNIFICADAS"/>
    <n v="421644"/>
    <n v="421644"/>
    <n v="0"/>
    <n v="421644"/>
    <n v="35137"/>
    <n v="35137"/>
    <n v="35137"/>
    <n v="35137"/>
    <n v="35137"/>
    <n v="35137"/>
    <n v="35137"/>
    <n v="35137"/>
    <n v="35137"/>
    <n v="35137"/>
    <n v="35137"/>
    <n v="35137"/>
    <n v="0"/>
    <n v="421644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DE OPERACIONES"/>
    <s v="OPERACIONES"/>
    <s v="CANCELACIÓN DE REMUNERACIONES Y BENEFICIOS SOCIALES"/>
    <n v="1"/>
    <x v="1"/>
    <n v="55"/>
    <s v="000"/>
    <n v="2"/>
    <n v="600"/>
    <s v="CHIMBORAZO"/>
    <s v="001"/>
    <s v="0000"/>
    <s v="0000"/>
    <s v="CORRIENTE"/>
    <x v="2"/>
    <n v="510203"/>
    <s v="DÉCIMO TERCER SUELDO"/>
    <n v="36349"/>
    <n v="36349"/>
    <n v="0"/>
    <n v="36349"/>
    <n v="428"/>
    <n v="428"/>
    <n v="428"/>
    <n v="428"/>
    <n v="428"/>
    <n v="428"/>
    <n v="428"/>
    <n v="428"/>
    <n v="428"/>
    <n v="428"/>
    <n v="428"/>
    <n v="31641"/>
    <n v="0"/>
    <n v="36349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DE OPERACIONES"/>
    <s v="OPERACIONES"/>
    <s v="CANCELACIÓN DE REMUNERACIONES Y BENEFICIOS SOCIALES"/>
    <n v="1"/>
    <x v="1"/>
    <n v="55"/>
    <s v="000"/>
    <n v="2"/>
    <n v="600"/>
    <s v="CHIMBORAZO"/>
    <s v="001"/>
    <s v="0000"/>
    <s v="0000"/>
    <s v="CORRIENTE"/>
    <x v="2"/>
    <n v="510204"/>
    <s v="DÉCIMO CUARTO SUELDO"/>
    <n v="17600"/>
    <n v="17600"/>
    <n v="0"/>
    <n v="17600"/>
    <n v="234"/>
    <n v="234"/>
    <n v="234"/>
    <n v="234"/>
    <n v="234"/>
    <n v="234"/>
    <n v="234"/>
    <n v="15026"/>
    <n v="234"/>
    <n v="234"/>
    <n v="234"/>
    <n v="234"/>
    <n v="0"/>
    <n v="1760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DE OPERACIONES"/>
    <s v="OPERACIONES"/>
    <s v="CANCELACIÓN DE REMUNERACIONES Y BENEFICIOS SOCIALES"/>
    <n v="1"/>
    <x v="1"/>
    <n v="55"/>
    <s v="000"/>
    <n v="2"/>
    <n v="600"/>
    <s v="CHIMBORAZO"/>
    <s v="001"/>
    <s v="0000"/>
    <s v="0000"/>
    <s v="CORRIENTE"/>
    <x v="2"/>
    <n v="510510"/>
    <s v="SERVICIOS PERSONALES POR CONTRATO"/>
    <n v="14544"/>
    <n v="14544"/>
    <n v="0"/>
    <n v="14544"/>
    <n v="1212"/>
    <n v="1212"/>
    <n v="1212"/>
    <n v="1212"/>
    <n v="1212"/>
    <n v="1212"/>
    <n v="1212"/>
    <n v="1212"/>
    <n v="1212"/>
    <n v="1212"/>
    <n v="1212"/>
    <n v="1212"/>
    <n v="0"/>
    <n v="14544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DE OPERACIONES"/>
    <s v="OPERACIONES"/>
    <s v="CANCELACIÓN DE REMUNERACIONES Y BENEFICIOS SOCIALES"/>
    <n v="1"/>
    <x v="1"/>
    <n v="55"/>
    <s v="000"/>
    <n v="2"/>
    <n v="600"/>
    <s v="CHIMBORAZO"/>
    <s v="001"/>
    <s v="0000"/>
    <s v="0000"/>
    <s v="CORRIENTE"/>
    <x v="2"/>
    <n v="510512"/>
    <s v="SUBROGACIÓN"/>
    <n v="640"/>
    <n v="640"/>
    <n v="0"/>
    <n v="640"/>
    <n v="0"/>
    <n v="0"/>
    <n v="0"/>
    <n v="0"/>
    <n v="0"/>
    <n v="350"/>
    <n v="0"/>
    <n v="0"/>
    <n v="0"/>
    <n v="290"/>
    <n v="0"/>
    <n v="0"/>
    <n v="0"/>
    <n v="64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DE OPERACIONES"/>
    <s v="OPERACIONES"/>
    <s v="CANCELACIÓN DE REMUNERACIONES Y BENEFICIOS SOCIALES"/>
    <n v="1"/>
    <x v="1"/>
    <n v="55"/>
    <s v="000"/>
    <n v="2"/>
    <n v="600"/>
    <s v="CHIMBORAZO"/>
    <s v="001"/>
    <s v="0000"/>
    <s v="0000"/>
    <s v="CORRIENTE"/>
    <x v="2"/>
    <n v="510601"/>
    <s v="APORTE PATRONAL"/>
    <n v="42093"/>
    <n v="42093"/>
    <n v="0"/>
    <n v="42093"/>
    <n v="3507"/>
    <n v="3507"/>
    <n v="3507"/>
    <n v="3507"/>
    <n v="3507"/>
    <n v="3507"/>
    <n v="3507"/>
    <n v="3507"/>
    <n v="3507"/>
    <n v="3507"/>
    <n v="3507"/>
    <n v="3516"/>
    <n v="0"/>
    <n v="42093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DE OPERACIONES"/>
    <s v="OPERACIONES"/>
    <s v="CANCELACIÓN DE REMUNERACIONES Y BENEFICIOS SOCIALES"/>
    <n v="1"/>
    <x v="1"/>
    <n v="55"/>
    <s v="000"/>
    <n v="2"/>
    <n v="600"/>
    <s v="CHIMBORAZO"/>
    <s v="001"/>
    <s v="0000"/>
    <s v="0000"/>
    <s v="CORRIENTE"/>
    <x v="2"/>
    <n v="510602"/>
    <s v="FONDO DE RESERVA"/>
    <n v="36349"/>
    <n v="36349"/>
    <n v="0"/>
    <n v="36349"/>
    <n v="3029"/>
    <n v="3029"/>
    <n v="3029"/>
    <n v="3029"/>
    <n v="3029"/>
    <n v="3029"/>
    <n v="3029"/>
    <n v="3029"/>
    <n v="3029"/>
    <n v="3029"/>
    <n v="3029"/>
    <n v="3030"/>
    <n v="0"/>
    <n v="36349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DE SOPORTE TECNOLÓGICO"/>
    <s v="TECNOLOGÍA"/>
    <s v="CANCELACIÓN DE REMUNERACIONES Y BENEFICIOS SOCIALES"/>
    <n v="1"/>
    <x v="1"/>
    <n v="55"/>
    <s v="000"/>
    <n v="3"/>
    <n v="600"/>
    <s v="CHIMBORAZO"/>
    <s v="001"/>
    <s v="0000"/>
    <s v="0000"/>
    <s v="CORRIENTE"/>
    <x v="2"/>
    <n v="510105"/>
    <s v="REMUNERACIONES UNIFICADAS"/>
    <n v="49200"/>
    <n v="49200"/>
    <n v="0"/>
    <n v="49200"/>
    <n v="4100"/>
    <n v="4100"/>
    <n v="4100"/>
    <n v="4100"/>
    <n v="4100"/>
    <n v="4100"/>
    <n v="4100"/>
    <n v="4100"/>
    <n v="4100"/>
    <n v="4100"/>
    <n v="4100"/>
    <n v="4100"/>
    <n v="0"/>
    <n v="4920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DE SOPORTE TECNOLÓGICO"/>
    <s v="TECNOLOGÍA"/>
    <s v="CANCELACIÓN DE REMUNERACIONES Y BENEFICIOS SOCIALES"/>
    <n v="1"/>
    <x v="1"/>
    <n v="55"/>
    <s v="000"/>
    <n v="3"/>
    <n v="600"/>
    <s v="CHIMBORAZO"/>
    <s v="001"/>
    <s v="0000"/>
    <s v="0000"/>
    <s v="CORRIENTE"/>
    <x v="2"/>
    <n v="510203"/>
    <s v="DÉCIMO TERCER SUELDO"/>
    <n v="5312"/>
    <n v="5312"/>
    <n v="0"/>
    <n v="5312"/>
    <n v="0"/>
    <n v="0"/>
    <n v="0"/>
    <n v="0"/>
    <n v="0"/>
    <n v="0"/>
    <n v="0"/>
    <n v="0"/>
    <n v="0"/>
    <n v="0"/>
    <n v="0"/>
    <n v="5312"/>
    <n v="0"/>
    <n v="5312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DE SOPORTE TECNOLÓGICO"/>
    <s v="TECNOLOGÍA"/>
    <s v="CANCELACIÓN DE REMUNERACIONES Y BENEFICIOS SOCIALES"/>
    <n v="1"/>
    <x v="1"/>
    <n v="55"/>
    <s v="000"/>
    <n v="3"/>
    <n v="600"/>
    <s v="CHIMBORAZO"/>
    <s v="001"/>
    <s v="0000"/>
    <s v="0000"/>
    <s v="CORRIENTE"/>
    <x v="2"/>
    <n v="510204"/>
    <s v="DÉCIMO CUARTO SUELDO"/>
    <n v="1600"/>
    <n v="1600"/>
    <n v="0"/>
    <n v="1600"/>
    <n v="0"/>
    <n v="0"/>
    <n v="0"/>
    <n v="0"/>
    <n v="0"/>
    <n v="0"/>
    <n v="0"/>
    <n v="1600"/>
    <n v="0"/>
    <n v="0"/>
    <n v="0"/>
    <n v="0"/>
    <n v="0"/>
    <n v="160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DE SOPORTE TECNOLÓGICO"/>
    <s v="TECNOLOGÍA"/>
    <s v="CANCELACIÓN DE REMUNERACIONES Y BENEFICIOS SOCIALES"/>
    <n v="1"/>
    <x v="1"/>
    <n v="55"/>
    <s v="000"/>
    <n v="3"/>
    <n v="600"/>
    <s v="CHIMBORAZO"/>
    <s v="001"/>
    <s v="0000"/>
    <s v="0000"/>
    <s v="CORRIENTE"/>
    <x v="2"/>
    <n v="510510"/>
    <s v="SERVICIOS PERSONALES POR CONTRATO"/>
    <n v="14544"/>
    <n v="14544"/>
    <n v="0"/>
    <n v="14544"/>
    <n v="1212"/>
    <n v="1212"/>
    <n v="1212"/>
    <n v="1212"/>
    <n v="1212"/>
    <n v="1212"/>
    <n v="1212"/>
    <n v="1212"/>
    <n v="1212"/>
    <n v="1212"/>
    <n v="1212"/>
    <n v="1212"/>
    <n v="0"/>
    <n v="14544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DE SOPORTE TECNOLÓGICO"/>
    <s v="TECNOLOGÍA"/>
    <s v="CANCELACIÓN DE REMUNERACIONES Y BENEFICIOS SOCIALES"/>
    <n v="1"/>
    <x v="1"/>
    <n v="55"/>
    <s v="000"/>
    <n v="3"/>
    <n v="600"/>
    <s v="CHIMBORAZO"/>
    <s v="001"/>
    <s v="0000"/>
    <s v="0000"/>
    <s v="CORRIENTE"/>
    <x v="2"/>
    <n v="510601"/>
    <s v="APORTE PATRONAL"/>
    <n v="6152"/>
    <n v="6152"/>
    <n v="0"/>
    <n v="6152"/>
    <n v="512"/>
    <n v="512"/>
    <n v="512"/>
    <n v="512"/>
    <n v="512"/>
    <n v="512"/>
    <n v="512"/>
    <n v="512"/>
    <n v="512"/>
    <n v="512"/>
    <n v="512"/>
    <n v="520"/>
    <n v="0"/>
    <n v="6152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LOCAL DE SOPORTE TECNOLÓGICO"/>
    <s v="TECNOLOGÍA"/>
    <s v="CANCELACIÓN DE REMUNERACIONES Y BENEFICIOS SOCIALES"/>
    <n v="1"/>
    <x v="1"/>
    <n v="55"/>
    <s v="000"/>
    <n v="3"/>
    <n v="600"/>
    <s v="CHIMBORAZO"/>
    <s v="001"/>
    <s v="0000"/>
    <s v="0000"/>
    <s v="CORRIENTE"/>
    <x v="2"/>
    <n v="510602"/>
    <s v="FONDO DE RESERVA"/>
    <n v="4312"/>
    <n v="4312"/>
    <n v="0"/>
    <n v="4312"/>
    <n v="355"/>
    <n v="355"/>
    <n v="355"/>
    <n v="355"/>
    <n v="355"/>
    <n v="355"/>
    <n v="355"/>
    <n v="355"/>
    <n v="355"/>
    <n v="355"/>
    <n v="355"/>
    <n v="407"/>
    <n v="0"/>
    <n v="4312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CANCELACIÓN DE SERVICIOS INSTITUCIONALES"/>
    <n v="1"/>
    <x v="1"/>
    <n v="1"/>
    <n v="0"/>
    <n v="1"/>
    <n v="601"/>
    <s v="RIOBAMBA"/>
    <n v="1"/>
    <n v="0"/>
    <n v="0"/>
    <s v="CORRIENTE"/>
    <x v="0"/>
    <n v="530101"/>
    <s v="AGUA POTABLE"/>
    <n v="2600"/>
    <n v="2600"/>
    <n v="0"/>
    <n v="2600"/>
    <n v="200"/>
    <n v="200"/>
    <n v="200"/>
    <n v="200"/>
    <n v="200"/>
    <n v="200"/>
    <n v="200"/>
    <n v="200"/>
    <n v="200"/>
    <n v="200"/>
    <n v="200"/>
    <n v="400"/>
    <n v="0"/>
    <n v="26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CANCELACIÓN DE SERVICIOS INSTITUCIONALES"/>
    <n v="1"/>
    <x v="1"/>
    <n v="1"/>
    <n v="0"/>
    <n v="1"/>
    <n v="601"/>
    <s v="RIOBAMBA"/>
    <n v="1"/>
    <n v="0"/>
    <n v="0"/>
    <s v="CORRIENTE"/>
    <x v="0"/>
    <n v="530104"/>
    <s v="ENERGÍA ELÉCTRICA"/>
    <n v="36000"/>
    <n v="36000"/>
    <n v="0"/>
    <n v="36000"/>
    <n v="3000"/>
    <n v="3000"/>
    <n v="3000"/>
    <n v="3000"/>
    <n v="3000"/>
    <n v="3000"/>
    <n v="3000"/>
    <n v="3000"/>
    <n v="3000"/>
    <n v="3000"/>
    <n v="3000"/>
    <n v="3000"/>
    <n v="0"/>
    <n v="360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CANCELACIÓN DE SERVICIOS INSTITUCIONALES"/>
    <n v="1"/>
    <x v="1"/>
    <n v="1"/>
    <n v="0"/>
    <n v="1"/>
    <n v="601"/>
    <s v="RIOBAMBA"/>
    <n v="1"/>
    <n v="0"/>
    <n v="0"/>
    <s v="CORRIENTE"/>
    <x v="0"/>
    <n v="530201"/>
    <s v="TRANSPORTE DE PERSONAL"/>
    <n v="32170"/>
    <n v="32170"/>
    <n v="0"/>
    <n v="32170"/>
    <n v="1361"/>
    <n v="2801"/>
    <n v="2801"/>
    <n v="2801"/>
    <n v="2801"/>
    <n v="2801"/>
    <n v="2801"/>
    <n v="2801"/>
    <n v="2801"/>
    <n v="2801"/>
    <n v="2800"/>
    <n v="2800"/>
    <n v="0"/>
    <n v="3217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CANCELACIÓN DEL SERVICIO DE RECARGA DE EXTINTORES"/>
    <n v="1"/>
    <x v="1"/>
    <n v="1"/>
    <n v="0"/>
    <n v="1"/>
    <n v="601"/>
    <s v="RIOBAMBA"/>
    <n v="1"/>
    <n v="0"/>
    <n v="0"/>
    <s v="CORRIENTE"/>
    <x v="0"/>
    <n v="530203"/>
    <s v="ALMACENAMIENTO, EMBALAJE, DESEMBALAJE, ENVASE, DESENVASE Y RECARGA DE EXTINTORES"/>
    <n v="750.4"/>
    <n v="670"/>
    <n v="80.39999999999999"/>
    <n v="750.4"/>
    <n v="0"/>
    <n v="0"/>
    <n v="0"/>
    <n v="0"/>
    <n v="0"/>
    <n v="0"/>
    <n v="0"/>
    <n v="0"/>
    <n v="670"/>
    <n v="0"/>
    <n v="0"/>
    <n v="0"/>
    <n v="0"/>
    <n v="67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CANCELACIÓN SERVICIO DE FUMIGACIÓN"/>
    <n v="1"/>
    <x v="1"/>
    <n v="1"/>
    <n v="0"/>
    <n v="1"/>
    <n v="601"/>
    <s v="RIOBAMBA"/>
    <n v="1"/>
    <n v="0"/>
    <n v="0"/>
    <s v="CORRIENTE"/>
    <x v="0"/>
    <n v="530209"/>
    <s v="SERVICIOS DE ASEO, LAVADO DE VESTIMENTA DE TRABAJO, FUMIGACIÓN, DESINFECCIÓN, LIMPIEZA DE INSTALACIONES, MANEJO DE DESECHOS CONTAMINADOS, RECUPERACIÓN Y CLASIFICACIÓN DE MATERIALES RECICLABLES"/>
    <n v="5840.8"/>
    <n v="5215"/>
    <n v="625.8"/>
    <n v="5840.8"/>
    <n v="0"/>
    <n v="0"/>
    <n v="522"/>
    <n v="522"/>
    <n v="522"/>
    <n v="522"/>
    <n v="522"/>
    <n v="522"/>
    <n v="522"/>
    <n v="522"/>
    <n v="522"/>
    <n v="517"/>
    <n v="0"/>
    <n v="521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CANCELACIÓN SERVICIO DE LIMPIEZA"/>
    <n v="1"/>
    <x v="1"/>
    <n v="1"/>
    <n v="0"/>
    <n v="1"/>
    <n v="601"/>
    <s v="RIOBAMBA"/>
    <n v="1"/>
    <n v="0"/>
    <n v="0"/>
    <s v="CORRIENTE"/>
    <x v="0"/>
    <n v="530209"/>
    <s v="SERVICIOS DE ASEO, LAVADO DE VESTIMENTA DE TRABAJO, FUMIGACIÓN, DESINFECCIÓN, LIMPIEZA DE INSTALACIONES, MANEJO DE DESECHOS CONTAMINADOS, RECUPERACIÓN Y CLASIFICACIÓN DE MATERIALES RECICLABLES"/>
    <n v="25944.8"/>
    <n v="23165"/>
    <n v="2779.7999999999997"/>
    <n v="25944.8"/>
    <n v="1165"/>
    <n v="2000"/>
    <n v="2000"/>
    <n v="2000"/>
    <n v="2000"/>
    <n v="2000"/>
    <n v="2000"/>
    <n v="2000"/>
    <n v="2000"/>
    <n v="2000"/>
    <n v="2000"/>
    <n v="2000"/>
    <n v="0"/>
    <n v="2316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MANTENIMIENTO SISTEMA CONTRAINCENDIOS"/>
    <n v="1"/>
    <x v="1"/>
    <n v="1"/>
    <n v="0"/>
    <n v="1"/>
    <n v="601"/>
    <s v="RIOBAMBA"/>
    <n v="1"/>
    <n v="0"/>
    <n v="0"/>
    <s v="CORRIENTE"/>
    <x v="0"/>
    <n v="530402"/>
    <s v="EDIFICIOS, LOCALES, RESIDENCIAS Y CABLEADO ESTRUCTURADO (INSTALACIÓN, MANTENIMIENTO Y REPARACIÓN)"/>
    <n v="2500.96"/>
    <n v="2233"/>
    <n v="267.96"/>
    <n v="2500.96"/>
    <n v="0"/>
    <n v="0"/>
    <n v="0"/>
    <n v="1080"/>
    <n v="0"/>
    <n v="0"/>
    <n v="0"/>
    <n v="0"/>
    <n v="0"/>
    <n v="1153"/>
    <n v="0"/>
    <n v="0"/>
    <n v="0"/>
    <n v="223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CAJA CHICA MANTENIMIENTO"/>
    <n v="1"/>
    <x v="1"/>
    <n v="1"/>
    <n v="0"/>
    <n v="1"/>
    <n v="601"/>
    <s v="RIOBAMBA"/>
    <n v="1"/>
    <n v="0"/>
    <n v="0"/>
    <s v="CORRIENTE"/>
    <x v="0"/>
    <n v="530402"/>
    <s v="EDIFICIOS, LOCALES, RESIDENCIAS Y CABLEADO ESTRUCTURADO (INSTALACIÓN, MANTENIMIENTO Y REPARACIÓN)"/>
    <n v="100.8"/>
    <n v="90"/>
    <n v="10.799999999999999"/>
    <n v="100.8"/>
    <n v="0"/>
    <n v="0"/>
    <n v="0"/>
    <n v="0"/>
    <n v="90"/>
    <n v="0"/>
    <n v="0"/>
    <n v="0"/>
    <n v="0"/>
    <n v="0"/>
    <n v="0"/>
    <n v="0"/>
    <n v="0"/>
    <n v="9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MANTENIMIENTO DE SILLAS ERGONÓMICA DE LAS SALAS OPERATIVAS"/>
    <n v="1"/>
    <x v="1"/>
    <n v="1"/>
    <n v="0"/>
    <n v="1"/>
    <n v="601"/>
    <s v="RIOBAMBA"/>
    <n v="1"/>
    <n v="0"/>
    <n v="0"/>
    <s v="CORRIENTE"/>
    <x v="0"/>
    <n v="530403"/>
    <s v="MOBILIARIOS (INSTALACIÓN, MANTENIMIENTO Y REPARACIÓN)"/>
    <n v="5000.8"/>
    <n v="4465"/>
    <n v="535.8"/>
    <n v="5000.8"/>
    <n v="0"/>
    <n v="0"/>
    <n v="893"/>
    <n v="0"/>
    <n v="3572"/>
    <n v="0"/>
    <n v="0"/>
    <n v="0"/>
    <n v="0"/>
    <n v="0"/>
    <n v="0"/>
    <n v="0"/>
    <n v="0"/>
    <n v="446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MANTENIMIENTO DE RETAPISADO SILLAS SALA DE CRISIS "/>
    <n v="1"/>
    <x v="1"/>
    <n v="1"/>
    <n v="0"/>
    <n v="1"/>
    <n v="601"/>
    <s v="RIOBAMBA"/>
    <n v="1"/>
    <n v="0"/>
    <n v="0"/>
    <s v="CORRIENTE"/>
    <x v="0"/>
    <n v="530403"/>
    <s v="MOBILIARIOS (INSTALACIÓN, MANTENIMIENTO Y REPARACIÓN)"/>
    <n v="1400"/>
    <n v="1250"/>
    <n v="150"/>
    <n v="1400"/>
    <n v="0"/>
    <n v="0"/>
    <n v="1250"/>
    <n v="0"/>
    <n v="0"/>
    <n v="0"/>
    <n v="0"/>
    <n v="0"/>
    <n v="0"/>
    <n v="0"/>
    <n v="0"/>
    <n v="0"/>
    <n v="0"/>
    <n v="125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MANTENIMIENTO DE ASCENSORES (COECO)"/>
    <n v="1"/>
    <x v="1"/>
    <n v="1"/>
    <n v="0"/>
    <n v="1"/>
    <n v="601"/>
    <s v="RIOBAMBA"/>
    <n v="1"/>
    <n v="0"/>
    <n v="0"/>
    <s v="CORRIENTE"/>
    <x v="0"/>
    <n v="530404"/>
    <s v="MAQUINARIAS Y EQUIPOS (INSTALACIÓN, MANTENIMIENTO Y REPARACIÓN)"/>
    <n v="2652.16"/>
    <n v="2368"/>
    <n v="284.15999999999997"/>
    <n v="2652.16"/>
    <n v="198"/>
    <n v="198"/>
    <n v="198"/>
    <n v="198"/>
    <n v="198"/>
    <n v="198"/>
    <n v="198"/>
    <n v="198"/>
    <n v="198"/>
    <n v="198"/>
    <n v="198"/>
    <n v="190"/>
    <n v="0"/>
    <n v="236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MANTENIMIENTO DE VEHÍCULOS- MANO DE OBRA"/>
    <n v="1"/>
    <x v="1"/>
    <n v="1"/>
    <n v="0"/>
    <n v="1"/>
    <n v="601"/>
    <s v="RIOBAMBA"/>
    <n v="1"/>
    <n v="0"/>
    <n v="0"/>
    <s v="CORRIENTE"/>
    <x v="0"/>
    <n v="530405"/>
    <s v="VEHÍCULOS (SERVICIO PARA MANTENIMIENTO Y REPARACIÓN)"/>
    <n v="897.12"/>
    <n v="801"/>
    <n v="96.11999999999999"/>
    <n v="897.12"/>
    <n v="0"/>
    <n v="0"/>
    <n v="0"/>
    <n v="0"/>
    <n v="259"/>
    <n v="0"/>
    <n v="0"/>
    <n v="268"/>
    <n v="0"/>
    <n v="0"/>
    <n v="0"/>
    <n v="274"/>
    <n v="0"/>
    <n v="801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SERVICIO DE REENCAUCHE"/>
    <n v="1"/>
    <x v="1"/>
    <n v="1"/>
    <n v="0"/>
    <n v="1"/>
    <n v="601"/>
    <s v="RIOBAMBA"/>
    <n v="1"/>
    <n v="0"/>
    <n v="0"/>
    <s v="CORRIENTE"/>
    <x v="0"/>
    <n v="530405"/>
    <s v="VEHÍCULOS (SERVICIO PARA MANTENIMIENTO Y REPARACIÓN)"/>
    <n v="1570.24"/>
    <n v="1402"/>
    <n v="168.23999999999998"/>
    <n v="1570.24"/>
    <n v="0"/>
    <n v="0"/>
    <n v="0"/>
    <n v="0"/>
    <n v="0"/>
    <n v="0"/>
    <n v="1401.9999999999998"/>
    <n v="0"/>
    <n v="0"/>
    <n v="0"/>
    <n v="0"/>
    <n v="0"/>
    <n v="0"/>
    <n v="1402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CANCELACIÓN DE COMBUSTIBLE"/>
    <n v="1"/>
    <x v="1"/>
    <n v="1"/>
    <n v="0"/>
    <n v="1"/>
    <n v="601"/>
    <s v="RIOBAMBA"/>
    <n v="1"/>
    <n v="0"/>
    <n v="0"/>
    <s v="CORRIENTE"/>
    <x v="0"/>
    <n v="530803"/>
    <s v="COMBUSTIBLES Y LUBRICANTES"/>
    <n v="3804"/>
    <n v="3804"/>
    <n v="0"/>
    <n v="3804"/>
    <n v="317"/>
    <n v="317"/>
    <n v="317"/>
    <n v="317"/>
    <n v="317"/>
    <n v="317"/>
    <n v="317"/>
    <n v="317"/>
    <n v="317"/>
    <n v="317"/>
    <n v="317"/>
    <n v="317"/>
    <n v="0"/>
    <n v="380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MANTENIMIENTO DE VEHÍCULOS - COMBUSTIBLES Y LUBRICANTES"/>
    <n v="1"/>
    <x v="1"/>
    <n v="1"/>
    <n v="0"/>
    <n v="1"/>
    <n v="601"/>
    <s v="RIOBAMBA"/>
    <n v="1"/>
    <n v="0"/>
    <n v="0"/>
    <s v="CORRIENTE"/>
    <x v="0"/>
    <n v="530803"/>
    <s v="COMBUSTIBLES Y LUBRICANTES"/>
    <n v="508.48"/>
    <n v="454"/>
    <n v="54.48"/>
    <n v="508.48"/>
    <n v="0"/>
    <n v="0"/>
    <n v="0"/>
    <n v="0"/>
    <n v="152"/>
    <n v="0"/>
    <n v="0"/>
    <n v="143"/>
    <n v="0"/>
    <n v="0"/>
    <n v="0"/>
    <n v="159"/>
    <n v="0"/>
    <n v="454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ADQUISICIÓN DE MATERIALES DE OFICINA "/>
    <n v="1"/>
    <x v="1"/>
    <n v="1"/>
    <n v="0"/>
    <n v="1"/>
    <n v="601"/>
    <s v="RIOBAMBA"/>
    <n v="1"/>
    <n v="0"/>
    <n v="0"/>
    <s v="CORRIENTE"/>
    <x v="0"/>
    <n v="530804"/>
    <s v="MATERIALES DE OFICINA"/>
    <n v="1500.7999999999997"/>
    <n v="1339.9999999999998"/>
    <n v="160.79999999999995"/>
    <n v="1500.7999999999997"/>
    <n v="0"/>
    <n v="0"/>
    <n v="0"/>
    <n v="1340"/>
    <n v="0"/>
    <n v="0"/>
    <n v="0"/>
    <n v="0"/>
    <n v="0"/>
    <n v="0"/>
    <n v="0"/>
    <n v="0"/>
    <n v="0"/>
    <n v="1339.999999999999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ADQUISICIÓN DE MATERIALES DE ASEO"/>
    <n v="1"/>
    <x v="1"/>
    <n v="1"/>
    <n v="0"/>
    <n v="1"/>
    <n v="601"/>
    <s v="RIOBAMBA"/>
    <n v="1"/>
    <n v="0"/>
    <n v="0"/>
    <s v="CORRIENTE"/>
    <x v="0"/>
    <n v="530805"/>
    <s v="MATERIALES DE ASEO"/>
    <n v="1500.7999999999997"/>
    <n v="1339.9999999999998"/>
    <n v="160.79999999999995"/>
    <n v="1500.7999999999997"/>
    <n v="0"/>
    <n v="0"/>
    <n v="0"/>
    <n v="0"/>
    <n v="1340"/>
    <n v="0"/>
    <n v="0"/>
    <n v="0"/>
    <n v="0"/>
    <n v="0"/>
    <n v="0"/>
    <n v="0"/>
    <n v="0"/>
    <n v="1339.999999999999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CAJA CHICA MANTENIMIENTO"/>
    <n v="1"/>
    <x v="1"/>
    <n v="1"/>
    <n v="0"/>
    <n v="1"/>
    <n v="601"/>
    <s v="RIOBAMBA"/>
    <n v="1"/>
    <n v="0"/>
    <n v="0"/>
    <s v="CORRIENTE"/>
    <x v="0"/>
    <n v="530811"/>
    <s v="INSUMOS, MATERIALES Y SUMINISTROS PARA CONSTRUCCIÓN, ELECTRICIDAD, PLOMERÍA, CARPINTERÍA, SEÑALIZACIÓNVIAL, NAVEGACIÓN, CONTRA INCENDIOS Y PLACAS"/>
    <n v="100.79999999999998"/>
    <n v="89.99999999999999"/>
    <n v="10.799999999999997"/>
    <n v="100.79999999999998"/>
    <n v="0"/>
    <n v="0"/>
    <n v="0"/>
    <n v="0"/>
    <n v="90"/>
    <n v="0"/>
    <n v="0"/>
    <n v="0"/>
    <n v="0"/>
    <n v="0"/>
    <n v="0"/>
    <n v="0"/>
    <n v="0"/>
    <n v="89.99999999999999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MANTENIMIENTO DE VEHÍCULOS - REPUESTOS"/>
    <n v="1"/>
    <x v="1"/>
    <n v="1"/>
    <n v="0"/>
    <n v="1"/>
    <n v="601"/>
    <s v="RIOBAMBA"/>
    <n v="1"/>
    <n v="0"/>
    <n v="0"/>
    <s v="CORRIENTE"/>
    <x v="0"/>
    <n v="530813"/>
    <s v="REPUESTOS Y ACCESORIOS"/>
    <n v="1220.7999999999997"/>
    <n v="1089.9999999999998"/>
    <n v="130.79999999999995"/>
    <n v="1220.7999999999997"/>
    <n v="0"/>
    <n v="0"/>
    <n v="0"/>
    <n v="0"/>
    <n v="357"/>
    <n v="0"/>
    <n v="0"/>
    <n v="363"/>
    <n v="0"/>
    <n v="0"/>
    <n v="0"/>
    <n v="370"/>
    <n v="0"/>
    <n v="1089.999999999999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CANCELACIÓN DE MATRICULACIÓN VEHICULAR"/>
    <n v="1"/>
    <x v="1"/>
    <n v="1"/>
    <n v="0"/>
    <n v="1"/>
    <n v="601"/>
    <s v="RIOBAMBA"/>
    <n v="1"/>
    <n v="0"/>
    <n v="0"/>
    <s v="CORRIENTE"/>
    <x v="1"/>
    <n v="570102"/>
    <s v="TASAS GENERALES, IMPUESTOS, CONTRIBUCIONES, PERMISOS, LICENCIAS Y PATENTES"/>
    <n v="200"/>
    <n v="200"/>
    <n v="0"/>
    <n v="200"/>
    <n v="0"/>
    <n v="200"/>
    <n v="0"/>
    <n v="0"/>
    <n v="0"/>
    <n v="0"/>
    <n v="0"/>
    <n v="0"/>
    <n v="0"/>
    <n v="0"/>
    <n v="0"/>
    <n v="0"/>
    <n v="0"/>
    <n v="2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CANCELACIÓN DE PREDIO Y PERMISO DE FUNCIONAMIENTO"/>
    <n v="1"/>
    <x v="1"/>
    <n v="1"/>
    <n v="0"/>
    <n v="1"/>
    <n v="601"/>
    <s v="RIOBAMBA"/>
    <n v="1"/>
    <n v="0"/>
    <n v="0"/>
    <s v="CORRIENTE"/>
    <x v="1"/>
    <n v="570102"/>
    <s v="TASAS GENERALES, IMPUESTOS, CONTRIBUCIONES, PERMISOS, LICENCIAS Y PATENTES"/>
    <n v="450"/>
    <n v="450"/>
    <n v="0"/>
    <n v="450"/>
    <n v="0"/>
    <n v="450"/>
    <n v="0"/>
    <n v="0"/>
    <n v="0"/>
    <n v="0"/>
    <n v="0"/>
    <n v="0"/>
    <n v="0"/>
    <n v="0"/>
    <n v="0"/>
    <n v="0"/>
    <n v="0"/>
    <n v="45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CANCELACIÓN DE RODAJE"/>
    <n v="1"/>
    <x v="1"/>
    <n v="1"/>
    <n v="0"/>
    <n v="1"/>
    <n v="601"/>
    <s v="RIOBAMBA"/>
    <n v="1"/>
    <n v="0"/>
    <n v="0"/>
    <s v="CORRIENTE"/>
    <x v="1"/>
    <n v="570102"/>
    <s v="TASAS GENERALES, IMPUESTOS, CONTRIBUCIONES, PERMISOS, LICENCIAS Y PATENTES"/>
    <n v="100"/>
    <n v="100"/>
    <n v="0"/>
    <n v="100"/>
    <n v="0"/>
    <n v="100"/>
    <n v="0"/>
    <n v="0"/>
    <n v="0"/>
    <n v="0"/>
    <n v="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CANCELACIÓN DE PEAJES COMISIONES"/>
    <n v="1"/>
    <x v="1"/>
    <n v="1"/>
    <n v="0"/>
    <n v="1"/>
    <n v="601"/>
    <s v="RIOBAMBA"/>
    <n v="1"/>
    <n v="0"/>
    <n v="0"/>
    <s v="CORRIENTE"/>
    <x v="1"/>
    <n v="570102"/>
    <s v="TASAS GENERALES, IMPUESTOS, CONTRIBUCIONES, PERMISOS, LICENCIAS Y PATENTES"/>
    <n v="100"/>
    <n v="100"/>
    <n v="0"/>
    <n v="100"/>
    <n v="0"/>
    <n v="0"/>
    <n v="0"/>
    <n v="0"/>
    <n v="25"/>
    <n v="0"/>
    <n v="25"/>
    <n v="0"/>
    <n v="25"/>
    <n v="0"/>
    <n v="0"/>
    <n v="25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CANCELACIÓN CAJA CHICA (ESPECIES MATRICULA / RODAJE MUNICIPALES)"/>
    <n v="1"/>
    <x v="1"/>
    <n v="1"/>
    <n v="0"/>
    <n v="1"/>
    <n v="601"/>
    <s v="RIOBAMBA"/>
    <n v="1"/>
    <n v="0"/>
    <n v="0"/>
    <s v="CORRIENTE"/>
    <x v="1"/>
    <n v="570102"/>
    <s v="TASAS GENERALES, IMPUESTOS, CONTRIBUCIONES, PERMISOS, LICENCIAS Y PATENTES"/>
    <n v="100"/>
    <n v="100"/>
    <n v="0"/>
    <n v="100"/>
    <n v="0"/>
    <n v="0"/>
    <n v="0"/>
    <n v="0"/>
    <n v="100"/>
    <n v="0"/>
    <n v="0"/>
    <n v="0"/>
    <n v="0"/>
    <n v="0"/>
    <n v="0"/>
    <n v="0"/>
    <n v="0"/>
    <n v="1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ADQUISICIÓN DE ELEMENTOS DE BIOSEGURIDAD (ALCOHOL)"/>
    <n v="1"/>
    <x v="1"/>
    <n v="1"/>
    <n v="0"/>
    <n v="2"/>
    <n v="601"/>
    <s v="RIOBAMBA"/>
    <n v="1"/>
    <n v="0"/>
    <n v="0"/>
    <s v="CORRIENTE"/>
    <x v="0"/>
    <n v="530805"/>
    <s v="MATERIALES DE ASEO"/>
    <n v="2000"/>
    <n v="2000"/>
    <n v="0"/>
    <n v="2000"/>
    <n v="0"/>
    <n v="0"/>
    <n v="2000"/>
    <n v="0"/>
    <n v="0"/>
    <n v="0"/>
    <n v="0"/>
    <n v="0"/>
    <n v="0"/>
    <n v="0"/>
    <n v="0"/>
    <n v="0"/>
    <n v="0"/>
    <n v="20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ADMINISTRATIVA FINANCIERA Y DE ADMINISTRACIÓN DE RECURSOS HUMANOS"/>
    <s v="ADMINISTRACIÓN CENTRAL"/>
    <s v="ADQUISICIÓN DE ELEMENTOS DE BIOSEGURIDAD (MASCARILLAS)"/>
    <n v="1"/>
    <x v="1"/>
    <n v="1"/>
    <n v="0"/>
    <n v="2"/>
    <n v="601"/>
    <s v="RIOBAMBA"/>
    <n v="1"/>
    <n v="0"/>
    <n v="0"/>
    <s v="CORRIENTE"/>
    <x v="0"/>
    <n v="530826"/>
    <s v="DISPOSITIVOS MÉDICOS DE USO GENERAL"/>
    <n v="2000"/>
    <n v="2000"/>
    <n v="0"/>
    <n v="2000"/>
    <n v="0"/>
    <n v="0"/>
    <n v="2000"/>
    <n v="0"/>
    <n v="0"/>
    <n v="0"/>
    <n v="0"/>
    <n v="0"/>
    <n v="0"/>
    <n v="0"/>
    <n v="0"/>
    <n v="0"/>
    <n v="0"/>
    <n v="200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DE SOPORTE TECNOLÓGICO"/>
    <s v="TECNOLOGÍA"/>
    <s v="FORTALECIMIENTO OPERACIONAL"/>
    <n v="1"/>
    <x v="1"/>
    <n v="55"/>
    <n v="0"/>
    <n v="3"/>
    <n v="601"/>
    <s v="RIOBAMBA"/>
    <n v="1"/>
    <n v="0"/>
    <n v="0"/>
    <s v="CORRIENTE"/>
    <x v="0"/>
    <n v="530105"/>
    <s v="TELECOMUNICACIONES"/>
    <n v="107256"/>
    <n v="107256"/>
    <n v="0"/>
    <n v="107256"/>
    <n v="8938"/>
    <n v="8938"/>
    <n v="8938"/>
    <n v="8938"/>
    <n v="8938"/>
    <n v="8938"/>
    <n v="8938"/>
    <n v="8938"/>
    <n v="8938"/>
    <n v="8938"/>
    <n v="8938"/>
    <n v="8938"/>
    <n v="0"/>
    <n v="107256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DE SOPORTE TECNOLÓGICO"/>
    <s v="TECNOLOGÍA"/>
    <s v="MANTENIMIENTO PREVENTIVO Y CORRECTIVO DE CÁMARAS. INCLUYE PARTES Y PIEZAS"/>
    <n v="1"/>
    <x v="1"/>
    <n v="55"/>
    <n v="0"/>
    <n v="3"/>
    <n v="601"/>
    <s v="RIOBAMBA"/>
    <n v="1"/>
    <n v="0"/>
    <n v="0"/>
    <s v="CORRIENTE"/>
    <x v="0"/>
    <n v="530704"/>
    <s v="MANTENIMIENTO Y REPARACIÓN DE EQUIPOS Y SISTEMAS INFORMÁTICOS "/>
    <n v="20000.96"/>
    <n v="17858"/>
    <n v="2142.96"/>
    <n v="20000.96"/>
    <n v="0"/>
    <n v="0"/>
    <n v="0"/>
    <n v="1984"/>
    <n v="1984"/>
    <n v="1984"/>
    <n v="1984"/>
    <n v="1984"/>
    <n v="1984"/>
    <n v="1984"/>
    <n v="1984"/>
    <n v="1986"/>
    <n v="0"/>
    <n v="17858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DE SOPORTE TECNOLÓGICO"/>
    <s v="TECNOLOGÍA"/>
    <s v="SERVICIO DE MANTENIMIENTO PARA JOYSTICK INCLUIDO REPUESTOS"/>
    <n v="1"/>
    <x v="1"/>
    <n v="55"/>
    <n v="0"/>
    <n v="3"/>
    <n v="601"/>
    <s v="RIOBAMBA"/>
    <n v="1"/>
    <n v="0"/>
    <n v="0"/>
    <s v="CORRIENTE"/>
    <x v="0"/>
    <n v="530704"/>
    <s v="MANTENIMIENTO Y REPARACIÓN DE EQUIPOS Y SISTEMAS INFORMÁTICOS "/>
    <n v="2500.96"/>
    <n v="2233"/>
    <n v="267.96"/>
    <n v="2500.96"/>
    <n v="0"/>
    <n v="0"/>
    <n v="0"/>
    <n v="0"/>
    <n v="0"/>
    <n v="2233"/>
    <n v="0"/>
    <n v="0"/>
    <n v="0"/>
    <n v="0"/>
    <n v="0"/>
    <n v="0"/>
    <n v="0"/>
    <n v="2233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DE SOPORTE TECNOLÓGICO"/>
    <s v="TECNOLOGÍA"/>
    <s v="MANTENIMIENTO DE EQUIPOS PARA RADIO ENLACE"/>
    <n v="1"/>
    <x v="1"/>
    <n v="55"/>
    <n v="0"/>
    <n v="3"/>
    <n v="601"/>
    <s v="RIOBAMBA"/>
    <n v="1"/>
    <n v="0"/>
    <n v="0"/>
    <s v="CORRIENTE"/>
    <x v="0"/>
    <n v="530704"/>
    <s v="MANTENIMIENTO Y REPARACIÓN DE EQUIPOS Y SISTEMAS INFORMÁTICOS "/>
    <n v="3500"/>
    <n v="3125"/>
    <n v="375"/>
    <n v="3500"/>
    <n v="0"/>
    <n v="0"/>
    <n v="0"/>
    <n v="0"/>
    <n v="0"/>
    <n v="3124.9999999999995"/>
    <n v="0"/>
    <n v="0"/>
    <n v="0"/>
    <n v="0"/>
    <n v="0"/>
    <n v="0"/>
    <n v="0"/>
    <n v="3125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2. INCREMENTAR LA INNOVACIÓN Y EL USO DE TECNOLOGÍA EFICIENTE PARA LA ATENCIÓN ADECUADA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COORDINACIÓN ZONAL"/>
    <s v="COORDINACIÓN ZONAL 3"/>
    <s v="GESTIÓN LOCAL DE SOPORTE TECNOLÓGICO"/>
    <s v="TECNOLOGÍA"/>
    <s v="ADQUISICIÓN DE PARTES Y REPUESTOS PARA LA REPOTENCIACIÓN DEL ÁREA OPERATIVA  (MEMORIAS RAMS Y DISCOS DUROS SOLIDOS) "/>
    <n v="1"/>
    <x v="1"/>
    <n v="55"/>
    <n v="0"/>
    <n v="3"/>
    <n v="601"/>
    <s v="RIOBAMBA"/>
    <n v="1"/>
    <n v="0"/>
    <n v="0"/>
    <s v="CORRIENTE"/>
    <x v="0"/>
    <n v="531411"/>
    <s v="PARTES Y REPUESTOS"/>
    <n v="8000.159999999999"/>
    <n v="7142.999999999999"/>
    <n v="857.1599999999999"/>
    <n v="8000.159999999999"/>
    <n v="0"/>
    <n v="0"/>
    <n v="0"/>
    <n v="0"/>
    <n v="0"/>
    <n v="0"/>
    <n v="0"/>
    <n v="7143"/>
    <n v="0"/>
    <n v="0"/>
    <n v="0"/>
    <n v="0"/>
    <n v="0"/>
    <n v="7142.999999999999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ADMINISTRATIVA FINANCIERA Y DE ADMINISTRACIÓN DE RECURSOS HUMANOS"/>
    <s v="ADMINISTRACIÓN CENTRAL"/>
    <s v="CANCELACIÓN DE REMUNERACIONES Y BENEFICIOS SOCIALES"/>
    <n v="1"/>
    <x v="1"/>
    <n v="1"/>
    <s v="000"/>
    <n v="2"/>
    <n v="1800"/>
    <s v="TUNGURAHUA"/>
    <s v="001"/>
    <s v="0000"/>
    <s v="0000"/>
    <s v="CORRIENTE"/>
    <x v="2"/>
    <n v="510203"/>
    <s v="DÉCIMO TERCER SUELDO"/>
    <n v="4398"/>
    <n v="4398"/>
    <n v="0"/>
    <n v="4398"/>
    <n v="62"/>
    <n v="62"/>
    <n v="62"/>
    <n v="62"/>
    <n v="62"/>
    <n v="62"/>
    <n v="62"/>
    <n v="62"/>
    <n v="62"/>
    <n v="62"/>
    <n v="62"/>
    <n v="3716"/>
    <n v="0"/>
    <n v="439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ADMINISTRATIVA FINANCIERA Y DE ADMINISTRACIÓN DE RECURSOS HUMANOS"/>
    <s v="ADMINISTRACIÓN CENTRAL"/>
    <s v="CANCELACIÓN DE REMUNERACIONES Y BENEFICIOS SOCIALES"/>
    <n v="1"/>
    <x v="1"/>
    <n v="1"/>
    <s v="000"/>
    <n v="2"/>
    <n v="1800"/>
    <s v="TUNGURAHUA"/>
    <s v="001"/>
    <s v="0000"/>
    <s v="0000"/>
    <s v="CORRIENTE"/>
    <x v="2"/>
    <n v="510204"/>
    <s v="DÉCIMO CUARTO SUELDO"/>
    <n v="2400"/>
    <n v="2400"/>
    <n v="0"/>
    <n v="2400"/>
    <n v="34"/>
    <n v="34"/>
    <n v="34"/>
    <n v="34"/>
    <n v="34"/>
    <n v="34"/>
    <n v="34"/>
    <n v="2026"/>
    <n v="34"/>
    <n v="34"/>
    <n v="34"/>
    <n v="34"/>
    <n v="0"/>
    <n v="24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ADMINISTRATIVA FINANCIERA Y DE ADMINISTRACIÓN DE RECURSOS HUMANOS"/>
    <s v="ADMINISTRACIÓN CENTRAL"/>
    <s v="CANCELACIÓN DE REMUNERACIONES Y BENEFICIOS SOCIALES"/>
    <n v="1"/>
    <x v="1"/>
    <n v="1"/>
    <s v="000"/>
    <n v="2"/>
    <n v="1800"/>
    <s v="TUNGURAHUA"/>
    <s v="001"/>
    <s v="0000"/>
    <s v="0000"/>
    <s v="CORRIENTE"/>
    <x v="2"/>
    <n v="510510"/>
    <s v="SERVICIOS PERSONALES POR CONTRATO"/>
    <n v="52776"/>
    <n v="52776"/>
    <n v="0"/>
    <n v="52776"/>
    <n v="4398"/>
    <n v="4398"/>
    <n v="4398"/>
    <n v="4398"/>
    <n v="4398"/>
    <n v="4398"/>
    <n v="4398"/>
    <n v="4398"/>
    <n v="4398"/>
    <n v="4398"/>
    <n v="4398"/>
    <n v="4398"/>
    <n v="0"/>
    <n v="52776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ADMINISTRATIVA FINANCIERA Y DE ADMINISTRACIÓN DE RECURSOS HUMANOS"/>
    <s v="ADMINISTRACIÓN CENTRAL"/>
    <s v="CANCELACIÓN DE REMUNERACIONES Y BENEFICIOS SOCIALES"/>
    <n v="1"/>
    <x v="1"/>
    <n v="1"/>
    <s v="000"/>
    <n v="2"/>
    <n v="1800"/>
    <s v="TUNGURAHUA"/>
    <s v="001"/>
    <s v="0000"/>
    <s v="0000"/>
    <s v="CORRIENTE"/>
    <x v="2"/>
    <n v="510601"/>
    <s v="APORTE PATRONAL"/>
    <n v="5093"/>
    <n v="5093"/>
    <n v="0"/>
    <n v="5093"/>
    <n v="424"/>
    <n v="424"/>
    <n v="424"/>
    <n v="424"/>
    <n v="424"/>
    <n v="424"/>
    <n v="424"/>
    <n v="424"/>
    <n v="424"/>
    <n v="424"/>
    <n v="424"/>
    <n v="429"/>
    <n v="0"/>
    <n v="5093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ADMINISTRATIVA FINANCIERA Y DE ADMINISTRACIÓN DE RECURSOS HUMANOS"/>
    <s v="ADMINISTRACIÓN CENTRAL"/>
    <s v="CANCELACIÓN DE REMUNERACIONES Y BENEFICIOS SOCIALES"/>
    <n v="1"/>
    <x v="1"/>
    <n v="1"/>
    <s v="000"/>
    <n v="2"/>
    <n v="1800"/>
    <s v="TUNGURAHUA"/>
    <s v="001"/>
    <s v="0000"/>
    <s v="0000"/>
    <s v="CORRIENTE"/>
    <x v="2"/>
    <n v="510602"/>
    <s v="FONDO DE RESERVA"/>
    <n v="4398"/>
    <n v="4398"/>
    <n v="0"/>
    <n v="4398"/>
    <n v="366"/>
    <n v="366"/>
    <n v="366"/>
    <n v="366"/>
    <n v="366"/>
    <n v="366"/>
    <n v="366"/>
    <n v="366"/>
    <n v="366"/>
    <n v="366"/>
    <n v="366"/>
    <n v="372"/>
    <n v="0"/>
    <n v="4398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ADMINISTRATIVA FINANCIERA Y DE ADMINISTRACIÓN DE RECURSOS HUMANOS"/>
    <s v="ADMINISTRACIÓN CENTRAL"/>
    <s v="CANCELACIÓN DE REMUNERACIONES Y BENEFICIOS SOCIALES"/>
    <n v="1"/>
    <x v="1"/>
    <n v="1"/>
    <s v="000"/>
    <s v="001"/>
    <n v="1800"/>
    <s v="TUNGURAHUA"/>
    <s v="001"/>
    <s v="0000"/>
    <s v="0000"/>
    <s v="CORRIENTE"/>
    <x v="2"/>
    <n v="510105"/>
    <s v="REMUNERACIONES UNIFICADAS"/>
    <n v="220020"/>
    <n v="220020"/>
    <n v="0"/>
    <n v="220020"/>
    <n v="18335"/>
    <n v="18335"/>
    <n v="18335"/>
    <n v="18335"/>
    <n v="18335"/>
    <n v="18335"/>
    <n v="18335"/>
    <n v="18335"/>
    <n v="18335"/>
    <n v="18335"/>
    <n v="18335"/>
    <n v="18335"/>
    <n v="0"/>
    <n v="22002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ADMINISTRATIVA FINANCIERA Y DE ADMINISTRACIÓN DE RECURSOS HUMANOS"/>
    <s v="ADMINISTRACIÓN CENTRAL"/>
    <s v="CANCELACIÓN DE REMUNERACIONES Y BENEFICIOS SOCIALES"/>
    <n v="1"/>
    <x v="1"/>
    <n v="1"/>
    <s v="000"/>
    <s v="001"/>
    <n v="1800"/>
    <s v="TUNGURAHUA"/>
    <s v="001"/>
    <s v="0000"/>
    <s v="0000"/>
    <s v="CORRIENTE"/>
    <x v="2"/>
    <n v="510106"/>
    <s v="SALARIOS UNIFICADOS"/>
    <n v="36240"/>
    <n v="36240"/>
    <n v="0"/>
    <n v="36240"/>
    <n v="3020"/>
    <n v="3020"/>
    <n v="3020"/>
    <n v="3020"/>
    <n v="3020"/>
    <n v="3020"/>
    <n v="3020"/>
    <n v="3020"/>
    <n v="3020"/>
    <n v="3020"/>
    <n v="3020"/>
    <n v="3020"/>
    <n v="0"/>
    <n v="3624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ADMINISTRATIVA FINANCIERA Y DE ADMINISTRACIÓN DE RECURSOS HUMANOS"/>
    <s v="ADMINISTRACIÓN CENTRAL"/>
    <s v="CANCELACIÓN DE REMUNERACIONES Y BENEFICIOS SOCIALES"/>
    <n v="1"/>
    <x v="1"/>
    <n v="1"/>
    <s v="000"/>
    <s v="001"/>
    <n v="1800"/>
    <s v="TUNGURAHUA"/>
    <s v="001"/>
    <s v="0000"/>
    <s v="0000"/>
    <s v="CORRIENTE"/>
    <x v="2"/>
    <n v="510203"/>
    <s v="DÉCIMO TERCER SUELDO"/>
    <n v="21355"/>
    <n v="21355"/>
    <n v="0"/>
    <n v="21355"/>
    <n v="67"/>
    <n v="67"/>
    <n v="67"/>
    <n v="67"/>
    <n v="67"/>
    <n v="67"/>
    <n v="67"/>
    <n v="67"/>
    <n v="67"/>
    <n v="67"/>
    <n v="67"/>
    <n v="20618"/>
    <n v="0"/>
    <n v="21355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ADMINISTRATIVA FINANCIERA Y DE ADMINISTRACIÓN DE RECURSOS HUMANOS"/>
    <s v="ADMINISTRACIÓN CENTRAL"/>
    <s v="CANCELACIÓN DE REMUNERACIONES Y BENEFICIOS SOCIALES"/>
    <n v="1"/>
    <x v="1"/>
    <n v="1"/>
    <s v="000"/>
    <s v="001"/>
    <n v="1800"/>
    <s v="TUNGURAHUA"/>
    <s v="001"/>
    <s v="0000"/>
    <s v="0000"/>
    <s v="CORRIENTE"/>
    <x v="2"/>
    <n v="510204"/>
    <s v="DÉCIMO CUARTO SUELDO"/>
    <n v="8000"/>
    <n v="8000"/>
    <n v="0"/>
    <n v="8000"/>
    <n v="34"/>
    <n v="34"/>
    <n v="34"/>
    <n v="34"/>
    <n v="34"/>
    <n v="34"/>
    <n v="34"/>
    <n v="7626"/>
    <n v="34"/>
    <n v="34"/>
    <n v="34"/>
    <n v="34"/>
    <n v="0"/>
    <n v="80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ADMINISTRATIVA FINANCIERA Y DE ADMINISTRACIÓN DE RECURSOS HUMANOS"/>
    <s v="ADMINISTRACIÓN CENTRAL"/>
    <s v="CANCELACIÓN DE REMUNERACIONES Y BENEFICIOS SOCIALES"/>
    <n v="1"/>
    <x v="1"/>
    <n v="1"/>
    <s v="000"/>
    <s v="001"/>
    <n v="1800"/>
    <s v="TUNGURAHUA"/>
    <s v="001"/>
    <s v="0000"/>
    <s v="0000"/>
    <s v="CORRIENTE"/>
    <x v="2"/>
    <n v="510509"/>
    <s v="HORAS EXTRAORDINARIAS Y SUPLEMENTARIAS"/>
    <n v="1500"/>
    <n v="1500"/>
    <n v="0"/>
    <n v="1500"/>
    <n v="0"/>
    <n v="0"/>
    <n v="150"/>
    <n v="150"/>
    <n v="150"/>
    <n v="150"/>
    <n v="150"/>
    <n v="150"/>
    <n v="150"/>
    <n v="150"/>
    <n v="150"/>
    <n v="150"/>
    <n v="0"/>
    <n v="1500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ADMINISTRATIVA FINANCIERA Y DE ADMINISTRACIÓN DE RECURSOS HUMANOS"/>
    <s v="ADMINISTRACIÓN CENTRAL"/>
    <s v="CANCELACIÓN DE REMUNERACIONES Y BENEFICIOS SOCIALES"/>
    <n v="1"/>
    <x v="1"/>
    <n v="1"/>
    <s v="000"/>
    <s v="001"/>
    <n v="1800"/>
    <s v="TUNGURAHUA"/>
    <s v="001"/>
    <s v="0000"/>
    <s v="0000"/>
    <s v="CORRIENTE"/>
    <x v="2"/>
    <n v="510601"/>
    <s v="APORTE PATRONAL"/>
    <n v="25636"/>
    <n v="25636"/>
    <n v="0"/>
    <n v="25636"/>
    <n v="2136"/>
    <n v="2136"/>
    <n v="2136"/>
    <n v="2136"/>
    <n v="2136"/>
    <n v="2136"/>
    <n v="2136"/>
    <n v="2136"/>
    <n v="2136"/>
    <n v="2136"/>
    <n v="2136"/>
    <n v="2140"/>
    <n v="0"/>
    <n v="25636"/>
  </r>
  <r>
    <s v="OBJETIVO 14: FORTALECER LAS CAPACIDADES DEL ESTADO CON ÉNFASIS EN LA ADMINISTRACIÓN DE JUSTICIA Y EFICIENCIA EN LOS PROCESOS DE REGULACIÓN Y CONTROL CON INDEPENDENCIA Y AUTONOMÍA."/>
    <s v="14.2 POTENCIAR LAS CAPACIDADES DE LOS DISTINTOS NIVELES DE GOBIERNO PARA EL CUMPLIMIENTO DE LOS OBJETIVOS NACIONALES Y LA PRESTACIÓN DE SERVICIOS CON CALIDAD.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ADMINISTRATIVA FINANCIERA Y DE ADMINISTRACIÓN DE RECURSOS HUMANOS"/>
    <s v="ADMINISTRACIÓN CENTRAL"/>
    <s v="CANCELACIÓN DE REMUNERACIONES Y BENEFICIOS SOCIALES"/>
    <n v="1"/>
    <x v="1"/>
    <n v="1"/>
    <s v="000"/>
    <s v="001"/>
    <n v="1800"/>
    <s v="TUNGURAHUA"/>
    <s v="001"/>
    <s v="0000"/>
    <s v="0000"/>
    <s v="CORRIENTE"/>
    <x v="2"/>
    <n v="510602"/>
    <s v="FONDO DE RESERVA"/>
    <n v="14355"/>
    <n v="14355"/>
    <n v="0"/>
    <n v="14355"/>
    <n v="1196"/>
    <n v="1196"/>
    <n v="1196"/>
    <n v="1196"/>
    <n v="1196"/>
    <n v="1196"/>
    <n v="1196"/>
    <n v="1196"/>
    <n v="1196"/>
    <n v="1196"/>
    <n v="1196"/>
    <n v="1199"/>
    <n v="0"/>
    <n v="14355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DE OPERACIONES"/>
    <s v="OPERACIONES"/>
    <s v="CANCELACIÓN DE REMUNERACIONES Y BENEFICIOS SOCIALES"/>
    <n v="1"/>
    <x v="1"/>
    <n v="55"/>
    <s v="000"/>
    <n v="2"/>
    <n v="1800"/>
    <s v="TUNGURAHUA"/>
    <s v="001"/>
    <s v="0000"/>
    <s v="0000"/>
    <s v="CORRIENTE"/>
    <x v="2"/>
    <n v="510105"/>
    <s v="REMUNERACIONES UNIFICADAS"/>
    <n v="773100"/>
    <n v="773100"/>
    <n v="0"/>
    <n v="773100"/>
    <n v="64425"/>
    <n v="64425"/>
    <n v="64425"/>
    <n v="64425"/>
    <n v="64425"/>
    <n v="64425"/>
    <n v="64425"/>
    <n v="64425"/>
    <n v="64425"/>
    <n v="64425"/>
    <n v="64425"/>
    <n v="64425"/>
    <n v="0"/>
    <n v="77310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DE OPERACIONES"/>
    <s v="OPERACIONES"/>
    <s v="CANCELACIÓN DE REMUNERACIONES Y BENEFICIOS SOCIALES"/>
    <n v="1"/>
    <x v="1"/>
    <n v="55"/>
    <s v="000"/>
    <n v="2"/>
    <n v="1800"/>
    <s v="TUNGURAHUA"/>
    <s v="001"/>
    <s v="0000"/>
    <s v="0000"/>
    <s v="CORRIENTE"/>
    <x v="2"/>
    <n v="510203"/>
    <s v="DÉCIMO TERCER SUELDO"/>
    <n v="65891"/>
    <n v="65891"/>
    <n v="0"/>
    <n v="65891"/>
    <n v="748"/>
    <n v="748"/>
    <n v="748"/>
    <n v="748"/>
    <n v="748"/>
    <n v="748"/>
    <n v="748"/>
    <n v="748"/>
    <n v="748"/>
    <n v="748"/>
    <n v="748"/>
    <n v="57663"/>
    <n v="0"/>
    <n v="65891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DE OPERACIONES"/>
    <s v="OPERACIONES"/>
    <s v="CANCELACIÓN DE REMUNERACIONES Y BENEFICIOS SOCIALES"/>
    <n v="1"/>
    <x v="1"/>
    <n v="55"/>
    <s v="000"/>
    <n v="2"/>
    <n v="1800"/>
    <s v="TUNGURAHUA"/>
    <s v="001"/>
    <s v="0000"/>
    <s v="0000"/>
    <s v="CORRIENTE"/>
    <x v="2"/>
    <n v="510204"/>
    <s v="DÉCIMO CUARTO SUELDO"/>
    <n v="32400"/>
    <n v="32400"/>
    <n v="0"/>
    <n v="32400"/>
    <n v="334"/>
    <n v="334"/>
    <n v="334"/>
    <n v="334"/>
    <n v="334"/>
    <n v="334"/>
    <n v="334"/>
    <n v="28726"/>
    <n v="334"/>
    <n v="334"/>
    <n v="334"/>
    <n v="334"/>
    <n v="0"/>
    <n v="3240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DE OPERACIONES"/>
    <s v="OPERACIONES"/>
    <s v="CANCELACIÓN DE REMUNERACIONES Y BENEFICIOS SOCIALES"/>
    <n v="1"/>
    <x v="1"/>
    <n v="55"/>
    <s v="000"/>
    <n v="2"/>
    <n v="1800"/>
    <s v="TUNGURAHUA"/>
    <s v="001"/>
    <s v="0000"/>
    <s v="0000"/>
    <s v="CORRIENTE"/>
    <x v="2"/>
    <n v="510510"/>
    <s v="SERVICIOS PERSONALES POR CONTRATO"/>
    <n v="17592"/>
    <n v="17592"/>
    <n v="0"/>
    <n v="17592"/>
    <n v="1466"/>
    <n v="1466"/>
    <n v="1466"/>
    <n v="1466"/>
    <n v="1466"/>
    <n v="1466"/>
    <n v="1466"/>
    <n v="1466"/>
    <n v="1466"/>
    <n v="1466"/>
    <n v="1466"/>
    <n v="1466"/>
    <n v="0"/>
    <n v="17592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DE OPERACIONES"/>
    <s v="OPERACIONES"/>
    <s v="CANCELACIÓN DE REMUNERACIONES Y BENEFICIOS SOCIALES"/>
    <n v="1"/>
    <x v="1"/>
    <n v="55"/>
    <s v="000"/>
    <n v="2"/>
    <n v="1800"/>
    <s v="TUNGURAHUA"/>
    <s v="001"/>
    <s v="0000"/>
    <s v="0000"/>
    <s v="CORRIENTE"/>
    <x v="2"/>
    <n v="510512"/>
    <s v="SUBROGACIÓN"/>
    <n v="100"/>
    <n v="100"/>
    <n v="0"/>
    <n v="100"/>
    <n v="0"/>
    <n v="0"/>
    <n v="20"/>
    <n v="0"/>
    <n v="30"/>
    <n v="0"/>
    <n v="20"/>
    <n v="0"/>
    <n v="30"/>
    <n v="0"/>
    <n v="0"/>
    <n v="0"/>
    <n v="0"/>
    <n v="10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DE OPERACIONES"/>
    <s v="OPERACIONES"/>
    <s v="CANCELACIÓN DE REMUNERACIONES Y BENEFICIOS SOCIALES"/>
    <n v="1"/>
    <x v="1"/>
    <n v="55"/>
    <s v="000"/>
    <n v="2"/>
    <n v="1800"/>
    <s v="TUNGURAHUA"/>
    <s v="001"/>
    <s v="0000"/>
    <s v="0000"/>
    <s v="CORRIENTE"/>
    <x v="2"/>
    <n v="510601"/>
    <s v="APORTE PATRONAL"/>
    <n v="76302"/>
    <n v="76302"/>
    <n v="0"/>
    <n v="76302"/>
    <n v="6358"/>
    <n v="6358"/>
    <n v="6358"/>
    <n v="6358"/>
    <n v="6358"/>
    <n v="6358"/>
    <n v="6358"/>
    <n v="6358"/>
    <n v="6358"/>
    <n v="6358"/>
    <n v="6358"/>
    <n v="6364"/>
    <n v="0"/>
    <n v="76302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DE OPERACIONES"/>
    <s v="OPERACIONES"/>
    <s v="CANCELACIÓN DE REMUNERACIONES Y BENEFICIOS SOCIALES"/>
    <n v="1"/>
    <x v="1"/>
    <n v="55"/>
    <s v="000"/>
    <n v="2"/>
    <n v="1800"/>
    <s v="TUNGURAHUA"/>
    <s v="001"/>
    <s v="0000"/>
    <s v="0000"/>
    <s v="CORRIENTE"/>
    <x v="2"/>
    <n v="510602"/>
    <s v="FONDO DE RESERVA"/>
    <n v="63366"/>
    <n v="63366"/>
    <n v="0"/>
    <n v="63366"/>
    <n v="5280"/>
    <n v="5280"/>
    <n v="5280"/>
    <n v="5280"/>
    <n v="5280"/>
    <n v="5280"/>
    <n v="5280"/>
    <n v="5280"/>
    <n v="5280"/>
    <n v="5280"/>
    <n v="5280"/>
    <n v="5286"/>
    <n v="0"/>
    <n v="63366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DE TECNOLOGÍA Y SOPORTE"/>
    <s v="TECNOLOGÍA"/>
    <s v="CANCELACIÓN DE REMUNERACIONES Y BENEFICIOS SOCIALES"/>
    <n v="1"/>
    <x v="1"/>
    <n v="55"/>
    <s v="000"/>
    <n v="3"/>
    <n v="1800"/>
    <s v="TUNGURAHUA"/>
    <s v="001"/>
    <s v="0000"/>
    <s v="0000"/>
    <s v="CORRIENTE"/>
    <x v="2"/>
    <n v="510105"/>
    <s v="REMUNERACIONES UNIFICADAS"/>
    <n v="92160"/>
    <n v="92160"/>
    <n v="0"/>
    <n v="92160"/>
    <n v="7680"/>
    <n v="7680"/>
    <n v="7680"/>
    <n v="7680"/>
    <n v="7680"/>
    <n v="7680"/>
    <n v="7680"/>
    <n v="7680"/>
    <n v="7680"/>
    <n v="7680"/>
    <n v="7680"/>
    <n v="7680"/>
    <n v="0"/>
    <n v="92160"/>
  </r>
  <r>
    <s v="OBJETIVO 9: GARANTIZAR LA SEGURIDAD CIUDADANA, ORDEN PÚBLICO Y GESTIÓN DE RIESGOS"/>
    <s v="9.3 IMPULSAR LA REDUCCIÓN DE RIESGOS DE DESASTRES Y ATENCIÓN OPORTUNA A EMERGENCIAS ANTE AMENAZAS NATURALES O ANTRÓPICAS EN TODOS LO SECTORES Y NIVELES TERRITORIALES"/>
    <s v="3. INCREMENTAR EL USO EFICIENTE DEL PRESUPUESTO DEL SIS ECU 911"/>
    <s v="2. INCREMENTAR LA EFICIENCIA EN LA GESTIÓN FINANCIERA MEDIANTE EL FORTALECIMIENTO DE LAS METODOLOGÍAS, MEJORAMIENTO DE PROCESOS FINANCIEROS INTERNOS, APLICACIÓN DE NORMATIVAS Y REGULACIONES VIGENTES."/>
    <s v="COORDINACIÓN ZONAL"/>
    <s v="COORDINACIÓN ZONAL 3"/>
    <s v="GESTIÓN ZONAL DE TECNOLOGÍA Y SOPORTE"/>
    <s v="TECNOLOGÍA"/>
    <s v="CANCELACIÓN DE REMUNERACIONES Y BENEFICIOS SOCIALES"/>
    <n v="1"/>
    <x v="1"/>
    <n v="55"/>
    <s v="000"/>
    <n v="3"/>
    <n v="1800"/>
    <s v="TUNGURAHUA"/>
    <s v="001"/>
    <s v="0000"/>
    <s v="0000"/>
    <s v="CORRIENTE"/>
    <x v="2"/>
    <n v="510203"/>
    <s v="DÉCIMO TERCER SUELDO"/>
    <n v="7680"/>
    <n v="7680"/>
    <n v="0"/>
    <n v="7680"/>
    <n v="198"/>
    <n v="198"/>
    <n v="198"/>
    <n v="198"/>
    <n v="198"/>
    <n v="198"/>
    <n v="198"/>
    <n v="198"/>
    <n v="198"/>
    <n v="198"/>
    <n v="198"/>
    <n v="5502"/>
    <n v="0"/>
    <n v="768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0">
  <r>
    <s v="ARRASTRE: CANCELACIÓN POR CONSUMO DE SERVICIO DE AGUA POTABLE CORRESPONDIENTE A DICIEMBRE DEL 2021"/>
    <n v="1"/>
    <s v="266 0001"/>
    <x v="0"/>
    <n v="0"/>
    <x v="0"/>
    <n v="401"/>
    <x v="0"/>
    <n v="1"/>
    <n v="0"/>
    <n v="0"/>
    <s v="CORRIENTE"/>
    <n v="53"/>
    <x v="0"/>
    <s v="AGUA POTABLE"/>
    <n v="100"/>
    <n v="67.94"/>
    <n v="67.94"/>
    <n v="67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.94"/>
    <s v="OK"/>
    <n v="67.94"/>
    <n v="0"/>
    <n v="67.94"/>
    <n v="0"/>
  </r>
  <r>
    <s v="PROVISIÓN POR CONSUMO DE SERVICIO DE AGUA POTABLE PERIODO ENERO A NOVIEMBRE 2022"/>
    <n v="1"/>
    <s v="266 0001"/>
    <x v="0"/>
    <n v="0"/>
    <x v="0"/>
    <n v="401"/>
    <x v="0"/>
    <n v="1"/>
    <n v="0"/>
    <n v="0"/>
    <s v="CORRIENTE"/>
    <n v="53"/>
    <x v="0"/>
    <s v="AGUA POTABLE"/>
    <n v="605"/>
    <n v="692.3"/>
    <n v="0"/>
    <n v="0"/>
    <n v="55"/>
    <n v="55.96"/>
    <n v="55"/>
    <n v="18.64"/>
    <n v="55"/>
    <n v="30.83"/>
    <n v="55"/>
    <n v="30.1"/>
    <n v="55"/>
    <n v="28.64"/>
    <n v="55"/>
    <n v="128.13"/>
    <n v="55"/>
    <n v="18.13"/>
    <n v="55"/>
    <n v="53.19"/>
    <n v="55"/>
    <n v="170.62"/>
    <n v="55"/>
    <n v="78.01"/>
    <n v="142.29999999999995"/>
    <n v="78.01"/>
    <n v="692.3"/>
    <s v="OK"/>
    <n v="690.26"/>
    <n v="2.039999999999935"/>
    <n v="692.3"/>
    <n v="0"/>
  </r>
  <r>
    <s v="ARRASTRE: CANCELACIÓN POR CONSUMO DE SERVICIO DE ENERGÍA ELÉCTRICA CORRESPONDIENTE A DICIEMBRE DEL 2021"/>
    <n v="1"/>
    <s v="266 0001"/>
    <x v="0"/>
    <n v="0"/>
    <x v="0"/>
    <n v="401"/>
    <x v="0"/>
    <n v="1"/>
    <n v="0"/>
    <n v="0"/>
    <s v="CORRIENTE"/>
    <n v="53"/>
    <x v="1"/>
    <s v="ENERGÍA ELÉCTRICA"/>
    <n v="2100"/>
    <n v="1891.18"/>
    <n v="1891.18"/>
    <n v="1891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1.18"/>
    <s v="OK"/>
    <n v="1891.18"/>
    <n v="0"/>
    <n v="1891.18"/>
    <n v="0"/>
  </r>
  <r>
    <s v="PROVISIÓN POR CONSUMO DE SERVICIO DE ENERGÍA ELÉCTRICA PERIODO ENERO A NOVIEMBRE 2022"/>
    <n v="1"/>
    <s v="266 0001"/>
    <x v="0"/>
    <n v="0"/>
    <x v="0"/>
    <n v="401"/>
    <x v="0"/>
    <n v="1"/>
    <n v="0"/>
    <n v="0"/>
    <s v="CORRIENTE"/>
    <n v="53"/>
    <x v="1"/>
    <s v="ENERGÍA ELÉCTRICA"/>
    <n v="16233"/>
    <n v="20815.04"/>
    <n v="0"/>
    <n v="1770.42"/>
    <n v="2319"/>
    <n v="1614.84"/>
    <n v="2319"/>
    <n v="1818.22"/>
    <n v="2319"/>
    <n v="1696.33"/>
    <n v="2319"/>
    <n v="1973.71"/>
    <n v="2319"/>
    <n v="1144.68"/>
    <n v="2319"/>
    <n v="1639.75"/>
    <n v="1831.9"/>
    <n v="1577.88"/>
    <n v="1831.9"/>
    <n v="1651.51"/>
    <n v="1831.9"/>
    <n v="2110.48"/>
    <n v="1588.119999999999"/>
    <n v="2041.52"/>
    <n v="0"/>
    <n v="1775.7"/>
    <n v="20997.82"/>
    <n v="-182.77999999999884"/>
    <n v="20815.040000000005"/>
    <n v="182.77999999999952"/>
    <n v="20997.82"/>
    <n v="-182.77999999999884"/>
  </r>
  <r>
    <s v="ARRASTRE: CANCELACIÓN  POR CONSUMO DE SERVICIO DE CORREO NACIONAL A DICIEMBRE DEL 2021"/>
    <n v="2"/>
    <s v="266 0001"/>
    <x v="0"/>
    <n v="0"/>
    <x v="0"/>
    <n v="401"/>
    <x v="0"/>
    <n v="1"/>
    <n v="0"/>
    <n v="0"/>
    <s v="CORRIENTE"/>
    <n v="53"/>
    <x v="2"/>
    <s v="SERVICIO DE CORREO"/>
    <n v="112"/>
    <n v="26.100000000000005"/>
    <n v="26.100000000000005"/>
    <n v="26.098214285714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100000000000005"/>
    <s v="OK"/>
    <n v="26.09821428571429"/>
    <n v="0.0017857142857167219"/>
    <n v="26.1"/>
    <n v="0"/>
  </r>
  <r>
    <s v="CONTRATACIÓN  DEL SERVICIO DE CORREO NACIONAL PERIODO ENERO A DICIEMBRE 2022"/>
    <n v="1"/>
    <s v="266 0001"/>
    <x v="0"/>
    <n v="0"/>
    <x v="0"/>
    <n v="401"/>
    <x v="0"/>
    <n v="1"/>
    <n v="0"/>
    <n v="0"/>
    <s v="CORRIENTE"/>
    <n v="53"/>
    <x v="2"/>
    <s v="SERVICIO DE CORREO"/>
    <n v="381.92"/>
    <n v="149.8"/>
    <n v="0"/>
    <n v="0"/>
    <n v="0"/>
    <n v="0"/>
    <n v="31"/>
    <n v="15"/>
    <n v="31"/>
    <n v="12"/>
    <n v="31"/>
    <n v="28.4"/>
    <n v="31"/>
    <n v="21"/>
    <n v="31"/>
    <n v="9"/>
    <n v="31"/>
    <n v="15"/>
    <n v="36.8"/>
    <n v="22.4"/>
    <n v="0"/>
    <n v="12"/>
    <n v="0"/>
    <n v="6"/>
    <n v="0"/>
    <n v="9"/>
    <n v="222.8"/>
    <n v="-73"/>
    <n v="149.8"/>
    <n v="73"/>
    <n v="222.8"/>
    <n v="-73"/>
  </r>
  <r>
    <s v="ARRASTRE: CANCELACIÓN  POR EL  SERVICIO DE TRANSPORTE PERSONAL OPERATIVO DICIEMBRE DEL 2021"/>
    <n v="1"/>
    <s v="266 0001"/>
    <x v="0"/>
    <n v="0"/>
    <x v="0"/>
    <n v="401"/>
    <x v="0"/>
    <n v="1"/>
    <n v="0"/>
    <n v="0"/>
    <s v="CORRIENTE"/>
    <n v="53"/>
    <x v="3"/>
    <s v="TRANSPORTE DE PERSONAL"/>
    <n v="1840"/>
    <n v="1836.23"/>
    <n v="1836.23"/>
    <n v="1836.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6.23"/>
    <s v="OK"/>
    <n v="1836.23"/>
    <n v="0"/>
    <n v="1836.23"/>
    <n v="0"/>
  </r>
  <r>
    <s v="CONTRATACIÓN  DEL SERVICIO DE TRANSPORTE PARA SERVIDORES DEL ÁREA OPERATIVA DEL CENTRO OPERATIVO LOCAL ECU 911 PARA ENERO-DICIEMBRE 2022, SE PAGA A MES VENCIDO"/>
    <n v="1"/>
    <s v="266 0001"/>
    <x v="0"/>
    <n v="0"/>
    <x v="0"/>
    <n v="401"/>
    <x v="0"/>
    <n v="1"/>
    <n v="0"/>
    <n v="0"/>
    <s v="CORRIENTE"/>
    <n v="53"/>
    <x v="3"/>
    <s v="TRANSPORTE DE PERSONAL"/>
    <n v="26763"/>
    <n v="16500.01"/>
    <n v="0"/>
    <n v="0"/>
    <n v="1500"/>
    <n v="1500"/>
    <n v="1500"/>
    <n v="1500"/>
    <n v="1500"/>
    <n v="1500"/>
    <n v="1500"/>
    <n v="1500"/>
    <n v="1500"/>
    <n v="1500"/>
    <n v="1500"/>
    <n v="1500"/>
    <n v="1500"/>
    <n v="1500"/>
    <n v="1500"/>
    <n v="1500"/>
    <n v="1500"/>
    <n v="1500"/>
    <n v="1500"/>
    <n v="1500"/>
    <n v="1500.0099999999984"/>
    <n v="1500"/>
    <n v="16500.01"/>
    <s v="OK"/>
    <n v="16500"/>
    <n v="0.00999999999839929"/>
    <n v="16500"/>
    <n v="0.00999999999839929"/>
  </r>
  <r>
    <s v="CONTRATACIÓN DEL SERVICIO DE RECARGA DE EXTINTORES DEL CENTRO"/>
    <n v="1"/>
    <s v="266 0001"/>
    <x v="0"/>
    <n v="0"/>
    <x v="0"/>
    <n v="401"/>
    <x v="0"/>
    <n v="1"/>
    <n v="0"/>
    <n v="0"/>
    <s v="CORRIENTE"/>
    <n v="53"/>
    <x v="4"/>
    <s v="ALMACENAMIENTO, EMBALAJE, DESEMBALAJE, ENVASE, DESENVASE Y RECARGA DE EXTINTORES"/>
    <n v="340.48"/>
    <n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"/>
    <n v="0"/>
    <n v="0"/>
    <n v="118"/>
    <n v="118"/>
    <s v="OK"/>
    <n v="118"/>
    <n v="0"/>
    <n v="118"/>
    <n v="0"/>
  </r>
  <r>
    <s v="ADQUISICIÓN DE BIENES Y CANCELACIÓN  DE SERVICIOS NO PREVISIBLES, URGENTES Y DE VALOR REDUCIDO (CAJA CHICA)."/>
    <n v="2"/>
    <s v="266 0001"/>
    <x v="0"/>
    <n v="0"/>
    <x v="0"/>
    <n v="401"/>
    <x v="0"/>
    <n v="1"/>
    <n v="0"/>
    <n v="0"/>
    <s v="CORRIENTE"/>
    <n v="53"/>
    <x v="5"/>
    <s v="EDICIÓN, IMPRESIÓN, REPRODUCCIÓN, PUBLICACIONES, SUSCRIPCIONES, FOTOCOPIADO, TRADUCCIÓN, EMPASTADO, ENMARCACIÓN, SERIGRAFÍA, FOTOGRAFÍA, CARNETIZACIÓN, FILMACIÓN E IMÁGENES SATELITALES"/>
    <n v="10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30"/>
    <n v="50"/>
    <n v="-20"/>
    <n v="30"/>
    <n v="20"/>
    <n v="0"/>
    <n v="30"/>
  </r>
  <r>
    <s v="IMPRESIÓN DE TARJETAS PVC, CINTA PARA CREDENCIALES PARA PARA EL PERSONAL DEL CENTRO OPERATIVO LOCAL TULCÁN."/>
    <n v="1"/>
    <s v="266 0001"/>
    <x v="0"/>
    <n v="0"/>
    <x v="0"/>
    <n v="401"/>
    <x v="0"/>
    <n v="1"/>
    <n v="0"/>
    <n v="0"/>
    <s v="CORRIENTE"/>
    <n v="53"/>
    <x v="5"/>
    <s v="EDICIÓN, IMPRESIÓN, REPRODUCCIÓN, PUBLICACIONES, SUSCRIPCIONES, FOTOCOPIADO, TRADUCCIÓN, EMPASTADO, ENMARCACIÓN, SERIGRAFÍA, FOTOGRAFÍA, CARNETIZACIÓN, FILMACIÓN E IMÁGENES SATELITALES"/>
    <n v="450.23999999999995"/>
    <n v="77.55"/>
    <n v="0"/>
    <n v="0"/>
    <n v="0"/>
    <n v="0"/>
    <n v="0"/>
    <n v="0"/>
    <n v="0"/>
    <n v="0"/>
    <n v="0"/>
    <n v="0"/>
    <n v="77.55"/>
    <n v="0"/>
    <n v="0"/>
    <n v="77.55"/>
    <n v="0"/>
    <n v="0"/>
    <n v="0"/>
    <n v="0"/>
    <n v="0"/>
    <n v="0"/>
    <n v="0"/>
    <n v="0"/>
    <n v="0"/>
    <n v="0"/>
    <n v="77.55"/>
    <s v="OK"/>
    <n v="77.55"/>
    <n v="0"/>
    <n v="77.55"/>
    <n v="0"/>
  </r>
  <r>
    <s v="ADQUISICIÓN DE MATERIAL DE POSICIONAMIENTO E IDENTIDAD DEL ECU 911 PARA EL CENTRO OPERATIVO ECU 911 TULCÁN  "/>
    <n v="2"/>
    <s v="266 0001"/>
    <x v="0"/>
    <n v="0"/>
    <x v="0"/>
    <n v="401"/>
    <x v="0"/>
    <n v="1"/>
    <n v="0"/>
    <n v="0"/>
    <s v="CORRIENTE"/>
    <n v="53"/>
    <x v="5"/>
    <s v="EDICIÓN, IMPRESIÓN, REPRODUCCIÓN, PUBLICACIONES, SUSCRIPCIONES, FOTOCOPIADO, TRADUCCIÓN, EMPASTADO, ENMARCACIÓN, SERIGRAFÍA, FOTOGRAFÍA, CARNETIZACIÓN, FILMACIÓN E IMÁGENES SATELITALES"/>
    <n v="1382.07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CANCELACIÓN POR SPOTS PUBLICITARIOS EN RADIO Y TV Y PLATAFORMAS DIGITALES."/>
    <n v="2"/>
    <s v="266 0001"/>
    <x v="0"/>
    <n v="0"/>
    <x v="0"/>
    <n v="401"/>
    <x v="0"/>
    <n v="1"/>
    <n v="0"/>
    <n v="0"/>
    <s v="CORRIENTE"/>
    <n v="53"/>
    <x v="6"/>
    <s v="DIFUSIÓN, INFORMACIÓN Y PUBLICIDAD"/>
    <n v="240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RRASTRE: CANCELACIÓN  POR EL SERVICIO DE LIMPIEZA DEL CENTRO OPERATIVO LOCAL ECU 911 DICIEMBRE DEL 2021"/>
    <n v="1"/>
    <s v="266 0001"/>
    <x v="0"/>
    <n v="0"/>
    <x v="0"/>
    <n v="401"/>
    <x v="0"/>
    <n v="1"/>
    <n v="0"/>
    <n v="0"/>
    <s v="CORRIENTE"/>
    <n v="53"/>
    <x v="7"/>
    <s v="SERVICIOS DE ASEO, LAVADO DE VESTIMENTA DE TRABAJO, FUMIGACIÓN, DESINFECCIÓN, LIMPIEZA DE INSTALACIONES, MANEJO DE DESECHOS CONTAMINADOS, RECUPERACIÓN Y CLASIFICACIÓN DE MATERIALES RECICLABLES"/>
    <n v="3311.84"/>
    <n v="2955.39"/>
    <n v="2955.39"/>
    <n v="2955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55.39"/>
    <s v="OK"/>
    <n v="2955.39"/>
    <n v="0"/>
    <n v="2955.39"/>
    <n v="0"/>
  </r>
  <r>
    <s v="CONTRATACIÓN  DEL SERVICIO DE LIMPIEZA PARA EL CENTRO OPERATIVO LOCAL ECU 911 PERIODO 2022 SE PAGA A MES VENCIDO"/>
    <n v="1"/>
    <s v="266 0001"/>
    <x v="0"/>
    <n v="0"/>
    <x v="0"/>
    <n v="401"/>
    <x v="0"/>
    <n v="1"/>
    <n v="0"/>
    <n v="0"/>
    <s v="CORRIENTE"/>
    <n v="53"/>
    <x v="7"/>
    <s v="SERVICIOS DE ASEO, LAVADO DE VESTIMENTA DE TRABAJO, FUMIGACIÓN, DESINFECCIÓN, LIMPIEZA DE INSTALACIONES, MANEJO DE DESECHOS CONTAMINADOS, RECUPERACIÓN Y CLASIFICACIÓN DE MATERIALES RECICLABLES"/>
    <n v="21766.08"/>
    <n v="32509.29"/>
    <n v="0"/>
    <n v="0"/>
    <n v="2955.39"/>
    <n v="2955.39"/>
    <n v="2955.39"/>
    <n v="2955.39"/>
    <n v="2955.39"/>
    <n v="2955.39"/>
    <n v="2955.39"/>
    <n v="2955.39"/>
    <n v="2955.39"/>
    <n v="2955.39"/>
    <n v="2955.39"/>
    <n v="2955.39"/>
    <n v="2955.39"/>
    <n v="2955.39"/>
    <n v="2955.39"/>
    <n v="2955.39"/>
    <n v="2955.39"/>
    <n v="2955.39"/>
    <n v="2955.39"/>
    <n v="2955.39"/>
    <n v="2955.390000000003"/>
    <n v="2955.39"/>
    <n v="32509.29"/>
    <s v="OK"/>
    <n v="32509.289999999997"/>
    <n v="0"/>
    <n v="32509.29"/>
    <n v="0"/>
  </r>
  <r>
    <s v="ADQUISICIÓN DE PASAJES AÉREOS PARA LOS FUNCIONARIOS DEL CENTRO AÑO 2022"/>
    <n v="2"/>
    <s v="266 0001"/>
    <x v="0"/>
    <n v="0"/>
    <x v="0"/>
    <n v="401"/>
    <x v="0"/>
    <n v="1"/>
    <n v="0"/>
    <n v="0"/>
    <s v="CORRIENTE"/>
    <n v="53"/>
    <x v="8"/>
    <s v="PASAJES AL INTERIOR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PROVISIÓN PARA  MOVILIZACIONES TERRESTRES DE FUNCIONARIOS DEL ECU 911  POR ACTIVIDADES INSTITUCIONALES AÑO 2022"/>
    <n v="1"/>
    <s v="266 0001"/>
    <x v="0"/>
    <n v="0"/>
    <x v="0"/>
    <n v="401"/>
    <x v="0"/>
    <n v="1"/>
    <n v="0"/>
    <n v="0"/>
    <s v="CORRIENTE"/>
    <n v="53"/>
    <x v="8"/>
    <s v="PASAJES AL INTERIOR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s v="OK"/>
    <n v="0"/>
    <n v="0"/>
    <n v="0"/>
    <n v="0"/>
  </r>
  <r>
    <s v="PROVISIÓN PARA ALIMENTACIÓN Y ESTADÍA DE LOS FUNCIONARIOS DEL CENTRO OPERATIVO LOCAL ECU 911 CUANDO SALEN A CUMPLIR COMISIÓN DE SERVICIOS FUERA DE SU LUGAR HABITUAL DE TRABAJO AÑO 2022"/>
    <n v="1"/>
    <s v="266 0001"/>
    <x v="0"/>
    <n v="0"/>
    <x v="0"/>
    <n v="401"/>
    <x v="0"/>
    <n v="1"/>
    <n v="0"/>
    <n v="0"/>
    <s v="CORRIENTE"/>
    <n v="53"/>
    <x v="9"/>
    <s v="VIÁTICOS Y SUBSISTENCIAS EN EL INTERIOR"/>
    <n v="960"/>
    <n v="1460"/>
    <n v="0"/>
    <n v="0"/>
    <n v="0"/>
    <n v="0"/>
    <n v="0"/>
    <n v="0"/>
    <n v="0"/>
    <n v="240"/>
    <n v="320"/>
    <n v="289.6"/>
    <n v="0"/>
    <n v="0"/>
    <n v="0"/>
    <n v="0"/>
    <n v="0"/>
    <n v="0"/>
    <n v="0"/>
    <n v="52.5"/>
    <n v="0"/>
    <n v="327.7"/>
    <n v="320"/>
    <n v="232"/>
    <n v="820"/>
    <m/>
    <n v="1460"/>
    <s v="OK"/>
    <n v="1141.8"/>
    <n v="318.20000000000005"/>
    <n v="1460"/>
    <n v="0"/>
  </r>
  <r>
    <s v="IMPERMEABILIZACIÓN DE TERRAZAS DEL CENTRO OPERATIVO TULCÁN"/>
    <n v="1"/>
    <s v="266 0001"/>
    <x v="0"/>
    <n v="0"/>
    <x v="0"/>
    <n v="401"/>
    <x v="0"/>
    <n v="1"/>
    <n v="0"/>
    <n v="0"/>
    <s v="CORRIENTE"/>
    <n v="53"/>
    <x v="10"/>
    <s v="EDIFICIOS, LOCALES, RESIDENCIAS Y CABLEADO ESTRUCTURADO (INSTALACIÓN, MANTENIMIENTO Y REPARACIÓN)"/>
    <n v="3499.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CONTRATACIÓN PARA MANTENIMIENTO DE INFRAESTRUCTURA DEL CENTRO OPERATIVO LOCAL ECU 911 TULCÁN PARA EL 2022"/>
    <n v="2"/>
    <s v="266 0001"/>
    <x v="0"/>
    <n v="0"/>
    <x v="0"/>
    <n v="401"/>
    <x v="0"/>
    <n v="1"/>
    <n v="0"/>
    <n v="0"/>
    <s v="CORRIENTE"/>
    <n v="53"/>
    <x v="10"/>
    <s v="EDIFICIOS, LOCALES, RESIDENCIAS Y CABLEADO ESTRUCTURADO (INSTALACIÓN, MANTENIMIENTO Y REPARACIÓN)"/>
    <n v="5500.319999999997"/>
    <n v="5472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00"/>
    <n v="5472.52"/>
    <n v="6800"/>
    <n v="-1327.4799999999996"/>
    <n v="5472.52"/>
    <n v="1327.4799999999996"/>
    <n v="5472.52"/>
    <n v="0"/>
  </r>
  <r>
    <s v="CONTRATACIÓN DEL SERVICIO DE MANTENIMIENTO Y REPARACIÓN DE MOBILIARIO DEL CENTRO AÑO 2022"/>
    <n v="2"/>
    <s v="266 0001"/>
    <x v="0"/>
    <n v="0"/>
    <x v="0"/>
    <n v="401"/>
    <x v="0"/>
    <n v="1"/>
    <n v="0"/>
    <n v="0"/>
    <s v="CORRIENTE"/>
    <n v="53"/>
    <x v="11"/>
    <s v="MOBILIARIOS (INSTALACIÓN, MANTENIMIENTO Y REPARACIÓN)"/>
    <n v="1000.1599999999996"/>
    <n v="1459.9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0.1599999999999"/>
    <n v="1460"/>
    <n v="1550.1599999999999"/>
    <n v="-90.16000000000008"/>
    <n v="1460"/>
    <n v="90.15999999999985"/>
    <n v="1460"/>
    <n v="0"/>
  </r>
  <r>
    <s v=" CONTRATACIÓN SERVICIO DE MANTENIMIENTO RELOJ BIOMÉTRICO "/>
    <n v="1"/>
    <s v="266 0001"/>
    <x v="0"/>
    <n v="0"/>
    <x v="0"/>
    <n v="401"/>
    <x v="0"/>
    <n v="1"/>
    <n v="0"/>
    <n v="0"/>
    <s v="CORRIENTE"/>
    <n v="53"/>
    <x v="12"/>
    <s v="MAQUINARIAS Y EQUIPOS (INSTALACIÓN, MANTENIMIENTO Y REPARACIÓN)"/>
    <n v="350.56"/>
    <n v="235"/>
    <n v="0"/>
    <n v="0"/>
    <n v="0"/>
    <n v="0"/>
    <n v="0"/>
    <n v="0"/>
    <n v="0"/>
    <n v="0"/>
    <n v="0"/>
    <n v="0"/>
    <n v="0"/>
    <n v="0"/>
    <n v="0"/>
    <n v="0"/>
    <n v="0"/>
    <n v="0"/>
    <n v="0"/>
    <n v="235"/>
    <n v="235"/>
    <n v="0"/>
    <n v="0"/>
    <n v="0"/>
    <n v="0"/>
    <n v="0"/>
    <n v="235"/>
    <s v="OK"/>
    <n v="235"/>
    <n v="0"/>
    <n v="235"/>
    <n v="0"/>
  </r>
  <r>
    <s v="CONTRATACIÓN DEL SERVICIO DE MANTENIMIENTO PREVENTIVO Y CORRECTIVO DEL ASCENSOR AÑO 2022"/>
    <n v="1"/>
    <s v="266 0001"/>
    <x v="0"/>
    <n v="0"/>
    <x v="0"/>
    <n v="401"/>
    <x v="0"/>
    <n v="1"/>
    <n v="0"/>
    <n v="0"/>
    <s v="CORRIENTE"/>
    <n v="53"/>
    <x v="12"/>
    <s v="MAQUINARIAS Y EQUIPOS (INSTALACIÓN, MANTENIMIENTO Y REPARACIÓN)"/>
    <n v="2106.72"/>
    <n v="1070.9999999999998"/>
    <n v="0"/>
    <n v="0"/>
    <n v="0"/>
    <n v="0"/>
    <n v="171"/>
    <n v="153"/>
    <n v="171"/>
    <n v="306"/>
    <n v="171"/>
    <n v="153"/>
    <n v="171"/>
    <n v="153"/>
    <n v="171"/>
    <n v="153"/>
    <n v="171"/>
    <n v="153"/>
    <n v="44.99999999999977"/>
    <n v="0"/>
    <n v="0"/>
    <n v="0"/>
    <n v="0"/>
    <n v="0"/>
    <n v="0"/>
    <n v="0"/>
    <n v="1070.9999999999998"/>
    <s v="OK"/>
    <n v="1071"/>
    <n v="-2.2737367544323206E-13"/>
    <n v="1071"/>
    <n v="0"/>
  </r>
  <r>
    <s v="CONTRATACIÓN DE REENCAUCHE DE LLANTAS DE LOS VEHÍCULOS DEL CENTRO OPERATIVO ECU 911  AÑO 2022 A FIN DE CUMPLIR EN LO ESTABLECIDO EN LA NORMATIVA PARA INSTITUCIONES DEL ESTADO"/>
    <n v="2"/>
    <s v="266 0001"/>
    <x v="0"/>
    <n v="0"/>
    <x v="0"/>
    <n v="401"/>
    <x v="0"/>
    <n v="1"/>
    <n v="0"/>
    <n v="0"/>
    <s v="CORRIENTE"/>
    <n v="53"/>
    <x v="13"/>
    <s v="VEHÍCULOS (SERVICIO PARA MANTENIMIENTO Y REPARACIÓN)"/>
    <n v="96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CONTRATACIÓN DE MANO DE OBRA PARA MANTENIMIENTO DE VEHÍCULOS LIVIANOS DEL CENTRO OPERATIVO  ECU 911 PARA GARANTIZAR OPERATIVIDAD"/>
    <n v="1"/>
    <s v="266 0001"/>
    <x v="0"/>
    <n v="0"/>
    <x v="0"/>
    <n v="401"/>
    <x v="0"/>
    <n v="1"/>
    <n v="0"/>
    <n v="0"/>
    <s v="CORRIENTE"/>
    <n v="53"/>
    <x v="13"/>
    <s v="VEHÍCULOS (SERVICIO PARA MANTENIMIENTO Y REPARACIÓN)"/>
    <n v="651.84"/>
    <n v="565.0000000000001"/>
    <n v="0"/>
    <n v="0"/>
    <n v="0"/>
    <n v="175"/>
    <n v="0"/>
    <n v="0"/>
    <n v="0"/>
    <n v="73"/>
    <n v="0"/>
    <n v="0"/>
    <n v="0"/>
    <n v="0"/>
    <n v="0"/>
    <n v="0"/>
    <n v="0"/>
    <n v="63"/>
    <n v="0"/>
    <n v="0"/>
    <n v="0"/>
    <n v="0"/>
    <n v="565.0000000000001"/>
    <n v="175"/>
    <n v="0"/>
    <n v="79"/>
    <n v="565.0000000000001"/>
    <s v="OK"/>
    <n v="565"/>
    <n v="1.1368683772161603E-13"/>
    <n v="565"/>
    <n v="0"/>
  </r>
  <r>
    <s v=" ADQUISICIÓN DE EQUIPOS DE PROTECCIÓN INDIVIDUAL Y ROPA DE TRABAJO"/>
    <n v="1"/>
    <s v="266 0001"/>
    <x v="0"/>
    <n v="0"/>
    <x v="0"/>
    <n v="401"/>
    <x v="0"/>
    <n v="1"/>
    <n v="0"/>
    <n v="0"/>
    <s v="CORRIENTE"/>
    <n v="53"/>
    <x v="14"/>
    <s v="VESTUARIO, LENCERÍA, PRENDAS DE PROTECCIÓN Y ACCESORIOS PARA UNIFORMES DEL PERSONAL DE PROTECCIÓN, VIGILANCIA Y SEGURIDAD"/>
    <n v="1249.92"/>
    <n v="1024.98"/>
    <n v="0"/>
    <n v="0"/>
    <n v="0"/>
    <n v="0"/>
    <n v="0"/>
    <n v="0"/>
    <n v="0"/>
    <n v="0"/>
    <n v="0"/>
    <n v="0"/>
    <n v="0"/>
    <n v="0"/>
    <n v="0"/>
    <n v="0"/>
    <n v="0"/>
    <n v="0"/>
    <n v="1024.98"/>
    <n v="778.75"/>
    <n v="0"/>
    <n v="0"/>
    <n v="0"/>
    <n v="0"/>
    <n v="0"/>
    <n v="246.04"/>
    <n v="1024.98"/>
    <s v="OK"/>
    <n v="1024.79"/>
    <n v="0.19000000000002615"/>
    <n v="1024.98"/>
    <n v="0"/>
  </r>
  <r>
    <s v="ADQUISICIÓN DE COMBUSTIBLES, LUBRICANTES, Y ADITIVOS EN GENERAL PARA MANTENIMIENTO DE LOS VEHÍCULOS DEL CENTRO OPERATIVO ECU 911 AÑO 2021"/>
    <n v="1"/>
    <s v="266 0001"/>
    <x v="0"/>
    <n v="0"/>
    <x v="0"/>
    <n v="401"/>
    <x v="0"/>
    <n v="1"/>
    <n v="0"/>
    <n v="0"/>
    <s v="CORRIENTE"/>
    <n v="53"/>
    <x v="15"/>
    <s v="COMBUSTIBLES Y LUBRICANTES"/>
    <n v="366.24"/>
    <n v="283"/>
    <n v="0"/>
    <n v="0"/>
    <n v="0"/>
    <n v="0"/>
    <n v="0"/>
    <n v="0"/>
    <n v="0"/>
    <n v="42.5"/>
    <n v="0"/>
    <n v="0"/>
    <n v="0"/>
    <n v="0"/>
    <n v="0"/>
    <n v="0"/>
    <n v="0"/>
    <n v="44.5"/>
    <n v="0"/>
    <n v="0"/>
    <n v="0"/>
    <n v="0"/>
    <n v="283"/>
    <n v="105.5"/>
    <n v="0"/>
    <n v="46"/>
    <n v="283"/>
    <s v="OK"/>
    <n v="238.5"/>
    <n v="44.5"/>
    <n v="283"/>
    <n v="0"/>
  </r>
  <r>
    <s v="ADQUISICIÓN DE COMBUSTIBLES PARA MOVILIZACIÓN DE VEHÍCULOS DEL CENTRO PERIODO 2021 "/>
    <n v="1"/>
    <s v="266 0001"/>
    <x v="0"/>
    <n v="0"/>
    <x v="0"/>
    <n v="401"/>
    <x v="0"/>
    <n v="1"/>
    <n v="0"/>
    <n v="0"/>
    <s v="CORRIENTE"/>
    <n v="53"/>
    <x v="15"/>
    <s v="COMBUSTIBLES Y LUBRICANTES"/>
    <n v="1100.9599999999998"/>
    <n v="859.69"/>
    <n v="0"/>
    <n v="0"/>
    <n v="0"/>
    <n v="44.5"/>
    <n v="0"/>
    <n v="0"/>
    <n v="0"/>
    <n v="0"/>
    <n v="0"/>
    <n v="0"/>
    <n v="0"/>
    <n v="223.21"/>
    <n v="0"/>
    <n v="0"/>
    <n v="0"/>
    <n v="0"/>
    <n v="0"/>
    <n v="178.57"/>
    <n v="0"/>
    <n v="0"/>
    <n v="859.69"/>
    <n v="542.28"/>
    <n v="0"/>
    <n v="0"/>
    <n v="859.69"/>
    <s v="OK"/>
    <n v="988.56"/>
    <n v="-128.86999999999995"/>
    <n v="859.69"/>
    <n v="0"/>
  </r>
  <r>
    <s v="ADQUISICIÓN DE COMBUSTIBLES PERIODO 2022 PARA ABASTECIMIENTO DE GENERADORES"/>
    <n v="1"/>
    <s v="266 0001"/>
    <x v="0"/>
    <n v="0"/>
    <x v="0"/>
    <n v="401"/>
    <x v="0"/>
    <n v="1"/>
    <n v="0"/>
    <n v="0"/>
    <s v="CORRIENTE"/>
    <n v="53"/>
    <x v="15"/>
    <s v="COMBUSTIBLES Y LUBRICANTES"/>
    <n v="400.9599999999998"/>
    <n v="475"/>
    <n v="0"/>
    <n v="0"/>
    <n v="0"/>
    <n v="0"/>
    <n v="0"/>
    <n v="0"/>
    <n v="0"/>
    <n v="0"/>
    <n v="0"/>
    <n v="0"/>
    <n v="0"/>
    <n v="0"/>
    <n v="475"/>
    <n v="390.63"/>
    <n v="0"/>
    <n v="0"/>
    <n v="0"/>
    <n v="0"/>
    <n v="0"/>
    <n v="0"/>
    <n v="0"/>
    <n v="0"/>
    <n v="0"/>
    <n v="0"/>
    <n v="475"/>
    <s v="OK"/>
    <n v="390.63"/>
    <n v="84.37"/>
    <n v="475"/>
    <n v="0"/>
  </r>
  <r>
    <s v="ELABORACIÓN DE FORMULARIOS PRE-IMPRESOS Y PRE-NUMERADOS PARA VALES DE CAJA CHICA, INGRESOS Y EGRESOS DE BODEGA, ÓRDENES DE COMBUSTIBLE, ÓRDENES DE MANTENIMIENTO, FORMULARIOS DE PERMISOS DE PERSONAL, SOLICITUD DE MOVILIZACIÓN"/>
    <n v="2"/>
    <s v="266 0001"/>
    <x v="0"/>
    <n v="0"/>
    <x v="0"/>
    <n v="401"/>
    <x v="0"/>
    <n v="1"/>
    <n v="0"/>
    <n v="0"/>
    <s v="CORRIENTE"/>
    <n v="53"/>
    <x v="16"/>
    <s v="MATERIALES DE OFICINA"/>
    <n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MATERIALES DE OFICINA AÑO 2022"/>
    <n v="1"/>
    <s v="266 0001"/>
    <x v="0"/>
    <n v="0"/>
    <x v="0"/>
    <n v="401"/>
    <x v="0"/>
    <n v="1"/>
    <n v="0"/>
    <n v="0"/>
    <s v="CORRIENTE"/>
    <n v="53"/>
    <x v="16"/>
    <s v="MATERIALES DE OFICINA"/>
    <n v="699.9999999999999"/>
    <n v="304.27"/>
    <n v="0"/>
    <n v="0"/>
    <n v="0"/>
    <n v="0"/>
    <n v="0"/>
    <n v="0"/>
    <n v="0"/>
    <n v="0"/>
    <n v="304.27"/>
    <n v="53.86"/>
    <n v="0"/>
    <n v="250.41"/>
    <n v="0"/>
    <n v="0"/>
    <n v="0"/>
    <n v="0"/>
    <n v="0"/>
    <n v="0"/>
    <n v="0"/>
    <n v="0"/>
    <n v="0"/>
    <n v="0"/>
    <n v="0"/>
    <n v="0"/>
    <n v="304.27"/>
    <s v="OK"/>
    <n v="304.27"/>
    <n v="-2.842170943040401E-14"/>
    <n v="304.27"/>
    <n v="0"/>
  </r>
  <r>
    <s v="ADQUISICIÓN DE MATERIALES DE ASEO PARA EL CENTRO OPERATIVO LOCAL ECU 911 TULCÁN AÑO 2022"/>
    <n v="1"/>
    <s v="266 0001"/>
    <x v="0"/>
    <n v="0"/>
    <x v="0"/>
    <n v="401"/>
    <x v="0"/>
    <n v="1"/>
    <n v="0"/>
    <n v="0"/>
    <s v="CORRIENTE"/>
    <n v="53"/>
    <x v="17"/>
    <s v="MATERIALES DE ASEO"/>
    <n v="500.6399999999998"/>
    <n v="358.58"/>
    <n v="0"/>
    <n v="0"/>
    <n v="0"/>
    <n v="0"/>
    <n v="0"/>
    <n v="0"/>
    <n v="0"/>
    <n v="0"/>
    <n v="0"/>
    <n v="62.4"/>
    <n v="358.58"/>
    <n v="296.18"/>
    <n v="0"/>
    <n v="0"/>
    <n v="0"/>
    <n v="0"/>
    <n v="0"/>
    <n v="0"/>
    <n v="0"/>
    <n v="0"/>
    <n v="0"/>
    <n v="0"/>
    <n v="0"/>
    <n v="0"/>
    <n v="358.58"/>
    <s v="OK"/>
    <n v="358.58"/>
    <n v="0"/>
    <n v="358.58"/>
    <n v="0"/>
  </r>
  <r>
    <s v="ADQUISICIÓN DE TONERS NEGRO Y DE COLOR PARA IMPRESORAS DEL CENTRO OPERATIVO LOCAL ECU 911 TULCÁN AÑO 2022"/>
    <n v="1"/>
    <s v="266 0001"/>
    <x v="0"/>
    <n v="0"/>
    <x v="0"/>
    <n v="401"/>
    <x v="0"/>
    <n v="1"/>
    <n v="0"/>
    <n v="0"/>
    <s v="CORRIENTE"/>
    <n v="53"/>
    <x v="18"/>
    <s v="MATERIALES DE IMPRESIÓN, FOTOGRAFÍA, REPRODUCCIÓN Y PUBLICACIONES"/>
    <n v="3499.999999999999"/>
    <n v="731.9999999999998"/>
    <n v="0"/>
    <n v="0"/>
    <n v="0"/>
    <n v="0"/>
    <n v="0"/>
    <n v="0"/>
    <n v="0"/>
    <n v="0"/>
    <n v="0"/>
    <n v="0"/>
    <n v="0"/>
    <n v="0"/>
    <n v="731.9999999999998"/>
    <n v="731.9999999999998"/>
    <n v="0"/>
    <n v="0"/>
    <n v="0"/>
    <n v="0"/>
    <n v="0"/>
    <n v="0"/>
    <n v="0"/>
    <n v="0"/>
    <n v="0"/>
    <n v="0"/>
    <n v="731.9999999999998"/>
    <s v="OK"/>
    <n v="731.9999999999998"/>
    <n v="0"/>
    <n v="732"/>
    <n v="0"/>
  </r>
  <r>
    <s v="CANCELACIÓN  POR REPRODUCCIÓN DE REGLAMENTO INTERNO DE HIGIENE Y SEGURIDAD EN EL TRABAJO DE BOLSILLO PARA DISTRIBUIR A LOS SERVIDORES  Y TRABAJADORES DE LA COORDINACIÓN ZONAL 1 SERVICIO INTEGRADO DE SEGURIDAD ECU 911."/>
    <n v="1"/>
    <s v="266 0001"/>
    <x v="0"/>
    <n v="0"/>
    <x v="0"/>
    <n v="401"/>
    <x v="0"/>
    <n v="1"/>
    <n v="0"/>
    <n v="0"/>
    <s v="CORRIENTE"/>
    <n v="53"/>
    <x v="18"/>
    <s v="MATERIALES DE IMPRESIÓN, FOTOGRAFÍA, REPRODUCCIÓN Y PUBLICACIONES"/>
    <n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SEÑALÉTICA DE SEGURIDAD PARA CENTROS OPERATIVOS LOCAL ECU 911 TULCÁN"/>
    <n v="1"/>
    <s v="266 0001"/>
    <x v="0"/>
    <n v="0"/>
    <x v="0"/>
    <n v="401"/>
    <x v="0"/>
    <n v="1"/>
    <n v="0"/>
    <n v="0"/>
    <s v="CORRIENTE"/>
    <n v="53"/>
    <x v="18"/>
    <s v="MATERIALES DE IMPRESIÓN, FOTOGRAFÍA, REPRODUCCIÓN Y PUBLICACIONES"/>
    <n v="56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BIENES Y PAGO DE SERVICIOS NO PREVISIBLES, URGENTES Y DE VALOR REDUCIDO (CAJA CHICA)."/>
    <n v="2"/>
    <s v="266 0001"/>
    <x v="0"/>
    <n v="0"/>
    <x v="0"/>
    <n v="401"/>
    <x v="0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400"/>
    <n v="225.04"/>
    <n v="0"/>
    <n v="0"/>
    <n v="0"/>
    <n v="0"/>
    <n v="0"/>
    <n v="0"/>
    <n v="0"/>
    <n v="0"/>
    <n v="0"/>
    <n v="75"/>
    <n v="0"/>
    <n v="22.14"/>
    <n v="0"/>
    <n v="0"/>
    <n v="0"/>
    <n v="0"/>
    <n v="0"/>
    <n v="0"/>
    <n v="0"/>
    <n v="0"/>
    <n v="0"/>
    <n v="92.75"/>
    <n v="400"/>
    <n v="35.15"/>
    <n v="400"/>
    <n v="-174.96"/>
    <n v="225.04"/>
    <n v="174.96"/>
    <n v="97.14"/>
    <n v="127.89999999999999"/>
  </r>
  <r>
    <s v="ADQUISICIÓN DE  MATERIAL DE FERRETERÍA COMO: FLUXÓMETROS, EMPAQUES, SISTEMAS DE DESAGÜE, EMPASTES, PINTURA DE INTERIOR Y EXTERIOR, SILICONAS, SOLVENTES, PINTURA ESMALTE, MATERIAL ELÉCTRICO, TACOS, PERNOS, TUERCAS AÑO 2022"/>
    <n v="1"/>
    <s v="266 0001"/>
    <x v="0"/>
    <n v="0"/>
    <x v="0"/>
    <n v="401"/>
    <x v="0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250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CARPA PARA VINCULACIÓN"/>
    <n v="2"/>
    <s v="266 0001"/>
    <x v="0"/>
    <n v="0"/>
    <x v="0"/>
    <n v="401"/>
    <x v="0"/>
    <n v="1"/>
    <n v="0"/>
    <n v="0"/>
    <s v="CORRIENTE"/>
    <n v="53"/>
    <x v="20"/>
    <s v="MATERIALES DIDÁCTICOS"/>
    <n v="200.47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UN  INFLABLE PARA VINCULACIÓN"/>
    <n v="2"/>
    <s v="266 0001"/>
    <x v="0"/>
    <n v="0"/>
    <x v="0"/>
    <n v="401"/>
    <x v="0"/>
    <n v="1"/>
    <n v="0"/>
    <n v="0"/>
    <s v="CORRIENTE"/>
    <n v="53"/>
    <x v="20"/>
    <s v="MATERIALES DIDÁCTICOS"/>
    <n v="600.31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REPUESTOS PARA SECADORES DE MANO "/>
    <n v="1"/>
    <s v="266 0001"/>
    <x v="0"/>
    <n v="0"/>
    <x v="0"/>
    <n v="401"/>
    <x v="0"/>
    <n v="1"/>
    <n v="0"/>
    <n v="0"/>
    <s v="CORRIENTE"/>
    <n v="53"/>
    <x v="21"/>
    <s v="REPUESTOS Y ACCESORIOS"/>
    <n v="200.47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REPUESTOS PARA MANTENIMIENTO DE VEHÍCULOS LIVIANOS DEL CENTRO OPERATIVO  ECU 911 POR EL PERÍODO 2022"/>
    <n v="1"/>
    <s v="266 0001"/>
    <x v="0"/>
    <n v="0"/>
    <x v="0"/>
    <n v="401"/>
    <x v="0"/>
    <n v="1"/>
    <n v="0"/>
    <n v="0"/>
    <s v="CORRIENTE"/>
    <n v="53"/>
    <x v="21"/>
    <s v="REPUESTOS Y ACCESORIOS"/>
    <n v="430.0799999999998"/>
    <n v="402"/>
    <n v="0"/>
    <n v="0"/>
    <n v="0"/>
    <n v="0"/>
    <n v="0"/>
    <n v="0"/>
    <n v="0"/>
    <n v="30"/>
    <n v="0"/>
    <n v="0"/>
    <n v="0"/>
    <n v="0"/>
    <n v="0"/>
    <n v="0"/>
    <n v="0"/>
    <n v="75"/>
    <n v="0"/>
    <n v="0"/>
    <n v="0"/>
    <n v="0"/>
    <n v="402"/>
    <n v="64"/>
    <n v="0"/>
    <n v="31"/>
    <n v="402"/>
    <s v="OK"/>
    <n v="200"/>
    <n v="202"/>
    <n v="402"/>
    <n v="0"/>
  </r>
  <r>
    <s v="ADQUISICIÓN DE REPUESTOS COMO FILTROS DE IMAGEN, MOTOR, CUCHILLAS, RODILLOS, PIÑONES, UÑETAS, COMPONENTES ELECTRÓNICOS INTERNOS DE IMPRESORAS"/>
    <n v="1"/>
    <s v="266 0001"/>
    <x v="0"/>
    <n v="0"/>
    <x v="0"/>
    <n v="401"/>
    <x v="0"/>
    <n v="1"/>
    <n v="0"/>
    <n v="0"/>
    <s v="CORRIENTE"/>
    <n v="53"/>
    <x v="21"/>
    <s v="REPUESTOS Y ACCESORIOS"/>
    <n v="2000.3199999999993"/>
    <n v="780"/>
    <n v="0"/>
    <n v="0"/>
    <n v="0"/>
    <n v="202"/>
    <n v="0"/>
    <n v="0"/>
    <n v="0"/>
    <n v="0"/>
    <n v="0"/>
    <n v="0"/>
    <n v="0"/>
    <n v="0"/>
    <n v="0"/>
    <n v="0"/>
    <n v="0"/>
    <n v="0"/>
    <n v="780"/>
    <n v="780"/>
    <n v="0"/>
    <n v="0"/>
    <n v="0"/>
    <n v="0"/>
    <n v="0"/>
    <n v="0"/>
    <n v="780"/>
    <s v="OK"/>
    <n v="982"/>
    <n v="-202"/>
    <n v="780"/>
    <n v="0"/>
  </r>
  <r>
    <s v="ADQUISICIÓN DE DOS DISCOS DUROS DE 1 TB"/>
    <n v="2"/>
    <s v="266 0001"/>
    <x v="0"/>
    <n v="0"/>
    <x v="0"/>
    <n v="401"/>
    <x v="0"/>
    <n v="1"/>
    <n v="0"/>
    <n v="0"/>
    <s v="CORRIENTE"/>
    <n v="53"/>
    <x v="21"/>
    <s v="REPUESTOS Y ACCESORIOS"/>
    <n v="180.31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MENAJE DE HOGAR, TOALLAS PARA EL ÁREA DE DORMITORIOS, MANTELES PARA EL ÁREA DEL CATERING"/>
    <n v="3"/>
    <s v="266 0001"/>
    <x v="0"/>
    <n v="0"/>
    <x v="0"/>
    <n v="401"/>
    <x v="0"/>
    <n v="1"/>
    <n v="0"/>
    <n v="0"/>
    <s v="CORRIENTE"/>
    <n v="53"/>
    <x v="22"/>
    <s v="MENAJE Y ACCESORIOS DESCARTABLES"/>
    <n v="300.15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PROGRAMAS PARA EDICIÓN DE AUDIO Y VIDEO"/>
    <n v="2"/>
    <s v="266 0001"/>
    <x v="0"/>
    <n v="0"/>
    <x v="0"/>
    <n v="401"/>
    <x v="0"/>
    <n v="1"/>
    <n v="0"/>
    <n v="0"/>
    <s v="CORRIENTE"/>
    <n v="53"/>
    <x v="23"/>
    <s v="INSUMOS, BIENES Y MATERIALES PARA PRODUCCIÓN DE PROGRAMAS DE RADIO, TELEVISIÓN, EVENTOS CULTURALES, ARTÍSTICOS Y ENTRETENIMIENTO EN GENERAL"/>
    <n v="1000.15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MICRÓFONO PARA CÁMARA DE VIDEO "/>
    <n v="2"/>
    <s v="266 0001"/>
    <x v="0"/>
    <n v="0"/>
    <x v="0"/>
    <n v="401"/>
    <x v="0"/>
    <n v="1"/>
    <n v="0"/>
    <n v="0"/>
    <s v="CORRIENTE"/>
    <n v="53"/>
    <x v="23"/>
    <s v="INSUMOS, BIENES Y MATERIALES PARA PRODUCCIÓN DE PROGRAMAS DE RADIO, TELEVISIÓN, EVENTOS CULTURALES, ARTÍSTICOS Y ENTRETENIMIENTO EN GENERAL"/>
    <n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MASCARILLA QUIRÚRGICA 3 CAPAS ELÁSTICO TAMAÑO ESTÁNDAR "/>
    <n v="1"/>
    <s v="266 0001"/>
    <x v="0"/>
    <n v="0"/>
    <x v="0"/>
    <n v="401"/>
    <x v="0"/>
    <n v="1"/>
    <n v="0"/>
    <n v="0"/>
    <s v="CORRIENTE"/>
    <n v="53"/>
    <x v="24"/>
    <s v="DISPOSITIVOS MÉDICOS DE USO GENERAL"/>
    <n v="470.3999999999998"/>
    <n v="258.56999999999994"/>
    <n v="0"/>
    <n v="0"/>
    <n v="0"/>
    <n v="0"/>
    <n v="258.56999999999994"/>
    <n v="258.569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8.56999999999994"/>
    <s v="OK"/>
    <n v="258.56999999999994"/>
    <n v="0"/>
    <n v="258.57"/>
    <n v="0"/>
  </r>
  <r>
    <s v="ADQUISICIÓN DE BASUREROS DE BAÑO DE ACERO INOXIDABLE CON TAPA PARA EL CENTRO OPERATIVO LOCAL ECU 911 TULCÁN"/>
    <n v="2"/>
    <s v="266 0001"/>
    <x v="0"/>
    <n v="0"/>
    <x v="0"/>
    <n v="401"/>
    <x v="0"/>
    <n v="1"/>
    <n v="0"/>
    <n v="0"/>
    <s v="CORRIENTE"/>
    <n v="53"/>
    <x v="25"/>
    <s v="MOBILIARIO "/>
    <n v="500.6399999999998"/>
    <n v="40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0"/>
    <n v="0"/>
    <n v="400"/>
    <n v="0"/>
    <n v="0"/>
    <n v="0"/>
    <n v="400"/>
    <s v="OK"/>
    <n v="400"/>
    <n v="0"/>
    <n v="400"/>
    <n v="0"/>
  </r>
  <r>
    <s v="ADQUISICIÓN DE HERRAMIENTAS Y EQUIPOS MENORES NECESARIOS PARA EL  CENTRO"/>
    <n v="2"/>
    <s v="266 0001"/>
    <x v="0"/>
    <n v="0"/>
    <x v="0"/>
    <n v="401"/>
    <x v="0"/>
    <n v="1"/>
    <n v="0"/>
    <n v="0"/>
    <s v="CORRIENTE"/>
    <n v="53"/>
    <x v="26"/>
    <s v="HERRAMIENTAS Y EQUIPOS MENORES"/>
    <n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MATRICULACIÓN Y REVISIÓN VEHICULAR DE LOS VEHÍCULOS DEL CENTRO OPERATIVO LOCAL ECU 911 TULCÁN AÑO 2022"/>
    <n v="1"/>
    <s v="266 0001"/>
    <x v="0"/>
    <n v="0"/>
    <x v="0"/>
    <n v="401"/>
    <x v="0"/>
    <n v="1"/>
    <n v="0"/>
    <n v="0"/>
    <s v="CORRIENTE"/>
    <n v="57"/>
    <x v="27"/>
    <s v="TASAS GENERALES, IMPUESTOS, CONTRIBUCIONES, PERMISOS, LICENCIAS Y PATENTES"/>
    <n v="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CANCELACIÓN DEL PERMISO DE FUNCIONAMIENTO DEL CUERPO DE BOMBEROS AÑO 2022"/>
    <n v="1"/>
    <s v="266 0001"/>
    <x v="0"/>
    <n v="0"/>
    <x v="0"/>
    <n v="401"/>
    <x v="0"/>
    <n v="1"/>
    <n v="0"/>
    <n v="0"/>
    <s v="CORRIENTE"/>
    <n v="57"/>
    <x v="27"/>
    <s v="TASAS GENERALES, IMPUESTOS, CONTRIBUCIONES, PERMISOS, LICENCIAS Y PATENTES"/>
    <n v="100"/>
    <n v="100"/>
    <n v="0"/>
    <n v="0"/>
    <n v="0"/>
    <n v="0"/>
    <n v="0"/>
    <n v="10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s v="OK"/>
    <n v="100"/>
    <n v="0"/>
    <n v="100"/>
    <n v="0"/>
  </r>
  <r>
    <s v="CANCELACIÓN POR TASA DE MEJORAS EN EL MUNICIPIO AÑO 2022"/>
    <n v="1"/>
    <s v="266 0001"/>
    <x v="0"/>
    <n v="0"/>
    <x v="0"/>
    <n v="401"/>
    <x v="0"/>
    <n v="1"/>
    <n v="0"/>
    <n v="0"/>
    <s v="CORRIENTE"/>
    <n v="57"/>
    <x v="27"/>
    <s v="TASAS GENERALES, IMPUESTOS, CONTRIBUCIONES, PERMISOS, LICENCIAS Y PATENTES"/>
    <n v="1600"/>
    <n v="948.3"/>
    <n v="0"/>
    <n v="0"/>
    <n v="0"/>
    <n v="0"/>
    <n v="0"/>
    <n v="948.3"/>
    <n v="948.3"/>
    <n v="0"/>
    <n v="0"/>
    <n v="0"/>
    <n v="0"/>
    <n v="0"/>
    <n v="0"/>
    <n v="0"/>
    <n v="0"/>
    <n v="0"/>
    <n v="0"/>
    <n v="0"/>
    <n v="0"/>
    <n v="0"/>
    <n v="0"/>
    <n v="0"/>
    <n v="0"/>
    <n v="0"/>
    <n v="948.3"/>
    <s v="OK"/>
    <n v="948.3"/>
    <n v="0"/>
    <n v="948.3"/>
    <n v="0"/>
  </r>
  <r>
    <s v="ADQUISICIÓN DE BIENES Y PAGO DE SERVICIOS NO PREVISIBLES, URGENTES Y DE VALOR REDUCIDO (CAJA CHICA)."/>
    <n v="1"/>
    <s v="266 0001"/>
    <x v="0"/>
    <n v="0"/>
    <x v="0"/>
    <n v="401"/>
    <x v="0"/>
    <n v="1"/>
    <n v="0"/>
    <n v="0"/>
    <s v="CORRIENTE"/>
    <n v="57"/>
    <x v="27"/>
    <s v="TASAS GENERALES, IMPUESTOS, CONTRIBUCIONES, PERMISOS, LICENCIAS Y PATENTES"/>
    <n v="100"/>
    <n v="95.37"/>
    <n v="0"/>
    <n v="0"/>
    <n v="0"/>
    <n v="0"/>
    <n v="0"/>
    <n v="0"/>
    <n v="0"/>
    <n v="0"/>
    <n v="0"/>
    <n v="36"/>
    <n v="0"/>
    <n v="0"/>
    <n v="0"/>
    <n v="0"/>
    <n v="0"/>
    <n v="0"/>
    <n v="0"/>
    <n v="0"/>
    <n v="0"/>
    <n v="0"/>
    <n v="0"/>
    <n v="0"/>
    <n v="100"/>
    <n v="59.37"/>
    <n v="100"/>
    <n v="-4.6299999999999955"/>
    <n v="95.37"/>
    <n v="4.630000000000003"/>
    <n v="36"/>
    <n v="59.370000000000005"/>
  </r>
  <r>
    <s v="ARRASTRE: CANCELACIÓN POR DE SERVICIOS DE TELECOMUNICACIONES CORRESPONDIENTE A DICIEMBRE DEL 2021"/>
    <n v="1"/>
    <s v="266 0001"/>
    <x v="1"/>
    <n v="0"/>
    <x v="1"/>
    <n v="401"/>
    <x v="0"/>
    <n v="1"/>
    <n v="0"/>
    <n v="0"/>
    <s v="CORRIENTE"/>
    <n v="53"/>
    <x v="28"/>
    <s v="TELECOMUNICACIONES"/>
    <n v="10300.639999999994"/>
    <n v="5490.869999999999"/>
    <n v="5490.869999999999"/>
    <n v="5490.86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0.869999999999"/>
    <s v="OK"/>
    <n v="5490.869999999999"/>
    <n v="0"/>
    <n v="5490.87"/>
    <n v="0"/>
  </r>
  <r>
    <s v="CONTRATACIÓN DE SERVICIOS DE TELECOMUNICACIONES CORRESPONDIENTE AL CONTRATO ENERO-DICIEMBRE 2022"/>
    <n v="1"/>
    <s v="266 0001"/>
    <x v="1"/>
    <n v="0"/>
    <x v="1"/>
    <n v="401"/>
    <x v="0"/>
    <n v="1"/>
    <n v="0"/>
    <n v="0"/>
    <s v="CORRIENTE"/>
    <n v="53"/>
    <x v="28"/>
    <s v="TELECOMUNICACIONES"/>
    <n v="78010.24"/>
    <n v="63065.14"/>
    <n v="0"/>
    <n v="0"/>
    <n v="6332"/>
    <n v="5475.33"/>
    <n v="6332"/>
    <n v="5460.14"/>
    <n v="6332"/>
    <n v="5495.35"/>
    <n v="6332"/>
    <n v="5471.21"/>
    <n v="6332"/>
    <n v="5451.53"/>
    <n v="6332"/>
    <n v="5469.38"/>
    <n v="6332"/>
    <n v="5437.66"/>
    <n v="6332"/>
    <n v="5441.87"/>
    <n v="6332"/>
    <n v="5410.74"/>
    <n v="6394.389999999999"/>
    <n v="5444.24"/>
    <n v="0"/>
    <n v="5438.51"/>
    <n v="63382.39"/>
    <n v="-317.25"/>
    <n v="59995.95999999999"/>
    <n v="3386.430000000002"/>
    <n v="63382.39"/>
    <n v="-317.25"/>
  </r>
  <r>
    <s v="ADQUISICIÓN DE BIENES Y PAGO DE SERVICIOS NO PREVISIBLES, URGENTES Y DE VALOR REDUCIDO (CAJA CHICA)."/>
    <n v="2"/>
    <s v="266 0001"/>
    <x v="1"/>
    <n v="0"/>
    <x v="1"/>
    <n v="401"/>
    <x v="0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300"/>
    <n v="157.64"/>
    <n v="0"/>
    <n v="0"/>
    <n v="0"/>
    <n v="0"/>
    <n v="0"/>
    <n v="0"/>
    <n v="0"/>
    <n v="0"/>
    <n v="0"/>
    <n v="0"/>
    <n v="0"/>
    <n v="107.64"/>
    <n v="0"/>
    <n v="0"/>
    <n v="0"/>
    <n v="0"/>
    <n v="0"/>
    <n v="0"/>
    <n v="0"/>
    <n v="0"/>
    <n v="0"/>
    <n v="50"/>
    <n v="300"/>
    <n v="0"/>
    <n v="300"/>
    <n v="-142.36"/>
    <n v="157.64"/>
    <n v="142.36"/>
    <n v="107.64"/>
    <n v="49.999999999999986"/>
  </r>
  <r>
    <s v="ADQUISICIÓN DE MATERIALES E INSUMOS PARA MANTENIMIENTOS E INSTALACIONES TECNOLÓGICAS DEL CENTRO"/>
    <n v="1"/>
    <s v="266 0001"/>
    <x v="1"/>
    <n v="0"/>
    <x v="1"/>
    <n v="401"/>
    <x v="0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1200.6399999999992"/>
    <n v="177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78.75"/>
    <n v="1778.75"/>
    <n v="0"/>
    <n v="0"/>
    <n v="0"/>
    <n v="0"/>
    <n v="1778.75"/>
    <s v="OK"/>
    <n v="1778.75"/>
    <n v="0"/>
    <n v="1778.75"/>
    <n v="0"/>
  </r>
  <r>
    <s v="ADQUISICIÓN DE BIENES Y PAGO DE SERVICIOS NO PREVISIBLES, URGENTES Y DE VALOR REDUCIDO (CAJA CHICA)."/>
    <n v="2"/>
    <s v="266 0001"/>
    <x v="1"/>
    <n v="0"/>
    <x v="1"/>
    <n v="401"/>
    <x v="0"/>
    <n v="1"/>
    <n v="0"/>
    <n v="0"/>
    <s v="CORRIENTE"/>
    <n v="53"/>
    <x v="21"/>
    <s v="REPUESTOS Y ACCESORIOS"/>
    <n v="150"/>
    <n v="132"/>
    <n v="0"/>
    <n v="0"/>
    <n v="0"/>
    <n v="0"/>
    <n v="0"/>
    <n v="0"/>
    <n v="0"/>
    <n v="0"/>
    <n v="0"/>
    <n v="89"/>
    <n v="0"/>
    <n v="43"/>
    <n v="0"/>
    <n v="0"/>
    <n v="0"/>
    <n v="0"/>
    <n v="0"/>
    <n v="0"/>
    <n v="0"/>
    <n v="0"/>
    <n v="0"/>
    <n v="0"/>
    <n v="150"/>
    <n v="0"/>
    <n v="150"/>
    <n v="-18"/>
    <n v="132"/>
    <n v="18"/>
    <n v="132"/>
    <n v="0"/>
  </r>
  <r>
    <s v="ADQUISICIÓN DE REPUESTOS Y ACCESORIOS TECNOLÓGICOS PARA MAQUINARIAS, PLANTAS ELÉCTRICAS, EQUIPOS Y OTROS"/>
    <n v="1"/>
    <s v="266 0001"/>
    <x v="1"/>
    <n v="0"/>
    <x v="1"/>
    <n v="401"/>
    <x v="0"/>
    <n v="1"/>
    <n v="0"/>
    <n v="0"/>
    <s v="CORRIENTE"/>
    <n v="53"/>
    <x v="21"/>
    <s v="REPUESTOS Y ACCESORIOS"/>
    <n v="5200.159999999998"/>
    <n v="4450.30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50.3099999999995"/>
    <n v="4450.31"/>
    <n v="0"/>
    <n v="0"/>
    <n v="0"/>
    <n v="0"/>
    <n v="4450.3099999999995"/>
    <s v="OK"/>
    <n v="4450.31"/>
    <n v="-9.094947017729282E-13"/>
    <n v="4450.31"/>
    <n v="0"/>
  </r>
  <r>
    <s v="ADQUISICIÓN DE EQUIPOS TECNOLÓGICOS PARA LOS CENTROS OPERATIVOS ECU911 IBARRA, ESMERALDAS, NUEVA LOJA Y TULCÁN"/>
    <n v="1"/>
    <s v="266 0001"/>
    <x v="1"/>
    <n v="0"/>
    <x v="1"/>
    <n v="401"/>
    <x v="0"/>
    <n v="1"/>
    <n v="0"/>
    <n v="0"/>
    <s v="CORRIENTE"/>
    <n v="53"/>
    <x v="29"/>
    <s v="MAQUINARIAS Y EQUIPOS"/>
    <n v="0"/>
    <n v="1970"/>
    <n v="0"/>
    <n v="0"/>
    <n v="0"/>
    <n v="0"/>
    <n v="1970"/>
    <n v="19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70"/>
    <s v="OK"/>
    <n v="1970"/>
    <n v="0"/>
    <n v="1970"/>
    <n v="0"/>
  </r>
  <r>
    <s v="ADQUISICIÓN DE EQUIPOS TECNOLÓGICOS PARA LOS CENTROS OPERATIVOS ECU911 IBARRA, ESMERALDAS, NUEVA LOJA Y TULCÁN"/>
    <n v="1"/>
    <s v="266 0001"/>
    <x v="1"/>
    <n v="0"/>
    <x v="1"/>
    <n v="401"/>
    <x v="0"/>
    <n v="1"/>
    <n v="0"/>
    <n v="0"/>
    <s v="CORRIENTE"/>
    <n v="53"/>
    <x v="30"/>
    <s v="EQUIPOS, SISTEMAS Y PAQUETES INFORMÁTICOS"/>
    <n v="0"/>
    <n v="495"/>
    <n v="0"/>
    <n v="0"/>
    <n v="0"/>
    <n v="0"/>
    <n v="495"/>
    <n v="4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"/>
    <s v="OK"/>
    <n v="495"/>
    <n v="0"/>
    <n v="495"/>
    <n v="0"/>
  </r>
  <r>
    <s v="PAGO POR MANTENIMIENTO Y REPARACIÓN DE FISURAS O GRIETAS Y CONTROL DE HUMEDAD DE PAREDES EXTERNAS, PINTURA EXTERNA DEL EDIFICIO ECU 911"/>
    <n v="1"/>
    <s v="266 0001"/>
    <x v="0"/>
    <n v="0"/>
    <x v="0"/>
    <n v="401"/>
    <x v="0"/>
    <n v="1"/>
    <n v="0"/>
    <n v="0"/>
    <s v="CORRIENTE"/>
    <n v="53"/>
    <x v="10"/>
    <s v="EDIFICIOS, LOCALES, RESIDENCIAS Y CABLEADO ESTRUCTURADO (INSTALACIÓN, MANTENIMIENTO Y REPARACIÓN)"/>
    <n v="0"/>
    <n v="8121.75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21.750000000002"/>
    <n v="8121.75"/>
    <n v="0"/>
    <n v="0"/>
    <n v="8121.750000000002"/>
    <s v="OK"/>
    <n v="8121.75"/>
    <n v="1.8189894035458565E-12"/>
    <n v="8121.75"/>
    <n v="0"/>
  </r>
  <r>
    <s v="ADQUISICIÓN DE SEÑALÉTICA DE SEGURIDAD PARA CENTROS OPERATIVOS LOCAL ECU 911 TULCÁN"/>
    <n v="1"/>
    <s v="266 0001"/>
    <x v="0"/>
    <n v="0"/>
    <x v="0"/>
    <n v="401"/>
    <x v="0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7.84"/>
    <n v="0"/>
    <n v="567.84"/>
    <n v="-567.84"/>
    <n v="0"/>
    <n v="567.84"/>
    <n v="0"/>
    <n v="0"/>
  </r>
  <r>
    <s v="ADQUISICIÓN DE TARJETAS PVC, CINTA PARA CREDENCIALES Y PORTA CREDENCIALES PARA EL PERSONAL DEL CENTRO OPERATIVO LOCAL TULCÁN."/>
    <n v="1"/>
    <s v="266 0001"/>
    <x v="0"/>
    <n v="0"/>
    <x v="0"/>
    <n v="401"/>
    <x v="0"/>
    <n v="1"/>
    <n v="0"/>
    <n v="0"/>
    <s v="CORRIENTE"/>
    <s v="53"/>
    <x v="16"/>
    <s v="MATERIALES DE OFICINA"/>
    <n v="0"/>
    <n v="107.16"/>
    <n v="0"/>
    <n v="0"/>
    <n v="0"/>
    <n v="0"/>
    <n v="0"/>
    <n v="0"/>
    <n v="0"/>
    <n v="0"/>
    <n v="0"/>
    <n v="0"/>
    <n v="107.16"/>
    <n v="0"/>
    <n v="0"/>
    <n v="107.16"/>
    <n v="0"/>
    <n v="0"/>
    <n v="0"/>
    <n v="0"/>
    <n v="0"/>
    <n v="0"/>
    <n v="0"/>
    <n v="0"/>
    <n v="0"/>
    <n v="0"/>
    <n v="107.16"/>
    <s v="OK"/>
    <n v="107.16"/>
    <n v="0"/>
    <n v="107.16"/>
    <n v="0"/>
  </r>
  <r>
    <s v="CONTRATACIÓN DEL SERVICIO DE EMISIÓN DE PASAJES AÉREOS NACIONALES PARA EL CENTRO OPERATIVO LOCAL ECU 911 TULCAN"/>
    <n v="1"/>
    <s v="266 0001"/>
    <x v="0"/>
    <n v="0"/>
    <x v="0"/>
    <n v="401"/>
    <x v="0"/>
    <n v="1"/>
    <n v="0"/>
    <n v="0"/>
    <s v="CORRIENTE"/>
    <s v="53"/>
    <x v="8"/>
    <s v="PASAJES AL INTERIO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CONTRATACION DEL SERVICIO DE MANO DE OBRA PARA LA REPARACION DEL VEHICULO POR SINIESTRO"/>
    <n v="1"/>
    <s v="266 0001"/>
    <x v="0"/>
    <n v="0"/>
    <x v="0"/>
    <n v="401"/>
    <x v="0"/>
    <n v="1"/>
    <n v="0"/>
    <n v="0"/>
    <s v="CORRIENTE"/>
    <s v="53"/>
    <x v="13"/>
    <s v="VEHÍCULOS (SERVICIO PARA MANTENIMIENTO Y REPARACIÓN)"/>
    <n v="0"/>
    <n v="1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0"/>
    <n v="1500"/>
    <n v="0"/>
    <n v="0"/>
    <n v="1500"/>
    <s v="OK"/>
    <n v="1500"/>
    <n v="0"/>
    <n v="1500"/>
    <n v="0"/>
  </r>
  <r>
    <s v="CANCELACIÓN DEL PARQUEADERO DEL VEHÍCULO SUZUKI SZ PEI7350 SINIESTRADO DEL CENTRO OPERATIVO LOCAL TULCÁN"/>
    <n v="1"/>
    <s v="266 0001"/>
    <x v="0"/>
    <n v="0"/>
    <x v="0"/>
    <n v="401"/>
    <x v="0"/>
    <n v="1"/>
    <n v="0"/>
    <n v="0"/>
    <s v="CORRIENTE"/>
    <s v="53"/>
    <x v="31"/>
    <s v="EDIFICIOS, LOCALES Y RESIDENCIAS, PARQUEADEROS, CASILLEROS JUDICIALES Y BANCARIOS (ARRENDAMIENTO)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s v="OK"/>
    <n v="0"/>
    <n v="0"/>
    <n v="0"/>
    <n v="0"/>
  </r>
  <r>
    <s v="ADQUISICIÓN DE MINI STAND PORTABLE (EXHIBIDOR DE PLÁSTICO) PARA LOS CENTROS OPERATIVOS QUE CONFORMAN LA COORDINACIÓN ZONAL 1 DEL SERVICIO INTEGRADO DE SEGURIDAD."/>
    <n v="1"/>
    <s v="266 0001"/>
    <x v="0"/>
    <n v="0"/>
    <x v="0"/>
    <n v="401"/>
    <x v="0"/>
    <n v="1"/>
    <n v="0"/>
    <n v="0"/>
    <s v="CORRIENTE"/>
    <s v="53"/>
    <x v="25"/>
    <s v="MOBILIARIO"/>
    <n v="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"/>
    <n v="0"/>
    <n v="230"/>
    <n v="-80"/>
    <n v="0"/>
    <n v="230"/>
    <n v="150"/>
    <n v="0"/>
  </r>
  <r>
    <s v="ADQUISICIÓN DE CARPA PARA VINCULACIÓN"/>
    <n v="1"/>
    <s v="266 0001"/>
    <x v="0"/>
    <n v="0"/>
    <x v="0"/>
    <n v="401"/>
    <x v="0"/>
    <n v="1"/>
    <n v="0"/>
    <n v="0"/>
    <s v="CORRIENTE"/>
    <s v="53"/>
    <x v="29"/>
    <s v="MAQUINARIAS Y EQUIPOS"/>
    <n v="0"/>
    <n v="5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0"/>
    <n v="530"/>
    <n v="0"/>
    <n v="0"/>
    <n v="0"/>
    <n v="530"/>
    <s v="OK"/>
    <n v="530"/>
    <n v="0"/>
    <n v="530"/>
    <n v="0"/>
  </r>
  <r>
    <s v=" ADQUISICIÓN DE EQUIPOS DE PROTECCIÓN INDIVIDUAL Y ROPA DE TRABAJO"/>
    <n v="1"/>
    <s v="266 0001"/>
    <x v="0"/>
    <n v="0"/>
    <x v="0"/>
    <n v="401"/>
    <x v="0"/>
    <n v="1"/>
    <n v="0"/>
    <n v="0"/>
    <s v="CORRIENTE"/>
    <s v="53"/>
    <x v="21"/>
    <s v="REPUESTOS Y ACCESORIOS"/>
    <n v="0"/>
    <n v="60"/>
    <n v="0"/>
    <n v="0"/>
    <n v="0"/>
    <n v="0"/>
    <n v="0"/>
    <n v="0"/>
    <n v="0"/>
    <n v="0"/>
    <n v="0"/>
    <n v="0"/>
    <n v="0"/>
    <n v="0"/>
    <n v="0"/>
    <n v="0"/>
    <n v="0"/>
    <n v="0"/>
    <n v="60"/>
    <n v="60"/>
    <n v="0"/>
    <n v="0"/>
    <n v="0"/>
    <n v="0"/>
    <n v="0"/>
    <n v="0"/>
    <n v="60"/>
    <s v="OK"/>
    <n v="60"/>
    <n v="0"/>
    <n v="60"/>
    <n v="0"/>
  </r>
  <r>
    <s v="CONTRATACION DE REPUESTOS PARA LA REPARACION DEL VEHICULO POR SINIESTRO"/>
    <n v="1"/>
    <s v="266 0001"/>
    <x v="0"/>
    <n v="0"/>
    <x v="0"/>
    <n v="401"/>
    <x v="0"/>
    <n v="1"/>
    <n v="0"/>
    <n v="0"/>
    <s v="CORRIENTE"/>
    <s v="53"/>
    <x v="21"/>
    <s v="REPUESTOS Y ACCESORIOS"/>
    <n v="0"/>
    <n v="4819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9.5"/>
    <n v="4819.5"/>
    <n v="0"/>
    <n v="0"/>
    <n v="4819.5"/>
    <s v="OK"/>
    <n v="4819.5"/>
    <n v="0"/>
    <n v="4819.5"/>
    <n v="0"/>
  </r>
  <r>
    <s v="ADECUACIÓN Y MEJORAMIENTO DEL CERRAMIENTO"/>
    <n v="1"/>
    <s v="266 0001"/>
    <x v="0"/>
    <n v="0"/>
    <x v="0"/>
    <n v="401"/>
    <x v="0"/>
    <n v="1"/>
    <n v="0"/>
    <n v="0"/>
    <s v="CORRIENTE"/>
    <s v="53"/>
    <x v="10"/>
    <s v="EDIFICIOS, LOCALES, RESIDENCIAS Y CABLEADO ESTRUCTURADO (INSTALACIÓN, MANTENIMIENTO Y REPARACIÓN)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MATERIAL DE POSICIONAMIENTO E IDENTIDAD DEL ECU 911 PARA LOS CENTROS QUE CONFORMAN LA COORDINACIÓN ZONAL 1"/>
    <n v="1"/>
    <s v="266 0001"/>
    <x v="0"/>
    <n v="0"/>
    <x v="0"/>
    <n v="401"/>
    <x v="0"/>
    <n v="1"/>
    <n v="0"/>
    <n v="0"/>
    <s v="CORRIENTE"/>
    <s v="53"/>
    <x v="19"/>
    <s v="INSUMOS, MATERIALES Y SUMINISTROS PARA CONSTRUCCIÓN, ELECTRICIDAD, PLOMERÍA, CARPINTERÍA, SEÑALIZACIÓN VIAL, NAVEGACIÓN, CONTRA INCENDIOS Y PLACAS"/>
    <n v="0"/>
    <n v="68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7.5"/>
    <n v="687.5"/>
    <n v="0"/>
    <n v="0"/>
    <n v="0"/>
    <n v="0"/>
    <n v="687.5"/>
    <s v="OK"/>
    <n v="687.5"/>
    <n v="0"/>
    <n v="687.5"/>
    <n v="0"/>
  </r>
  <r>
    <s v="ADQUISICIÓN DE MATERIAL DE POSICIONAMIENTO E IDENTIDAD DEL ECU 911 PARA LOS CENTROS QUE CONFORMAN LA COORDINACIÓN ZONAL 1"/>
    <n v="1"/>
    <s v="266 0001"/>
    <x v="0"/>
    <n v="0"/>
    <x v="0"/>
    <n v="401"/>
    <x v="0"/>
    <n v="1"/>
    <n v="0"/>
    <n v="0"/>
    <s v="CORRIENTE"/>
    <s v="53"/>
    <x v="16"/>
    <s v="MATERIALES DE OFICINA"/>
    <n v="0"/>
    <n v="4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"/>
    <n v="481"/>
    <n v="0"/>
    <n v="0"/>
    <n v="0"/>
    <n v="0"/>
    <n v="481"/>
    <s v="OK"/>
    <n v="481"/>
    <n v="0"/>
    <n v="481"/>
    <n v="0"/>
  </r>
  <r>
    <s v="ADQUISICIÓN DE CINTAS PARA ETIQUETADORA PARA LA UNIDAD DE BIENES PARA EL CENTRO OPERATIVO LOCAL ECU 911  TULCAN"/>
    <n v="1"/>
    <s v="266 0001"/>
    <x v="0"/>
    <n v="0"/>
    <x v="0"/>
    <n v="401"/>
    <x v="0"/>
    <n v="1"/>
    <n v="0"/>
    <n v="0"/>
    <s v="CORRIENTE"/>
    <s v="53"/>
    <x v="16"/>
    <s v="MATERIALES DE OFICIN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0"/>
    <n v="50"/>
    <n v="-50"/>
    <n v="0"/>
    <n v="50"/>
    <n v="0"/>
    <n v="0"/>
  </r>
  <r>
    <s v="ADQUISICIÓN DE ETIQUETADORA PARA LA UNIDAD DE BIENES PARA EL CENTRO OPERATIVO LOCAL ECU 911  TULCAN"/>
    <n v="1"/>
    <s v="266 0001"/>
    <x v="0"/>
    <n v="0"/>
    <x v="0"/>
    <n v="401"/>
    <x v="0"/>
    <n v="1"/>
    <n v="0"/>
    <n v="0"/>
    <s v="CORRIENTE"/>
    <s v="53"/>
    <x v="26"/>
    <s v="HERRAMIENTAS Y EQUIPOS MENOR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0"/>
    <n v="100"/>
    <n v="-100"/>
    <n v="0"/>
    <n v="100"/>
    <n v="0"/>
    <n v="0"/>
  </r>
  <r>
    <s v="ARRASTRE: CANCELACIÓN POR CONSUMO DE SERVICIO DE AGUA POTABLE CORRESPONDIENTE A DICIEMBRE DEL 2021"/>
    <n v="1"/>
    <s v="266 0001"/>
    <x v="0"/>
    <n v="0"/>
    <x v="0"/>
    <n v="801"/>
    <x v="1"/>
    <n v="1"/>
    <n v="0"/>
    <n v="0"/>
    <s v="CORRIENTE"/>
    <n v="53"/>
    <x v="0"/>
    <s v="AGUA POTABLE"/>
    <n v="100"/>
    <n v="65"/>
    <n v="65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"/>
    <s v="OK"/>
    <n v="65"/>
    <n v="0"/>
    <n v="65"/>
    <n v="0"/>
  </r>
  <r>
    <s v="PROVISIÓN POR CONSUMO DE SERVICIO DE AGUA POTABLE PERIODO ENERO A NOVIEMBRE 2022"/>
    <n v="1"/>
    <s v="266 0001"/>
    <x v="0"/>
    <n v="0"/>
    <x v="0"/>
    <n v="801"/>
    <x v="1"/>
    <n v="1"/>
    <n v="0"/>
    <n v="0"/>
    <s v="CORRIENTE"/>
    <n v="53"/>
    <x v="0"/>
    <s v="AGUA POTABLE"/>
    <n v="880"/>
    <n v="550.8199999999999"/>
    <n v="0"/>
    <n v="0"/>
    <n v="80"/>
    <n v="25.25"/>
    <n v="80"/>
    <n v="46"/>
    <n v="80"/>
    <n v="28.75"/>
    <n v="80"/>
    <n v="48.88"/>
    <n v="80"/>
    <n v="104.08"/>
    <n v="80"/>
    <n v="62.1"/>
    <n v="80"/>
    <n v="52.33"/>
    <n v="58.569999999999936"/>
    <n v="56.93"/>
    <n v="0"/>
    <n v="92"/>
    <n v="0"/>
    <n v="17.25"/>
    <n v="0"/>
    <n v="17.25"/>
    <n v="618.5699999999999"/>
    <n v="-67.75"/>
    <n v="550.8199999999999"/>
    <n v="67.74999999999994"/>
    <n v="618.5699999999999"/>
    <n v="-67.75"/>
  </r>
  <r>
    <s v="ARRASTRE: CANCELACIÓN POR CONSUMO DE SERVICIO DE ENERGÍA ELÉCTRICA CORRESPONDIENTE A DICIEMBRE DEL 2021"/>
    <n v="1"/>
    <s v="266 0001"/>
    <x v="0"/>
    <n v="0"/>
    <x v="0"/>
    <n v="801"/>
    <x v="1"/>
    <n v="1"/>
    <n v="0"/>
    <n v="0"/>
    <s v="CORRIENTE"/>
    <n v="53"/>
    <x v="1"/>
    <s v="ENERGÍA ELÉCTRICA"/>
    <n v="5500"/>
    <n v="5257.94"/>
    <n v="5257.94"/>
    <n v="5257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57.94"/>
    <s v="OK"/>
    <n v="5257.94"/>
    <n v="0"/>
    <n v="5257.94"/>
    <n v="0"/>
  </r>
  <r>
    <s v="PROVISIÓN POR CONSUMO DE SERVICIO DE ENERGÍA ELÉCTRICA PERIODO ENERO A NOVIEMBRE 2022"/>
    <n v="1"/>
    <s v="266 0001"/>
    <x v="0"/>
    <n v="0"/>
    <x v="0"/>
    <n v="801"/>
    <x v="1"/>
    <n v="1"/>
    <n v="0"/>
    <n v="0"/>
    <s v="CORRIENTE"/>
    <n v="53"/>
    <x v="1"/>
    <s v="ENERGÍA ELÉCTRICA"/>
    <n v="38500"/>
    <n v="61030.37"/>
    <n v="0"/>
    <n v="0"/>
    <n v="5500"/>
    <n v="5220.83"/>
    <n v="5500"/>
    <n v="4976.69"/>
    <n v="5500"/>
    <n v="6291.69"/>
    <n v="5500"/>
    <n v="6325.05"/>
    <n v="5500"/>
    <n v="5892.41"/>
    <n v="5500"/>
    <n v="5055.13"/>
    <n v="5500"/>
    <n v="4974.66"/>
    <n v="5632.59"/>
    <n v="5013.39"/>
    <n v="5632.59"/>
    <n v="5315.06"/>
    <n v="5632.59"/>
    <n v="5403.63"/>
    <n v="5632.600000000013"/>
    <n v="5738.9"/>
    <n v="61030.37"/>
    <s v="OK"/>
    <n v="60207.43999999999"/>
    <n v="822.9300000000139"/>
    <n v="61030.37"/>
    <n v="0"/>
  </r>
  <r>
    <s v="ARRASTRE: CANCELACIÓN  POR CONSUMO DE SERVICIO DE CORREO NACIONAL A DICIEMBRE DEL 2021"/>
    <n v="2"/>
    <s v="266 0001"/>
    <x v="0"/>
    <n v="0"/>
    <x v="0"/>
    <n v="801"/>
    <x v="1"/>
    <n v="1"/>
    <n v="0"/>
    <n v="0"/>
    <s v="CORRIENTE"/>
    <n v="53"/>
    <x v="2"/>
    <s v="SERVICIO DE CORREO"/>
    <n v="112"/>
    <n v="14.499999999999995"/>
    <n v="14.499999999999995"/>
    <n v="14.499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.499999999999995"/>
    <s v="OK"/>
    <n v="14.499999999999995"/>
    <n v="0"/>
    <n v="14.5"/>
    <n v="0"/>
  </r>
  <r>
    <s v="CONTRATACIÓN  DEL SERVICIO DE CORREO NACIONAL PERIODO ENERO A DICIEMBRE 2022"/>
    <n v="1"/>
    <s v="266 0001"/>
    <x v="0"/>
    <n v="0"/>
    <x v="0"/>
    <n v="801"/>
    <x v="1"/>
    <n v="1"/>
    <n v="0"/>
    <n v="0"/>
    <s v="CORRIENTE"/>
    <n v="53"/>
    <x v="2"/>
    <s v="SERVICIO DE CORREO"/>
    <n v="517.44"/>
    <n v="215.80000000000007"/>
    <n v="0"/>
    <n v="0"/>
    <n v="0"/>
    <n v="0"/>
    <n v="42"/>
    <n v="3"/>
    <n v="42"/>
    <n v="15"/>
    <n v="42"/>
    <n v="36.7"/>
    <n v="42"/>
    <n v="33"/>
    <n v="42"/>
    <n v="9"/>
    <n v="42"/>
    <n v="37.4"/>
    <n v="36.1"/>
    <n v="24"/>
    <n v="0"/>
    <n v="30.7"/>
    <n v="0"/>
    <n v="9"/>
    <n v="0"/>
    <n v="18"/>
    <n v="288.1"/>
    <n v="-72.29999999999995"/>
    <n v="215.79999999999998"/>
    <n v="72.3"/>
    <n v="288.1"/>
    <n v="-72.29999999999995"/>
  </r>
  <r>
    <s v="ARRASTRE: CANCELACIÓN  POR EL  SERVICIO DE TRANSPORTE PERSONAL OPERATIVO DICIEMBRE DEL 2021"/>
    <n v="1"/>
    <s v="266 0001"/>
    <x v="0"/>
    <n v="0"/>
    <x v="0"/>
    <n v="801"/>
    <x v="1"/>
    <n v="1"/>
    <n v="0"/>
    <n v="0"/>
    <s v="CORRIENTE"/>
    <n v="53"/>
    <x v="3"/>
    <s v="TRANSPORTE DE PERSONAL "/>
    <n v="4592"/>
    <n v="4592.69"/>
    <n v="4592.69"/>
    <n v="4592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92.69"/>
    <s v="OK"/>
    <n v="4592.69"/>
    <n v="0"/>
    <n v="4592.69"/>
    <n v="0"/>
  </r>
  <r>
    <s v="CONTRATACIÓN  DEL SERVICIO DE TRANSPORTE PARA SERVIDORES DEL ÁREA OPERATIVA DEL CENTRO OPERATIVO LOCAL ECU 911 PARA ENERO-DICIEMBRE 2022, SE PAGA A MES VENCIDO"/>
    <n v="1"/>
    <s v="266 0001"/>
    <x v="0"/>
    <n v="0"/>
    <x v="0"/>
    <n v="801"/>
    <x v="1"/>
    <n v="1"/>
    <n v="0"/>
    <n v="0"/>
    <s v="CORRIENTE"/>
    <n v="53"/>
    <x v="3"/>
    <s v="TRANSPORTE DE PERSONAL "/>
    <n v="50523"/>
    <n v="47181.83"/>
    <n v="0"/>
    <n v="2549.32"/>
    <n v="4593"/>
    <n v="1967.2"/>
    <n v="4593"/>
    <n v="4266.53"/>
    <n v="4593"/>
    <n v="4266.53"/>
    <n v="4593"/>
    <n v="4266.53"/>
    <n v="4593"/>
    <n v="4266.53"/>
    <n v="4593"/>
    <n v="4266.53"/>
    <n v="4593"/>
    <n v="4266.53"/>
    <n v="4593"/>
    <n v="0"/>
    <n v="4593"/>
    <n v="8533.06"/>
    <n v="5844.830000000002"/>
    <n v="4266.53"/>
    <n v="0"/>
    <n v="4266.53"/>
    <n v="47181.83"/>
    <s v="OK"/>
    <n v="47181.81999999999"/>
    <n v="0.010000000003856258"/>
    <n v="47181.82"/>
    <n v="0.010000000002037268"/>
  </r>
  <r>
    <s v="CONTRATACIÓN DEL SERVICIO DE RECARGA DE EXTINTORES DEL CENTRO"/>
    <n v="1"/>
    <s v="266 0001"/>
    <x v="0"/>
    <n v="0"/>
    <x v="0"/>
    <n v="801"/>
    <x v="1"/>
    <n v="1"/>
    <n v="0"/>
    <n v="0"/>
    <s v="CORRIENTE"/>
    <n v="53"/>
    <x v="4"/>
    <s v="ALMACENAMIENTO, EMBALAJE, DESEMBALAJE, ENVASE, DESENVASE Y RECARGA DE EXTINTORES"/>
    <n v="500.6399999999998"/>
    <n v="370.91999999999996"/>
    <n v="0"/>
    <n v="0"/>
    <n v="0"/>
    <n v="0"/>
    <n v="0"/>
    <n v="0"/>
    <n v="0"/>
    <n v="0"/>
    <n v="0"/>
    <n v="0"/>
    <n v="0"/>
    <n v="0"/>
    <n v="0"/>
    <n v="0"/>
    <n v="370.91999999999996"/>
    <n v="370.91999999999996"/>
    <n v="0"/>
    <n v="0"/>
    <n v="0"/>
    <n v="0"/>
    <n v="0"/>
    <n v="0"/>
    <n v="0"/>
    <n v="0"/>
    <n v="370.91999999999996"/>
    <s v="OK"/>
    <n v="370.91999999999996"/>
    <n v="0"/>
    <n v="370.92"/>
    <n v="0"/>
  </r>
  <r>
    <s v="CONTRATACIÓN SERVICIO DE IMPRESIÓN DE VINIL ADHESIVO PARA BRANDEO COMUNICACIONAL INTERNO DEL CENTRO"/>
    <n v="1"/>
    <s v="266 0001"/>
    <x v="0"/>
    <n v="0"/>
    <x v="0"/>
    <n v="801"/>
    <x v="1"/>
    <n v="1"/>
    <n v="0"/>
    <n v="0"/>
    <s v="CORRIENTE"/>
    <n v="53"/>
    <x v="5"/>
    <s v="EDICIÓN, IMPRESIÓN, REPRODUCCIÓN, PUBLICACIONES, SUSCRIPCIONES, FOTOCOPIADO, TRADUCCIÓN, EMPASTADO, ENMARCACIÓN, SERIGRAFÍA, FOTOGRAFÍA, CARNETIZACIÓN, FILMACIÓN E IMÁGENES SATELITALES"/>
    <n v="1882.7199999999998"/>
    <n v="1764"/>
    <n v="0"/>
    <n v="0"/>
    <n v="0"/>
    <n v="0"/>
    <n v="0"/>
    <n v="0"/>
    <n v="0"/>
    <n v="0"/>
    <n v="0"/>
    <n v="0"/>
    <n v="0"/>
    <n v="0"/>
    <n v="1764"/>
    <n v="1764"/>
    <n v="0"/>
    <n v="0"/>
    <n v="0"/>
    <n v="0"/>
    <n v="0"/>
    <n v="0"/>
    <n v="0"/>
    <n v="0"/>
    <n v="0"/>
    <n v="0"/>
    <n v="1764"/>
    <s v="OK"/>
    <n v="1764"/>
    <n v="0"/>
    <n v="1764"/>
    <n v="0"/>
  </r>
  <r>
    <s v="ADQUISICIÓN DE MATERIAL DE POSICIONAMIENTO E IDENTIDAD DEL ECU 911 PARA EL CENTRO OPERATIVO ECU 911 ESMERALDAS"/>
    <n v="1"/>
    <s v="266 0001"/>
    <x v="0"/>
    <n v="0"/>
    <x v="0"/>
    <n v="801"/>
    <x v="1"/>
    <n v="1"/>
    <n v="0"/>
    <n v="0"/>
    <s v="CORRIENTE"/>
    <n v="53"/>
    <x v="5"/>
    <s v="EDICIÓN, IMPRESIÓN, REPRODUCCIÓN, PUBLICACIONES, SUSCRIPCIONES, FOTOCOPIADO, TRADUCCIÓN, EMPASTADO, ENMARCACIÓN, SERIGRAFÍA, FOTOGRAFÍA, CARNETIZACIÓN, FILMACIÓN E IMÁGENES SATELITALES"/>
    <n v="1448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CONTRATACIÓN SPOTS PUBLICITARIOS EN RADIO, TV Y PLATAFORMAS DIGITALES"/>
    <n v="1"/>
    <s v="266 0001"/>
    <x v="0"/>
    <n v="0"/>
    <x v="0"/>
    <n v="801"/>
    <x v="1"/>
    <n v="1"/>
    <n v="0"/>
    <n v="0"/>
    <s v="CORRIENTE"/>
    <n v="53"/>
    <x v="6"/>
    <s v="DIFUSIÓN, INFORMACIÓN Y PUBLICIDAD"/>
    <n v="500.63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RRASTRE: CANCELACIÓN  POR EL SERVICIO DE LIMPIEZA DEL CENTRO OPERATIVO LOCAL ECU 911 DICIEMBRE DEL 2021"/>
    <n v="1"/>
    <s v="266 0001"/>
    <x v="0"/>
    <n v="0"/>
    <x v="0"/>
    <n v="801"/>
    <x v="1"/>
    <n v="1"/>
    <n v="0"/>
    <n v="0"/>
    <s v="CORRIENTE"/>
    <n v="53"/>
    <x v="7"/>
    <s v="SERVICIOS DE ASEO, LAVADO DE VESTIMENTA DE TRABAJO, FUMIGACIÓN, DESINFECCIÓN, LIMPIEZA DE INSTALACIONES, MANEJO DE DESECHOS CONTAMINADOS, RECUPERACIÓN Y CLASIFICACIÓN DE MATERIALES RECICLABLES"/>
    <n v="3328.6399999999985"/>
    <n v="2970.87"/>
    <n v="2970.87"/>
    <n v="2970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0.87"/>
    <s v="OK"/>
    <n v="2970.87"/>
    <n v="0"/>
    <n v="2970.87"/>
    <n v="0"/>
  </r>
  <r>
    <s v="CONTRATACIÓN  DEL SERVICIO DE LIMPIEZA PARA EL CENTRO OPERATIVO LOCAL ECU 911 PERIODO 2022 SE PAGA A MES VENCIDO"/>
    <n v="1"/>
    <s v="266 0001"/>
    <x v="0"/>
    <n v="0"/>
    <x v="0"/>
    <n v="801"/>
    <x v="1"/>
    <n v="1"/>
    <n v="0"/>
    <n v="0"/>
    <s v="CORRIENTE"/>
    <n v="53"/>
    <x v="7"/>
    <s v="SERVICIOS DE ASEO, LAVADO DE VESTIMENTA DE TRABAJO, FUMIGACIÓN, DESINFECCIÓN, LIMPIEZA DE INSTALACIONES, MANEJO DE DESECHOS CONTAMINADOS, RECUPERACIÓN Y CLASIFICACIÓN DE MATERIALES RECICLABLES"/>
    <n v="19965.12"/>
    <n v="32679.569999999996"/>
    <n v="0"/>
    <n v="0"/>
    <n v="2971"/>
    <n v="2970.87"/>
    <n v="2971"/>
    <n v="2970.87"/>
    <n v="2971"/>
    <n v="2970.87"/>
    <n v="2971"/>
    <n v="2970.87"/>
    <n v="2971"/>
    <n v="2970.87"/>
    <n v="2971"/>
    <n v="2970.87"/>
    <n v="3565.04"/>
    <n v="2970.87"/>
    <n v="3565.04"/>
    <n v="2970.87"/>
    <n v="3565.04"/>
    <n v="2970.87"/>
    <n v="3565.04"/>
    <n v="2970.87"/>
    <n v="593.4099999999926"/>
    <n v="2970.87"/>
    <n v="32679.569999999996"/>
    <s v="OK"/>
    <n v="32679.569999999992"/>
    <n v="-6.366462912410498E-12"/>
    <n v="32679.570000000003"/>
    <n v="0"/>
  </r>
  <r>
    <s v="PROVISIÓN PARA  MOVILIZACIONES TERRESTRES DE FUNCIONARIOS DEL ECU 911  POR ACTIVIDADES INSTITUCIONALES AÑO 2022"/>
    <n v="1"/>
    <s v="266 0001"/>
    <x v="0"/>
    <n v="0"/>
    <x v="0"/>
    <n v="801"/>
    <x v="1"/>
    <n v="1"/>
    <n v="0"/>
    <n v="0"/>
    <s v="CORRIENTE"/>
    <n v="53"/>
    <x v="8"/>
    <s v="PASAJES AL INTERIOR"/>
    <n v="200"/>
    <n v="200"/>
    <n v="0"/>
    <n v="0"/>
    <n v="0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200"/>
    <n v="0"/>
    <n v="200"/>
    <s v="OK"/>
    <n v="14"/>
    <n v="186"/>
    <n v="200"/>
    <n v="0"/>
  </r>
  <r>
    <s v="PROVISIÓN PARA ALIMENTACIÓN Y ESTADÍA DE LOS FUNCIONARIOS DEL CENTRO OPERATIVO LOCAL ECU 911 CUANDO SALEN A CUMPLIR COMISIÓN DE SERVICIOS FUERA DE SU LUGAR HABITUAL DE TRABAJO AÑO 2022"/>
    <n v="1"/>
    <s v="266 0001"/>
    <x v="0"/>
    <n v="0"/>
    <x v="0"/>
    <n v="801"/>
    <x v="1"/>
    <n v="1"/>
    <n v="0"/>
    <n v="0"/>
    <s v="CORRIENTE"/>
    <n v="53"/>
    <x v="9"/>
    <s v="VIÁTICOS Y SUBSISTENCIAS EN EL INTERIOR"/>
    <n v="2001"/>
    <n v="2501.01"/>
    <n v="0"/>
    <n v="0"/>
    <n v="0"/>
    <n v="0"/>
    <n v="0"/>
    <n v="303.96"/>
    <n v="0"/>
    <n v="160"/>
    <n v="0"/>
    <n v="201"/>
    <n v="0"/>
    <n v="0"/>
    <n v="0"/>
    <n v="0"/>
    <n v="0"/>
    <n v="244.75"/>
    <n v="0"/>
    <n v="93.25"/>
    <n v="0"/>
    <n v="385.5"/>
    <n v="1000.5"/>
    <n v="238"/>
    <n v="1500.5100000000002"/>
    <n v="317.45"/>
    <n v="2501.01"/>
    <s v="OK"/>
    <n v="1943.91"/>
    <n v="557.1000000000001"/>
    <n v="2501.01"/>
    <n v="0"/>
  </r>
  <r>
    <s v="CONTRATACIÓN PARA MANTENIMIENTO DE INFRAESTRUCTURA DEL CENTRO OPERATIVO LOCAL ECU 911 ESMERALDAS PARA EL 2022"/>
    <n v="1"/>
    <s v="266 0001"/>
    <x v="0"/>
    <n v="0"/>
    <x v="0"/>
    <n v="801"/>
    <x v="1"/>
    <n v="1"/>
    <n v="0"/>
    <n v="0"/>
    <s v="CORRIENTE"/>
    <n v="53"/>
    <x v="10"/>
    <s v="EDIFICIOS, LOCALES, RESIDENCIAS Y CABLEADO ESTRUCTURADO (INSTALACIÓN, MANTENIMIENTO Y REPARACIÓN)"/>
    <n v="5500.31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CONTRATACIÓN SERVICIO PARA MANTENIMIENTO DE ALUCUBON EXTERNO"/>
    <n v="1"/>
    <s v="266 0001"/>
    <x v="0"/>
    <n v="0"/>
    <x v="0"/>
    <n v="801"/>
    <x v="1"/>
    <n v="1"/>
    <n v="0"/>
    <n v="0"/>
    <s v="CORRIENTE"/>
    <n v="53"/>
    <x v="10"/>
    <s v="EDIFICIOS, LOCALES, RESIDENCIAS Y CABLEADO ESTRUCTURADO (INSTALACIÓN, MANTENIMIENTO Y REPARACIÓN)"/>
    <n v="2020.48"/>
    <n v="1804"/>
    <n v="0"/>
    <n v="0"/>
    <n v="0"/>
    <n v="0"/>
    <n v="0"/>
    <n v="0"/>
    <n v="0"/>
    <n v="0"/>
    <n v="0"/>
    <n v="0"/>
    <n v="0"/>
    <n v="0"/>
    <n v="0"/>
    <n v="0"/>
    <n v="0"/>
    <n v="0"/>
    <n v="1804"/>
    <n v="0"/>
    <n v="0"/>
    <n v="0"/>
    <n v="0"/>
    <n v="0"/>
    <n v="0"/>
    <n v="0"/>
    <n v="1804"/>
    <s v="OK"/>
    <n v="0"/>
    <n v="1804"/>
    <n v="1804"/>
    <n v="0"/>
  </r>
  <r>
    <s v="CONTRATACIÓN SERVICIO DE MANTENIMIENTO ASCENSOR HYUNDAI"/>
    <n v="1"/>
    <s v="266 0001"/>
    <x v="0"/>
    <n v="0"/>
    <x v="0"/>
    <n v="801"/>
    <x v="1"/>
    <n v="1"/>
    <n v="0"/>
    <n v="0"/>
    <s v="CORRIENTE"/>
    <n v="53"/>
    <x v="12"/>
    <s v="MAQUINARIAS Y EQUIPOS (INSTALACIÓN, MANTENIMIENTO Y REPARACIÓN)"/>
    <n v="1063.9999999999995"/>
    <n v="461.75"/>
    <n v="0"/>
    <n v="0"/>
    <n v="0"/>
    <n v="0"/>
    <n v="189.99999999999997"/>
    <n v="92.35"/>
    <n v="0"/>
    <n v="0"/>
    <n v="271.75"/>
    <n v="92.35"/>
    <n v="0"/>
    <n v="0"/>
    <n v="0"/>
    <n v="0"/>
    <n v="0"/>
    <n v="0"/>
    <n v="0"/>
    <n v="184.7"/>
    <n v="0"/>
    <n v="0"/>
    <n v="0"/>
    <n v="0"/>
    <n v="0"/>
    <n v="92.35"/>
    <n v="461.75"/>
    <s v="OK"/>
    <n v="461.75"/>
    <n v="0"/>
    <n v="461.75"/>
    <n v="0"/>
  </r>
  <r>
    <s v=" CONTRATACIÓN SERVICIO DE MANTENIMIENTO RELOJ BIOMÉTRICO "/>
    <n v="1"/>
    <s v="266 0001"/>
    <x v="0"/>
    <n v="0"/>
    <x v="0"/>
    <n v="801"/>
    <x v="1"/>
    <n v="1"/>
    <n v="0"/>
    <n v="0"/>
    <s v="CORRIENTE"/>
    <n v="53"/>
    <x v="12"/>
    <s v="MAQUINARIAS Y EQUIPOS (INSTALACIÓN, MANTENIMIENTO Y REPARACIÓN)"/>
    <n v="269.92"/>
    <n v="235"/>
    <n v="0"/>
    <n v="0"/>
    <n v="0"/>
    <n v="0"/>
    <n v="0"/>
    <n v="0"/>
    <n v="0"/>
    <n v="0"/>
    <n v="235"/>
    <n v="235"/>
    <n v="0"/>
    <n v="0"/>
    <n v="0"/>
    <n v="0"/>
    <n v="0"/>
    <n v="0"/>
    <n v="0"/>
    <n v="0"/>
    <n v="0"/>
    <n v="0"/>
    <n v="0"/>
    <n v="0"/>
    <n v="0"/>
    <n v="0"/>
    <n v="235"/>
    <s v="OK"/>
    <n v="235"/>
    <n v="0"/>
    <n v="235"/>
    <n v="0"/>
  </r>
  <r>
    <s v="CONTRATACIÓN SERVICIO PARA MANTENIMIENTO PREVENTIVO Y CORRECTIVO DEL BUS INSTITUCIONAL "/>
    <n v="1"/>
    <s v="266 0001"/>
    <x v="0"/>
    <n v="0"/>
    <x v="0"/>
    <n v="801"/>
    <x v="1"/>
    <n v="1"/>
    <n v="0"/>
    <n v="0"/>
    <s v="CORRIENTE"/>
    <n v="53"/>
    <x v="13"/>
    <s v="VEHÍCULOS (SERVICIO PARA MANTENIMIENTO Y REPARACIÓN)"/>
    <n v="300.1599999999998"/>
    <n v="336.5"/>
    <n v="0"/>
    <n v="0"/>
    <n v="0"/>
    <n v="0"/>
    <n v="0"/>
    <n v="0"/>
    <n v="0"/>
    <n v="0"/>
    <n v="0"/>
    <n v="0"/>
    <n v="0"/>
    <n v="108.5"/>
    <n v="134"/>
    <n v="0"/>
    <n v="0"/>
    <n v="193"/>
    <n v="0"/>
    <n v="0"/>
    <n v="134"/>
    <n v="35"/>
    <n v="0"/>
    <n v="0"/>
    <n v="0"/>
    <n v="0"/>
    <n v="268"/>
    <n v="68.5"/>
    <n v="336.5"/>
    <n v="-68.5"/>
    <n v="268"/>
    <n v="68.5"/>
  </r>
  <r>
    <s v=" CONTRATACIÓN SERVICIO PARA MANTENIMIENTO PREVENTIVO Y CORRECTIVO DE VEHÍCULOS LIVIANOS DEL CENTRO OPERATIVO  ECU 911 PARA GARANTIZAR OPERATIVIDAD"/>
    <n v="1"/>
    <s v="266 0001"/>
    <x v="0"/>
    <n v="0"/>
    <x v="0"/>
    <n v="801"/>
    <x v="1"/>
    <n v="1"/>
    <n v="0"/>
    <n v="0"/>
    <s v="CORRIENTE"/>
    <n v="53"/>
    <x v="13"/>
    <s v="VEHÍCULOS (SERVICIO PARA MANTENIMIENTO Y REPARACIÓN)"/>
    <n v="2402.4"/>
    <n v="1832"/>
    <n v="0"/>
    <n v="0"/>
    <n v="0"/>
    <n v="0"/>
    <n v="429"/>
    <n v="394"/>
    <n v="0"/>
    <n v="0"/>
    <n v="429"/>
    <n v="416"/>
    <n v="0"/>
    <n v="0"/>
    <n v="429"/>
    <n v="615"/>
    <n v="0"/>
    <n v="0"/>
    <n v="429"/>
    <n v="85"/>
    <n v="0"/>
    <n v="0"/>
    <n v="112.5"/>
    <n v="0"/>
    <n v="0"/>
    <n v="310"/>
    <n v="1828.5"/>
    <n v="3.5"/>
    <n v="1820"/>
    <n v="8.5"/>
    <n v="1900.5"/>
    <n v="-68.5"/>
  </r>
  <r>
    <s v=" ADQUISICIÓN DE EQUIPOS DE PROTECCIÓN INDIVIDUAL Y ROPA DE TRABAJO"/>
    <n v="1"/>
    <s v="266 0001"/>
    <x v="0"/>
    <n v="0"/>
    <x v="0"/>
    <n v="801"/>
    <x v="1"/>
    <n v="1"/>
    <n v="0"/>
    <n v="0"/>
    <s v="CORRIENTE"/>
    <n v="53"/>
    <x v="14"/>
    <s v="VESTUARIO, LENCERÍA, PRENDAS DE PROTECCIÓN Y ACCESORIOS PARA UNIFORMES DEL PERSONAL DE PROTECCIÓN, VIGILANCIA Y SEGURIDAD"/>
    <n v="1279.0399999999995"/>
    <n v="1150.09"/>
    <n v="0"/>
    <n v="0"/>
    <n v="0"/>
    <n v="0"/>
    <n v="0"/>
    <n v="0"/>
    <n v="0"/>
    <n v="0"/>
    <n v="0"/>
    <n v="0"/>
    <n v="0"/>
    <n v="0"/>
    <n v="0"/>
    <n v="0"/>
    <n v="0"/>
    <n v="0"/>
    <n v="1150.09"/>
    <n v="815.43"/>
    <n v="0"/>
    <n v="0"/>
    <n v="0"/>
    <n v="0"/>
    <n v="0"/>
    <n v="334.44"/>
    <n v="1150.09"/>
    <s v="OK"/>
    <n v="1149.87"/>
    <n v="0.21999999999997044"/>
    <n v="1150.0900000000001"/>
    <n v="0"/>
  </r>
  <r>
    <s v="REPOSICIÓN DE ADQUISICIÓN DE COMBUSTIBLES EN CUMPLIMIENTO DE COMISIÓN DE SERVICIOS AL INTERIOR DE LOS SERVIDORES DEL CENTRO "/>
    <n v="1"/>
    <s v="266 0001"/>
    <x v="0"/>
    <n v="0"/>
    <x v="0"/>
    <n v="801"/>
    <x v="1"/>
    <n v="1"/>
    <n v="0"/>
    <n v="0"/>
    <s v="CORRIENTE"/>
    <n v="53"/>
    <x v="15"/>
    <s v="COMBUSTIBLES Y LUBRICANTES"/>
    <n v="100"/>
    <n v="80"/>
    <n v="0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100"/>
    <n v="0"/>
    <n v="100"/>
    <n v="-20"/>
    <n v="37"/>
    <n v="63"/>
    <n v="37"/>
    <n v="43"/>
  </r>
  <r>
    <s v="CONTRATACIÓN DE SERVICIO PARA ADQUISICIÓN DE COMBUSTIBLES, LUBRICANTES, Y ADITIVOS EN GENERAL PARA MANTENIMIENTO DEL BUS"/>
    <n v="1"/>
    <s v="266 0001"/>
    <x v="0"/>
    <n v="0"/>
    <x v="0"/>
    <n v="801"/>
    <x v="1"/>
    <n v="1"/>
    <n v="0"/>
    <n v="0"/>
    <s v="CORRIENTE"/>
    <n v="53"/>
    <x v="15"/>
    <s v="COMBUSTIBLES Y LUBRICANTES"/>
    <n v="111.99999999999997"/>
    <n v="220"/>
    <n v="0"/>
    <n v="0"/>
    <n v="0"/>
    <n v="0"/>
    <n v="0"/>
    <n v="0"/>
    <n v="0"/>
    <n v="0"/>
    <n v="0"/>
    <n v="0"/>
    <n v="0"/>
    <n v="120"/>
    <n v="50"/>
    <n v="0"/>
    <n v="0"/>
    <n v="0"/>
    <n v="0"/>
    <n v="0"/>
    <n v="162"/>
    <n v="100"/>
    <n v="0"/>
    <n v="0"/>
    <n v="0"/>
    <n v="0"/>
    <n v="212"/>
    <n v="8"/>
    <n v="220"/>
    <n v="-8"/>
    <n v="100"/>
    <n v="120"/>
  </r>
  <r>
    <s v="CONTRATACIÓN DE SERVICIO PARA ADQUISICIÓN DE COMBUSTIBLES, LUBRICANTES, Y ADITIVOS EN GENERAL PARA MANTENIMIENTO DE LOS VEHÍCULOS LIVIANOS"/>
    <n v="1"/>
    <s v="266 0001"/>
    <x v="0"/>
    <n v="0"/>
    <x v="0"/>
    <n v="801"/>
    <x v="1"/>
    <n v="1"/>
    <n v="0"/>
    <n v="0"/>
    <s v="CORRIENTE"/>
    <n v="53"/>
    <x v="15"/>
    <s v="COMBUSTIBLES Y LUBRICANTES"/>
    <n v="380.8"/>
    <n v="274.5"/>
    <n v="0"/>
    <n v="0"/>
    <n v="0"/>
    <n v="0"/>
    <n v="68"/>
    <n v="0"/>
    <n v="0"/>
    <n v="0"/>
    <n v="68"/>
    <n v="29.92"/>
    <n v="0"/>
    <n v="0"/>
    <n v="68"/>
    <n v="34.92"/>
    <n v="0"/>
    <n v="0"/>
    <n v="70.5"/>
    <n v="59.92"/>
    <n v="0"/>
    <n v="0"/>
    <n v="0"/>
    <n v="0"/>
    <n v="0"/>
    <n v="84.82"/>
    <n v="274.5"/>
    <s v="OK"/>
    <n v="209.57999999999998"/>
    <n v="64.91999999999996"/>
    <n v="374.5"/>
    <n v="-100"/>
  </r>
  <r>
    <s v="CONTRATACIÓN DE SERVICIO PARA ADQUISICIÓN DE COMBUSTIBLES PARA MOVILIZACIÓN DE VEHÍCULOS Y GENERADORES "/>
    <n v="1"/>
    <s v="266 0001"/>
    <x v="0"/>
    <n v="0"/>
    <x v="0"/>
    <n v="801"/>
    <x v="1"/>
    <n v="1"/>
    <n v="0"/>
    <n v="0"/>
    <s v="CORRIENTE"/>
    <n v="53"/>
    <x v="15"/>
    <s v="COMBUSTIBLES Y LUBRICANTES"/>
    <n v="3460.8"/>
    <n v="3460.78"/>
    <n v="0"/>
    <n v="0"/>
    <n v="0"/>
    <n v="500"/>
    <n v="309"/>
    <n v="363.25"/>
    <n v="309"/>
    <n v="411.38"/>
    <n v="309"/>
    <n v="343.56"/>
    <n v="309"/>
    <n v="286.06"/>
    <n v="309"/>
    <n v="195.29"/>
    <n v="309"/>
    <n v="209.56"/>
    <n v="309"/>
    <n v="298"/>
    <n v="309"/>
    <n v="316.69"/>
    <n v="309"/>
    <n v="368.86"/>
    <n v="679.7800000000002"/>
    <n v="0"/>
    <n v="3460.78"/>
    <s v="OK"/>
    <n v="3292.65"/>
    <n v="168.13000000000022"/>
    <n v="3460.78"/>
    <n v="0"/>
  </r>
  <r>
    <s v="ADQUISICIÓN DE MATERIALES DE OFICINA PARA EL CENTRO"/>
    <n v="1"/>
    <s v="266 0001"/>
    <x v="0"/>
    <n v="0"/>
    <x v="0"/>
    <n v="801"/>
    <x v="1"/>
    <n v="1"/>
    <n v="0"/>
    <n v="0"/>
    <s v="CORRIENTE"/>
    <n v="53"/>
    <x v="16"/>
    <s v="MATERIALES DE OFICINA"/>
    <n v="2000.3199999999993"/>
    <n v="379.16"/>
    <n v="0"/>
    <n v="0"/>
    <n v="0"/>
    <n v="0"/>
    <n v="0"/>
    <n v="0"/>
    <n v="0"/>
    <n v="100"/>
    <n v="326.3800000000001"/>
    <n v="118.45"/>
    <n v="0"/>
    <n v="0"/>
    <n v="52.779999999999916"/>
    <n v="0"/>
    <n v="0"/>
    <n v="160.71"/>
    <n v="0"/>
    <n v="0"/>
    <n v="0"/>
    <n v="0"/>
    <n v="0"/>
    <n v="0"/>
    <n v="0"/>
    <n v="0"/>
    <n v="379.16"/>
    <s v="OK"/>
    <n v="379.15999999999997"/>
    <n v="2.842170943040401E-14"/>
    <n v="379.16"/>
    <n v="0"/>
  </r>
  <r>
    <s v="ADQUISICIÓN DE MATERIALES DE OFICINA (SELLOS FOLEADORES, CERTIFICADOS DE COPIA)"/>
    <n v="1"/>
    <s v="266 0001"/>
    <x v="0"/>
    <n v="0"/>
    <x v="0"/>
    <n v="801"/>
    <x v="1"/>
    <n v="1"/>
    <n v="0"/>
    <n v="0"/>
    <s v="CORRIENTE"/>
    <n v="53"/>
    <x v="16"/>
    <s v="MATERIALES DE OFICINA"/>
    <n v="500.6399999999998"/>
    <n v="260"/>
    <n v="0"/>
    <n v="0"/>
    <n v="0"/>
    <n v="0"/>
    <n v="0"/>
    <n v="0"/>
    <n v="260"/>
    <n v="260"/>
    <n v="0"/>
    <n v="0"/>
    <n v="0"/>
    <n v="0"/>
    <n v="0"/>
    <n v="0"/>
    <n v="0"/>
    <n v="0"/>
    <n v="0"/>
    <n v="0"/>
    <n v="0"/>
    <n v="0"/>
    <n v="0"/>
    <n v="0"/>
    <n v="0"/>
    <n v="0"/>
    <n v="260"/>
    <s v="OK"/>
    <n v="260"/>
    <n v="0"/>
    <n v="260"/>
    <n v="0"/>
  </r>
  <r>
    <s v="ADQUISICIÓN DE TARJETAS MAGNÉTICAS Y CORDONES IMAGEN INSTITUCIONAL PARA SERVIDORES DEL CENTRO"/>
    <n v="1"/>
    <s v="266 0001"/>
    <x v="0"/>
    <n v="0"/>
    <x v="0"/>
    <n v="801"/>
    <x v="1"/>
    <n v="1"/>
    <n v="0"/>
    <n v="0"/>
    <s v="CORRIENTE"/>
    <n v="53"/>
    <x v="16"/>
    <s v="MATERIALES DE OFICINA"/>
    <n v="335.999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ELABORACIÓN DE FORMULARIOS PRE-IMPRESOS Y PRE-NUMERADOS PARA VALES DE CAJA CHICA, INGRESOS Y EGRESOS DE BODEGA, ÓRDENES DE COMBUSTIBLE, ÓRDENES DE MANTENIMIENTO, FORMULARIOS DE PERMISOS DE PERSONAL, SOLICITUD DE MOVILIZACIÓN"/>
    <n v="1"/>
    <s v="266 0001"/>
    <x v="0"/>
    <n v="0"/>
    <x v="0"/>
    <n v="801"/>
    <x v="1"/>
    <n v="1"/>
    <n v="0"/>
    <n v="0"/>
    <s v="CORRIENTE"/>
    <n v="53"/>
    <x v="16"/>
    <s v="MATERIALES DE OFICINA"/>
    <n v="112"/>
    <n v="162"/>
    <n v="0"/>
    <n v="0"/>
    <n v="0"/>
    <n v="0"/>
    <n v="0"/>
    <n v="0"/>
    <n v="0"/>
    <n v="0"/>
    <n v="0"/>
    <n v="0"/>
    <n v="0"/>
    <n v="162"/>
    <n v="162"/>
    <n v="0"/>
    <n v="0"/>
    <n v="0"/>
    <n v="0"/>
    <n v="0"/>
    <n v="0"/>
    <n v="0"/>
    <n v="0"/>
    <n v="0"/>
    <n v="0"/>
    <n v="0"/>
    <n v="162"/>
    <s v="OK"/>
    <n v="162"/>
    <n v="0"/>
    <n v="162"/>
    <n v="0"/>
  </r>
  <r>
    <s v="ADQUISICIÓN DE MATERIALES DE ASEO PARA EL CENTRO OPERATIVO LOCAL ECU 911 ESMERALDAS AÑO 2022"/>
    <n v="1"/>
    <s v="266 0001"/>
    <x v="0"/>
    <n v="0"/>
    <x v="0"/>
    <n v="801"/>
    <x v="1"/>
    <n v="1"/>
    <n v="0"/>
    <n v="0"/>
    <s v="CORRIENTE"/>
    <n v="53"/>
    <x v="17"/>
    <s v="MATERIALES DE ASEO"/>
    <n v="1500.7999999999993"/>
    <n v="137.03"/>
    <n v="0"/>
    <n v="0"/>
    <n v="0"/>
    <n v="0"/>
    <n v="0"/>
    <n v="0"/>
    <n v="0"/>
    <n v="0"/>
    <n v="137.03"/>
    <n v="128.73"/>
    <n v="0"/>
    <n v="8.3"/>
    <n v="0"/>
    <n v="0"/>
    <n v="0"/>
    <n v="0"/>
    <n v="0"/>
    <n v="0"/>
    <n v="0"/>
    <n v="0"/>
    <n v="0"/>
    <n v="0"/>
    <n v="0"/>
    <n v="0"/>
    <n v="137.03"/>
    <s v="OK"/>
    <n v="137.03"/>
    <n v="1.0658141036401503E-14"/>
    <n v="137.03"/>
    <n v="0"/>
  </r>
  <r>
    <s v="CANCELACIÓN  POR REPRODUCCIÓN DE REGLAMENTO INTERNO DE HIGIENE Y SEGURIDAD EN EL TRABAJO DE BOLSILLO PARA DISTRIBUIR A LOS SERVIDORES  Y TRABAJADORES DE LA COORDINACIÓN ZONAL 1 SERVICIO INTEGRADO DE SEGURIDAD ECU 911."/>
    <n v="1"/>
    <s v="266 0001"/>
    <x v="0"/>
    <n v="0"/>
    <x v="0"/>
    <n v="801"/>
    <x v="1"/>
    <n v="1"/>
    <n v="0"/>
    <n v="0"/>
    <s v="CORRIENTE"/>
    <n v="53"/>
    <x v="18"/>
    <s v="MATERIALES DE IMPRESIÓN, FOTOGRAFÍA, REPRODUCCIÓN Y PUBLICACIONES"/>
    <n v="139.999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SEÑALÉTICA DE SEGURIDAD PARA CENTROS OPERATIVOS LOCAL ECU 911 ESMERALDAS"/>
    <n v="1"/>
    <s v="266 0001"/>
    <x v="0"/>
    <n v="0"/>
    <x v="0"/>
    <n v="801"/>
    <x v="1"/>
    <n v="1"/>
    <n v="0"/>
    <n v="0"/>
    <s v="CORRIENTE"/>
    <n v="53"/>
    <x v="18"/>
    <s v="MATERIALES DE IMPRESIÓN, FOTOGRAFÍA, REPRODUCCIÓN Y PUBLICACIONES"/>
    <n v="327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TONERS NEGRO Y DE COLOR PARA IMPRESORAS DEL CENTRO OPERATIVO LOCAL ECU 911 ESMERALDAS AÑO 2022"/>
    <n v="1"/>
    <s v="266 0001"/>
    <x v="0"/>
    <n v="0"/>
    <x v="0"/>
    <n v="801"/>
    <x v="1"/>
    <n v="1"/>
    <n v="0"/>
    <n v="0"/>
    <s v="CORRIENTE"/>
    <n v="53"/>
    <x v="18"/>
    <s v="MATERIALES DE IMPRESIÓN, FOTOGRAFÍA, REPRODUCCIÓN Y PUBLICACIONES"/>
    <n v="3000.4799999999996"/>
    <n v="1348.0600000000002"/>
    <n v="0"/>
    <n v="0"/>
    <n v="0"/>
    <n v="0"/>
    <n v="0"/>
    <n v="0"/>
    <n v="0"/>
    <n v="0"/>
    <n v="0"/>
    <n v="0"/>
    <n v="0"/>
    <n v="0"/>
    <n v="1348.0600000000002"/>
    <n v="1348.0600000000002"/>
    <n v="0"/>
    <n v="0"/>
    <n v="0"/>
    <n v="0"/>
    <n v="0"/>
    <n v="0"/>
    <n v="0"/>
    <n v="0"/>
    <n v="0"/>
    <n v="0"/>
    <n v="1348.0600000000002"/>
    <s v="OK"/>
    <n v="1348.0600000000002"/>
    <n v="0"/>
    <n v="1348.0600000000002"/>
    <n v="0"/>
  </r>
  <r>
    <s v=" ADQUISICIÓN DE BIENES Y PAGO DE SERVICIOS NO PREVISIBLES, URGENTES Y DE VALOR REDUCIDO (CAJA CHICA)."/>
    <n v="1"/>
    <s v="266 0001"/>
    <x v="0"/>
    <n v="0"/>
    <x v="0"/>
    <n v="801"/>
    <x v="1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480"/>
    <n v="479.94"/>
    <n v="0"/>
    <n v="0"/>
    <n v="0"/>
    <n v="0"/>
    <n v="0"/>
    <n v="19.25"/>
    <n v="96"/>
    <n v="115.32"/>
    <n v="0"/>
    <n v="48.39"/>
    <n v="96"/>
    <n v="21.15"/>
    <n v="0"/>
    <n v="70.29"/>
    <n v="96"/>
    <n v="73.15"/>
    <n v="0"/>
    <n v="0"/>
    <n v="96"/>
    <n v="64.19"/>
    <n v="0"/>
    <n v="0"/>
    <n v="96"/>
    <n v="68.2"/>
    <n v="480"/>
    <n v="-0.060000000000002274"/>
    <n v="479.93999999999994"/>
    <n v="0.05999999999998806"/>
    <n v="204.11"/>
    <n v="275.83"/>
  </r>
  <r>
    <s v="ADQUISICIÓN DE  MATERIAL DE FERRETERÍA COMO: FLUXÓMETROS, EMPAQUES, SISTEMAS DE DESAGUE, EMPASTES, PINTURA DE INTERIOR Y EXTERIOR, SILICONAS, SOLVENTES, PINTURA ESMALTE, MATERIAL ELÉCTRICO, TACOS, PERNOS, TUERCAS AÑO 2022"/>
    <n v="1"/>
    <s v="266 0001"/>
    <x v="0"/>
    <n v="0"/>
    <x v="0"/>
    <n v="801"/>
    <x v="1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3499.999999999999"/>
    <n v="1695.6"/>
    <n v="0"/>
    <n v="0"/>
    <n v="0"/>
    <n v="0"/>
    <n v="0"/>
    <n v="0"/>
    <n v="0"/>
    <n v="0"/>
    <n v="0"/>
    <n v="0"/>
    <n v="0"/>
    <n v="0"/>
    <n v="1695.6"/>
    <n v="1695.6"/>
    <n v="0"/>
    <n v="0"/>
    <n v="0"/>
    <n v="0"/>
    <n v="0"/>
    <n v="0"/>
    <n v="0"/>
    <n v="0"/>
    <n v="0"/>
    <n v="0"/>
    <n v="1695.6"/>
    <s v="OK"/>
    <n v="1695.6"/>
    <n v="0"/>
    <n v="1695.6"/>
    <n v="0"/>
  </r>
  <r>
    <s v="CONTRATACIÓN DE SERVICIO PARA ADQUISICIÓN DE REPUESTOS PARA MANTENIMIENTO DEL BUS DEL CENTRO OPERATIVO  ECU 911 POR EL PERÍODO 2021"/>
    <n v="1"/>
    <s v="266 0001"/>
    <x v="0"/>
    <n v="0"/>
    <x v="0"/>
    <n v="801"/>
    <x v="1"/>
    <n v="1"/>
    <n v="0"/>
    <n v="0"/>
    <s v="CORRIENTE"/>
    <n v="53"/>
    <x v="21"/>
    <s v="REPUESTOS Y ACCESORIOS"/>
    <n v="600.3199999999996"/>
    <n v="325"/>
    <n v="0"/>
    <n v="0"/>
    <n v="0"/>
    <n v="0"/>
    <n v="0"/>
    <n v="0"/>
    <n v="0"/>
    <n v="0"/>
    <n v="0"/>
    <n v="0"/>
    <n v="0"/>
    <n v="122"/>
    <n v="332.3199999999996"/>
    <n v="0"/>
    <n v="0"/>
    <n v="60"/>
    <n v="0"/>
    <n v="0"/>
    <n v="200.6800000000004"/>
    <n v="108"/>
    <n v="0"/>
    <n v="0"/>
    <n v="0"/>
    <n v="0"/>
    <n v="533"/>
    <n v="-208"/>
    <n v="290"/>
    <n v="243"/>
    <n v="533"/>
    <n v="-208"/>
  </r>
  <r>
    <s v="CONTRATACIÓN DE SERVICIO PARA ADQUISICIÓN DE REPUESTOS PARA MANTENIMIENTO DE VEHÍCULOS LIVIANOS DEL CENTRO OPERATIVO  ECU 911 POR EL PERÍODO 2021"/>
    <n v="1"/>
    <s v="266 0001"/>
    <x v="0"/>
    <n v="0"/>
    <x v="0"/>
    <n v="801"/>
    <x v="1"/>
    <n v="1"/>
    <n v="0"/>
    <n v="0"/>
    <s v="CORRIENTE"/>
    <n v="53"/>
    <x v="21"/>
    <s v="REPUESTOS Y ACCESORIOS"/>
    <n v="1803.2"/>
    <n v="1616"/>
    <n v="0"/>
    <n v="0"/>
    <n v="0"/>
    <n v="0"/>
    <n v="322"/>
    <n v="388"/>
    <n v="0"/>
    <n v="0"/>
    <n v="322"/>
    <n v="834"/>
    <n v="0"/>
    <n v="0"/>
    <n v="322"/>
    <n v="265"/>
    <n v="0"/>
    <n v="0"/>
    <n v="322"/>
    <n v="29"/>
    <n v="0"/>
    <n v="0"/>
    <n v="292"/>
    <n v="0"/>
    <n v="0"/>
    <n v="100"/>
    <n v="1580"/>
    <n v="36"/>
    <n v="1616"/>
    <n v="-36"/>
    <n v="1408"/>
    <n v="208"/>
  </r>
  <r>
    <s v="ADQUISICIÓN DE BIENES Y PAGO DE SERVICIOS NO PREVISIBLES, URGENTES Y DE VALOR REDUCIDO (CAJA CHICA)."/>
    <n v="1"/>
    <s v="266 0001"/>
    <x v="0"/>
    <n v="0"/>
    <x v="0"/>
    <n v="801"/>
    <x v="1"/>
    <n v="1"/>
    <n v="0"/>
    <n v="0"/>
    <s v="CORRIENTE"/>
    <n v="53"/>
    <x v="21"/>
    <s v="REPUESTOS Y ACCESORIOS"/>
    <n v="120"/>
    <n v="111.35"/>
    <n v="0"/>
    <n v="0"/>
    <n v="0"/>
    <n v="0"/>
    <n v="0"/>
    <n v="95"/>
    <n v="24"/>
    <n v="12"/>
    <n v="0"/>
    <n v="0"/>
    <n v="24"/>
    <n v="4.35"/>
    <n v="0"/>
    <n v="0"/>
    <n v="24"/>
    <n v="0"/>
    <n v="0"/>
    <n v="0"/>
    <n v="24"/>
    <n v="0"/>
    <n v="0"/>
    <n v="0"/>
    <n v="24"/>
    <n v="0"/>
    <n v="120"/>
    <n v="-8.650000000000006"/>
    <n v="111.35"/>
    <n v="8.649999999999999"/>
    <n v="111.35"/>
    <n v="0"/>
  </r>
  <r>
    <s v="ADQUISICIÓN DE MASCARILLA QUIRÚRGICA 3 CAPAS ELÁSTICO TAMAÑO ESTÁNDAR "/>
    <n v="1"/>
    <s v="266 0001"/>
    <x v="0"/>
    <n v="0"/>
    <x v="0"/>
    <n v="801"/>
    <x v="1"/>
    <n v="1"/>
    <n v="0"/>
    <n v="0"/>
    <s v="CORRIENTE"/>
    <n v="53"/>
    <x v="24"/>
    <s v="DISPOSITIVOS MÉDICOS DE USO GENERAL"/>
    <n v="1063.9999999999995"/>
    <n v="640.51"/>
    <n v="0"/>
    <n v="0"/>
    <n v="0"/>
    <n v="0"/>
    <n v="640.51"/>
    <n v="640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0.51"/>
    <s v="OK"/>
    <n v="640.51"/>
    <n v="0"/>
    <n v="640.51"/>
    <n v="0"/>
  </r>
  <r>
    <s v="CANCELACIÓN DEL PERMISO DE FUNCIONAMIENTO DEL CUERPO DE BOMBEROS AÑO 2022"/>
    <n v="1"/>
    <s v="266 0001"/>
    <x v="0"/>
    <n v="0"/>
    <x v="0"/>
    <n v="801"/>
    <x v="1"/>
    <n v="1"/>
    <n v="0"/>
    <n v="0"/>
    <s v="CORRIENTE"/>
    <n v="57"/>
    <x v="27"/>
    <s v="TASAS GENERALES, IMPUESTOS, CONTRIBUCIONES, PERMISOS, LICENCIAS Y PATENTES"/>
    <n v="800"/>
    <n v="1743.47"/>
    <n v="0"/>
    <n v="0"/>
    <n v="0"/>
    <n v="0"/>
    <n v="0"/>
    <n v="1743.47"/>
    <n v="1743.47"/>
    <n v="0"/>
    <n v="0"/>
    <n v="0"/>
    <n v="0"/>
    <n v="0"/>
    <n v="0"/>
    <n v="0"/>
    <n v="0"/>
    <n v="0"/>
    <n v="0"/>
    <n v="0"/>
    <n v="0"/>
    <n v="0"/>
    <n v="0"/>
    <n v="0"/>
    <n v="0"/>
    <n v="0"/>
    <n v="1743.47"/>
    <s v="OK"/>
    <n v="1743.47"/>
    <n v="0"/>
    <n v="1743.47"/>
    <n v="0"/>
  </r>
  <r>
    <s v="MATRICULACIÓN Y REVISIÓN VEHICULAR DE LOS VEHÍCULOS DEL CENTRO OPERATIVO LOCAL ECU 911 ESMERALDAS AÑO 2022"/>
    <n v="1"/>
    <s v="266 0001"/>
    <x v="0"/>
    <n v="0"/>
    <x v="0"/>
    <n v="801"/>
    <x v="1"/>
    <n v="1"/>
    <n v="0"/>
    <n v="0"/>
    <s v="CORRIENTE"/>
    <n v="57"/>
    <x v="27"/>
    <s v="TASAS GENERALES, IMPUESTOS, CONTRIBUCIONES, PERMISOS, LICENCIAS Y PATENTES"/>
    <n v="300"/>
    <n v="115.73000000000002"/>
    <n v="0"/>
    <n v="0"/>
    <n v="0"/>
    <n v="0"/>
    <n v="0"/>
    <n v="0"/>
    <n v="115.73000000000002"/>
    <n v="115.73"/>
    <n v="0"/>
    <n v="0"/>
    <n v="0"/>
    <n v="0"/>
    <n v="0"/>
    <n v="0"/>
    <n v="0"/>
    <n v="0"/>
    <n v="0"/>
    <n v="0"/>
    <n v="0"/>
    <n v="0"/>
    <n v="0"/>
    <n v="0"/>
    <n v="0"/>
    <n v="0"/>
    <n v="115.73000000000002"/>
    <s v="OK"/>
    <n v="115.73"/>
    <n v="1.4210854715202004E-14"/>
    <n v="115.73"/>
    <n v="0"/>
  </r>
  <r>
    <s v="CANCELACIÓN POR TASA DE MEJORAS EN EL MUNICIPIO AÑO 2022"/>
    <n v="1"/>
    <s v="266 0001"/>
    <x v="0"/>
    <n v="0"/>
    <x v="0"/>
    <n v="801"/>
    <x v="1"/>
    <n v="1"/>
    <n v="0"/>
    <n v="0"/>
    <s v="CORRIENTE"/>
    <n v="57"/>
    <x v="27"/>
    <s v="TASAS GENERALES, IMPUESTOS, CONTRIBUCIONES, PERMISOS, LICENCIAS Y PATENTES"/>
    <n v="400"/>
    <n v="1106.78"/>
    <n v="0"/>
    <n v="0"/>
    <n v="0"/>
    <n v="0"/>
    <n v="0"/>
    <n v="1106.78"/>
    <n v="1106.78"/>
    <n v="0"/>
    <n v="0"/>
    <n v="0"/>
    <n v="0"/>
    <n v="0"/>
    <n v="0"/>
    <n v="0"/>
    <n v="0"/>
    <n v="0"/>
    <n v="0"/>
    <n v="0"/>
    <n v="0"/>
    <n v="0"/>
    <n v="0"/>
    <n v="0"/>
    <n v="0"/>
    <n v="0"/>
    <n v="1106.78"/>
    <s v="OK"/>
    <n v="1106.78"/>
    <n v="0"/>
    <n v="1106.78"/>
    <n v="0"/>
  </r>
  <r>
    <s v="ARRASTRE: CANCELACIÓN POR DE SERVICIOS DE TELECOMUNICACIONES CORRESPONDIENTE A DICIEMBRE DEL 2021"/>
    <n v="1"/>
    <s v="266 0001"/>
    <x v="1"/>
    <n v="0"/>
    <x v="1"/>
    <n v="801"/>
    <x v="1"/>
    <n v="1"/>
    <n v="0"/>
    <n v="0"/>
    <s v="CORRIENTE"/>
    <n v="53"/>
    <x v="28"/>
    <s v="TELECOMUNICACIONES"/>
    <n v="14761.599999999999"/>
    <n v="12786.38"/>
    <n v="12786.38"/>
    <n v="13099.98"/>
    <n v="0"/>
    <n v="313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86.38"/>
    <s v="OK"/>
    <n v="13413.58"/>
    <n v="-627.2000000000004"/>
    <n v="13099.98"/>
    <n v="-313.60000000000036"/>
  </r>
  <r>
    <s v="CONTRATACIÓN DE SERVICIOS DE TELECOMUNICACIONES CORRESPONDIENTE AL CONTRATO ENERO-DICIEMBRE 2021"/>
    <n v="1"/>
    <s v="266 0001"/>
    <x v="1"/>
    <n v="0"/>
    <x v="1"/>
    <n v="801"/>
    <x v="1"/>
    <n v="1"/>
    <n v="0"/>
    <n v="0"/>
    <s v="CORRIENTE"/>
    <n v="53"/>
    <x v="28"/>
    <s v="TELECOMUNICACIONES"/>
    <n v="177124.64"/>
    <n v="151722.05000000002"/>
    <n v="0"/>
    <n v="0"/>
    <n v="14377"/>
    <n v="13231.119999999999"/>
    <n v="14377"/>
    <n v="13343.68"/>
    <n v="14377"/>
    <n v="13180.18"/>
    <n v="14377"/>
    <n v="13778.36"/>
    <n v="14377"/>
    <n v="13015.21"/>
    <n v="14377"/>
    <n v="13178.53"/>
    <n v="14377"/>
    <n v="13187.36"/>
    <n v="14377"/>
    <n v="13319.17"/>
    <n v="14377"/>
    <n v="13294.730000000001"/>
    <n v="22408.660000000003"/>
    <n v="13308.55"/>
    <n v="0"/>
    <n v="13732.82"/>
    <n v="151801.66"/>
    <n v="-79.60999999998603"/>
    <n v="146569.71"/>
    <n v="5231.950000000001"/>
    <n v="151801.66"/>
    <n v="-79.60999999998603"/>
  </r>
  <r>
    <s v="ADQUISICIÓN DE MATERIALES E INSUMOS PARA MANTENIMIENTOS E INSTALACIONES TECNOLÓGICAS DEL CENTRO"/>
    <n v="2"/>
    <s v="266 0001"/>
    <x v="1"/>
    <n v="0"/>
    <x v="1"/>
    <n v="801"/>
    <x v="1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3000.4799999999996"/>
    <n v="553.5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3.5400000000001"/>
    <n v="553.54"/>
    <n v="0"/>
    <n v="0"/>
    <n v="0"/>
    <n v="0"/>
    <n v="553.5400000000001"/>
    <s v="OK"/>
    <n v="553.54"/>
    <n v="1.1368683772161603E-13"/>
    <n v="553.54"/>
    <n v="0"/>
  </r>
  <r>
    <s v="ADQUISICIÓN DE BIENES Y PAGO DE SERVICIOS NO PREVISIBLES, URGENTES Y DE VALOR REDUCIDO (CAJA CHICA)."/>
    <n v="2"/>
    <s v="266 0001"/>
    <x v="1"/>
    <n v="0"/>
    <x v="1"/>
    <n v="801"/>
    <x v="1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500"/>
    <n v="463.13"/>
    <n v="0"/>
    <n v="0"/>
    <n v="0"/>
    <n v="0"/>
    <n v="50"/>
    <n v="28"/>
    <n v="50"/>
    <n v="50.35"/>
    <n v="50"/>
    <n v="80.83"/>
    <n v="50"/>
    <n v="59.6"/>
    <n v="50"/>
    <n v="45.01"/>
    <n v="50"/>
    <n v="67.6"/>
    <n v="50"/>
    <n v="0"/>
    <n v="50"/>
    <n v="57.79"/>
    <n v="100"/>
    <n v="0"/>
    <n v="0"/>
    <n v="97.94"/>
    <n v="500"/>
    <n v="-36.870000000000005"/>
    <n v="487.12"/>
    <n v="12.880000000000024"/>
    <n v="194.79"/>
    <n v="268.34000000000003"/>
  </r>
  <r>
    <s v="ADQUISICIÓN DE REPUESTOS Y ACCESORIOS TECNOLÓGICOS PARA MAQUINARIAS, PLANTAS ELÉCTRICAS, EQUIPOS Y OTROS"/>
    <n v="2"/>
    <s v="266 0001"/>
    <x v="1"/>
    <n v="0"/>
    <x v="1"/>
    <n v="801"/>
    <x v="1"/>
    <n v="1"/>
    <n v="0"/>
    <n v="0"/>
    <s v="CORRIENTE"/>
    <n v="53"/>
    <x v="21"/>
    <s v="REPUESTOS Y ACCESORIOS"/>
    <n v="6999.999999999998"/>
    <n v="4161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1.48"/>
    <n v="4161.48"/>
    <n v="0"/>
    <n v="0"/>
    <n v="0"/>
    <n v="0"/>
    <n v="4161.48"/>
    <s v="OK"/>
    <n v="4161.48"/>
    <n v="0"/>
    <n v="4161.48"/>
    <n v="0"/>
  </r>
  <r>
    <s v="ADQUISICIÓN DE BIENES Y PAGO DE SERVICIOS NO PREVISIBLES, URGENTES Y DE VALOR REDUCIDO (CAJA CHICA)."/>
    <n v="2"/>
    <s v="266 0001"/>
    <x v="1"/>
    <n v="0"/>
    <x v="1"/>
    <n v="801"/>
    <x v="1"/>
    <n v="1"/>
    <n v="0"/>
    <n v="0"/>
    <s v="CORRIENTE"/>
    <n v="53"/>
    <x v="21"/>
    <s v="REPUESTOS Y ACCESORIOS"/>
    <n v="200"/>
    <n v="185.99"/>
    <n v="0"/>
    <n v="0"/>
    <n v="0"/>
    <n v="0"/>
    <n v="20"/>
    <n v="57"/>
    <n v="20"/>
    <n v="20"/>
    <n v="20"/>
    <n v="0"/>
    <n v="20"/>
    <n v="40"/>
    <n v="20"/>
    <n v="45"/>
    <n v="20"/>
    <n v="0"/>
    <n v="20"/>
    <n v="0"/>
    <n v="20"/>
    <n v="0"/>
    <n v="25.99"/>
    <n v="0"/>
    <n v="0"/>
    <n v="0"/>
    <n v="185.99"/>
    <s v="OK"/>
    <n v="162"/>
    <n v="23.99"/>
    <n v="140.99"/>
    <n v="45"/>
  </r>
  <r>
    <s v="ADQUISICIÓN DE EQUIPOS TECNOLÓGICOS PARA LOS CENTROS OPERATIVOS ECU911 IBARRA, ESMERALDAS, NUEVA LOJA Y TULCÁN"/>
    <n v="1"/>
    <s v="266 0001"/>
    <x v="1"/>
    <n v="0"/>
    <x v="1"/>
    <n v="801"/>
    <x v="1"/>
    <n v="1"/>
    <n v="0"/>
    <n v="0"/>
    <s v="CORRIENTE"/>
    <n v="53"/>
    <x v="29"/>
    <s v="MAQUINARIAS Y EQUIPOS"/>
    <n v="0"/>
    <n v="3130"/>
    <n v="0"/>
    <n v="0"/>
    <n v="0"/>
    <n v="0"/>
    <n v="3130"/>
    <n v="3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0"/>
    <s v="OK"/>
    <n v="3130"/>
    <n v="0"/>
    <n v="3130"/>
    <n v="0"/>
  </r>
  <r>
    <s v="ADQUISICIÓN DE EQUIPOS TECNOLÓGICOS PARA LOS CENTROS OPERATIVOS ECU911 IBARRA, ESMERALDAS, NUEVA LOJA Y TULCÁN"/>
    <n v="1"/>
    <s v="266 0001"/>
    <x v="1"/>
    <n v="0"/>
    <x v="1"/>
    <n v="801"/>
    <x v="1"/>
    <n v="1"/>
    <n v="0"/>
    <n v="0"/>
    <s v="CORRIENTE"/>
    <n v="53"/>
    <x v="30"/>
    <s v="EQUIPOS, SISTEMAS Y PAQUETES INFORMÁTICOS"/>
    <n v="0"/>
    <n v="617.5"/>
    <n v="0"/>
    <n v="0"/>
    <n v="0"/>
    <n v="0"/>
    <n v="617.5"/>
    <n v="61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7.5"/>
    <s v="OK"/>
    <n v="617.5"/>
    <n v="0"/>
    <n v="617.5"/>
    <n v="0"/>
  </r>
  <r>
    <s v="CONTRATACIÓN DE SERVICIO PARA MANTENIMIENTO Y REPARACIÓN DE FISURAS O GRIETAS Y CONTROL DE HUMEDAD DE PAREDES EXTERNAS, PINTURA EXTERNA DEL EDIFICIO ECU 911"/>
    <n v="1"/>
    <s v="266 0001"/>
    <x v="0"/>
    <n v="0"/>
    <x v="0"/>
    <n v="801"/>
    <x v="1"/>
    <n v="1"/>
    <n v="0"/>
    <n v="0"/>
    <s v="CORRIENTE"/>
    <n v="53"/>
    <x v="10"/>
    <s v="EDIFICIOS, LOCALES, RESIDENCIAS Y CABLEADO ESTRUCTURADO (INSTALACIÓN, MANTENIMIENTO Y REPARACIÓN)"/>
    <n v="0"/>
    <n v="6196"/>
    <n v="0"/>
    <n v="0"/>
    <n v="0"/>
    <n v="0"/>
    <n v="0"/>
    <n v="0"/>
    <n v="0"/>
    <n v="0"/>
    <n v="0"/>
    <n v="0"/>
    <n v="0"/>
    <n v="0"/>
    <n v="0"/>
    <n v="0"/>
    <n v="0"/>
    <n v="0"/>
    <n v="6709"/>
    <n v="8000"/>
    <n v="0"/>
    <n v="0"/>
    <n v="0"/>
    <n v="0"/>
    <n v="0"/>
    <n v="0"/>
    <n v="6709"/>
    <n v="-513"/>
    <n v="8000"/>
    <n v="-1291"/>
    <n v="6196"/>
    <n v="0"/>
  </r>
  <r>
    <s v="ADQUISICIÓN DE SEÑALÉTICA DE SEGURIDAD PARA CENTROS OPERATIVOS LOCAL ECU 911 ESMERALDAS"/>
    <n v="1"/>
    <s v="266 0001"/>
    <x v="0"/>
    <n v="0"/>
    <x v="0"/>
    <n v="801"/>
    <x v="1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.04"/>
    <n v="0"/>
    <n v="327.04"/>
    <n v="-327.04"/>
    <n v="0"/>
    <n v="327.04"/>
    <n v="0"/>
    <n v="0"/>
  </r>
  <r>
    <s v="IMPRESIÓN DE TARJETAS PVC, CINTA PARA CREDENCIALES PARA EL PERSONAL DEL CENTRO OPERATIVO LOCAL ESMERALDAS."/>
    <n v="1"/>
    <s v="266 0001"/>
    <x v="0"/>
    <n v="0"/>
    <x v="0"/>
    <n v="801"/>
    <x v="1"/>
    <n v="1"/>
    <n v="0"/>
    <n v="0"/>
    <s v="CORRIENTE"/>
    <n v="53"/>
    <x v="5"/>
    <s v="EDICIÓN, IMPRESIÓN, REPRODUCCIÓN, PUBLICACIONES, SUSCRIPCIONES, FOTOCOPIADO, TRADUCCIÓN, EMPASTADO, ENMARCACIÓN, SERIGRAFÍA, FOTOGRAFÍA, CARNETIZACIÓN, FILMACIÓN E IMÁGENES SATELITALES"/>
    <n v="0"/>
    <n v="141.9"/>
    <n v="0"/>
    <n v="0"/>
    <n v="0"/>
    <n v="0"/>
    <n v="0"/>
    <n v="0"/>
    <n v="0"/>
    <n v="0"/>
    <n v="0"/>
    <n v="0"/>
    <n v="141.9"/>
    <n v="0"/>
    <n v="0"/>
    <n v="141.9"/>
    <n v="0"/>
    <n v="0"/>
    <n v="0"/>
    <n v="0"/>
    <n v="0"/>
    <n v="0"/>
    <n v="0"/>
    <n v="0"/>
    <n v="0"/>
    <n v="0"/>
    <n v="141.9"/>
    <s v="OK"/>
    <n v="141.9"/>
    <n v="0"/>
    <n v="141.9"/>
    <n v="0"/>
  </r>
  <r>
    <s v="ADQUISICIÓN DE TARJETAS PVC, CINTA PARA CREDENCIALES Y PORTA CREDENCIALES PARA EL PERSONAL DEL CENTRO OPERATIVO LOCAL ESMERALDAS."/>
    <n v="1"/>
    <s v="266 0001"/>
    <x v="0"/>
    <n v="0"/>
    <x v="0"/>
    <n v="801"/>
    <x v="1"/>
    <n v="1"/>
    <n v="0"/>
    <n v="0"/>
    <s v="CORRIENTE"/>
    <n v="53"/>
    <x v="16"/>
    <s v="MATERIALES DE OFICINA"/>
    <n v="0"/>
    <n v="196.07999999999998"/>
    <n v="0"/>
    <n v="0"/>
    <n v="0"/>
    <n v="0"/>
    <n v="0"/>
    <n v="0"/>
    <n v="0"/>
    <n v="0"/>
    <n v="0"/>
    <n v="0"/>
    <n v="196.07999999999998"/>
    <n v="0"/>
    <n v="0"/>
    <n v="196.07999999999998"/>
    <n v="0"/>
    <n v="0"/>
    <n v="0"/>
    <n v="0"/>
    <n v="0"/>
    <n v="0"/>
    <n v="0"/>
    <n v="0"/>
    <n v="0"/>
    <n v="0"/>
    <n v="196.07999999999998"/>
    <s v="OK"/>
    <n v="196.07999999999998"/>
    <n v="0"/>
    <n v="196.08"/>
    <n v="0"/>
  </r>
  <r>
    <s v="CONTRATACIÓN DEL SERVICIO DE EMISIÓN DE PASAJES AÉREOS NACIONALES PARA EL CENTRO OPERATIVO LOCAL ECU 911 ESMERALDAS"/>
    <n v="1"/>
    <s v="266 0001"/>
    <x v="0"/>
    <n v="0"/>
    <x v="0"/>
    <n v="801"/>
    <x v="1"/>
    <n v="1"/>
    <n v="0"/>
    <n v="0"/>
    <s v="CORRIENTE"/>
    <n v="53"/>
    <x v="8"/>
    <s v="PASAJES AL INTERIO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CONTRATACIÓN DE SERVICIO MANTENIMIENTO PREVENTIVO Y CORRECTIVO MESA INTELIGENTE SALA DE CRISIS, EQUIPOS ELECTRÓNICOS, INCLUYE REPUESTOS Y ACCESORIOS"/>
    <n v="1"/>
    <s v="266 0001"/>
    <x v="1"/>
    <n v="0"/>
    <x v="1"/>
    <n v="801"/>
    <x v="1"/>
    <n v="1"/>
    <n v="0"/>
    <n v="0"/>
    <s v="CORRIENTE"/>
    <n v="53"/>
    <x v="32"/>
    <s v="MANTENIMIENTO Y REPARACIÓN DE EQUIPOS Y SISTEMAS INFORMÁTICOS "/>
    <n v="0"/>
    <n v="351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10.96"/>
    <n v="0"/>
    <n v="0"/>
    <n v="3510.96"/>
    <n v="3510.96"/>
    <s v="OK"/>
    <n v="3510.96"/>
    <n v="0"/>
    <n v="3510.96"/>
    <n v="0"/>
  </r>
  <r>
    <s v="CONTRATACIÓN DE SERVICIO MANTENIMIENTO PREVENTIVO Y CORRECTIVO MESA INTELIGENTE SALA DE CRISIS, EQUIPOS ELECTRÓNICOS, INCLUYE REPUESTOS Y ACCESORIOS"/>
    <n v="1"/>
    <s v="266 0001"/>
    <x v="1"/>
    <n v="0"/>
    <x v="1"/>
    <n v="801"/>
    <x v="1"/>
    <n v="1"/>
    <n v="0"/>
    <n v="0"/>
    <s v="CORRIENTE"/>
    <n v="53"/>
    <x v="21"/>
    <s v="REPUESTOS Y ACCESORIOS"/>
    <n v="0"/>
    <n v="1693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3.77"/>
    <n v="0"/>
    <n v="0"/>
    <n v="1693.77"/>
    <n v="1693.77"/>
    <s v="OK"/>
    <n v="1693.77"/>
    <n v="0"/>
    <n v="1693.77"/>
    <n v="0"/>
  </r>
  <r>
    <s v="ADQUISICIÓN DE MINI STAND PORTABLE (EXHIBIDOR DE PLÁSTICO) PARA LOS CENTROS OPERATIVOS QUE CONFORMAN LA COORDINACIÓN ZONAL 1 DEL SERVICIO INTEGRADO DE SEGURIDAD."/>
    <n v="1"/>
    <s v="266 0001"/>
    <x v="0"/>
    <n v="0"/>
    <x v="0"/>
    <n v="801"/>
    <x v="1"/>
    <n v="1"/>
    <n v="0"/>
    <n v="0"/>
    <s v="CORRIENTE"/>
    <n v="53"/>
    <x v="25"/>
    <s v="MOBILIARIO"/>
    <n v="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"/>
    <n v="0"/>
    <n v="230"/>
    <n v="-80"/>
    <n v="0"/>
    <n v="230"/>
    <n v="150"/>
    <n v="0"/>
  </r>
  <r>
    <s v=" ADQUISICIÓN DE EQUIPOS DE PROTECCIÓN INDIVIDUAL Y ROPA DE TRABAJO"/>
    <n v="1"/>
    <s v="266 0001"/>
    <x v="0"/>
    <n v="0"/>
    <x v="0"/>
    <n v="801"/>
    <x v="1"/>
    <n v="1"/>
    <n v="0"/>
    <n v="0"/>
    <s v="CORRIENTE"/>
    <n v="53"/>
    <x v="21"/>
    <s v="REPUESTOS Y ACCESORIO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CONTRATACIÓN PARA MANTENIMIENTO DE INFRAESTRUCTURA INTERNA Y ADECUACIÓN DEL CERRAMIENTO EXTERNO DEL CENTRO OPERATIVO LOCAL ECU 911 ESMERALDAS PARA EL 2022"/>
    <n v="1"/>
    <s v="266 0001"/>
    <x v="0"/>
    <n v="0"/>
    <x v="0"/>
    <n v="801"/>
    <x v="1"/>
    <n v="1"/>
    <n v="0"/>
    <n v="0"/>
    <s v="CORRIENTE"/>
    <n v="53"/>
    <x v="10"/>
    <s v="EDIFICIOS, LOCALES, RESIDENCIAS Y CABLEADO ESTRUCTURADO (INSTALACIÓN, MANTENIMIENTO Y REPARACIÓN)"/>
    <n v="0"/>
    <n v="44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7"/>
    <n v="4487"/>
    <n v="4487"/>
    <s v="OK"/>
    <n v="4487"/>
    <n v="0"/>
    <n v="4487"/>
    <n v="0"/>
  </r>
  <r>
    <s v="ADQUISICIÓN DE MATERIAL DE POSICIONAMIENTO E IDENTIDAD DEL ECU 911 PARA LOS CENTROS QUE CONFORMAN LA COORDINACIÓN ZONAL 1"/>
    <n v="1"/>
    <s v="266 0001"/>
    <x v="0"/>
    <n v="0"/>
    <x v="0"/>
    <n v="801"/>
    <x v="1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0"/>
    <n v="10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9"/>
    <n v="1039"/>
    <n v="0"/>
    <n v="0"/>
    <n v="0"/>
    <n v="0"/>
    <n v="1039"/>
    <s v="OK"/>
    <n v="1039"/>
    <n v="0"/>
    <n v="1039"/>
    <n v="0"/>
  </r>
  <r>
    <s v="ADQUISICIÓN DE MATERIAL DE POSICIONAMIENTO E IDENTIDAD DEL ECU 911 PARA LOS CENTROS QUE CONFORMAN LA COORDINACIÓN ZONAL 1"/>
    <n v="1"/>
    <s v="266 0001"/>
    <x v="0"/>
    <n v="0"/>
    <x v="0"/>
    <n v="801"/>
    <x v="1"/>
    <n v="1"/>
    <n v="0"/>
    <n v="0"/>
    <s v="CORRIENTE"/>
    <n v="53"/>
    <x v="16"/>
    <s v="MATERIALES DE OFICINA"/>
    <n v="0"/>
    <n v="6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"/>
    <n v="699"/>
    <n v="0"/>
    <n v="0"/>
    <n v="0"/>
    <n v="0"/>
    <n v="699"/>
    <s v="OK"/>
    <n v="699"/>
    <n v="0"/>
    <n v="699"/>
    <n v="0"/>
  </r>
  <r>
    <s v="ADQUISICIÓN DE CINTAS PARA ETIQUETADORA PARA LA UNIDAD DE BIENES PARA EL CENTRO OPERATIVO LOCAL ECU 911  ESMERALDAS"/>
    <n v="1"/>
    <s v="266 0001"/>
    <x v="0"/>
    <n v="0"/>
    <x v="0"/>
    <n v="801"/>
    <x v="1"/>
    <n v="1"/>
    <n v="0"/>
    <n v="0"/>
    <s v="CORRIENTE"/>
    <n v="53"/>
    <x v="16"/>
    <s v="MATERIALES DE OFICIN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0"/>
    <n v="50"/>
    <n v="-50"/>
    <n v="0"/>
    <n v="50"/>
    <n v="0"/>
    <n v="0"/>
  </r>
  <r>
    <s v="ADQUISICIÓN DE ETIQUETADORA PARA LA UNIDAD DE BIENES PARA EL CENTRO OPERATIVO LOCAL ECU 911  ESMERALDAS"/>
    <n v="1"/>
    <s v="266 0001"/>
    <x v="0"/>
    <n v="0"/>
    <x v="0"/>
    <n v="801"/>
    <x v="1"/>
    <n v="1"/>
    <n v="0"/>
    <n v="0"/>
    <s v="CORRIENTE"/>
    <n v="53"/>
    <x v="26"/>
    <s v="HERRAMIENTAS Y EQUIPOS MENOR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0"/>
    <n v="100"/>
    <n v="-100"/>
    <n v="0"/>
    <n v="100"/>
    <n v="0"/>
    <n v="0"/>
  </r>
  <r>
    <s v="ADQUISICIÓN DE MATERIAL DIDÁCTICO TÍTERES PARA VINCULACIÓN DEL SIS ECU 911. INCLUYE STAND"/>
    <n v="1"/>
    <s v="266 0001"/>
    <x v="0"/>
    <n v="0"/>
    <x v="0"/>
    <n v="801"/>
    <x v="1"/>
    <n v="1"/>
    <n v="0"/>
    <n v="0"/>
    <s v="CORRIENTE"/>
    <n v="53"/>
    <x v="20"/>
    <s v="MATERIALES DIDÁCTICOS"/>
    <n v="0"/>
    <n v="8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892"/>
    <n v="0"/>
    <n v="0"/>
    <n v="892"/>
    <n v="892"/>
    <s v="OK"/>
    <n v="892"/>
    <n v="0"/>
    <n v="892"/>
    <n v="0"/>
  </r>
  <r>
    <s v="CANCELACIÓN DE REMUNERACIONES Y BENEFICIOS SOCIALES"/>
    <n v="1"/>
    <s v="266 0001"/>
    <x v="0"/>
    <n v="0"/>
    <x v="0"/>
    <n v="1000"/>
    <x v="2"/>
    <n v="1"/>
    <n v="0"/>
    <n v="0"/>
    <s v="CORRIENTE"/>
    <n v="51"/>
    <x v="33"/>
    <s v="REMUNERACIONES UNIFICADAS"/>
    <n v="769920"/>
    <n v="749851.45"/>
    <n v="64160"/>
    <n v="61792"/>
    <n v="64160"/>
    <n v="61792"/>
    <n v="64160"/>
    <n v="61792"/>
    <n v="64160"/>
    <n v="63133.87"/>
    <n v="64160"/>
    <n v="64160"/>
    <n v="64160"/>
    <n v="64160"/>
    <n v="64160"/>
    <n v="63174"/>
    <n v="64160"/>
    <n v="63308.38"/>
    <n v="64160"/>
    <n v="63174"/>
    <n v="64160"/>
    <n v="61753.2"/>
    <n v="116182.25"/>
    <n v="60806"/>
    <n v="0"/>
    <n v="60806"/>
    <n v="757782.25"/>
    <n v="-7930.800000000047"/>
    <n v="749851.45"/>
    <n v="7930.800000000003"/>
    <n v="0"/>
    <n v="749851.45"/>
  </r>
  <r>
    <s v="CANCELACIÓN DE REMUNERACIONES Y BENEFICIOS SOCIALES"/>
    <n v="1"/>
    <s v="266 0001"/>
    <x v="0"/>
    <n v="0"/>
    <x v="0"/>
    <n v="1000"/>
    <x v="2"/>
    <n v="1"/>
    <n v="0"/>
    <n v="0"/>
    <s v="CORRIENTE"/>
    <n v="51"/>
    <x v="34"/>
    <s v="SALARIOS UNIFICADOS"/>
    <n v="67272"/>
    <n v="97476"/>
    <n v="4500"/>
    <n v="7974"/>
    <n v="4500"/>
    <n v="7974"/>
    <n v="4500"/>
    <n v="7974"/>
    <n v="4500"/>
    <n v="7974"/>
    <n v="4500"/>
    <n v="7974"/>
    <n v="4500"/>
    <n v="7974"/>
    <n v="4500"/>
    <n v="7974"/>
    <n v="4500"/>
    <n v="7974"/>
    <n v="4500"/>
    <n v="7974"/>
    <n v="4500"/>
    <n v="8570"/>
    <n v="4500"/>
    <n v="8570"/>
    <n v="49742"/>
    <n v="8570"/>
    <n v="99242"/>
    <n v="-1766"/>
    <n v="97476"/>
    <n v="1766"/>
    <n v="0"/>
    <n v="97476"/>
  </r>
  <r>
    <s v="CANCELACIÓN DE REMUNERACIONES Y BENEFICIOS SOCIALES"/>
    <n v="1"/>
    <s v="266 0001"/>
    <x v="0"/>
    <n v="0"/>
    <x v="0"/>
    <n v="1000"/>
    <x v="2"/>
    <n v="1"/>
    <n v="0"/>
    <n v="0"/>
    <s v="CORRIENTE"/>
    <n v="51"/>
    <x v="35"/>
    <s v="DÉCIMO TERCER SUELDO"/>
    <n v="72134"/>
    <n v="71096.26"/>
    <n v="1125"/>
    <n v="0"/>
    <n v="1125"/>
    <n v="2602.12"/>
    <n v="1125"/>
    <n v="1246.67"/>
    <n v="1125"/>
    <n v="1252.75"/>
    <n v="1125"/>
    <n v="1247.6"/>
    <n v="1125"/>
    <n v="1129"/>
    <n v="1125"/>
    <n v="1622.02"/>
    <n v="1125"/>
    <n v="1129.7"/>
    <n v="1125"/>
    <n v="1134.04"/>
    <n v="1125"/>
    <n v="931.67"/>
    <n v="1125"/>
    <n v="1011.78"/>
    <n v="60400.92"/>
    <n v="57788.91"/>
    <n v="72775.92"/>
    <n v="-1679.6600000000035"/>
    <n v="71096.26000000001"/>
    <n v="1679.6599999999962"/>
    <n v="0"/>
    <n v="71096.26"/>
  </r>
  <r>
    <s v="CANCELACIÓN DE REMUNERACIONES Y BENEFICIOS SOCIALES"/>
    <n v="1"/>
    <s v="266 0001"/>
    <x v="0"/>
    <n v="0"/>
    <x v="0"/>
    <n v="1000"/>
    <x v="2"/>
    <n v="1"/>
    <n v="0"/>
    <n v="0"/>
    <s v="CORRIENTE"/>
    <n v="51"/>
    <x v="36"/>
    <s v="DÉCIMO CUARTO SUELDO"/>
    <n v="26000"/>
    <n v="27661.8"/>
    <n v="430"/>
    <n v="0"/>
    <n v="430"/>
    <n v="1027.18"/>
    <n v="5200"/>
    <n v="5970.9"/>
    <n v="430"/>
    <n v="495.88"/>
    <n v="430"/>
    <n v="495.88"/>
    <n v="430"/>
    <n v="460.46"/>
    <n v="430"/>
    <n v="602.14"/>
    <n v="16500"/>
    <n v="16859.61"/>
    <n v="3861.880000000001"/>
    <n v="460.46"/>
    <n v="0"/>
    <n v="425.04"/>
    <n v="0"/>
    <n v="439.21"/>
    <n v="0"/>
    <n v="425.04"/>
    <n v="28141.88"/>
    <n v="-480.08000000000175"/>
    <n v="27661.8"/>
    <n v="480.07999999999987"/>
    <n v="0"/>
    <n v="27661.8"/>
  </r>
  <r>
    <s v="CANCELACIÓN DE REMUNERACIONES Y BENEFICIOS SOCIALES"/>
    <n v="1"/>
    <s v="266 0001"/>
    <x v="0"/>
    <n v="0"/>
    <x v="0"/>
    <n v="1000"/>
    <x v="2"/>
    <n v="1"/>
    <n v="0"/>
    <n v="0"/>
    <s v="CORRIENTE"/>
    <n v="51"/>
    <x v="37"/>
    <s v="HORAS EXTRAORDINARIAS Y SUPLEMENTARIAS"/>
    <n v="3000"/>
    <n v="6190.96"/>
    <n v="250"/>
    <n v="0"/>
    <n v="250"/>
    <n v="717.98"/>
    <n v="250"/>
    <n v="364.18"/>
    <n v="250"/>
    <n v="546.41"/>
    <n v="250"/>
    <n v="950.51"/>
    <n v="250"/>
    <n v="294.46"/>
    <n v="250"/>
    <n v="269.19"/>
    <n v="250"/>
    <n v="262.84"/>
    <n v="250"/>
    <n v="516.18"/>
    <n v="250"/>
    <n v="306.24"/>
    <n v="250"/>
    <n v="686.36"/>
    <n v="3299.7"/>
    <n v="1276.61"/>
    <n v="6049.7"/>
    <n v="141.26000000000022"/>
    <n v="6190.959999999999"/>
    <n v="-141.26"/>
    <n v="0"/>
    <n v="6190.96"/>
  </r>
  <r>
    <s v="CANCELACIÓN DE REMUNERACIONES Y BENEFICIOS SOCIALES"/>
    <n v="1"/>
    <s v="266 0001"/>
    <x v="0"/>
    <n v="0"/>
    <x v="0"/>
    <n v="1000"/>
    <x v="2"/>
    <n v="1"/>
    <n v="0"/>
    <n v="0"/>
    <s v="CORRIENTE"/>
    <n v="51"/>
    <x v="38"/>
    <s v="APORTE PATRONAL"/>
    <n v="85924"/>
    <n v="84952.25"/>
    <n v="7160"/>
    <n v="6931.89"/>
    <n v="7160"/>
    <n v="7019.13"/>
    <n v="7160"/>
    <n v="6976.13"/>
    <n v="7160"/>
    <n v="7127.76"/>
    <n v="7160"/>
    <n v="7275.93"/>
    <n v="7160"/>
    <n v="7196.17"/>
    <n v="7160"/>
    <n v="7097.96"/>
    <n v="7160"/>
    <n v="7097.21"/>
    <n v="7160"/>
    <n v="7127.97"/>
    <n v="7160"/>
    <n v="7037.77"/>
    <n v="14830.380000000005"/>
    <n v="6992.55"/>
    <n v="0"/>
    <n v="7071.78"/>
    <n v="86430.38"/>
    <n v="-1478.1300000000047"/>
    <n v="84952.25"/>
    <n v="1478.1300000000037"/>
    <n v="0"/>
    <n v="84952.25"/>
  </r>
  <r>
    <s v="CANCELACIÓN DE REMUNERACIONES Y BENEFICIOS SOCIALES"/>
    <n v="1"/>
    <s v="266 0001"/>
    <x v="0"/>
    <n v="0"/>
    <x v="0"/>
    <n v="1000"/>
    <x v="2"/>
    <n v="1"/>
    <n v="0"/>
    <n v="0"/>
    <s v="CORRIENTE"/>
    <n v="51"/>
    <x v="39"/>
    <s v="FONDO DE RESERVA"/>
    <n v="72134"/>
    <n v="68756.96"/>
    <n v="6011"/>
    <n v="0"/>
    <n v="6011"/>
    <n v="5810.2"/>
    <n v="6011"/>
    <n v="5780.72"/>
    <n v="6011"/>
    <n v="5795.9"/>
    <n v="6011"/>
    <n v="5829.58"/>
    <n v="6011"/>
    <n v="5774.91"/>
    <n v="6011"/>
    <n v="5772.81"/>
    <n v="6011"/>
    <n v="5690.15"/>
    <n v="6011"/>
    <n v="5711.24"/>
    <n v="6011"/>
    <n v="5754.82"/>
    <n v="12024"/>
    <n v="5663.18"/>
    <n v="0"/>
    <n v="11173.45"/>
    <n v="72134"/>
    <n v="-3377.0399999999936"/>
    <n v="68756.96"/>
    <n v="3377.0399999999972"/>
    <n v="0"/>
    <n v="68756.96"/>
  </r>
  <r>
    <s v="CANCELACIÓN DE REMUNERACIONES Y BENEFICIOS SOCIALES"/>
    <n v="1"/>
    <s v="266 0001"/>
    <x v="0"/>
    <n v="0"/>
    <x v="2"/>
    <n v="1000"/>
    <x v="2"/>
    <n v="1"/>
    <n v="0"/>
    <n v="0"/>
    <s v="CORRIENTE"/>
    <n v="51"/>
    <x v="35"/>
    <s v="DÉCIMO TERCER SUELDO"/>
    <n v="4398"/>
    <n v="1710.28"/>
    <n v="306"/>
    <n v="0"/>
    <n v="306"/>
    <n v="122.16"/>
    <n v="306"/>
    <n v="61.08"/>
    <n v="306"/>
    <n v="61.08"/>
    <n v="306"/>
    <n v="732.96"/>
    <n v="306"/>
    <n v="0"/>
    <n v="306"/>
    <n v="0"/>
    <n v="256"/>
    <n v="0"/>
    <n v="0"/>
    <n v="0"/>
    <n v="0"/>
    <n v="0"/>
    <n v="0"/>
    <n v="0"/>
    <n v="0"/>
    <n v="733"/>
    <n v="2398"/>
    <n v="-687.72"/>
    <n v="1710.28"/>
    <n v="687.7199999999998"/>
    <n v="0"/>
    <n v="1710.28"/>
  </r>
  <r>
    <s v="CANCELACIÓN DE REMUNERACIONES Y BENEFICIOS SOCIALES"/>
    <n v="1"/>
    <s v="266 0001"/>
    <x v="0"/>
    <n v="0"/>
    <x v="2"/>
    <n v="1000"/>
    <x v="2"/>
    <n v="1"/>
    <n v="0"/>
    <n v="0"/>
    <s v="CORRIENTE"/>
    <n v="51"/>
    <x v="36"/>
    <s v="DÉCIMO CUARTO SUELDO"/>
    <n v="2400"/>
    <n v="650.16"/>
    <n v="120"/>
    <n v="0"/>
    <n v="120"/>
    <n v="70.84"/>
    <n v="800"/>
    <n v="331.38"/>
    <n v="120"/>
    <n v="35.42"/>
    <n v="77.6400000000001"/>
    <n v="212.52"/>
    <n v="0"/>
    <n v="0"/>
    <n v="0"/>
    <n v="0"/>
    <n v="0"/>
    <n v="0"/>
    <n v="0"/>
    <n v="0"/>
    <n v="0"/>
    <n v="0"/>
    <n v="0"/>
    <n v="0"/>
    <n v="0"/>
    <n v="0"/>
    <n v="1237.64"/>
    <n v="-587.4800000000001"/>
    <n v="650.1600000000001"/>
    <n v="587.4800000000001"/>
    <n v="0"/>
    <n v="650.16"/>
  </r>
  <r>
    <s v="CANCELACIÓN DE REMUNERACIONES Y BENEFICIOS SOCIALES"/>
    <n v="1"/>
    <s v="266 0001"/>
    <x v="0"/>
    <n v="0"/>
    <x v="2"/>
    <n v="1000"/>
    <x v="2"/>
    <n v="1"/>
    <n v="0"/>
    <n v="0"/>
    <s v="CORRIENTE"/>
    <n v="51"/>
    <x v="40"/>
    <s v="SERVICIOS PERSONALES POR CONTRATO"/>
    <n v="52776"/>
    <n v="23456"/>
    <n v="4398"/>
    <n v="4398"/>
    <n v="4398"/>
    <n v="4398"/>
    <n v="4398"/>
    <n v="4398"/>
    <n v="4398"/>
    <n v="4398"/>
    <n v="4398"/>
    <n v="733"/>
    <n v="1466"/>
    <n v="733"/>
    <n v="0"/>
    <n v="733"/>
    <n v="0"/>
    <n v="733"/>
    <n v="0"/>
    <n v="733"/>
    <n v="0"/>
    <n v="733"/>
    <n v="0"/>
    <n v="733"/>
    <n v="0"/>
    <n v="733"/>
    <n v="23456"/>
    <s v="OK"/>
    <n v="23456"/>
    <n v="0"/>
    <n v="0"/>
    <n v="23456"/>
  </r>
  <r>
    <s v="CANCELACIÓN DE REMUNERACIONES Y BENEFICIOS SOCIALES"/>
    <n v="1"/>
    <s v="266 0001"/>
    <x v="0"/>
    <n v="0"/>
    <x v="2"/>
    <n v="1000"/>
    <x v="2"/>
    <n v="1"/>
    <n v="0"/>
    <n v="0"/>
    <s v="CORRIENTE"/>
    <n v="51"/>
    <x v="38"/>
    <s v="APORTE PATRONAL"/>
    <n v="5093"/>
    <n v="2263.68"/>
    <n v="424"/>
    <n v="424.44"/>
    <n v="424"/>
    <n v="424.44"/>
    <n v="424"/>
    <n v="424.44"/>
    <n v="424"/>
    <n v="424.44"/>
    <n v="424"/>
    <n v="70.74"/>
    <n v="143.84000000000015"/>
    <n v="70.74"/>
    <n v="0"/>
    <n v="70.74"/>
    <n v="0"/>
    <n v="70.74"/>
    <n v="0"/>
    <n v="70.74"/>
    <n v="0"/>
    <n v="70.74"/>
    <n v="0"/>
    <n v="70.74"/>
    <n v="0"/>
    <n v="70.74"/>
    <n v="2263.84"/>
    <n v="-0.16000000000030923"/>
    <n v="2263.6799999999994"/>
    <n v="0.16000000000011028"/>
    <n v="0"/>
    <n v="2263.68"/>
  </r>
  <r>
    <s v="CANCELACIÓN DE REMUNERACIONES Y BENEFICIOS SOCIALES"/>
    <n v="1"/>
    <s v="266 0001"/>
    <x v="0"/>
    <n v="0"/>
    <x v="2"/>
    <n v="1000"/>
    <x v="2"/>
    <n v="1"/>
    <n v="0"/>
    <n v="0"/>
    <s v="CORRIENTE"/>
    <n v="51"/>
    <x v="39"/>
    <s v="FONDO DE RESERVA"/>
    <n v="4398"/>
    <n v="1892.86"/>
    <n v="366"/>
    <n v="0"/>
    <n v="366"/>
    <n v="366.36"/>
    <n v="366"/>
    <n v="366.36"/>
    <n v="366"/>
    <n v="366.36"/>
    <n v="366"/>
    <n v="305.3"/>
    <n v="125.80999999999995"/>
    <n v="61.06"/>
    <n v="0"/>
    <n v="61.06"/>
    <n v="0"/>
    <n v="61.06"/>
    <n v="0"/>
    <n v="61.06"/>
    <n v="0"/>
    <n v="61.06"/>
    <n v="0"/>
    <n v="61.06"/>
    <n v="0"/>
    <n v="122.12"/>
    <n v="1955.81"/>
    <n v="-62.950000000000045"/>
    <n v="1892.8599999999997"/>
    <n v="62.94999999999982"/>
    <n v="0"/>
    <n v="1892.86"/>
  </r>
  <r>
    <s v="CANCELACIÓN DE REMUNERACIONES Y BENEFICIOS SOCIALES"/>
    <n v="1"/>
    <s v="266 0001"/>
    <x v="1"/>
    <n v="0"/>
    <x v="2"/>
    <n v="1000"/>
    <x v="2"/>
    <n v="1"/>
    <n v="0"/>
    <n v="0"/>
    <s v="CORRIENTE"/>
    <n v="51"/>
    <x v="33"/>
    <s v="REMUNERACIONES UNIFICADAS"/>
    <n v="1649652"/>
    <n v="1642127.18"/>
    <n v="137471"/>
    <n v="136200.47"/>
    <n v="137471"/>
    <n v="136005"/>
    <n v="137471"/>
    <n v="137471"/>
    <n v="137471"/>
    <n v="136884.6"/>
    <n v="137471"/>
    <n v="136005"/>
    <n v="137471"/>
    <n v="136322.63"/>
    <n v="137471"/>
    <n v="136738"/>
    <n v="137471"/>
    <n v="137471"/>
    <n v="137471"/>
    <n v="137471"/>
    <n v="137471"/>
    <n v="136485"/>
    <n v="270153.07000000007"/>
    <n v="137602.47"/>
    <n v="0"/>
    <n v="137471.01"/>
    <n v="1644863.07"/>
    <n v="-2735.8900000001304"/>
    <n v="1642127.18"/>
    <n v="2735.890000000043"/>
    <n v="0"/>
    <n v="1642127.18"/>
  </r>
  <r>
    <s v="CANCELACIÓN DE REMUNERACIONES Y BENEFICIOS SOCIALES"/>
    <n v="1"/>
    <s v="266 0001"/>
    <x v="1"/>
    <n v="0"/>
    <x v="2"/>
    <n v="1000"/>
    <x v="2"/>
    <n v="1"/>
    <n v="0"/>
    <n v="0"/>
    <s v="CORRIENTE"/>
    <n v="51"/>
    <x v="35"/>
    <s v="DÉCIMO TERCER SUELDO"/>
    <n v="89656"/>
    <n v="141812.2"/>
    <n v="2800"/>
    <n v="0"/>
    <n v="2800"/>
    <n v="5827.49"/>
    <n v="2800"/>
    <n v="2978.9"/>
    <n v="2800"/>
    <n v="3180.61"/>
    <n v="2800"/>
    <n v="3101.05"/>
    <n v="2800"/>
    <n v="2854.7"/>
    <n v="2800"/>
    <n v="2828.23"/>
    <n v="2800"/>
    <n v="2828.23"/>
    <n v="2800"/>
    <n v="2950.39"/>
    <n v="2800"/>
    <n v="2889.31"/>
    <n v="2800"/>
    <n v="3578.72"/>
    <n v="112700.60999999999"/>
    <n v="108794.57"/>
    <n v="143500.61"/>
    <n v="-1688.4099999999744"/>
    <n v="141812.2"/>
    <n v="1688.4099999999744"/>
    <n v="0"/>
    <n v="141812.2"/>
  </r>
  <r>
    <s v="CANCELACIÓN DE REMUNERACIONES Y BENEFICIOS SOCIALES"/>
    <n v="1"/>
    <s v="266 0001"/>
    <x v="1"/>
    <n v="0"/>
    <x v="2"/>
    <n v="1000"/>
    <x v="2"/>
    <n v="1"/>
    <n v="0"/>
    <n v="0"/>
    <s v="CORRIENTE"/>
    <n v="51"/>
    <x v="36"/>
    <s v="DÉCIMO CUARTO SUELDO"/>
    <n v="68400"/>
    <n v="64149.67"/>
    <n v="3000"/>
    <n v="0"/>
    <n v="3000"/>
    <n v="3074.45"/>
    <n v="19000"/>
    <n v="16740.75"/>
    <n v="3000"/>
    <n v="1584.45"/>
    <n v="3000"/>
    <n v="1575.01"/>
    <n v="3000"/>
    <n v="1502.99"/>
    <n v="3000"/>
    <n v="1487.64"/>
    <n v="19400"/>
    <n v="31874.9"/>
    <n v="3000"/>
    <n v="1558.48"/>
    <n v="3000"/>
    <n v="1523.06"/>
    <n v="5687.149999999994"/>
    <n v="1740.3"/>
    <n v="0"/>
    <n v="1487.64"/>
    <n v="68087.15"/>
    <n v="-3937.479999999996"/>
    <n v="64149.670000000006"/>
    <n v="3937.4799999999914"/>
    <n v="0"/>
    <n v="64149.67"/>
  </r>
  <r>
    <s v="CANCELACIÓN DE REMUNERACIONES Y BENEFICIOS SOCIALES"/>
    <n v="1"/>
    <s v="266 0001"/>
    <x v="1"/>
    <n v="0"/>
    <x v="2"/>
    <n v="1000"/>
    <x v="2"/>
    <n v="1"/>
    <n v="0"/>
    <n v="0"/>
    <s v="CORRIENTE"/>
    <n v="51"/>
    <x v="40"/>
    <s v="SERVICIOS PERSONALES POR CONTRATO"/>
    <n v="29424"/>
    <n v="54341.3"/>
    <n v="2452"/>
    <n v="2452"/>
    <n v="2452"/>
    <n v="2452"/>
    <n v="2452"/>
    <n v="2452"/>
    <n v="2452"/>
    <n v="1466"/>
    <n v="2452"/>
    <n v="1466"/>
    <n v="2452"/>
    <n v="5864"/>
    <n v="2452"/>
    <n v="5864"/>
    <n v="2452"/>
    <n v="5937.3"/>
    <n v="2452"/>
    <n v="6597"/>
    <n v="2452"/>
    <n v="6597"/>
    <n v="4904"/>
    <n v="6597"/>
    <n v="34314.04"/>
    <n v="6597"/>
    <n v="63738.04"/>
    <n v="-9396.739999999998"/>
    <n v="54341.3"/>
    <n v="9396.740000000002"/>
    <n v="0"/>
    <n v="54341.3"/>
  </r>
  <r>
    <s v="CANCELACIÓN DE REMUNERACIONES Y BENEFICIOS SOCIALES"/>
    <n v="1"/>
    <s v="266 0001"/>
    <x v="0"/>
    <n v="0"/>
    <x v="0"/>
    <n v="1000"/>
    <x v="2"/>
    <n v="1"/>
    <n v="0"/>
    <n v="0"/>
    <s v="CORRIENTE"/>
    <n v="51"/>
    <x v="41"/>
    <s v="SUBROGACIÓN "/>
    <n v="0"/>
    <n v="78.34"/>
    <n v="0"/>
    <n v="0"/>
    <n v="0"/>
    <n v="0"/>
    <n v="0"/>
    <n v="0"/>
    <n v="0"/>
    <n v="0"/>
    <n v="0"/>
    <n v="0"/>
    <n v="300"/>
    <n v="0"/>
    <n v="0"/>
    <n v="0"/>
    <n v="0"/>
    <n v="0"/>
    <n v="0"/>
    <n v="0"/>
    <n v="0"/>
    <n v="0"/>
    <n v="0"/>
    <n v="0"/>
    <n v="0"/>
    <n v="78.34"/>
    <n v="300"/>
    <n v="-221.66"/>
    <n v="78.34"/>
    <n v="221.66"/>
    <n v="0"/>
    <n v="78.34"/>
  </r>
  <r>
    <s v="CANCELACIÓN DE REMUNERACIONES Y BENEFICIOS SOCIALES"/>
    <n v="1"/>
    <s v="266 0001"/>
    <x v="1"/>
    <n v="0"/>
    <x v="1"/>
    <n v="1000"/>
    <x v="2"/>
    <n v="1"/>
    <n v="0"/>
    <n v="0"/>
    <s v="CORRIENTE"/>
    <n v="51"/>
    <x v="41"/>
    <s v="SUBROGACIÓN "/>
    <n v="0"/>
    <n v="553.6"/>
    <n v="0"/>
    <n v="0"/>
    <n v="0"/>
    <n v="230.67"/>
    <n v="0"/>
    <n v="0"/>
    <n v="0"/>
    <n v="0"/>
    <n v="0"/>
    <n v="0"/>
    <n v="576.67"/>
    <n v="0"/>
    <n v="0"/>
    <n v="0"/>
    <n v="0"/>
    <n v="0"/>
    <n v="0"/>
    <n v="322.93"/>
    <n v="0"/>
    <n v="0"/>
    <n v="0"/>
    <n v="0"/>
    <n v="0"/>
    <n v="0"/>
    <n v="576.67"/>
    <n v="-23.069999999999936"/>
    <n v="553.6"/>
    <n v="23.069999999999993"/>
    <n v="0"/>
    <n v="553.6"/>
  </r>
  <r>
    <s v="CANCELACIÓN DE REMUNERACIONES Y BENEFICIOS SOCIALES"/>
    <n v="1"/>
    <s v="266 0001"/>
    <x v="1"/>
    <n v="0"/>
    <x v="2"/>
    <n v="1000"/>
    <x v="2"/>
    <n v="1"/>
    <n v="0"/>
    <n v="0"/>
    <s v="CORRIENTE"/>
    <n v="51"/>
    <x v="41"/>
    <s v="SUBROGACIÓN "/>
    <n v="1384"/>
    <n v="1868.41"/>
    <n v="0"/>
    <n v="0"/>
    <n v="0"/>
    <n v="576.67"/>
    <n v="346"/>
    <n v="0"/>
    <n v="346"/>
    <n v="0"/>
    <n v="0"/>
    <n v="0"/>
    <n v="346"/>
    <n v="0"/>
    <n v="0"/>
    <n v="715.07"/>
    <n v="951.53"/>
    <n v="0"/>
    <n v="0"/>
    <n v="346"/>
    <n v="0"/>
    <n v="0"/>
    <n v="0"/>
    <n v="0"/>
    <n v="0"/>
    <n v="230.67"/>
    <n v="1989.53"/>
    <n v="-121.11999999999989"/>
    <n v="1868.41"/>
    <n v="121.11999999999998"/>
    <n v="0"/>
    <n v="1868.41"/>
  </r>
  <r>
    <s v="CANCELACIÓN DE REMUNERACIONES Y BENEFICIOS SOCIALES"/>
    <n v="1"/>
    <s v="266 0001"/>
    <x v="1"/>
    <n v="0"/>
    <x v="2"/>
    <n v="1000"/>
    <x v="2"/>
    <n v="1"/>
    <n v="0"/>
    <n v="0"/>
    <s v="CORRIENTE"/>
    <n v="51"/>
    <x v="38"/>
    <s v="APORTE PATRONAL"/>
    <n v="162031"/>
    <n v="164235.08"/>
    <n v="13502"/>
    <n v="13380.72"/>
    <n v="13502"/>
    <n v="13484.29"/>
    <n v="13502"/>
    <n v="13570.12"/>
    <n v="13502"/>
    <n v="13418.37"/>
    <n v="13502"/>
    <n v="13295.65"/>
    <n v="13502"/>
    <n v="13721.8"/>
    <n v="13502"/>
    <n v="13830.9"/>
    <n v="13502"/>
    <n v="13839.71"/>
    <n v="13502"/>
    <n v="13936.76"/>
    <n v="13502"/>
    <n v="13808.22"/>
    <n v="26939.660000000003"/>
    <n v="13916.06"/>
    <n v="3668.470000000001"/>
    <n v="14032.48"/>
    <n v="165628.13"/>
    <n v="-1393.0500000000175"/>
    <n v="164235.08"/>
    <n v="1393.0500000000047"/>
    <n v="0"/>
    <n v="164235.08"/>
  </r>
  <r>
    <s v="CANCELACIÓN DE REMUNERACIONES Y BENEFICIOS SOCIALES"/>
    <n v="1"/>
    <s v="266 0001"/>
    <x v="1"/>
    <n v="0"/>
    <x v="2"/>
    <n v="1000"/>
    <x v="2"/>
    <n v="1"/>
    <n v="0"/>
    <n v="0"/>
    <s v="CORRIENTE"/>
    <n v="51"/>
    <x v="39"/>
    <s v="FONDO DE RESERVA"/>
    <n v="139923"/>
    <n v="134813.92"/>
    <n v="11660"/>
    <n v="0"/>
    <n v="11660"/>
    <n v="11211.79"/>
    <n v="11660"/>
    <n v="11192.25"/>
    <n v="11660"/>
    <n v="11285.88"/>
    <n v="11660"/>
    <n v="11154.81"/>
    <n v="11660"/>
    <n v="11085.05"/>
    <n v="11660"/>
    <n v="11144.62"/>
    <n v="11660"/>
    <n v="11146.11"/>
    <n v="11660"/>
    <n v="11358.11"/>
    <n v="11660"/>
    <n v="11329.29"/>
    <n v="22790.459999999992"/>
    <n v="11197.05"/>
    <n v="0"/>
    <n v="22708.96"/>
    <n v="139390.46"/>
    <n v="-4576.539999999979"/>
    <n v="134813.92"/>
    <n v="4576.539999999997"/>
    <n v="0"/>
    <n v="134813.92"/>
  </r>
  <r>
    <s v="CANCELACIÓN DE REMUNERACIONES Y BENEFICIOS SOCIALES"/>
    <n v="1"/>
    <s v="266 0001"/>
    <x v="1"/>
    <n v="0"/>
    <x v="1"/>
    <n v="1000"/>
    <x v="2"/>
    <n v="1"/>
    <n v="0"/>
    <n v="0"/>
    <s v="CORRIENTE"/>
    <n v="51"/>
    <x v="33"/>
    <s v="REMUNERACIONES UNIFICADAS"/>
    <n v="225888"/>
    <n v="225888"/>
    <n v="18824"/>
    <n v="18824"/>
    <n v="18824"/>
    <n v="18824"/>
    <n v="18824"/>
    <n v="18824"/>
    <n v="18824"/>
    <n v="18824"/>
    <n v="18824"/>
    <n v="18824"/>
    <n v="18824"/>
    <n v="18824"/>
    <n v="18824"/>
    <n v="18824"/>
    <n v="18824"/>
    <n v="18824"/>
    <n v="18824"/>
    <n v="18824"/>
    <n v="18824"/>
    <n v="18824"/>
    <n v="37648"/>
    <n v="18824"/>
    <n v="0"/>
    <n v="18824"/>
    <n v="225888"/>
    <s v="OK"/>
    <n v="225888"/>
    <n v="0"/>
    <n v="0"/>
    <n v="225888"/>
  </r>
  <r>
    <s v="CANCELACIÓN DE REMUNERACIONES Y BENEFICIOS SOCIALES"/>
    <n v="1"/>
    <s v="266 0001"/>
    <x v="1"/>
    <n v="0"/>
    <x v="1"/>
    <n v="1000"/>
    <x v="2"/>
    <n v="1"/>
    <n v="0"/>
    <n v="0"/>
    <s v="CORRIENTE"/>
    <n v="51"/>
    <x v="35"/>
    <s v="DÉCIMO TERCER SUELDO"/>
    <n v="22460"/>
    <n v="22506.13"/>
    <n v="202"/>
    <n v="0"/>
    <n v="202"/>
    <n v="404"/>
    <n v="202"/>
    <n v="202"/>
    <n v="202"/>
    <n v="202"/>
    <n v="202"/>
    <n v="202"/>
    <n v="202"/>
    <n v="202"/>
    <n v="202"/>
    <n v="202"/>
    <n v="202"/>
    <n v="202"/>
    <n v="202"/>
    <n v="202"/>
    <n v="202"/>
    <n v="202"/>
    <n v="202"/>
    <n v="202"/>
    <n v="20288"/>
    <n v="20284.13"/>
    <n v="22510"/>
    <n v="-3.8699999999989814"/>
    <n v="22506.13"/>
    <n v="3.8699999999989814"/>
    <n v="0"/>
    <n v="22506.13"/>
  </r>
  <r>
    <s v="CANCELACIÓN DE REMUNERACIONES Y BENEFICIOS SOCIALES"/>
    <n v="1"/>
    <s v="266 0001"/>
    <x v="1"/>
    <n v="0"/>
    <x v="1"/>
    <n v="1000"/>
    <x v="2"/>
    <n v="1"/>
    <n v="0"/>
    <n v="0"/>
    <s v="CORRIENTE"/>
    <n v="51"/>
    <x v="36"/>
    <s v="DÉCIMO CUARTO SUELDO"/>
    <n v="6800"/>
    <n v="7245.9"/>
    <n v="100"/>
    <n v="0"/>
    <n v="100"/>
    <n v="141.68"/>
    <n v="1600"/>
    <n v="1770.84"/>
    <n v="100"/>
    <n v="70.84"/>
    <n v="100"/>
    <n v="70.84"/>
    <n v="100"/>
    <n v="70.84"/>
    <n v="100"/>
    <n v="70.84"/>
    <n v="4200"/>
    <n v="4766.66"/>
    <n v="845.9299999999994"/>
    <n v="70.84"/>
    <n v="0"/>
    <n v="70.84"/>
    <n v="0"/>
    <n v="70.84"/>
    <n v="0"/>
    <n v="70.84"/>
    <n v="7245.929999999999"/>
    <n v="-0.02999999999974534"/>
    <n v="7245.900000000001"/>
    <n v="0.02999999999940428"/>
    <n v="0"/>
    <n v="7245.9"/>
  </r>
  <r>
    <s v="CANCELACIÓN DE REMUNERACIONES Y BENEFICIOS SOCIALES"/>
    <n v="1"/>
    <s v="266 0001"/>
    <x v="1"/>
    <n v="0"/>
    <x v="1"/>
    <n v="1000"/>
    <x v="2"/>
    <n v="1"/>
    <n v="0"/>
    <n v="0"/>
    <s v="CORRIENTE"/>
    <n v="51"/>
    <x v="40"/>
    <s v="SERVICIOS PERSONALES POR CONTRATO"/>
    <n v="43632"/>
    <n v="43632"/>
    <n v="3636"/>
    <n v="3636"/>
    <n v="3636"/>
    <n v="3636"/>
    <n v="3636"/>
    <n v="3636"/>
    <n v="3636"/>
    <n v="3636"/>
    <n v="3636"/>
    <n v="3636"/>
    <n v="3636"/>
    <n v="3636"/>
    <n v="3636"/>
    <n v="3636"/>
    <n v="3636"/>
    <n v="3636"/>
    <n v="3636"/>
    <n v="3636"/>
    <n v="3636"/>
    <n v="3636"/>
    <n v="7272"/>
    <n v="3636"/>
    <n v="0"/>
    <n v="3636"/>
    <n v="43632"/>
    <s v="OK"/>
    <n v="43632"/>
    <n v="0"/>
    <n v="0"/>
    <n v="43632"/>
  </r>
  <r>
    <s v="CANCELACIÓN DE REMUNERACIONES Y BENEFICIOS SOCIALES"/>
    <n v="1"/>
    <s v="266 0001"/>
    <x v="1"/>
    <n v="0"/>
    <x v="1"/>
    <n v="1000"/>
    <x v="2"/>
    <n v="1"/>
    <n v="0"/>
    <n v="0"/>
    <s v="CORRIENTE"/>
    <n v="51"/>
    <x v="38"/>
    <s v="APORTE PATRONAL"/>
    <n v="26009"/>
    <n v="26062.22"/>
    <n v="2167"/>
    <n v="2167.4"/>
    <n v="2167"/>
    <n v="2189.66"/>
    <n v="2167"/>
    <n v="2167.4"/>
    <n v="2167"/>
    <n v="2167.4"/>
    <n v="2167"/>
    <n v="2167.4"/>
    <n v="2167"/>
    <n v="2167.4"/>
    <n v="2167"/>
    <n v="2167.4"/>
    <n v="2167"/>
    <n v="2167.4"/>
    <n v="2167"/>
    <n v="2198.56"/>
    <n v="2167"/>
    <n v="2167.4"/>
    <n v="4392.93"/>
    <n v="2167.4"/>
    <n v="0"/>
    <n v="2167.4"/>
    <n v="26062.93"/>
    <n v="-0.7099999999991269"/>
    <n v="26062.220000000005"/>
    <n v="0.7100000000000364"/>
    <n v="0"/>
    <n v="26062.22"/>
  </r>
  <r>
    <s v="CANCELACIÓN DE REMUNERACIONES Y BENEFICIOS SOCIALES"/>
    <n v="1"/>
    <s v="266 0001"/>
    <x v="1"/>
    <n v="0"/>
    <x v="1"/>
    <n v="1000"/>
    <x v="2"/>
    <n v="1"/>
    <n v="0"/>
    <n v="0"/>
    <s v="CORRIENTE"/>
    <n v="51"/>
    <x v="39"/>
    <s v="FONDO DE RESERVA"/>
    <n v="22460"/>
    <n v="22497.16"/>
    <n v="1871"/>
    <n v="0"/>
    <n v="1871"/>
    <n v="1890.13"/>
    <n v="1871"/>
    <n v="1870.92"/>
    <n v="1871"/>
    <n v="1870.92"/>
    <n v="1871"/>
    <n v="1870.92"/>
    <n v="1871"/>
    <n v="1870.92"/>
    <n v="1871"/>
    <n v="1870.92"/>
    <n v="1871"/>
    <n v="1870.92"/>
    <n v="1871"/>
    <n v="1897.83"/>
    <n v="1871"/>
    <n v="1870.92"/>
    <n v="3800"/>
    <n v="1870.92"/>
    <n v="0"/>
    <n v="3741.84"/>
    <n v="22510"/>
    <n v="-12.840000000000146"/>
    <n v="22497.16"/>
    <n v="12.839999999999236"/>
    <n v="0"/>
    <n v="22497.16"/>
  </r>
  <r>
    <s v="CANCELACIÓN DE REMUNERACIONES Y BENEFICIOS SOCIALES"/>
    <n v="1"/>
    <s v="266 0001"/>
    <x v="1"/>
    <n v="0"/>
    <x v="2"/>
    <n v="1000"/>
    <x v="2"/>
    <n v="1"/>
    <n v="0"/>
    <n v="0"/>
    <s v="CORRIENTE"/>
    <n v="51"/>
    <x v="42"/>
    <s v="ENCARGOS"/>
    <n v="0"/>
    <n v="3483.07"/>
    <n v="0"/>
    <n v="0"/>
    <n v="0"/>
    <n v="692"/>
    <n v="0"/>
    <n v="692"/>
    <n v="0"/>
    <n v="692"/>
    <n v="0"/>
    <n v="299.87"/>
    <n v="4278.87"/>
    <n v="0"/>
    <n v="0"/>
    <n v="0"/>
    <n v="0"/>
    <n v="0"/>
    <n v="0"/>
    <n v="0"/>
    <n v="0"/>
    <n v="0"/>
    <n v="0"/>
    <n v="0"/>
    <n v="0"/>
    <n v="1107.2"/>
    <n v="4278.87"/>
    <n v="-795.7999999999997"/>
    <n v="3483.0699999999997"/>
    <n v="795.8"/>
    <n v="0"/>
    <n v="3483.07"/>
  </r>
  <r>
    <s v="CANCELACIÓN DE REMUNERACIONES Y BENEFICIOS SOCIALES"/>
    <n v="1"/>
    <s v="266 0001"/>
    <x v="1"/>
    <n v="0"/>
    <x v="2"/>
    <n v="1000"/>
    <x v="2"/>
    <n v="1"/>
    <n v="0"/>
    <n v="0"/>
    <s v="CORRIENTE"/>
    <n v="51"/>
    <x v="43"/>
    <s v="COMPENSACION POR VACACIONES NO GOZADAS POR CESACION DE FUNCIONES "/>
    <n v="0"/>
    <n v="662.31"/>
    <n v="0"/>
    <n v="0"/>
    <n v="0"/>
    <n v="0"/>
    <n v="0"/>
    <n v="142.45"/>
    <n v="0"/>
    <n v="0"/>
    <n v="0"/>
    <n v="224.06"/>
    <n v="0"/>
    <n v="0"/>
    <n v="0"/>
    <n v="0"/>
    <n v="0"/>
    <n v="0"/>
    <n v="0"/>
    <n v="0"/>
    <n v="0"/>
    <n v="0"/>
    <n v="0"/>
    <n v="295.8"/>
    <n v="1200"/>
    <n v="0"/>
    <n v="1200"/>
    <n v="-537.69"/>
    <n v="662.31"/>
    <n v="537.69"/>
    <n v="0"/>
    <n v="662.31"/>
  </r>
  <r>
    <s v="CANCELACIÓN DE REMUNERACIONES Y BENEFICIOS SOCIALES"/>
    <n v="1"/>
    <s v="266 0001"/>
    <x v="0"/>
    <n v="0"/>
    <x v="0"/>
    <n v="1000"/>
    <x v="2"/>
    <n v="1"/>
    <n v="0"/>
    <n v="0"/>
    <s v="CORRIENTE"/>
    <n v="99"/>
    <x v="44"/>
    <s v="OBLIGACIONES DE EJERCICIOS ANTERIORES POR EGRESOS DE PERSONAL "/>
    <n v="0"/>
    <n v="1312.34"/>
    <n v="0"/>
    <n v="0"/>
    <n v="0"/>
    <n v="0"/>
    <n v="0"/>
    <n v="0"/>
    <n v="0"/>
    <n v="0"/>
    <n v="0"/>
    <n v="0"/>
    <n v="0"/>
    <n v="0"/>
    <n v="0"/>
    <n v="0"/>
    <n v="1312.34"/>
    <n v="1312.34"/>
    <n v="0"/>
    <n v="0"/>
    <n v="0"/>
    <n v="0"/>
    <n v="0"/>
    <n v="0"/>
    <n v="0"/>
    <n v="0"/>
    <n v="1312.34"/>
    <s v="OK"/>
    <n v="1312.34"/>
    <n v="0"/>
    <n v="0"/>
    <n v="1312.34"/>
  </r>
  <r>
    <s v="CANCELACIÓN DE REMUNERACIONES Y BENEFICIOS SOCIALES"/>
    <n v="1"/>
    <s v="266 0001"/>
    <x v="0"/>
    <n v="0"/>
    <x v="0"/>
    <n v="1000"/>
    <x v="2"/>
    <n v="1"/>
    <n v="0"/>
    <n v="0"/>
    <s v="CORRIENTE"/>
    <n v="51"/>
    <x v="45"/>
    <s v="COMPENSACION POR TRANSPORTE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"/>
    <n v="0"/>
    <n v="0"/>
    <n v="0"/>
    <n v="462"/>
    <n v="-462"/>
    <n v="0"/>
    <n v="462"/>
    <m/>
    <m/>
  </r>
  <r>
    <s v="CANCELACIÓN DE REMUNERACIONES Y BENEFICIOS SOCIALES"/>
    <n v="1"/>
    <s v="266 0001"/>
    <x v="0"/>
    <n v="0"/>
    <x v="0"/>
    <n v="1000"/>
    <x v="2"/>
    <n v="1"/>
    <n v="0"/>
    <n v="0"/>
    <s v="CORRIENTE"/>
    <n v="51"/>
    <x v="46"/>
    <s v="ALIMENTAC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0"/>
    <n v="0"/>
    <n v="0"/>
    <n v="0"/>
    <n v="2310"/>
    <n v="-2310"/>
    <n v="0"/>
    <n v="2310"/>
    <m/>
    <m/>
  </r>
  <r>
    <s v="CANCELACIÓN DE REMUNERACIONES Y BENEFICIOS SOCIALES"/>
    <n v="1"/>
    <s v="266 0001"/>
    <x v="0"/>
    <n v="0"/>
    <x v="0"/>
    <n v="1000"/>
    <x v="2"/>
    <n v="1"/>
    <n v="0"/>
    <n v="0"/>
    <s v="CORRIENTE"/>
    <n v="51"/>
    <x v="47"/>
    <s v="POR CARGAS FAMILIAR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0.75"/>
    <n v="0"/>
    <n v="0"/>
    <n v="0"/>
    <n v="420.75"/>
    <n v="-420.75"/>
    <n v="0"/>
    <n v="420.75"/>
    <m/>
    <m/>
  </r>
  <r>
    <s v="CANCELACIÓN DE REMUNERACIONES Y BENEFICIOS SOCIALES"/>
    <n v="1"/>
    <s v="266 0001"/>
    <x v="0"/>
    <n v="0"/>
    <x v="0"/>
    <n v="1000"/>
    <x v="2"/>
    <n v="1"/>
    <n v="0"/>
    <n v="0"/>
    <s v="CORRIENTE"/>
    <n v="51"/>
    <x v="48"/>
    <s v="SUBSIDIO DE ANTIGÜEDA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9.21"/>
    <n v="0"/>
    <n v="0"/>
    <n v="0"/>
    <n v="399.21"/>
    <n v="-399.21"/>
    <n v="0"/>
    <n v="399.21"/>
    <m/>
    <m/>
  </r>
  <r>
    <s v="CANCELACIÓN DE REMUNERACIONES Y BENEFICIOS SOCIALES"/>
    <n v="1"/>
    <s v="266 0001"/>
    <x v="0"/>
    <n v="0"/>
    <x v="0"/>
    <n v="1000"/>
    <x v="2"/>
    <n v="1"/>
    <n v="0"/>
    <n v="0"/>
    <s v="CORRIENTE"/>
    <n v="51"/>
    <x v="43"/>
    <s v="COMPENSACION POR VACACIONES NO GOZADAS POR CESACION DE FUNCIONES "/>
    <n v="0"/>
    <n v="3986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0"/>
    <n v="3986.13"/>
    <n v="0"/>
    <n v="0"/>
    <n v="4500"/>
    <n v="-513.8699999999999"/>
    <n v="3986.13"/>
    <n v="513.8699999999999"/>
    <m/>
    <m/>
  </r>
  <r>
    <s v="ARRASTRE: CANCELACIÓN POR CONSUMO DE SERVICIO DE AGUA POTABLE CORRESPONDIENTE A DICIEMBRE DEL 2021"/>
    <n v="2"/>
    <s v="266 0001"/>
    <x v="0"/>
    <n v="0"/>
    <x v="0"/>
    <n v="1001"/>
    <x v="3"/>
    <n v="1"/>
    <n v="0"/>
    <n v="0"/>
    <s v="CORRIENTE"/>
    <n v="53"/>
    <x v="0"/>
    <s v="AGUA POTABLE"/>
    <n v="125"/>
    <n v="82.75"/>
    <n v="82.75"/>
    <n v="82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.75"/>
    <s v="OK"/>
    <n v="82.75"/>
    <n v="0"/>
    <n v="82.75"/>
    <n v="0"/>
  </r>
  <r>
    <s v="PROVISIÓN POR CONSUMO DE SERVICIO DE AGUA POTABLE PERIODO ENERO A NOVIEMBRE 2022"/>
    <n v="1"/>
    <s v="266 0001"/>
    <x v="0"/>
    <n v="0"/>
    <x v="0"/>
    <n v="1001"/>
    <x v="3"/>
    <n v="1"/>
    <n v="0"/>
    <n v="0"/>
    <s v="CORRIENTE"/>
    <n v="53"/>
    <x v="0"/>
    <s v="AGUA POTABLE"/>
    <n v="1056"/>
    <n v="1298.25"/>
    <n v="0"/>
    <n v="0"/>
    <n v="96"/>
    <n v="72.21"/>
    <n v="96"/>
    <n v="83.8"/>
    <n v="96"/>
    <n v="58.49"/>
    <n v="96"/>
    <n v="79.6"/>
    <n v="96"/>
    <n v="163.36"/>
    <n v="96"/>
    <n v="76.42"/>
    <n v="96"/>
    <n v="79.6"/>
    <n v="96"/>
    <n v="154.79"/>
    <n v="96"/>
    <n v="86.96"/>
    <n v="96"/>
    <n v="55.34"/>
    <n v="338.25"/>
    <n v="180.5"/>
    <n v="1298.25"/>
    <s v="OK"/>
    <n v="1091.0700000000002"/>
    <n v="207.18"/>
    <n v="1298.25"/>
    <n v="0"/>
  </r>
  <r>
    <s v="ARRASTRE: CANCELACIÓN POR CONSUMO DE SERVICIO DE ENERGÍA ELÉCTRICA CORRESPONDIENTE A DICIEMBRE DEL 2021"/>
    <n v="2"/>
    <s v="266 0001"/>
    <x v="0"/>
    <n v="0"/>
    <x v="0"/>
    <n v="1001"/>
    <x v="3"/>
    <n v="1"/>
    <n v="0"/>
    <n v="0"/>
    <s v="CORRIENTE"/>
    <n v="53"/>
    <x v="1"/>
    <s v="ENERGÍA ELÉCTRICA"/>
    <n v="1200"/>
    <n v="1089.04"/>
    <n v="1089.04"/>
    <n v="1089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9.04"/>
    <s v="OK"/>
    <n v="1089.04"/>
    <n v="0"/>
    <n v="1089.04"/>
    <n v="0"/>
  </r>
  <r>
    <s v="PROVISIÓN POR CONSUMO DE SERVICIO DE ENERGÍA ELÉCTRICA PERIODO ENERO A NOVIEMBRE 2022"/>
    <n v="1"/>
    <s v="266 0001"/>
    <x v="0"/>
    <n v="0"/>
    <x v="0"/>
    <n v="1001"/>
    <x v="3"/>
    <n v="1"/>
    <n v="0"/>
    <n v="0"/>
    <s v="CORRIENTE"/>
    <n v="53"/>
    <x v="1"/>
    <s v="ENERGÍA ELÉCTRICA"/>
    <n v="7000"/>
    <n v="10731.55"/>
    <n v="0"/>
    <n v="1177.36"/>
    <n v="2200"/>
    <n v="1082.79"/>
    <n v="2200"/>
    <n v="985.84"/>
    <n v="2200"/>
    <n v="1187.18"/>
    <n v="2200"/>
    <n v="890.01"/>
    <n v="2200"/>
    <n v="723.94"/>
    <n v="790.9899999999998"/>
    <n v="866.95"/>
    <n v="0"/>
    <n v="965.37"/>
    <n v="0"/>
    <n v="911.55"/>
    <n v="0"/>
    <n v="990.82"/>
    <n v="0"/>
    <n v="949.74"/>
    <n v="0"/>
    <n v="0"/>
    <n v="11790.99"/>
    <n v="-1059.4400000000005"/>
    <n v="10731.55"/>
    <n v="1059.439999999999"/>
    <n v="11790.99"/>
    <n v="-1059.4400000000005"/>
  </r>
  <r>
    <s v="ARRASTRE: CANCELACIÓN  POR CONSUMO DE SERVICIO DE CORREO NACIONAL A DICIEMBRE DEL 2021"/>
    <n v="2"/>
    <s v="266 0001"/>
    <x v="0"/>
    <n v="0"/>
    <x v="0"/>
    <n v="1001"/>
    <x v="3"/>
    <n v="1"/>
    <n v="0"/>
    <n v="0"/>
    <s v="CORRIENTE"/>
    <n v="53"/>
    <x v="2"/>
    <s v="SERVICIO DE CORREO"/>
    <n v="112"/>
    <n v="10.200000000000006"/>
    <n v="10.200000000000006"/>
    <n v="10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00000000000006"/>
    <s v="OK"/>
    <n v="10.2"/>
    <n v="7.105427357601002E-15"/>
    <n v="10.2"/>
    <n v="0"/>
  </r>
  <r>
    <s v="CONTRATACIÓN  DEL SERVICIO DE CORREO NACIONAL PERIODO ENERO A DICIEMBRE 2022"/>
    <n v="1"/>
    <s v="266 0001"/>
    <x v="0"/>
    <n v="0"/>
    <x v="0"/>
    <n v="1001"/>
    <x v="3"/>
    <n v="1"/>
    <n v="0"/>
    <n v="0"/>
    <s v="CORRIENTE"/>
    <n v="53"/>
    <x v="2"/>
    <s v="SERVICIO DE CORREO"/>
    <n v="542.08"/>
    <n v="112.60000000000011"/>
    <n v="0"/>
    <n v="0"/>
    <n v="0"/>
    <n v="0"/>
    <n v="44"/>
    <n v="0"/>
    <n v="44"/>
    <n v="9"/>
    <n v="44"/>
    <n v="12"/>
    <n v="44"/>
    <n v="15"/>
    <n v="15.6"/>
    <n v="0"/>
    <n v="0"/>
    <n v="29.4"/>
    <n v="0"/>
    <n v="26.2"/>
    <n v="0"/>
    <n v="6"/>
    <n v="0"/>
    <n v="9"/>
    <n v="0"/>
    <n v="6"/>
    <n v="191.6"/>
    <n v="-78.99999999999989"/>
    <n v="112.60000000000001"/>
    <n v="78.99999999999999"/>
    <n v="191.6"/>
    <n v="-78.99999999999989"/>
  </r>
  <r>
    <s v="ARRASTRE: CANCELACIÓN  POR EL  SERVICIO DE TRANSPORTE PERSONAL OPERATIVO DICIEMBRE DEL 2021"/>
    <n v="2"/>
    <s v="266 0001"/>
    <x v="0"/>
    <n v="0"/>
    <x v="0"/>
    <n v="1001"/>
    <x v="3"/>
    <n v="1"/>
    <n v="0"/>
    <n v="0"/>
    <s v="CORRIENTE"/>
    <n v="53"/>
    <x v="3"/>
    <s v="TRANSPORTE DE PERSONAL"/>
    <n v="5118"/>
    <n v="5117.5"/>
    <n v="5117.5"/>
    <n v="511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17.5"/>
    <s v="OK"/>
    <n v="5117.5"/>
    <n v="0"/>
    <n v="5117.5"/>
    <n v="0"/>
  </r>
  <r>
    <s v="CONTRATACIÓN  DEL SERVICIO DE TRANSPORTE PARA SERVIDORES DEL ÁREA OPERATIVA DEL CENTRO OPERATIVO ZONAL ECU 911 IBARRA PARA ENERO-DICIEMBRE 2022, SE PAGA A MES VENCIDO"/>
    <n v="1"/>
    <s v="266 0001"/>
    <x v="0"/>
    <n v="0"/>
    <x v="0"/>
    <n v="1001"/>
    <x v="3"/>
    <n v="1"/>
    <n v="0"/>
    <n v="0"/>
    <s v="CORRIENTE"/>
    <n v="53"/>
    <x v="3"/>
    <s v="TRANSPORTE DE PERSONAL"/>
    <n v="72006"/>
    <n v="61554.35999999999"/>
    <n v="0"/>
    <n v="837.3999999999996"/>
    <n v="6546"/>
    <n v="4050.06"/>
    <n v="6546"/>
    <n v="5856.05"/>
    <n v="6546"/>
    <n v="5856.05"/>
    <n v="6546"/>
    <n v="5856.05"/>
    <n v="6546"/>
    <n v="5856.05"/>
    <n v="6546"/>
    <n v="3962.44"/>
    <n v="6546"/>
    <n v="5856.05"/>
    <n v="6546"/>
    <n v="5856.05"/>
    <n v="6546"/>
    <n v="5856.05"/>
    <n v="4533.969999999994"/>
    <n v="5856.05"/>
    <n v="0"/>
    <n v="5856.05"/>
    <n v="63447.969999999994"/>
    <n v="-1893.6100000000006"/>
    <n v="61554.350000000006"/>
    <n v="1893.6199999999972"/>
    <n v="63447.959999999985"/>
    <n v="-1893.5999999999913"/>
  </r>
  <r>
    <s v="ADQUISICIÓN DE BIENES Y CANCELACIÓN  DE SERVICIOS NO PREVISIBLES, URGENTES Y DE VALOR REDUCIDO (CAJA CHICA)."/>
    <n v="2"/>
    <s v="266 0001"/>
    <x v="0"/>
    <n v="0"/>
    <x v="0"/>
    <n v="1001"/>
    <x v="3"/>
    <n v="1"/>
    <n v="0"/>
    <n v="0"/>
    <s v="CORRIENTE"/>
    <n v="53"/>
    <x v="49"/>
    <s v="FLETES Y MANIOBRAS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CONTRATACIÓN DEL SERVICIO DE RECARGA DE EXTINTORES DEL CENTRO"/>
    <n v="1"/>
    <s v="266 0001"/>
    <x v="0"/>
    <n v="0"/>
    <x v="0"/>
    <n v="1001"/>
    <x v="3"/>
    <n v="1"/>
    <n v="0"/>
    <n v="0"/>
    <s v="CORRIENTE"/>
    <n v="53"/>
    <x v="4"/>
    <s v="ALMACENAMIENTO, EMBALAJE, DESEMBALAJE, ENVASE, DESENVASE Y RECARGA DE EXTINTORES"/>
    <n v="300.15999999999985"/>
    <n v="245.08000000000004"/>
    <n v="0"/>
    <n v="0"/>
    <n v="0"/>
    <n v="0"/>
    <n v="0"/>
    <n v="0"/>
    <n v="0"/>
    <n v="0"/>
    <n v="0"/>
    <n v="0"/>
    <n v="0"/>
    <n v="0"/>
    <n v="0"/>
    <n v="0"/>
    <n v="245.08"/>
    <n v="245.08"/>
    <n v="0"/>
    <n v="0"/>
    <n v="0"/>
    <n v="0"/>
    <n v="0"/>
    <n v="0"/>
    <n v="0"/>
    <n v="0"/>
    <n v="245.08"/>
    <s v="OK"/>
    <n v="245.08"/>
    <n v="0"/>
    <n v="245.08"/>
    <n v="0"/>
  </r>
  <r>
    <s v="ADQUISICIÓN DE BIENES Y CANCELACIÓN  DE SERVICIOS NO PREVISIBLES, URGENTES Y DE VALOR REDUCIDO (CAJA CHICA)."/>
    <n v="2"/>
    <s v="266 0001"/>
    <x v="0"/>
    <n v="0"/>
    <x v="0"/>
    <n v="1001"/>
    <x v="3"/>
    <n v="1"/>
    <n v="0"/>
    <n v="0"/>
    <s v="CORRIENTE"/>
    <n v="53"/>
    <x v="5"/>
    <s v="EDICIÓN, IMPRESIÓN, REPRODUCCIÓN, PUBLICACIONES, SUSCRIPCIONES, FOTOCOPIADO, TRADUCCIÓN, EMPASTADO, ENMARCACIÓN, SERIGRAFÍA, FOTOGRAFÍA, CARNETIZACIÓN, FILMACIÓN E IMÁGENES SATELITALES"/>
    <n v="102"/>
    <n v="9.25"/>
    <n v="0"/>
    <n v="0"/>
    <n v="0"/>
    <n v="0"/>
    <n v="0"/>
    <n v="0"/>
    <n v="0"/>
    <n v="0"/>
    <n v="0"/>
    <n v="0"/>
    <n v="72"/>
    <n v="8"/>
    <n v="0"/>
    <n v="0"/>
    <n v="0"/>
    <n v="0"/>
    <n v="0"/>
    <n v="0"/>
    <n v="0"/>
    <n v="0"/>
    <n v="0"/>
    <n v="0"/>
    <n v="0"/>
    <n v="1.25"/>
    <n v="72"/>
    <n v="-62.75"/>
    <n v="9.25"/>
    <n v="62.75"/>
    <n v="8"/>
    <n v="1.25"/>
  </r>
  <r>
    <s v="SUSCRIPCIÓN CON DIARIO EL NORTE, PARA MEMBRECÍA VITALICIA DE DIARIOS EN FORMATO DIGITAL"/>
    <n v="2"/>
    <s v="266 0001"/>
    <x v="0"/>
    <n v="0"/>
    <x v="0"/>
    <n v="1001"/>
    <x v="3"/>
    <n v="1"/>
    <n v="0"/>
    <n v="0"/>
    <s v="CORRIENTE"/>
    <n v="53"/>
    <x v="5"/>
    <s v="EDICIÓN, IMPRESIÓN, REPRODUCCIÓN, PUBLICACIONES, SUSCRIPCIONES, FOTOCOPIADO, TRADUCCIÓN, EMPASTADO, ENMARCACIÓN, SERIGRAFÍA, FOTOGRAFÍA, CARNETIZACIÓN, FILMACIÓN E IMÁGENES SATELITALES"/>
    <n v="112"/>
    <n v="26.790000000000006"/>
    <n v="0"/>
    <n v="0"/>
    <n v="0"/>
    <n v="0"/>
    <n v="0"/>
    <n v="0"/>
    <n v="26.790000000000006"/>
    <n v="26.79"/>
    <n v="0"/>
    <n v="0"/>
    <n v="0"/>
    <n v="0"/>
    <n v="0"/>
    <n v="0"/>
    <n v="0"/>
    <n v="0"/>
    <n v="0"/>
    <n v="0"/>
    <n v="0"/>
    <n v="0"/>
    <n v="0"/>
    <n v="0"/>
    <n v="0"/>
    <n v="0"/>
    <n v="26.790000000000006"/>
    <s v="OK"/>
    <n v="26.79"/>
    <n v="7.105427357601002E-15"/>
    <n v="26.79"/>
    <n v="0"/>
  </r>
  <r>
    <s v="ADQUISICIÓN DE MATERIAL DE POSICIONAMIENTO E IDENTIDAD DEL ECU 911 PARA EL CENTRO OPERATIVO ECU 911 IBARRA"/>
    <n v="1"/>
    <s v="266 0001"/>
    <x v="0"/>
    <n v="0"/>
    <x v="0"/>
    <n v="1001"/>
    <x v="3"/>
    <n v="1"/>
    <n v="0"/>
    <n v="0"/>
    <s v="CORRIENTE"/>
    <n v="53"/>
    <x v="5"/>
    <s v="EDICIÓN, IMPRESIÓN, REPRODUCCIÓN, PUBLICACIONES, SUSCRIPCIONES, FOTOCOPIADO, TRADUCCIÓN, EMPASTADO, ENMARCACIÓN, SERIGRAFÍA, FOTOGRAFÍA, CARNETIZACIÓN, FILMACIÓN E IMÁGENES SATELITALES"/>
    <n v="2200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IMPRESIÓN DE TARJETAS PVC, CINTA PARA CREDENCIALES PARA EL PERSONAL DEL CENTRO OPERATIVO ZONAL IBARRA."/>
    <n v="1"/>
    <s v="266 0001"/>
    <x v="0"/>
    <n v="0"/>
    <x v="0"/>
    <n v="1001"/>
    <x v="3"/>
    <n v="1"/>
    <n v="0"/>
    <n v="0"/>
    <s v="CORRIENTE"/>
    <n v="53"/>
    <x v="5"/>
    <s v="EDICIÓN, IMPRESIÓN, REPRODUCCIÓN, PUBLICACIONES, SUSCRIPCIONES, FOTOCOPIADO, TRADUCCIÓN, EMPASTADO, ENMARCACIÓN, SERIGRAFÍA, FOTOGRAFÍA, CARNETIZACIÓN, FILMACIÓN E IMÁGENES SATELITALES"/>
    <n v="263.2"/>
    <n v="135.3"/>
    <n v="0"/>
    <n v="0"/>
    <n v="0"/>
    <n v="0"/>
    <n v="0"/>
    <n v="0"/>
    <n v="0"/>
    <n v="0"/>
    <n v="0"/>
    <n v="0"/>
    <n v="135.3"/>
    <n v="0"/>
    <n v="0"/>
    <n v="135.3"/>
    <n v="0"/>
    <n v="0"/>
    <n v="0"/>
    <n v="0"/>
    <n v="0"/>
    <n v="0"/>
    <n v="0"/>
    <n v="0"/>
    <n v="0"/>
    <n v="0"/>
    <n v="135.3"/>
    <s v="OK"/>
    <n v="135.3"/>
    <n v="0"/>
    <n v="135.3"/>
    <n v="0"/>
  </r>
  <r>
    <s v="ARRASTRE CANCELACIÓN  POR EL SERVICIO DE SEGURIDAD Y VIGILANCIA DE LOS CENTROS OPERATIVOS QUE CONFORMAN LA ZONA 1  DICIEMBRE 2021, SE PAGA A MES VENCIDO"/>
    <n v="2"/>
    <s v="266 0001"/>
    <x v="0"/>
    <n v="0"/>
    <x v="0"/>
    <n v="1001"/>
    <x v="3"/>
    <n v="1"/>
    <n v="0"/>
    <n v="0"/>
    <s v="CORRIENTE"/>
    <n v="53"/>
    <x v="50"/>
    <s v="SERVICIO DE SEGURIDAD Y VIGILANCIA"/>
    <n v="27851.04"/>
    <n v="24866.5"/>
    <n v="24866.5"/>
    <n v="2486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66.5"/>
    <s v="OK"/>
    <n v="24866.5"/>
    <n v="0"/>
    <n v="24866.5"/>
    <n v="0"/>
  </r>
  <r>
    <s v="CONTRATACIÓN DEL SERVICIO DE SEGURIDAD Y VIGILANCIA DE LOS CENTROS OPERATIVOS QUE CONFORMAN LA ZONA 1, AÑO 2022 SE PAGA A MES VENCIDO"/>
    <n v="1"/>
    <s v="266 0001"/>
    <x v="0"/>
    <n v="0"/>
    <x v="0"/>
    <n v="1001"/>
    <x v="3"/>
    <n v="1"/>
    <n v="0"/>
    <n v="0"/>
    <s v="CORRIENTE"/>
    <n v="53"/>
    <x v="50"/>
    <s v="SERVICIO DE SEGURIDAD Y VIGILANCIA"/>
    <n v="302406.72"/>
    <n v="255269.17999999996"/>
    <n v="0"/>
    <n v="6494.88"/>
    <n v="25308.63"/>
    <n v="17517.3"/>
    <n v="25308.63"/>
    <n v="23125.7"/>
    <n v="25308.63"/>
    <n v="23125.7"/>
    <n v="25308.63"/>
    <n v="23125.7"/>
    <n v="25308.63"/>
    <n v="23125.7"/>
    <n v="25308.63"/>
    <n v="23125.7"/>
    <n v="25308.63"/>
    <n v="23125.7"/>
    <n v="25308.63"/>
    <n v="23125.7"/>
    <n v="25308.63"/>
    <n v="23125.7"/>
    <n v="27491.50999999995"/>
    <n v="23125.7"/>
    <n v="0"/>
    <n v="23125.7"/>
    <n v="255269.17999999996"/>
    <s v="OK"/>
    <n v="255269.18000000005"/>
    <n v="-5.093170329928398E-11"/>
    <n v="255269.18"/>
    <n v="0"/>
  </r>
  <r>
    <s v="ARRASTRE: CANCELACIÓN  POR EL SERVICIO DE LIMPIEZA DEL CENTRO OPERATIVO ZONAL ECU 911 IBARRA  DICIEMBRE DEL 2021"/>
    <n v="2"/>
    <s v="266 0001"/>
    <x v="0"/>
    <n v="0"/>
    <x v="0"/>
    <n v="1001"/>
    <x v="3"/>
    <n v="1"/>
    <n v="0"/>
    <n v="0"/>
    <s v="CORRIENTE"/>
    <n v="53"/>
    <x v="7"/>
    <s v="SERVICIOS DE ASEO, LAVADO DE VESTIMENTA DE TRABAJO, FUMIGACIÓN, DESINFECCIÓN, LIMPIEZA DE INSTALACIONES, MANEJO DE DESECHOS CONTAMINADOS, RECUPERACIÓN Y CLASIFICACIÓN DE MATERIALES RECICLABLES"/>
    <n v="3324.159999999999"/>
    <n v="2967"/>
    <n v="2967"/>
    <n v="2966.9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67"/>
    <s v="OK"/>
    <n v="2966.9999999999995"/>
    <n v="4.547473508864641E-13"/>
    <n v="2967"/>
    <n v="0"/>
  </r>
  <r>
    <s v="CONTRATACIÓN  DEL SERVICIO DE LIMPIEZA PARA EL CENTRO OPERATIVO ZONAL ECU 911 IBARRA PERIODO 2022 SE PAGA A MES VENCIDO"/>
    <n v="1"/>
    <s v="266 0001"/>
    <x v="0"/>
    <n v="0"/>
    <x v="0"/>
    <n v="1001"/>
    <x v="3"/>
    <n v="1"/>
    <n v="0"/>
    <n v="0"/>
    <s v="CORRIENTE"/>
    <n v="53"/>
    <x v="7"/>
    <s v="SERVICIOS DE ASEO, LAVADO DE VESTIMENTA DE TRABAJO, FUMIGACIÓN, DESINFECCIÓN, LIMPIEZA DE INSTALACIONES, MANEJO DE DESECHOS CONTAMINADOS, RECUPERACIÓN Y CLASIFICACIÓN DE MATERIALES RECICLABLES"/>
    <n v="21752.64"/>
    <n v="32637"/>
    <n v="0"/>
    <n v="0"/>
    <n v="2967"/>
    <n v="2967"/>
    <n v="2967"/>
    <n v="2967"/>
    <n v="2967"/>
    <n v="2967"/>
    <n v="2967"/>
    <n v="2967"/>
    <n v="2967"/>
    <n v="2967"/>
    <n v="2967"/>
    <n v="2967"/>
    <n v="2967"/>
    <n v="2967"/>
    <n v="2967"/>
    <n v="2967"/>
    <n v="2967"/>
    <n v="2967"/>
    <n v="2967"/>
    <n v="2967"/>
    <n v="2967"/>
    <n v="2967"/>
    <n v="32637"/>
    <s v="OK"/>
    <n v="32637"/>
    <n v="0"/>
    <n v="32637"/>
    <n v="0"/>
  </r>
  <r>
    <s v="PROVISIÓN PARA  MOVILIZACIONES TERRESTRES DE FUNCIONARIOS DEL ECU 911  POR ACTIVIDADES INSTITUCIONALES AÑO 2022"/>
    <n v="1"/>
    <s v="266 0001"/>
    <x v="0"/>
    <n v="0"/>
    <x v="0"/>
    <n v="1001"/>
    <x v="3"/>
    <n v="1"/>
    <n v="0"/>
    <n v="0"/>
    <s v="CORRIENTE"/>
    <n v="53"/>
    <x v="8"/>
    <s v="PASAJES AL INTERIOR"/>
    <n v="100"/>
    <n v="10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80"/>
    <n v="0"/>
    <n v="100"/>
    <s v="OK"/>
    <n v="0"/>
    <n v="100"/>
    <n v="0"/>
    <n v="100"/>
  </r>
  <r>
    <s v="PROVISIÓN PARA ALIMENTACIÓN Y ESTADÍA DE LOS FUNCIONARIOS DEL CENTRO OPERATIVO ZONAL ECU 911 IBARRA CUANDO SALEN A CUMPLIR COMISIÓN DE SERVICIOS FUERA DE SU LUGAR HABITUAL DE TRABAJO AÑO 2022"/>
    <n v="1"/>
    <s v="266 0001"/>
    <x v="0"/>
    <n v="0"/>
    <x v="0"/>
    <n v="1001"/>
    <x v="3"/>
    <n v="1"/>
    <n v="0"/>
    <n v="0"/>
    <s v="CORRIENTE"/>
    <n v="53"/>
    <x v="9"/>
    <s v="VIÁTICOS Y SUBSISTENCIAS EN EL INTERIOR"/>
    <n v="4037"/>
    <n v="8337.48"/>
    <n v="0"/>
    <n v="0"/>
    <n v="367"/>
    <n v="776.89"/>
    <n v="367"/>
    <n v="0"/>
    <n v="0"/>
    <n v="600.59"/>
    <n v="0"/>
    <n v="340"/>
    <n v="0"/>
    <n v="0"/>
    <n v="0"/>
    <n v="421.5"/>
    <n v="0"/>
    <n v="1113.78"/>
    <n v="0"/>
    <n v="1401.5"/>
    <n v="0"/>
    <n v="1115.5"/>
    <n v="0"/>
    <n v="1335"/>
    <n v="9503"/>
    <n v="0"/>
    <n v="10237"/>
    <n v="-1899.5200000000004"/>
    <n v="7104.76"/>
    <n v="3132.24"/>
    <n v="7217.48"/>
    <n v="1120"/>
  </r>
  <r>
    <s v="CONTRATACIÓN PARA MANTENIMIENTO DE INFRAESTRUCTURA DEL CENTRO OPERATIVO ZONAL ECU 911 IBARRA PARA EL 2022"/>
    <n v="1"/>
    <s v="266 0001"/>
    <x v="0"/>
    <n v="0"/>
    <x v="0"/>
    <n v="1001"/>
    <x v="3"/>
    <n v="1"/>
    <n v="0"/>
    <n v="0"/>
    <s v="CORRIENTE"/>
    <n v="53"/>
    <x v="10"/>
    <s v="EDIFICIOS, LOCALES, RESIDENCIAS Y CABLEADO ESTRUCTURADO (INSTALACIÓN, MANTENIMIENTO Y REPARACIÓN)"/>
    <n v="2500.96"/>
    <n v="6217.809999999999"/>
    <n v="0"/>
    <n v="0"/>
    <n v="0"/>
    <n v="0"/>
    <n v="0"/>
    <n v="0"/>
    <n v="0"/>
    <n v="0"/>
    <n v="0"/>
    <n v="350"/>
    <n v="0"/>
    <n v="0"/>
    <n v="0"/>
    <n v="0"/>
    <n v="0"/>
    <n v="0"/>
    <n v="0"/>
    <n v="0"/>
    <n v="0"/>
    <n v="0"/>
    <n v="0"/>
    <n v="0"/>
    <n v="6217.809999999999"/>
    <n v="5867.81"/>
    <n v="6217.809999999999"/>
    <s v="OK"/>
    <n v="6217.81"/>
    <n v="0"/>
    <n v="6217.81"/>
    <n v="0"/>
  </r>
  <r>
    <s v="CONTRATACIÓN DEL SERVICIO DE MANTENIMIENTO DE ESTRUCTURA METÁLICA DE INGRESO PRINCIPAL Y DE PUERTAS DE VIDRIO E INSTALACION DE LAMINA DE CONTROL SOLAR EN VENTANALES EXTERIORES DE OFICINAS ADMINISTRATIVAS DEL CENTRO OPERATIVO ZONAL  ECU 911 IBARRA"/>
    <n v="1"/>
    <s v="266 0001"/>
    <x v="0"/>
    <n v="0"/>
    <x v="0"/>
    <n v="1001"/>
    <x v="3"/>
    <n v="1"/>
    <n v="0"/>
    <n v="0"/>
    <s v="CORRIENTE"/>
    <n v="53"/>
    <x v="10"/>
    <s v="EDIFICIOS, LOCALES, RESIDENCIAS Y CABLEADO ESTRUCTURADO (INSTALACIÓN, MANTENIMIENTO Y REPARACIÓN)"/>
    <n v="4000.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ECUACIÓN DEL ÁREA DE ARCHIVO JUNTO A LA OFICINA FINANCIERA DEL CENTRO OPERATIVO ZONAL ECU 911  IBARRA "/>
    <n v="2"/>
    <s v="266 0001"/>
    <x v="0"/>
    <n v="0"/>
    <x v="0"/>
    <n v="1001"/>
    <x v="3"/>
    <n v="1"/>
    <n v="0"/>
    <n v="0"/>
    <s v="CORRIENTE"/>
    <n v="53"/>
    <x v="10"/>
    <s v="EDIFICIOS, LOCALES, RESIDENCIAS Y CABLEADO ESTRUCTURADO (INSTALACIÓN, MANTENIMIENTO Y REPARACIÓN)"/>
    <n v="5000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CONTRATACIÓN DEL SERVICIO DE MANTENIMIENTO DEL SISTEMA ELÉCTRICO DE LOS CENTROS OPERATIVOS ECU 911 IBARRA, TULCÁN, NUEVA LOJA Y ESMERALDAS AÑO 2022"/>
    <n v="1"/>
    <s v="266 0001"/>
    <x v="0"/>
    <n v="0"/>
    <x v="0"/>
    <n v="1001"/>
    <x v="3"/>
    <n v="1"/>
    <n v="0"/>
    <n v="0"/>
    <s v="CORRIENTE"/>
    <n v="53"/>
    <x v="10"/>
    <s v="EDIFICIOS, LOCALES, RESIDENCIAS Y CABLEADO ESTRUCTURADO (INSTALACIÓN, MANTENIMIENTO Y REPARACIÓN)"/>
    <n v="250006.39999999994"/>
    <n v="126527.12000000001"/>
    <n v="0"/>
    <n v="0"/>
    <n v="0"/>
    <n v="0"/>
    <n v="0"/>
    <n v="0"/>
    <n v="0"/>
    <n v="0"/>
    <n v="0"/>
    <n v="0"/>
    <n v="27902.5"/>
    <n v="30613.13"/>
    <n v="0"/>
    <n v="40736.83"/>
    <n v="0"/>
    <n v="0"/>
    <n v="23978.5"/>
    <n v="3938"/>
    <n v="23978.5"/>
    <n v="29833.08"/>
    <n v="23978.5"/>
    <n v="10271.32"/>
    <n v="26689.140000000014"/>
    <n v="11134.76"/>
    <n v="126527.14000000001"/>
    <n v="-0.020000000004074536"/>
    <n v="126527.12000000001"/>
    <n v="0.020000000005893526"/>
    <n v="126527.14"/>
    <n v="-0.01999999998952262"/>
  </r>
  <r>
    <s v="CONTRATACIÓN DEL SERVICIO DE MANTENIMIENTO PREVENTIVO Y CORRECTIVO DEL SISTEMA CONTRAINCENDIOS PARA LOS CENTROS OPERATIVOS ECU 911 IBARRA, TULCÁN, ESMERALDAS Y NUEVA LOJA AÑO 2022"/>
    <n v="1"/>
    <s v="266 0001"/>
    <x v="0"/>
    <n v="0"/>
    <x v="0"/>
    <n v="1001"/>
    <x v="3"/>
    <n v="1"/>
    <n v="0"/>
    <n v="0"/>
    <s v="CORRIENTE"/>
    <n v="53"/>
    <x v="10"/>
    <s v="EDIFICIOS, LOCALES, RESIDENCIAS Y CABLEADO ESTRUCTURADO (INSTALACIÓN, MANTENIMIENTO Y REPARACIÓN)"/>
    <n v="2562.56"/>
    <n v="72528.01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773.77"/>
    <n v="16373"/>
    <n v="30726.239999999998"/>
    <n v="36173.1"/>
    <n v="0"/>
    <n v="19981.92"/>
    <n v="73500.01"/>
    <n v="-971.9900000000052"/>
    <n v="72528.01999999999"/>
    <n v="971.989999999998"/>
    <n v="73500"/>
    <n v="-971.9800000000105"/>
  </r>
  <r>
    <s v="CONTRATACIÓN DEL SERVICIO DE MANTENIMIENTO Y REPARACIÓN DE MOBILIARIO DEL CENTRO AÑO 2022"/>
    <n v="3"/>
    <s v="266 0001"/>
    <x v="0"/>
    <n v="0"/>
    <x v="0"/>
    <n v="1001"/>
    <x v="3"/>
    <n v="1"/>
    <n v="0"/>
    <n v="0"/>
    <s v="CORRIENTE"/>
    <n v="53"/>
    <x v="11"/>
    <s v="MOBILIARIOS (INSTALACIÓN, MANTENIMIENTO Y REPARACIÓN)"/>
    <n v="2000.31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CONTRATACIÓN DEL SERVICIO DE MANTENIMIENTO PREVENTIVO Y CORRECTIVO PARA EL SOSTENIMIENTO TECNOLÓGICO DEL SISTEMA DE CLIMATIZACIÓN DE LOS CENTROS OPERATIVOS  ECU 911 IBARRA, ESMERALDAS, TULCÁN Y NUEVA LOJA AÑO 2022"/>
    <n v="1"/>
    <s v="266 0001"/>
    <x v="0"/>
    <n v="0"/>
    <x v="0"/>
    <n v="1001"/>
    <x v="3"/>
    <n v="1"/>
    <n v="0"/>
    <n v="0"/>
    <s v="CORRIENTE"/>
    <n v="53"/>
    <x v="12"/>
    <s v="MAQUINARIAS Y EQUIPOS (INSTALACIÓN, MANTENIMIENTO Y REPARACIÓN)"/>
    <n v="165001.76"/>
    <n v="96600.01"/>
    <n v="0"/>
    <n v="0"/>
    <n v="9844.73"/>
    <n v="4693.75"/>
    <n v="9844.73"/>
    <n v="6333"/>
    <n v="9844.73"/>
    <n v="5744.75"/>
    <n v="9844.73"/>
    <n v="5840.5"/>
    <n v="9844.73"/>
    <n v="5980.75"/>
    <n v="9844.73"/>
    <n v="2808.75"/>
    <n v="9844.73"/>
    <n v="7259"/>
    <n v="9844.73"/>
    <n v="16639.46"/>
    <n v="17842.160000000018"/>
    <n v="5976"/>
    <n v="0"/>
    <n v="18535.44"/>
    <n v="0"/>
    <n v="12987"/>
    <n v="96600"/>
    <n v="0.00999999999476131"/>
    <n v="92798.4"/>
    <n v="3801.6000000000167"/>
    <n v="96600"/>
    <n v="0.00999999999476131"/>
  </r>
  <r>
    <s v="CONTRATACIÓN DEL SERVICIO DE MANTENIMIENTO PREVENTIVO Y CORRECTIVO DEL ASCENSOR AÑO 2022"/>
    <n v="1"/>
    <s v="266 0001"/>
    <x v="0"/>
    <n v="0"/>
    <x v="0"/>
    <n v="1001"/>
    <x v="3"/>
    <n v="1"/>
    <n v="0"/>
    <n v="0"/>
    <s v="CORRIENTE"/>
    <n v="53"/>
    <x v="12"/>
    <s v="MAQUINARIAS Y EQUIPOS (INSTALACIÓN, MANTENIMIENTO Y REPARACIÓN)"/>
    <n v="2106.72"/>
    <n v="1835.9999999999998"/>
    <n v="0"/>
    <n v="0"/>
    <n v="0"/>
    <n v="0"/>
    <n v="171"/>
    <n v="153"/>
    <n v="171"/>
    <n v="306"/>
    <n v="171"/>
    <n v="153"/>
    <n v="171"/>
    <n v="153"/>
    <n v="171"/>
    <n v="153"/>
    <n v="171"/>
    <n v="153"/>
    <n v="171"/>
    <n v="153"/>
    <n v="171"/>
    <n v="153"/>
    <n v="171"/>
    <n v="153"/>
    <n v="296.9999999999998"/>
    <n v="306"/>
    <n v="1835.9999999999998"/>
    <s v="OK"/>
    <n v="1836"/>
    <n v="0"/>
    <n v="1836"/>
    <n v="0"/>
  </r>
  <r>
    <s v="CONTRATACIÓN DEL SERVICIO DE MANTENIMIENTO PREVENTIVO Y CORRECTIVO DE ELECTRODOMÉSTICOS DEL CENTRO OPERATIVO ZONAL ECU 911 IBARRA"/>
    <n v="2"/>
    <s v="266 0001"/>
    <x v="0"/>
    <n v="0"/>
    <x v="0"/>
    <n v="1001"/>
    <x v="3"/>
    <n v="1"/>
    <n v="0"/>
    <n v="0"/>
    <s v="CORRIENTE"/>
    <n v="53"/>
    <x v="12"/>
    <s v="MAQUINARIAS Y EQUIPOS (INSTALACIÓN, MANTENIMIENTO Y REPARACIÓN)"/>
    <n v="2000.3199999999995"/>
    <n v="795"/>
    <n v="0"/>
    <n v="0"/>
    <n v="0"/>
    <n v="0"/>
    <n v="0"/>
    <n v="0"/>
    <n v="0"/>
    <n v="0"/>
    <n v="0"/>
    <n v="0"/>
    <n v="0"/>
    <n v="0"/>
    <n v="0"/>
    <n v="480"/>
    <n v="0"/>
    <n v="0"/>
    <n v="795"/>
    <n v="0"/>
    <n v="0"/>
    <n v="135"/>
    <n v="0"/>
    <n v="0"/>
    <n v="0"/>
    <n v="0"/>
    <n v="795"/>
    <s v="OK"/>
    <n v="615"/>
    <n v="180"/>
    <n v="795"/>
    <n v="0"/>
  </r>
  <r>
    <s v="CONTRATACIÓN POR MANTENIMIENTO PREVENTIVO Y CORRECTIVO DE FILTROS DE AGUA CON TECNOLOGÍA DE OSMOSIS INVERSA DEL CENTRO OPERATIVO ZONAL ECU 911 IBARRA"/>
    <n v="2"/>
    <s v="266 0001"/>
    <x v="0"/>
    <n v="0"/>
    <x v="0"/>
    <n v="1001"/>
    <x v="3"/>
    <n v="1"/>
    <n v="0"/>
    <n v="0"/>
    <s v="CORRIENTE"/>
    <n v="53"/>
    <x v="12"/>
    <s v="MAQUINARIAS Y EQUIPOS (INSTALACIÓN, MANTENIMIENTO Y REPARACIÓN)"/>
    <n v="1500.7999999999995"/>
    <n v="120"/>
    <n v="0"/>
    <n v="0"/>
    <n v="0"/>
    <n v="0"/>
    <n v="0"/>
    <n v="0"/>
    <n v="120"/>
    <n v="120"/>
    <n v="0"/>
    <n v="0"/>
    <n v="0"/>
    <n v="0"/>
    <n v="0"/>
    <n v="0"/>
    <n v="0"/>
    <n v="0"/>
    <n v="0"/>
    <n v="0"/>
    <n v="0"/>
    <n v="0"/>
    <n v="0"/>
    <n v="0"/>
    <n v="0"/>
    <n v="0"/>
    <n v="120"/>
    <s v="OK"/>
    <n v="120"/>
    <n v="0"/>
    <n v="120"/>
    <n v="0"/>
  </r>
  <r>
    <s v="CONTRATACIÓN DE MANO DE OBRA PARA MANTENIMIENTO DE VEHÍCULOS LIVIANOS Y VEHÍCULO PESADO DEL CENTRO OPERATIVO ZONAL ECU 911 IBARRA PARA GARANTIZAR OPERATIVIDAD"/>
    <n v="1"/>
    <s v="266 0001"/>
    <x v="0"/>
    <n v="0"/>
    <x v="0"/>
    <n v="1001"/>
    <x v="3"/>
    <n v="1"/>
    <n v="0"/>
    <n v="0"/>
    <s v="CORRIENTE"/>
    <n v="53"/>
    <x v="13"/>
    <s v="VEHÍCULOS (SERVICIO PARA MANTENIMIENTO Y REPARACIÓN)"/>
    <n v="1505.2799999999995"/>
    <n v="1708.9999999999998"/>
    <n v="0"/>
    <n v="0"/>
    <n v="0"/>
    <n v="0"/>
    <n v="0"/>
    <n v="0"/>
    <n v="223.99999999999955"/>
    <n v="232"/>
    <n v="0"/>
    <n v="219"/>
    <n v="224"/>
    <n v="140"/>
    <n v="0"/>
    <n v="0"/>
    <n v="0"/>
    <n v="96"/>
    <n v="448"/>
    <n v="35"/>
    <n v="0"/>
    <n v="93"/>
    <n v="0"/>
    <n v="87"/>
    <n v="813.0000000000002"/>
    <n v="792"/>
    <n v="1708.9999999999998"/>
    <s v="OK"/>
    <n v="1694"/>
    <n v="14.999999999999773"/>
    <n v="1709"/>
    <n v="0"/>
  </r>
  <r>
    <s v="CONTRATACIÓN DEL SERVICIO DE REENCAUCHE DE LLANTAS DE LOS VEHÍCULOS DEL CENTRO OPERATIVO ZONAL ECU 911 IBARRA  AÑO 2022 A FIN DE CUMPLIR EN LO ESTABLECIDO EN LA NORMATIVA PARA INSTITUCIONES DEL ESTADO"/>
    <n v="2"/>
    <s v="266 0001"/>
    <x v="0"/>
    <n v="0"/>
    <x v="0"/>
    <n v="1001"/>
    <x v="3"/>
    <n v="1"/>
    <n v="0"/>
    <n v="0"/>
    <s v="CORRIENTE"/>
    <n v="53"/>
    <x v="13"/>
    <s v="VEHÍCULOS (SERVICIO PARA MANTENIMIENTO Y REPARACIÓN)"/>
    <n v="1500.7999999999995"/>
    <n v="149.79999999999995"/>
    <n v="0"/>
    <n v="0"/>
    <n v="0"/>
    <n v="0"/>
    <n v="0"/>
    <n v="0"/>
    <n v="0"/>
    <n v="0"/>
    <n v="149.79999999999995"/>
    <n v="149.79999999999995"/>
    <n v="0"/>
    <n v="0"/>
    <n v="0"/>
    <n v="0"/>
    <n v="0"/>
    <n v="0"/>
    <n v="0"/>
    <n v="0"/>
    <n v="0"/>
    <n v="0"/>
    <n v="0"/>
    <n v="0"/>
    <n v="0"/>
    <n v="0"/>
    <n v="149.79999999999995"/>
    <s v="OK"/>
    <n v="149.79999999999995"/>
    <n v="0"/>
    <n v="149.8"/>
    <n v="0"/>
  </r>
  <r>
    <s v=" ADQUISICIÓN DE EQUIPOS DE PROTECCIÓN INDIVIDUAL Y ROPA DE TRABAJO"/>
    <n v="1"/>
    <s v="266 0001"/>
    <x v="0"/>
    <n v="0"/>
    <x v="0"/>
    <n v="1001"/>
    <x v="3"/>
    <n v="1"/>
    <n v="0"/>
    <n v="0"/>
    <s v="CORRIENTE"/>
    <n v="53"/>
    <x v="14"/>
    <s v="VESTUARIO, LENCERÍA, PRENDAS DE PROTECCIÓN Y ACCESORIOS PARA UNIFORMES DEL PERSONAL DE PROTECCIÓN, VIGILANCIA Y SEGURIDAD"/>
    <n v="1207.3599999999994"/>
    <n v="967.7799999999999"/>
    <n v="0"/>
    <n v="0"/>
    <n v="0"/>
    <n v="0"/>
    <n v="0"/>
    <n v="0"/>
    <n v="0"/>
    <n v="0"/>
    <n v="0"/>
    <n v="0"/>
    <n v="0"/>
    <n v="0"/>
    <n v="0"/>
    <n v="0"/>
    <n v="0"/>
    <n v="0"/>
    <n v="967.7799999999999"/>
    <n v="668.58"/>
    <n v="0"/>
    <n v="0"/>
    <n v="0"/>
    <n v="0"/>
    <n v="0"/>
    <n v="299.02"/>
    <n v="967.7799999999999"/>
    <s v="OK"/>
    <n v="967.6"/>
    <n v="0.1799999999998363"/>
    <n v="967.78"/>
    <n v="0"/>
  </r>
  <r>
    <s v="ADQUISICIÓN DE COMBUSTIBLES, LUBRICANTES, Y ADITIVOS EN GENERAL PARA MANTENIMIENTO DE LOS VEHÍCULOS LIVIANOS Y VEHÍCULO INSTITUCIONAL DEL CENTRO OPERATIVO ZONAL ECU 911 IBARRA AÑO 2022"/>
    <n v="1"/>
    <s v="266 0001"/>
    <x v="0"/>
    <n v="0"/>
    <x v="0"/>
    <n v="1001"/>
    <x v="3"/>
    <n v="1"/>
    <n v="0"/>
    <n v="0"/>
    <s v="CORRIENTE"/>
    <n v="53"/>
    <x v="15"/>
    <s v="COMBUSTIBLES Y LUBRICANTES"/>
    <n v="1001.2799999999997"/>
    <n v="621"/>
    <n v="0"/>
    <n v="0"/>
    <n v="0"/>
    <n v="0"/>
    <n v="0"/>
    <n v="0"/>
    <n v="148.99999999999977"/>
    <n v="60"/>
    <n v="0"/>
    <n v="47"/>
    <n v="149"/>
    <n v="241"/>
    <n v="0"/>
    <n v="0"/>
    <n v="0"/>
    <n v="10"/>
    <n v="0"/>
    <n v="0"/>
    <n v="298.0000000000002"/>
    <n v="84"/>
    <n v="0"/>
    <n v="54"/>
    <n v="106"/>
    <n v="125"/>
    <n v="702"/>
    <n v="-81"/>
    <n v="621"/>
    <n v="81"/>
    <n v="702"/>
    <n v="-81"/>
  </r>
  <r>
    <s v="ARRASTRE CANCELACIÓN  POR ADQUISICIÓN DE COMBUSTIBLES PARA MOVILIZACIÓN DE VEHÍCULOS DEL CENTRO OPERATIVO ZONAL ECU 911 IBARRA DICIEMBRE 2021"/>
    <n v="2"/>
    <s v="266 0001"/>
    <x v="0"/>
    <n v="0"/>
    <x v="0"/>
    <n v="1001"/>
    <x v="3"/>
    <n v="1"/>
    <n v="0"/>
    <n v="0"/>
    <s v="CORRIENTE"/>
    <n v="53"/>
    <x v="15"/>
    <s v="COMBUSTIBLES Y LUBRICANTES"/>
    <n v="300.15999999999985"/>
    <n v="231.60000000000002"/>
    <n v="231.60000000000002"/>
    <n v="231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.60000000000002"/>
    <s v="OK"/>
    <n v="231.6"/>
    <n v="2.842170943040401E-14"/>
    <n v="231.6"/>
    <n v="0"/>
  </r>
  <r>
    <s v="ADQUISICIÓN DE COMBUSTIBLES PARA MOVILIZACIÓN DE VEHÍCULOS DEL CENTRO OPERATIVO ZONAL ECU 911 IBARRA PERIODO 2022"/>
    <n v="1"/>
    <s v="266 0001"/>
    <x v="0"/>
    <n v="0"/>
    <x v="0"/>
    <n v="1001"/>
    <x v="3"/>
    <n v="1"/>
    <n v="0"/>
    <n v="0"/>
    <s v="CORRIENTE"/>
    <n v="53"/>
    <x v="15"/>
    <s v="COMBUSTIBLES Y LUBRICANTES"/>
    <n v="2500.96"/>
    <n v="1712.63"/>
    <n v="0"/>
    <n v="0"/>
    <n v="203"/>
    <n v="114.78"/>
    <n v="203"/>
    <n v="20.4"/>
    <n v="203"/>
    <n v="279.17"/>
    <n v="203"/>
    <n v="189.59"/>
    <n v="203"/>
    <n v="102.36"/>
    <n v="203"/>
    <n v="13.77"/>
    <n v="203"/>
    <n v="130.52"/>
    <n v="203"/>
    <n v="166.57"/>
    <n v="203"/>
    <n v="207.05"/>
    <n v="130.72000000000003"/>
    <n v="209.91"/>
    <n v="0"/>
    <n v="0"/>
    <n v="1957.72"/>
    <n v="-245.08999999999992"/>
    <n v="1434.1200000000001"/>
    <n v="523.6000000000003"/>
    <n v="1957.72"/>
    <n v="-245.08999999999992"/>
  </r>
  <r>
    <s v="ADQUISICIÓN DE COMBUSTIBLES PERIODO 2022 PARA ABASTECIMIENTO DE GENERADORES DEL CENTRO OPERATIVO ZONAL ECU 911 IBARRA"/>
    <n v="1"/>
    <s v="266 0001"/>
    <x v="0"/>
    <n v="0"/>
    <x v="0"/>
    <n v="1001"/>
    <x v="3"/>
    <n v="1"/>
    <n v="0"/>
    <n v="0"/>
    <s v="CORRIENTE"/>
    <n v="53"/>
    <x v="15"/>
    <s v="COMBUSTIBLES Y LUBRICANTES"/>
    <n v="500.63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REPOSICIÓN DE ADQUISICIÓN DE COMBUSTIBLES EN CUMPLIMIENTO DE COMISIÓN DE SERVICIOS AL INTERIOR DE LOS SERVIDORES DEL CENTRO OPERATIVO ZONAL ECU 911 IBARRA PERIODO 2022"/>
    <n v="1"/>
    <s v="266 0001"/>
    <x v="0"/>
    <n v="0"/>
    <x v="0"/>
    <n v="1001"/>
    <x v="3"/>
    <n v="1"/>
    <n v="0"/>
    <n v="0"/>
    <s v="CORRIENTE"/>
    <n v="53"/>
    <x v="15"/>
    <s v="COMBUSTIBLES Y LUBRICANTES"/>
    <n v="100"/>
    <n v="255.73"/>
    <n v="0"/>
    <n v="0"/>
    <n v="0"/>
    <n v="0"/>
    <n v="20"/>
    <n v="0"/>
    <n v="0"/>
    <n v="51.49"/>
    <n v="0"/>
    <n v="0"/>
    <n v="0"/>
    <n v="0"/>
    <n v="0"/>
    <n v="0"/>
    <n v="0"/>
    <n v="0"/>
    <n v="0"/>
    <n v="0"/>
    <n v="0"/>
    <n v="10"/>
    <n v="0"/>
    <n v="0"/>
    <n v="280"/>
    <n v="194.24"/>
    <n v="300"/>
    <n v="-44.27000000000001"/>
    <n v="255.73000000000002"/>
    <n v="44.26999999999998"/>
    <n v="300"/>
    <n v="-44.27000000000001"/>
  </r>
  <r>
    <s v="ELABORACIÓN DE FORMULARIOS PRE-IMPRESOS Y PRE-NUMERADOS PARA VALES DE CAJA CHICA, INGRESOS Y EGRESOS DE BODEGA, ÓRDENES DE COMBUSTIBLE, ÓRDENES DE MANTENIMIENTO, FORMULARIOS DE PERMISOS DE PERSONAL, SOLICITUD DE MOVILIZACIÓN"/>
    <n v="2"/>
    <s v="266 0001"/>
    <x v="0"/>
    <n v="0"/>
    <x v="0"/>
    <n v="1001"/>
    <x v="3"/>
    <n v="1"/>
    <n v="0"/>
    <n v="0"/>
    <s v="CORRIENTE"/>
    <n v="53"/>
    <x v="16"/>
    <s v="MATERIALES DE OFICINA"/>
    <n v="150.07999999999993"/>
    <n v="68"/>
    <n v="0"/>
    <n v="0"/>
    <n v="0"/>
    <n v="0"/>
    <n v="0"/>
    <n v="0"/>
    <n v="0"/>
    <n v="0"/>
    <n v="0"/>
    <n v="0"/>
    <n v="0"/>
    <n v="68"/>
    <n v="68"/>
    <n v="0"/>
    <n v="0"/>
    <n v="0"/>
    <n v="0"/>
    <n v="0"/>
    <n v="0"/>
    <n v="0"/>
    <n v="0"/>
    <n v="0"/>
    <n v="0"/>
    <n v="0"/>
    <n v="68"/>
    <s v="OK"/>
    <n v="68"/>
    <n v="0"/>
    <n v="68"/>
    <n v="0"/>
  </r>
  <r>
    <s v="ADQUISICIÓN DE MATERIALES DE OFICINA PARA EL CENTRO OPERATIVO ZONAL ECU 911 IBARRA AÑO 2022"/>
    <n v="2"/>
    <s v="266 0001"/>
    <x v="0"/>
    <n v="0"/>
    <x v="0"/>
    <n v="1001"/>
    <x v="3"/>
    <n v="1"/>
    <n v="0"/>
    <n v="0"/>
    <s v="CORRIENTE"/>
    <n v="53"/>
    <x v="16"/>
    <s v="MATERIALES DE OFICINA"/>
    <n v="1500.8"/>
    <n v="863.5699999999999"/>
    <n v="0"/>
    <n v="0"/>
    <n v="0"/>
    <n v="0"/>
    <n v="0"/>
    <n v="0"/>
    <n v="533.17"/>
    <n v="533.17"/>
    <n v="0"/>
    <n v="0"/>
    <n v="0"/>
    <n v="0"/>
    <n v="0"/>
    <n v="0"/>
    <n v="0"/>
    <n v="0"/>
    <n v="330.4"/>
    <n v="330.4"/>
    <n v="0"/>
    <n v="0"/>
    <n v="0"/>
    <n v="0"/>
    <n v="0"/>
    <n v="0"/>
    <n v="863.5699999999999"/>
    <s v="OK"/>
    <n v="863.5699999999999"/>
    <n v="0"/>
    <n v="863.5700000000002"/>
    <n v="0"/>
  </r>
  <r>
    <s v="ADQUISICIÓN DE MATERIALES DE ASEO PARA EL CENTRO OPERATIVO ZONAL ECU 911 IBARRA AÑO 2022"/>
    <n v="2"/>
    <s v="266 0001"/>
    <x v="0"/>
    <n v="0"/>
    <x v="0"/>
    <n v="1001"/>
    <x v="3"/>
    <n v="1"/>
    <n v="0"/>
    <n v="0"/>
    <s v="CORRIENTE"/>
    <n v="53"/>
    <x v="17"/>
    <s v="MATERIALES DE ASEO"/>
    <n v="1500.7999999999995"/>
    <n v="306.20000000000005"/>
    <n v="0"/>
    <n v="0"/>
    <n v="0"/>
    <n v="0"/>
    <n v="0"/>
    <n v="0"/>
    <n v="306.2"/>
    <n v="175.6"/>
    <n v="0"/>
    <n v="130.6"/>
    <n v="0"/>
    <n v="0"/>
    <n v="0"/>
    <n v="0"/>
    <n v="0"/>
    <n v="0"/>
    <n v="0"/>
    <n v="0"/>
    <n v="0"/>
    <n v="0"/>
    <n v="0"/>
    <n v="0"/>
    <n v="0"/>
    <n v="0"/>
    <n v="306.2"/>
    <s v="OK"/>
    <n v="306.2"/>
    <n v="0"/>
    <n v="306.2"/>
    <n v="0"/>
  </r>
  <r>
    <s v="ADQUISICIÓN DE TONERS NEGRO Y DE COLOR PARA IMPRESORAS DEL CENTRO OPERATIVO ZONAL ECU 911 IBARRA AÑO 2022"/>
    <n v="1"/>
    <s v="266 0001"/>
    <x v="0"/>
    <n v="0"/>
    <x v="0"/>
    <n v="1001"/>
    <x v="3"/>
    <n v="1"/>
    <n v="0"/>
    <n v="0"/>
    <s v="CORRIENTE"/>
    <n v="53"/>
    <x v="18"/>
    <s v="MATERIALES DE IMPRESIÓN, FOTOGRAFÍA, REPRODUCCIÓN Y PUBLICACIONES"/>
    <n v="6000.959999999999"/>
    <n v="5650"/>
    <n v="0"/>
    <n v="0"/>
    <n v="0"/>
    <n v="0"/>
    <n v="0"/>
    <n v="0"/>
    <n v="0"/>
    <n v="0"/>
    <n v="0"/>
    <n v="0"/>
    <n v="0"/>
    <n v="0"/>
    <n v="4848.299999999999"/>
    <n v="5650"/>
    <n v="0"/>
    <n v="0"/>
    <n v="0"/>
    <n v="0"/>
    <n v="0"/>
    <n v="0"/>
    <n v="0"/>
    <n v="0"/>
    <n v="801.7000000000007"/>
    <n v="0"/>
    <n v="5650"/>
    <s v="OK"/>
    <n v="5650"/>
    <n v="0"/>
    <n v="5650"/>
    <n v="0"/>
  </r>
  <r>
    <s v="CANCELACIÓN  POR REPRODUCCIÓN DE REGLAMENTO INTERNO DE HIGIENE Y SEGURIDAD EN EL TRABAJO DE BOLSILLO PARA DISTRIBUIR A LOS SERVIDORES  Y TRABAJADORES DE LA COORDINACIÓN ZONAL 1 SERVICIO INTEGRADO DE SEGURIDAD ECU 911."/>
    <n v="1"/>
    <s v="266 0001"/>
    <x v="0"/>
    <n v="0"/>
    <x v="0"/>
    <n v="1001"/>
    <x v="3"/>
    <n v="1"/>
    <n v="0"/>
    <n v="0"/>
    <s v="CORRIENTE"/>
    <n v="53"/>
    <x v="18"/>
    <s v="MATERIALES DE IMPRESIÓN, FOTOGRAFÍA, REPRODUCCIÓN Y PUBLICACIONES"/>
    <n v="139.999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 ADQUISICIÓN DE SEÑALÉTICA DE SEGURIDAD PARA CENTROS OPERATIVOS ECU 911 IBARRA"/>
    <n v="1"/>
    <s v="266 0001"/>
    <x v="0"/>
    <n v="0"/>
    <x v="0"/>
    <n v="1001"/>
    <x v="3"/>
    <n v="1"/>
    <n v="0"/>
    <n v="0"/>
    <s v="CORRIENTE"/>
    <n v="53"/>
    <x v="18"/>
    <s v="MATERIALES DE IMPRESIÓN, FOTOGRAFÍA, REPRODUCCIÓN Y PUBLICACIONES"/>
    <n v="650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 MATERIAL DE FERRETERÍA COMO: FLUXÓMETROS, EMPAQUES, SISTEMAS DE DESAGUE, EMPASTES, PINTURA DE INTERIOR Y EXTERIOR, SILICONAS, SOLVENTES, PINTURA ESMALTE, MATERIAL ELÉCTRICO, TACOS, PERNOS, TUERCAS AÑO 2022"/>
    <n v="1"/>
    <s v="266 0001"/>
    <x v="0"/>
    <n v="0"/>
    <x v="0"/>
    <n v="1001"/>
    <x v="3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250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BIENES Y CANCELACIÓN  DE SERVICIOS NO PREVISIBLES, URGENTES Y DE VALOR REDUCIDO (CAJA CHICA)."/>
    <n v="1"/>
    <s v="266 0001"/>
    <x v="0"/>
    <n v="0"/>
    <x v="0"/>
    <n v="1001"/>
    <x v="3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800"/>
    <n v="554.1"/>
    <n v="0"/>
    <n v="0"/>
    <n v="0"/>
    <n v="0"/>
    <n v="0"/>
    <n v="186.44"/>
    <n v="0"/>
    <n v="0"/>
    <n v="0"/>
    <n v="0"/>
    <n v="300"/>
    <n v="173.6"/>
    <n v="0"/>
    <n v="0"/>
    <n v="100"/>
    <n v="0"/>
    <n v="0"/>
    <n v="0"/>
    <n v="0"/>
    <n v="0"/>
    <n v="0"/>
    <n v="0"/>
    <n v="330"/>
    <n v="194.06"/>
    <n v="730"/>
    <n v="-175.89999999999998"/>
    <n v="554.0999999999999"/>
    <n v="175.90000000000003"/>
    <n v="360.04"/>
    <n v="194.06"/>
  </r>
  <r>
    <s v="ADQUISICIÓN DE REPUESTOS PARA MANTENIMIENTO DE VEHÍCULOS LIVIANOS Y VEHÍCULO PESADO DEL CENTRO OPERATIVO ZONAL  ECU 911 IBARRA POR EL PERÍODO 2022"/>
    <n v="1"/>
    <s v="266 0001"/>
    <x v="0"/>
    <n v="0"/>
    <x v="0"/>
    <n v="1001"/>
    <x v="3"/>
    <n v="1"/>
    <n v="0"/>
    <n v="0"/>
    <s v="CORRIENTE"/>
    <n v="53"/>
    <x v="21"/>
    <s v="REPUESTOS Y ACCESORIOS"/>
    <n v="3507.84"/>
    <n v="690"/>
    <n v="0"/>
    <n v="0"/>
    <n v="0"/>
    <n v="0"/>
    <n v="0"/>
    <n v="0"/>
    <n v="690"/>
    <n v="10"/>
    <n v="0"/>
    <n v="306"/>
    <n v="0"/>
    <n v="86"/>
    <n v="0"/>
    <n v="0"/>
    <n v="0"/>
    <n v="48"/>
    <n v="0"/>
    <n v="24"/>
    <n v="0"/>
    <n v="162"/>
    <n v="0"/>
    <n v="14"/>
    <n v="0"/>
    <n v="36"/>
    <n v="690"/>
    <s v="OK"/>
    <n v="686"/>
    <n v="4"/>
    <n v="690"/>
    <n v="0"/>
  </r>
  <r>
    <s v="ADQUISICIÓN DE LLANTAS PARAS LOS VEHÍCULOS DEL CENTRO OPERATIVO ZONAL ECU 911 IBARRA  EU 911  AÑO 2022"/>
    <n v="1"/>
    <s v="266 0001"/>
    <x v="0"/>
    <n v="0"/>
    <x v="0"/>
    <n v="1001"/>
    <x v="3"/>
    <n v="1"/>
    <n v="0"/>
    <n v="0"/>
    <s v="CORRIENTE"/>
    <n v="53"/>
    <x v="21"/>
    <s v="REPUESTOS Y ACCESORIOS"/>
    <n v="1000.1599999999997"/>
    <n v="812.8"/>
    <n v="0"/>
    <n v="0"/>
    <n v="0"/>
    <n v="0"/>
    <n v="0"/>
    <n v="0"/>
    <n v="0"/>
    <n v="0"/>
    <n v="812.8"/>
    <n v="812.8"/>
    <n v="0"/>
    <n v="0"/>
    <n v="0"/>
    <n v="0"/>
    <n v="0"/>
    <n v="0"/>
    <n v="0"/>
    <n v="0"/>
    <n v="0"/>
    <n v="0"/>
    <n v="0"/>
    <n v="0"/>
    <n v="0"/>
    <n v="0"/>
    <n v="812.8"/>
    <s v="OK"/>
    <n v="812.8"/>
    <n v="0"/>
    <n v="812.8000000000001"/>
    <n v="0"/>
  </r>
  <r>
    <s v="ADQUISICIÓN DE REPUESTOS COMO FILTROS DE IMAGEN, MOTOR, CUCHILLAS, RODILLOS, PIÑONES, UÑETAS, COMPONENTES ELECTRÓNICOS INTERNOS PARA IMPRESORAS DEL CENTRO OPERATIVO ZONAL ECU 911 IBARRA"/>
    <n v="2"/>
    <s v="266 0001"/>
    <x v="0"/>
    <n v="0"/>
    <x v="0"/>
    <n v="1001"/>
    <x v="3"/>
    <n v="1"/>
    <n v="0"/>
    <n v="0"/>
    <s v="CORRIENTE"/>
    <n v="53"/>
    <x v="21"/>
    <s v="REPUESTOS Y ACCESORIOS"/>
    <n v="2002.5599999999995"/>
    <n v="2232.56"/>
    <n v="0"/>
    <n v="0"/>
    <n v="0"/>
    <n v="0"/>
    <n v="0"/>
    <n v="0"/>
    <n v="595.9999999999995"/>
    <n v="213"/>
    <n v="0"/>
    <n v="0"/>
    <n v="0"/>
    <n v="0"/>
    <n v="0"/>
    <n v="0"/>
    <n v="0"/>
    <n v="0"/>
    <n v="0"/>
    <n v="0"/>
    <n v="0"/>
    <n v="0"/>
    <n v="0"/>
    <n v="0"/>
    <n v="1406.56"/>
    <n v="540"/>
    <n v="2002.5599999999995"/>
    <n v="230.00000000000045"/>
    <n v="753"/>
    <n v="1249.5599999999995"/>
    <n v="753"/>
    <n v="1479.56"/>
  </r>
  <r>
    <s v="ADQUISICIÓN DE REPUESTOS PARA EL MANTENIMIENTO DEL SISTEMA ELÉCTRICO DE LOS CENTROS OPERATIVOS ECU 911 IBARRA, TULCÁN, NUEVA LOJA Y ESMERALDAS AÑO 2022"/>
    <n v="1"/>
    <s v="266 0001"/>
    <x v="0"/>
    <n v="0"/>
    <x v="0"/>
    <n v="1001"/>
    <x v="3"/>
    <n v="1"/>
    <n v="0"/>
    <n v="0"/>
    <s v="CORRIENTE"/>
    <n v="53"/>
    <x v="21"/>
    <s v="REPUESTOS Y ACCESORIOS"/>
    <n v="50000.16"/>
    <n v="57472.85999999999"/>
    <n v="0"/>
    <n v="0"/>
    <n v="0"/>
    <n v="0"/>
    <n v="0"/>
    <n v="0"/>
    <n v="0"/>
    <n v="0"/>
    <n v="0"/>
    <n v="0"/>
    <n v="0"/>
    <n v="0"/>
    <n v="0"/>
    <n v="0"/>
    <n v="0"/>
    <n v="0"/>
    <n v="0"/>
    <n v="31662.86"/>
    <n v="57472.85999999999"/>
    <n v="25810"/>
    <n v="0"/>
    <n v="0"/>
    <n v="0"/>
    <n v="0"/>
    <n v="57472.85999999999"/>
    <s v="OK"/>
    <n v="57472.86"/>
    <n v="-7.275957614183426E-12"/>
    <n v="57472.86"/>
    <n v="0"/>
  </r>
  <r>
    <s v="ADQUISICIÓN DE BIENES Y PAGO DE SERVICIOS NO PREVISIBLES, URGENTES Y DE VALOR REDUCIDO (CAJA CHICA)."/>
    <n v="1"/>
    <s v="266 0001"/>
    <x v="0"/>
    <n v="0"/>
    <x v="0"/>
    <n v="1001"/>
    <x v="3"/>
    <n v="1"/>
    <n v="0"/>
    <n v="0"/>
    <s v="CORRIENTE"/>
    <n v="53"/>
    <x v="21"/>
    <s v="REPUESTOS Y ACCESORIOS"/>
    <n v="112"/>
    <n v="112"/>
    <n v="0"/>
    <n v="0"/>
    <n v="0"/>
    <n v="0"/>
    <n v="0"/>
    <n v="9"/>
    <n v="52"/>
    <n v="0"/>
    <n v="0"/>
    <n v="0"/>
    <n v="20"/>
    <n v="10"/>
    <n v="0"/>
    <n v="0"/>
    <n v="0"/>
    <n v="0"/>
    <n v="0"/>
    <n v="0"/>
    <n v="0"/>
    <n v="0"/>
    <n v="0"/>
    <n v="0"/>
    <n v="40"/>
    <n v="0"/>
    <n v="112"/>
    <s v="OK"/>
    <n v="19"/>
    <n v="93"/>
    <n v="19"/>
    <n v="93"/>
  </r>
  <r>
    <s v="ADQUISICIÓN DE MENAJE DE HOGAR, SÁBANAS, COBERTORES, FUNDAS DE ALMOHADAS, TOALLAS PARA EL ÁREA DE DORMITORIOS DEL CENTRO OPERATIVO ZONAL ECU 911 IBARRA"/>
    <n v="2"/>
    <s v="266 0001"/>
    <x v="0"/>
    <n v="0"/>
    <x v="0"/>
    <n v="1001"/>
    <x v="3"/>
    <n v="1"/>
    <n v="0"/>
    <n v="0"/>
    <s v="CORRIENTE"/>
    <n v="53"/>
    <x v="22"/>
    <s v="MENAJE Y ACCESORIOS DESCARTABLES"/>
    <n v="800.7999999999997"/>
    <n v="105.9799999999999"/>
    <n v="0"/>
    <n v="0"/>
    <n v="0"/>
    <n v="0"/>
    <n v="0"/>
    <n v="0"/>
    <n v="0"/>
    <n v="0"/>
    <n v="0"/>
    <n v="0"/>
    <n v="0"/>
    <n v="0"/>
    <n v="105.98"/>
    <n v="0"/>
    <n v="0"/>
    <n v="0"/>
    <n v="0"/>
    <n v="60.56"/>
    <n v="0"/>
    <n v="25"/>
    <n v="0"/>
    <n v="20.42"/>
    <n v="0"/>
    <n v="0"/>
    <n v="105.98"/>
    <s v="OK"/>
    <n v="105.98"/>
    <n v="0"/>
    <n v="75.42"/>
    <n v="30.559999999999903"/>
  </r>
  <r>
    <s v="ADQUISICIÓN DE MASCARILLA QUIRÚRGICA 3 CAPAS ELÁSTICO TAMAÑO ESTÁNDAR "/>
    <n v="1"/>
    <s v="266 0001"/>
    <x v="0"/>
    <n v="0"/>
    <x v="0"/>
    <n v="1001"/>
    <x v="3"/>
    <n v="1"/>
    <n v="0"/>
    <n v="0"/>
    <s v="CORRIENTE"/>
    <n v="53"/>
    <x v="24"/>
    <s v="DISPOSITIVOS MÉDICOS DE USO GENERAL"/>
    <n v="738.08"/>
    <n v="419.12000000000006"/>
    <n v="0"/>
    <n v="0"/>
    <n v="0"/>
    <n v="0"/>
    <n v="419.12000000000006"/>
    <n v="419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.12000000000006"/>
    <s v="OK"/>
    <n v="419.12"/>
    <n v="5.684341886080802E-14"/>
    <n v="419.12"/>
    <n v="0"/>
  </r>
  <r>
    <s v="ADQUISICIÓN DE BASUREROS DE BAÑO DE ACERO INOXIDABLE CON TAPA PARA EL CENTRO OPERATIVO ZONAL ECU 911 IBARRA"/>
    <n v="2"/>
    <s v="266 0001"/>
    <x v="0"/>
    <n v="0"/>
    <x v="0"/>
    <n v="1001"/>
    <x v="3"/>
    <n v="1"/>
    <n v="0"/>
    <n v="0"/>
    <s v="CORRIENTE"/>
    <n v="53"/>
    <x v="25"/>
    <s v="MOBILIARIO "/>
    <n v="500.6399999999999"/>
    <n v="800"/>
    <n v="0"/>
    <n v="0"/>
    <n v="0"/>
    <n v="0"/>
    <n v="0"/>
    <n v="0"/>
    <n v="0"/>
    <n v="0"/>
    <n v="0"/>
    <n v="0"/>
    <n v="0"/>
    <n v="0"/>
    <n v="447"/>
    <n v="0"/>
    <n v="0"/>
    <n v="0"/>
    <n v="0"/>
    <n v="800"/>
    <n v="0"/>
    <n v="0"/>
    <n v="0"/>
    <n v="0"/>
    <n v="353"/>
    <n v="0"/>
    <n v="800"/>
    <s v="OK"/>
    <n v="800"/>
    <n v="0"/>
    <n v="800"/>
    <n v="0"/>
  </r>
  <r>
    <s v="MATRICULACIÓN Y REVISIÓN VEHICULAR DE LOS VEHÍCULOS DEL CENTRO OPERATIVO ZONAL ECU 911 IBARRA AÑO 2022"/>
    <n v="1"/>
    <s v="266 0001"/>
    <x v="0"/>
    <n v="0"/>
    <x v="0"/>
    <n v="1001"/>
    <x v="3"/>
    <n v="1"/>
    <n v="0"/>
    <n v="0"/>
    <s v="CORRIENTE"/>
    <n v="57"/>
    <x v="27"/>
    <s v="TASAS GENERALES, IMPUESTOS, CONTRIBUCIONES, PERMISOS, LICENCIAS Y PATENTES"/>
    <n v="1000"/>
    <n v="1109.05"/>
    <n v="0"/>
    <n v="925.83"/>
    <n v="500"/>
    <n v="183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.05"/>
    <n v="0"/>
    <n v="1109.05"/>
    <s v="OK"/>
    <n v="1109.05"/>
    <n v="-1.1368683772161603E-13"/>
    <n v="1109.05"/>
    <n v="0"/>
  </r>
  <r>
    <s v="CANCELACIÓN DEL PERMISO DE FUNCIONAMIENTO DEL CUERPO DE BOMBEROS AÑO 2022 DE LA COORDINACIÓN ZONAL 1 SIS ECU 911"/>
    <n v="1"/>
    <s v="266 0001"/>
    <x v="0"/>
    <n v="0"/>
    <x v="0"/>
    <n v="1001"/>
    <x v="3"/>
    <n v="1"/>
    <n v="0"/>
    <n v="0"/>
    <s v="CORRIENTE"/>
    <n v="57"/>
    <x v="27"/>
    <s v="TASAS GENERALES, IMPUESTOS, CONTRIBUCIONES, PERMISOS, LICENCIAS Y PATENTES"/>
    <n v="200"/>
    <n v="106.25"/>
    <n v="0"/>
    <n v="0"/>
    <n v="0"/>
    <n v="106.25"/>
    <n v="106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.25"/>
    <s v="OK"/>
    <n v="106.25"/>
    <n v="0"/>
    <n v="106.25"/>
    <n v="0"/>
  </r>
  <r>
    <s v="CANCELACIÓN POR TASA DE MEJORAS EN EL MUNICIPIO AÑO 2022 DE LA COORDINACIÓN ZONAL 1 SIS ECU 911"/>
    <n v="1"/>
    <s v="266 0001"/>
    <x v="0"/>
    <n v="0"/>
    <x v="0"/>
    <n v="1001"/>
    <x v="3"/>
    <n v="1"/>
    <n v="0"/>
    <n v="0"/>
    <s v="CORRIENTE"/>
    <n v="57"/>
    <x v="27"/>
    <s v="TASAS GENERALES, IMPUESTOS, CONTRIBUCIONES, PERMISOS, LICENCIAS Y PATENTES"/>
    <n v="302"/>
    <n v="50.5"/>
    <n v="0"/>
    <n v="50.5"/>
    <n v="5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.5"/>
    <s v="OK"/>
    <n v="50.5"/>
    <n v="0"/>
    <n v="50.5"/>
    <n v="0"/>
  </r>
  <r>
    <s v="CONTRATACIÓN DEL SERVICIO DE TELEPASS AÑO 2022 PARA CIRCULACIÓN DE LOS VEHÍCULOS INSTITUCIONALES DE LA ZONA 1 EN CARRETERAS CONCESIONADAS"/>
    <n v="1"/>
    <s v="266 0001"/>
    <x v="0"/>
    <n v="0"/>
    <x v="0"/>
    <n v="1001"/>
    <x v="3"/>
    <n v="1"/>
    <n v="0"/>
    <n v="0"/>
    <s v="CORRIENTE"/>
    <n v="57"/>
    <x v="27"/>
    <s v="TASAS GENERALES, IMPUESTOS, CONTRIBUCIONES, PERMISOS, LICENCIAS Y PATENTES"/>
    <n v="1000"/>
    <n v="600"/>
    <n v="0"/>
    <n v="0"/>
    <n v="0"/>
    <n v="0"/>
    <n v="0"/>
    <n v="600"/>
    <n v="0"/>
    <n v="0"/>
    <n v="0"/>
    <n v="0"/>
    <n v="0"/>
    <n v="0"/>
    <n v="0"/>
    <n v="0"/>
    <n v="0"/>
    <n v="0"/>
    <n v="0"/>
    <n v="0"/>
    <n v="0"/>
    <n v="0"/>
    <n v="600"/>
    <n v="0"/>
    <n v="0"/>
    <n v="0"/>
    <n v="600"/>
    <s v="OK"/>
    <n v="600"/>
    <n v="0"/>
    <n v="600"/>
    <n v="0"/>
  </r>
  <r>
    <s v="ARRASTRE: CANCELACIÓN POR DE SERVICIOS DE TELECOMUNICACIONES CORRESPONDIENTE A DICIEMBRE DEL 2021"/>
    <n v="1"/>
    <s v="266 0001"/>
    <x v="1"/>
    <n v="0"/>
    <x v="1"/>
    <n v="1001"/>
    <x v="3"/>
    <n v="1"/>
    <n v="0"/>
    <n v="0"/>
    <s v="CORRIENTE"/>
    <n v="53"/>
    <x v="28"/>
    <s v="TELECOMUNICACIONES"/>
    <n v="15358.559999999994"/>
    <n v="7244.41"/>
    <n v="7244.41"/>
    <n v="7244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44.41"/>
    <s v="OK"/>
    <n v="7244.41"/>
    <n v="0"/>
    <n v="7244.41"/>
    <n v="0"/>
  </r>
  <r>
    <s v="CONTRATACIÓN DE SERVICIOS DE TELECOMUNICACIONES CORRESPONDIENTE AL CONTRATO ENERO-DICIEMBRE 2022"/>
    <n v="1"/>
    <s v="266 0001"/>
    <x v="1"/>
    <n v="0"/>
    <x v="1"/>
    <n v="1001"/>
    <x v="3"/>
    <n v="1"/>
    <n v="0"/>
    <n v="0"/>
    <s v="CORRIENTE"/>
    <n v="53"/>
    <x v="28"/>
    <s v="TELECOMUNICACIONES"/>
    <n v="117311.03999999995"/>
    <n v="87729.95"/>
    <n v="0"/>
    <n v="0"/>
    <n v="9521.999999999998"/>
    <n v="7198.83"/>
    <n v="9521.999999999998"/>
    <n v="7330.57"/>
    <n v="9521.999999999998"/>
    <n v="7289.25"/>
    <n v="9521.999999999998"/>
    <n v="7387.03"/>
    <n v="9521.999999999998"/>
    <n v="7387.28"/>
    <n v="9521.999999999998"/>
    <n v="7326.27"/>
    <n v="9521.999999999998"/>
    <n v="7230.71"/>
    <n v="9521.999999999998"/>
    <n v="7187.32"/>
    <n v="9521.999999999998"/>
    <n v="7226.61"/>
    <n v="2945.610000000015"/>
    <n v="7402.77"/>
    <n v="0"/>
    <n v="7256.96"/>
    <n v="88643.61"/>
    <n v="-913.6600000000035"/>
    <n v="80223.6"/>
    <n v="8420.010000000006"/>
    <n v="88643.61"/>
    <n v="-913.6600000000035"/>
  </r>
  <r>
    <s v="CONTRATACIÓN DEL SERVICIO DE  SOSTENIMIENTO TECNOLÓGICO DE SITIOS DE VIDEO MONITOREO DE LOS CENTROS OPERATIVOS ECU 911 PERTENECIENTES A LA COORDINACIÓN ZONAL 1"/>
    <n v="1"/>
    <s v="266 0001"/>
    <x v="1"/>
    <n v="0"/>
    <x v="1"/>
    <n v="1001"/>
    <x v="3"/>
    <n v="1"/>
    <n v="0"/>
    <n v="0"/>
    <s v="CORRIENTE"/>
    <n v="53"/>
    <x v="32"/>
    <s v="MANTENIMIENTO Y REPARACIÓN DE EQUIPOS Y SISTEMAS INFORMÁTICOS "/>
    <n v="103604.47999999997"/>
    <n v="84406.6"/>
    <n v="0"/>
    <n v="0"/>
    <n v="0"/>
    <n v="0"/>
    <n v="0"/>
    <n v="0"/>
    <n v="0"/>
    <n v="0"/>
    <n v="14668.94"/>
    <n v="4511.25"/>
    <n v="14668.94"/>
    <n v="9811.2"/>
    <n v="14668.94"/>
    <n v="11293.15"/>
    <n v="14668.94"/>
    <n v="11983.9"/>
    <n v="14668.94"/>
    <n v="11401.1"/>
    <n v="13655.300000000003"/>
    <n v="11474.55"/>
    <n v="0"/>
    <n v="7796.65"/>
    <n v="0"/>
    <n v="16134.8"/>
    <n v="87000"/>
    <n v="-2593.399999999994"/>
    <n v="84406.59999999999"/>
    <n v="2593.4000000000124"/>
    <n v="87000"/>
    <n v="-2593.399999999994"/>
  </r>
  <r>
    <s v="ADQUISICIÓN DE BIENES Y PAGO DE SERVICIOS NO PREVISIBLES, URGENTES Y DE VALOR REDUCIDO (CAJA CHICA)."/>
    <n v="2"/>
    <s v="266 0001"/>
    <x v="1"/>
    <n v="0"/>
    <x v="1"/>
    <n v="1001"/>
    <x v="3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150"/>
    <n v="87.91"/>
    <n v="0"/>
    <n v="0"/>
    <n v="0"/>
    <n v="0"/>
    <n v="15"/>
    <n v="0"/>
    <n v="0"/>
    <n v="0"/>
    <n v="0"/>
    <n v="0"/>
    <n v="22.32"/>
    <n v="56.15"/>
    <n v="0"/>
    <n v="0"/>
    <n v="0"/>
    <n v="0"/>
    <n v="0"/>
    <n v="0"/>
    <n v="112.68"/>
    <n v="31.76"/>
    <n v="0"/>
    <n v="0"/>
    <n v="0"/>
    <n v="0"/>
    <n v="150"/>
    <n v="-62.09"/>
    <n v="87.91"/>
    <n v="62.09"/>
    <n v="56.15"/>
    <n v="31.759999999999998"/>
  </r>
  <r>
    <s v="ADQUISICIÓN DE MATERIALES E INSUMOS PARA MANTENIMIENTOS E INSTALACIONES TECNOLÓGICAS DEL CENTRO"/>
    <n v="2"/>
    <s v="266 0001"/>
    <x v="1"/>
    <n v="0"/>
    <x v="1"/>
    <n v="1001"/>
    <x v="3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1000.1599999999997"/>
    <n v="305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5.49"/>
    <n v="305.49"/>
    <n v="0"/>
    <n v="0"/>
    <n v="0"/>
    <n v="0"/>
    <n v="305.49"/>
    <s v="OK"/>
    <n v="305.49"/>
    <n v="0"/>
    <n v="305.49"/>
    <n v="0"/>
  </r>
  <r>
    <s v=" ADQUISICIÓN DE REPUESTOS Y ACCESORIOS TECNOLÓGICOS PARA MAQUINARIAS, PLANTAS ELÉCTRICAS, EQUIPOS Y OTROS"/>
    <n v="2"/>
    <s v="266 0001"/>
    <x v="1"/>
    <n v="0"/>
    <x v="1"/>
    <n v="1001"/>
    <x v="3"/>
    <n v="1"/>
    <n v="0"/>
    <n v="0"/>
    <s v="CORRIENTE"/>
    <n v="53"/>
    <x v="21"/>
    <s v="REPUESTOS Y ACCESORIOS"/>
    <n v="5000.8"/>
    <n v="3515.44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15.4400000000005"/>
    <n v="3515.44"/>
    <n v="0"/>
    <n v="0"/>
    <n v="0"/>
    <n v="0"/>
    <n v="3515.4400000000005"/>
    <s v="OK"/>
    <n v="3515.44"/>
    <n v="4.547473508864641E-13"/>
    <n v="3515.4399999999996"/>
    <n v="0"/>
  </r>
  <r>
    <s v=" ADQUISICIÓN DE BIENES Y PAGO DE SERVICIOS NO PREVISIBLES, URGENTES Y DE VALOR REDUCIDO (CAJA CHICA)."/>
    <n v="2"/>
    <s v="266 0001"/>
    <x v="1"/>
    <n v="0"/>
    <x v="1"/>
    <n v="1001"/>
    <x v="3"/>
    <n v="1"/>
    <n v="0"/>
    <n v="0"/>
    <s v="CORRIENTE"/>
    <n v="53"/>
    <x v="21"/>
    <s v="REPUESTOS Y ACCESORIOS"/>
    <n v="190"/>
    <n v="186.2"/>
    <n v="0"/>
    <n v="0"/>
    <n v="0"/>
    <n v="0"/>
    <n v="19"/>
    <n v="0"/>
    <n v="0"/>
    <n v="0"/>
    <n v="0"/>
    <n v="0"/>
    <n v="25.11"/>
    <n v="68.25"/>
    <n v="0"/>
    <n v="0"/>
    <n v="0"/>
    <n v="0"/>
    <n v="0"/>
    <n v="0"/>
    <n v="142.08999999999997"/>
    <n v="117.95"/>
    <n v="0"/>
    <n v="0"/>
    <n v="0"/>
    <n v="0"/>
    <n v="186.2"/>
    <s v="OK"/>
    <n v="186.2"/>
    <n v="-2.842170943040401E-14"/>
    <n v="68.25"/>
    <n v="117.94999999999999"/>
  </r>
  <r>
    <s v="ADQUISICIÓN DE EQUIPOS TECNOLÓGICOS PARA LOS CENTROS OPERATIVOS ECU911 IBARRA, ESMERALDAS, NUEVA LOJA Y TULCÁN"/>
    <n v="1"/>
    <s v="266 0001"/>
    <x v="1"/>
    <n v="0"/>
    <x v="1"/>
    <n v="1001"/>
    <x v="3"/>
    <n v="1"/>
    <n v="0"/>
    <n v="0"/>
    <s v="CORRIENTE"/>
    <n v="53"/>
    <x v="29"/>
    <s v="MAQUINARIAS Y EQUIPOS"/>
    <n v="0"/>
    <n v="1970"/>
    <n v="0"/>
    <n v="0"/>
    <n v="0"/>
    <n v="0"/>
    <n v="1970"/>
    <n v="19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70"/>
    <s v="OK"/>
    <n v="1970"/>
    <n v="0"/>
    <n v="1970"/>
    <n v="0"/>
  </r>
  <r>
    <s v="ADQUISICIÓN DE EQUIPOS TECNOLÓGICOS PARA LOS CENTROS OPERATIVOS ECU911 IBARRA, ESMERALDAS, NUEVA LOJA Y TULCÁN"/>
    <n v="1"/>
    <s v="266 0001"/>
    <x v="1"/>
    <n v="0"/>
    <x v="1"/>
    <n v="1001"/>
    <x v="3"/>
    <n v="1"/>
    <n v="0"/>
    <n v="0"/>
    <s v="CORRIENTE"/>
    <n v="53"/>
    <x v="30"/>
    <s v="EQUIPOS, SISTEMAS Y PAQUETES INFORMÁTICOS"/>
    <n v="0"/>
    <n v="826.5"/>
    <n v="0"/>
    <n v="0"/>
    <n v="0"/>
    <n v="0"/>
    <n v="826.5"/>
    <n v="82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6.5"/>
    <s v="OK"/>
    <n v="826.5"/>
    <n v="0"/>
    <n v="826.5"/>
    <n v="0"/>
  </r>
  <r>
    <s v="PAGO POR REPARACIÓN Y RECUPERACIÓN DE INFORMACIÓN IMPORTANTE DE LA UNIDAD DE DISCO DURO DE LA DIRECCIÓN ZONAL DE TECNOLOGÍA Y SOPORTE"/>
    <n v="1"/>
    <s v="266 0001"/>
    <x v="1"/>
    <n v="0"/>
    <x v="1"/>
    <n v="1001"/>
    <x v="3"/>
    <n v="1"/>
    <n v="0"/>
    <n v="0"/>
    <s v="CORRIENTE"/>
    <n v="53"/>
    <x v="32"/>
    <s v="MANTENIMIENTO Y REPARACIÓN DE EQUIPOS Y SISTEMAS INFORMÁTICOS"/>
    <n v="0"/>
    <n v="2050"/>
    <n v="0"/>
    <n v="0"/>
    <n v="0"/>
    <n v="0"/>
    <n v="0"/>
    <n v="0"/>
    <n v="0"/>
    <n v="0"/>
    <n v="0"/>
    <n v="2050"/>
    <n v="0"/>
    <n v="0"/>
    <n v="0"/>
    <n v="0"/>
    <n v="0"/>
    <n v="0"/>
    <n v="0"/>
    <n v="0"/>
    <n v="0"/>
    <n v="0"/>
    <n v="0"/>
    <n v="0"/>
    <n v="2050"/>
    <n v="0"/>
    <n v="2050"/>
    <s v="OK"/>
    <n v="2050"/>
    <n v="0"/>
    <n v="2050"/>
    <n v="0"/>
  </r>
  <r>
    <s v="PAGO POR MANTENIMIENTO DE MOBILIARIO DEL CENTRO OPERATIVO ZONAL ECU 911 IBARRRA-2021 A FAVOR DE NIDIA CONSUELO PAMBI PAMBI"/>
    <n v="1"/>
    <s v="266 0001"/>
    <x v="0"/>
    <n v="0"/>
    <x v="0"/>
    <n v="1001"/>
    <x v="3"/>
    <n v="1"/>
    <n v="0"/>
    <n v="0"/>
    <s v="CORRIENTE"/>
    <n v="53"/>
    <x v="11"/>
    <s v="MOBILIARIOS (INSTALACIÓN, MANTENIMIENTO Y REPARACIÓN)"/>
    <n v="0"/>
    <n v="2034.75"/>
    <n v="0"/>
    <n v="0"/>
    <n v="0"/>
    <n v="0"/>
    <n v="0"/>
    <n v="0"/>
    <n v="0"/>
    <n v="0"/>
    <n v="0"/>
    <n v="2034.75"/>
    <n v="2034.75"/>
    <n v="0"/>
    <n v="0"/>
    <n v="0"/>
    <n v="0"/>
    <n v="0"/>
    <n v="0"/>
    <n v="0"/>
    <n v="0"/>
    <n v="0"/>
    <n v="0"/>
    <n v="0"/>
    <n v="0"/>
    <n v="0"/>
    <n v="2034.75"/>
    <s v="OK"/>
    <n v="2034.75"/>
    <n v="0"/>
    <n v="2034.75"/>
    <n v="0"/>
  </r>
  <r>
    <s v="ADQUISICIÓN DE BIENES Y PAGO DE SERVICIOS NO PREVISIBLES, URGENTES Y DE VALOR REDUCIDO (CAJA CHICA)."/>
    <n v="1"/>
    <s v="266 0001"/>
    <x v="0"/>
    <n v="0"/>
    <x v="0"/>
    <n v="1001"/>
    <x v="3"/>
    <n v="1"/>
    <n v="0"/>
    <n v="0"/>
    <s v="CORRIENTE"/>
    <n v="53"/>
    <x v="12"/>
    <s v="MAQUINARIAS Y EQUIPOS (INSTALACIÓN, MANTENIMIENTO Y REPARACIÓN)"/>
    <n v="0"/>
    <n v="100"/>
    <n v="0"/>
    <n v="0"/>
    <n v="0"/>
    <n v="0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0"/>
    <n v="100"/>
    <s v="OK"/>
    <n v="0"/>
    <n v="100"/>
    <n v="0"/>
    <n v="100"/>
  </r>
  <r>
    <s v="ADQUISICIÓN DE BIENES Y PAGO DE SERVICIOS NO PREVISIBLES, URGENTES Y DE VALOR REDUCIDO (CAJA CHICA)."/>
    <n v="1"/>
    <s v="266 0001"/>
    <x v="0"/>
    <n v="0"/>
    <x v="0"/>
    <n v="1001"/>
    <x v="3"/>
    <n v="1"/>
    <n v="0"/>
    <n v="0"/>
    <s v="CORRIENTE"/>
    <n v="53"/>
    <x v="13"/>
    <s v="VEHÍCULOS (SERVICIO PARA MANTENIMIENTO Y REPARACIÓN)"/>
    <n v="0"/>
    <n v="5"/>
    <n v="0"/>
    <n v="0"/>
    <n v="0"/>
    <n v="0"/>
    <n v="0"/>
    <n v="0"/>
    <n v="0"/>
    <n v="0"/>
    <n v="0"/>
    <n v="0"/>
    <n v="50"/>
    <n v="5"/>
    <n v="0"/>
    <n v="0"/>
    <n v="0"/>
    <n v="0"/>
    <n v="0"/>
    <n v="0"/>
    <n v="0"/>
    <n v="0"/>
    <n v="0"/>
    <n v="0"/>
    <n v="0"/>
    <n v="0"/>
    <n v="50"/>
    <n v="-45"/>
    <n v="5"/>
    <n v="45"/>
    <n v="5"/>
    <n v="0"/>
  </r>
  <r>
    <s v="CONTRATACION DEL SERVICIO DE MANTENIMIENTO PREVENTIVO Y CORRECTIVO DE IMPRESORAS DEL CENTRO OPERATIVO ZONAL ECU 911  IBARRA"/>
    <n v="1"/>
    <s v="266 0001"/>
    <x v="0"/>
    <n v="0"/>
    <x v="0"/>
    <n v="1001"/>
    <x v="3"/>
    <n v="1"/>
    <n v="0"/>
    <n v="0"/>
    <s v="CORRIENTE"/>
    <n v="53"/>
    <x v="32"/>
    <s v="MANTENIMIENTO Y REPARACIÓN DE EQUIPOS Y SISTEMAS INFORMÁTICOS "/>
    <n v="0"/>
    <n v="210"/>
    <n v="0"/>
    <n v="0"/>
    <n v="0"/>
    <n v="0"/>
    <n v="0"/>
    <n v="0"/>
    <n v="160"/>
    <n v="160"/>
    <n v="0"/>
    <n v="0"/>
    <n v="0"/>
    <n v="0"/>
    <n v="0"/>
    <n v="0"/>
    <n v="0"/>
    <n v="0"/>
    <n v="0"/>
    <n v="0"/>
    <n v="0"/>
    <n v="0"/>
    <n v="0"/>
    <n v="0"/>
    <n v="340"/>
    <n v="50"/>
    <n v="500"/>
    <n v="-290"/>
    <n v="210"/>
    <n v="290"/>
    <n v="160"/>
    <n v="50"/>
  </r>
  <r>
    <s v="ADQUISICIÓN DE REPUESTOS PARA FILTROS DE AGUA CON TECNOLOGÍA DE OSMOSIS INVERSA DEL CENTRO OPERATIVO ZONAL ECU 911 IBARRA"/>
    <n v="1"/>
    <s v="266 0001"/>
    <x v="0"/>
    <n v="0"/>
    <x v="0"/>
    <n v="1001"/>
    <x v="3"/>
    <n v="1"/>
    <n v="0"/>
    <n v="0"/>
    <s v="CORRIENTE"/>
    <n v="53"/>
    <x v="21"/>
    <s v="REPUESTOS Y ACCESORIOS"/>
    <n v="0"/>
    <n v="289.4"/>
    <n v="0"/>
    <n v="0"/>
    <n v="0"/>
    <n v="0"/>
    <n v="0"/>
    <n v="0"/>
    <n v="289.4"/>
    <n v="289.4"/>
    <n v="0"/>
    <n v="0"/>
    <n v="0"/>
    <n v="0"/>
    <n v="0"/>
    <n v="0"/>
    <n v="0"/>
    <n v="0"/>
    <n v="0"/>
    <n v="0"/>
    <n v="0"/>
    <n v="0"/>
    <n v="0"/>
    <n v="0"/>
    <n v="0"/>
    <n v="0"/>
    <n v="289.4"/>
    <s v="OK"/>
    <n v="289.4"/>
    <n v="0"/>
    <n v="289.4"/>
    <n v="0"/>
  </r>
  <r>
    <s v="ADQUISICIÓN DE SEÑALÉTICA DE SEGURIDAD PARA CENTROS OPERATIVOS LOCAL ECU 911 IBARRA"/>
    <n v="1"/>
    <s v="266 0001"/>
    <x v="0"/>
    <n v="0"/>
    <x v="0"/>
    <n v="1001"/>
    <x v="3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0.72"/>
    <n v="0"/>
    <n v="650.72"/>
    <n v="-650.72"/>
    <n v="0"/>
    <n v="650.72"/>
    <n v="0"/>
    <n v="0"/>
  </r>
  <r>
    <s v="ADQUISICIÓN DE MATERIALES PARA MANTENIMIENTO DEL SISTEMA HIDRÀULICO Y SANITARIOS DEL EDIFICIO DEL CENTRO OPERATIVO ZONAL ECU 911 IBARRA"/>
    <n v="1"/>
    <s v="266 0001"/>
    <x v="0"/>
    <n v="0"/>
    <x v="0"/>
    <n v="1001"/>
    <x v="3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0"/>
    <n v="390"/>
    <n v="0"/>
    <n v="0"/>
    <n v="0"/>
    <n v="0"/>
    <n v="0"/>
    <n v="0"/>
    <n v="0"/>
    <n v="0"/>
    <n v="390"/>
    <n v="390"/>
    <n v="0"/>
    <n v="0"/>
    <n v="0"/>
    <n v="0"/>
    <n v="0"/>
    <n v="0"/>
    <n v="0"/>
    <n v="0"/>
    <n v="0"/>
    <n v="0"/>
    <n v="0"/>
    <n v="0"/>
    <n v="0"/>
    <n v="0"/>
    <n v="390"/>
    <s v="OK"/>
    <n v="390"/>
    <n v="0"/>
    <n v="390"/>
    <n v="0"/>
  </r>
  <r>
    <s v="ADQUISICIÓN DE TARJETAS PVC, CINTA PARA CREDENCIALES Y PORTA CREDENCIALES PARA EL PERSONAL DEL CENTRO OPERATIVO ZONAL IBARRA."/>
    <n v="1"/>
    <s v="266 0001"/>
    <x v="0"/>
    <n v="0"/>
    <x v="0"/>
    <n v="1001"/>
    <x v="3"/>
    <n v="1"/>
    <n v="0"/>
    <n v="0"/>
    <s v="CORRIENTE"/>
    <n v="53"/>
    <x v="16"/>
    <s v="MATERIALES DE OFICINA"/>
    <n v="0"/>
    <n v="186.95999999999998"/>
    <n v="0"/>
    <n v="0"/>
    <n v="0"/>
    <n v="0"/>
    <n v="0"/>
    <n v="0"/>
    <n v="0"/>
    <n v="0"/>
    <n v="0"/>
    <n v="0"/>
    <n v="186.95999999999998"/>
    <n v="0"/>
    <n v="0"/>
    <n v="186.95999999999998"/>
    <n v="0"/>
    <n v="0"/>
    <n v="0"/>
    <n v="0"/>
    <n v="0"/>
    <n v="0"/>
    <n v="0"/>
    <n v="0"/>
    <n v="0"/>
    <n v="0"/>
    <n v="186.95999999999998"/>
    <s v="OK"/>
    <n v="186.95999999999998"/>
    <n v="0"/>
    <n v="186.96"/>
    <n v="0"/>
  </r>
  <r>
    <s v="CONTRATACION DEL SERVICIO DE “MANTENIMIENTO Y ADECUACIÓN DE LA INFRAESTRUCTURA FÍSICA DEL EDIFICIO DEL CENTRO OPERATIVO ZONAL ECU 911 IBARRA”"/>
    <n v="1"/>
    <s v="266 0001"/>
    <x v="0"/>
    <n v="0"/>
    <x v="0"/>
    <n v="1001"/>
    <x v="3"/>
    <n v="1"/>
    <n v="0"/>
    <n v="0"/>
    <s v="CORRIENTE"/>
    <n v="53"/>
    <x v="10"/>
    <s v="EDIFICIOS, LOCALES, RESIDENCIAS Y CABLEADO ESTRUCTURADO (INSTALACIÓN, MANTENIMIENTO Y REPARACIÓN)"/>
    <n v="0"/>
    <n v="137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90"/>
    <n v="13790"/>
    <n v="13790"/>
    <s v="OK"/>
    <n v="13790"/>
    <n v="0"/>
    <n v="13790"/>
    <n v="0"/>
  </r>
  <r>
    <s v="ADQUISICIÓN DE RESPUESTOS PARA MANTENIMIENTO PREVENTIVO Y CORRECTIVO DE ELECTRODOMÉSTICOS DEL CENTRO OPERATIVO ZONAL ECU 911 IBARRA"/>
    <n v="1"/>
    <s v="266 0001"/>
    <x v="0"/>
    <n v="0"/>
    <x v="0"/>
    <n v="1001"/>
    <x v="3"/>
    <n v="1"/>
    <n v="0"/>
    <n v="0"/>
    <s v="CORRIENTE"/>
    <n v="53"/>
    <x v="21"/>
    <s v="REPUESTOS Y ACCESORIOS"/>
    <n v="0"/>
    <n v="2000"/>
    <n v="0"/>
    <n v="0"/>
    <n v="0"/>
    <n v="0"/>
    <n v="0"/>
    <n v="0"/>
    <n v="0"/>
    <n v="0"/>
    <n v="0"/>
    <n v="0"/>
    <n v="0"/>
    <n v="0"/>
    <n v="2000"/>
    <n v="210"/>
    <n v="0"/>
    <n v="0"/>
    <n v="0"/>
    <n v="0"/>
    <n v="0"/>
    <n v="220"/>
    <n v="0"/>
    <n v="0"/>
    <n v="0"/>
    <n v="0"/>
    <n v="2000"/>
    <s v="OK"/>
    <n v="430"/>
    <n v="1570"/>
    <n v="220"/>
    <n v="1780"/>
  </r>
  <r>
    <s v="CONTRATACIÓN DEL SERVICIO DE EMISIÓN DE PASAJES AÉREOS NACIONALES PARA EL CENTRO OPERATIVO ZONAL ECU 911 IBARRA"/>
    <n v="1"/>
    <s v="266 0001"/>
    <x v="0"/>
    <n v="0"/>
    <x v="0"/>
    <n v="1001"/>
    <x v="3"/>
    <n v="1"/>
    <n v="0"/>
    <n v="0"/>
    <s v="CORRIENTE"/>
    <n v="53"/>
    <x v="8"/>
    <s v="PASAJES AL INTERIO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RESPUESTOS PARA MANTENIMIENTO DE TELEVISORES DEL CENTRO OPERATIVO ZONAL ECU 911 IBARRA"/>
    <n v="1"/>
    <s v="266 0001"/>
    <x v="0"/>
    <n v="0"/>
    <x v="0"/>
    <n v="1001"/>
    <x v="3"/>
    <n v="1"/>
    <n v="0"/>
    <n v="0"/>
    <s v="CORRIENTE"/>
    <n v="53"/>
    <x v="21"/>
    <s v="REPUESTOS Y ACCESORIOS"/>
    <n v="0"/>
    <n v="1387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"/>
    <n v="1500"/>
    <n v="0"/>
    <n v="1500"/>
    <n v="-112.55999999999995"/>
    <n v="180"/>
    <n v="1320"/>
    <n v="180"/>
    <n v="1207.44"/>
  </r>
  <r>
    <s v="CONTRATACIÓN DEL SERVICIO DE MANTENIMIENTO PREVENTIVO Y CORRECTIVO DE TELEVISORES DEL CENTRO OPERATIVO ZONAL ECU 911 IBARRA"/>
    <n v="1"/>
    <s v="266 0001"/>
    <x v="0"/>
    <n v="0"/>
    <x v="0"/>
    <n v="1001"/>
    <x v="3"/>
    <n v="1"/>
    <n v="0"/>
    <n v="0"/>
    <s v="CORRIENTE"/>
    <n v="53"/>
    <x v="12"/>
    <s v="MAQUINARIAS Y EQUIPOS (INSTALACIÓN, MANTENIMIENTO Y REPARACIÓN)"/>
    <n v="0"/>
    <n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"/>
    <n v="80"/>
    <n v="0"/>
    <n v="80"/>
    <s v="OK"/>
    <n v="80"/>
    <n v="0"/>
    <n v="80"/>
    <n v="0"/>
  </r>
  <r>
    <s v="CANCELACIÓN POR ARRENDAMIENTO DE CASILLEROS JUDICIALES DEL ECU 911, EN LOS CANTONES IBARRA, ANTONIO ANTE, COTACACHI Y OTAVALO."/>
    <n v="1"/>
    <s v="266 0001"/>
    <x v="0"/>
    <n v="0"/>
    <x v="0"/>
    <n v="1001"/>
    <x v="3"/>
    <n v="1"/>
    <n v="0"/>
    <n v="0"/>
    <s v="CORRIENTE"/>
    <n v="53"/>
    <x v="31"/>
    <s v="EDIFICIOS, LOCALES Y RESIDENCIAS, PARQUEADEROS, CASILLEROS JUDICIALES Y BANCARIOS (ARRENDAMIENTO)"/>
    <n v="0"/>
    <n v="53.76"/>
    <n v="0"/>
    <n v="0"/>
    <n v="0"/>
    <n v="0"/>
    <n v="0"/>
    <n v="0"/>
    <n v="0"/>
    <n v="0"/>
    <n v="0"/>
    <n v="0"/>
    <n v="0"/>
    <n v="0"/>
    <n v="0"/>
    <n v="0"/>
    <n v="53.76"/>
    <n v="53.76"/>
    <n v="0"/>
    <n v="0"/>
    <n v="0"/>
    <n v="0"/>
    <n v="0"/>
    <n v="0"/>
    <n v="0"/>
    <n v="0"/>
    <n v="53.76"/>
    <s v="OK"/>
    <n v="53.76"/>
    <n v="0"/>
    <n v="53.76"/>
    <n v="0"/>
  </r>
  <r>
    <s v="ADQUISICIÓN DE MAQUINARIA Y EQUIPOS PARA EL CENTRO OPERATIVO ZONAL ECU 911 IBARRA"/>
    <n v="1"/>
    <s v="266 0001"/>
    <x v="0"/>
    <n v="0"/>
    <x v="0"/>
    <n v="1001"/>
    <x v="3"/>
    <n v="1"/>
    <n v="0"/>
    <n v="0"/>
    <s v="CORRIENTE"/>
    <n v="53"/>
    <x v="29"/>
    <s v="MAQUINARIAS Y EQUIPOS"/>
    <n v="0"/>
    <n v="44.5"/>
    <n v="0"/>
    <n v="0"/>
    <n v="0"/>
    <n v="0"/>
    <n v="0"/>
    <n v="0"/>
    <n v="0"/>
    <n v="0"/>
    <n v="0"/>
    <n v="0"/>
    <n v="0"/>
    <n v="0"/>
    <n v="0"/>
    <n v="0"/>
    <n v="0"/>
    <n v="0"/>
    <n v="44.5"/>
    <n v="44.5"/>
    <n v="0"/>
    <n v="0"/>
    <n v="0"/>
    <n v="0"/>
    <n v="0"/>
    <n v="0"/>
    <n v="44.5"/>
    <s v="OK"/>
    <n v="44.5"/>
    <n v="0"/>
    <n v="44.5"/>
    <n v="0"/>
  </r>
  <r>
    <s v="ADQUISICIÓN DE MINI STAND PORTABLE (EXHIBIDOR DE PLÁSTICO) PARA LOS CENTROS OPERATIVOS QUE CONFORMAN LA COORDINACIÓN ZONAL 1 DEL SERVICIO INTEGRADO DE SEGURIDAD."/>
    <n v="1"/>
    <s v="266 0001"/>
    <x v="0"/>
    <n v="0"/>
    <x v="0"/>
    <n v="1001"/>
    <x v="3"/>
    <n v="1"/>
    <n v="0"/>
    <n v="0"/>
    <s v="CORRIENTE"/>
    <n v="53"/>
    <x v="25"/>
    <s v="MOBILIARIO"/>
    <n v="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"/>
    <n v="0"/>
    <n v="230"/>
    <n v="-80"/>
    <n v="0"/>
    <n v="230"/>
    <n v="150"/>
    <n v="0"/>
  </r>
  <r>
    <s v=" ADQUISICIÓN DE EQUIPOS DE PROTECCIÓN INDIVIDUAL Y ROPA DE TRABAJO"/>
    <n v="1"/>
    <s v="266 0001"/>
    <x v="0"/>
    <n v="0"/>
    <x v="0"/>
    <n v="1001"/>
    <x v="3"/>
    <n v="1"/>
    <n v="0"/>
    <n v="0"/>
    <s v="CORRIENTE"/>
    <n v="53"/>
    <x v="21"/>
    <s v="REPUESTOS Y ACCESORIOS"/>
    <n v="0"/>
    <n v="60"/>
    <n v="0"/>
    <n v="0"/>
    <n v="0"/>
    <n v="0"/>
    <n v="0"/>
    <n v="0"/>
    <n v="0"/>
    <n v="0"/>
    <n v="0"/>
    <n v="0"/>
    <n v="0"/>
    <n v="0"/>
    <n v="0"/>
    <n v="0"/>
    <n v="0"/>
    <n v="0"/>
    <n v="60"/>
    <n v="60"/>
    <n v="0"/>
    <n v="0"/>
    <n v="0"/>
    <n v="0"/>
    <n v="0"/>
    <n v="0"/>
    <n v="60"/>
    <s v="OK"/>
    <n v="60"/>
    <n v="0"/>
    <n v="60"/>
    <n v="0"/>
  </r>
  <r>
    <s v="PAGO POR ADQUISICIÓN DE BATERÍAS PARA RADIOS APX 2000 DE LOS CENTROS OPERATIVOS ZONAL ECU 911 IBARRA, TULCÁN, ESMERALDAS, NUEVA LOJA."/>
    <n v="1"/>
    <s v="266 0001"/>
    <x v="1"/>
    <n v="0"/>
    <x v="1"/>
    <n v="1001"/>
    <x v="3"/>
    <n v="1"/>
    <n v="0"/>
    <n v="0"/>
    <s v="CORRIENTE"/>
    <n v="53"/>
    <x v="21"/>
    <s v="REPUESTOS Y ACCESORIO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0"/>
    <n v="0"/>
    <n v="0"/>
    <n v="0"/>
    <n v="0"/>
    <n v="0"/>
    <s v="OK"/>
    <n v="4350"/>
    <n v="-4350"/>
    <m/>
    <n v="0"/>
  </r>
  <r>
    <s v="ADQUISICIÓN DE MATERIAL DE POSICIONAMIENTO E IDENTIDAD DEL ECU 911 PARA LOS CENTROS QUE CONFORMAN LA COORDINACIÓN ZONAL 1"/>
    <n v="1"/>
    <s v="266 0001"/>
    <x v="0"/>
    <n v="0"/>
    <x v="0"/>
    <n v="1001"/>
    <x v="3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0"/>
    <n v="1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4"/>
    <n v="1224"/>
    <n v="0"/>
    <n v="0"/>
    <n v="0"/>
    <n v="0"/>
    <n v="1224"/>
    <s v="OK"/>
    <n v="1224"/>
    <n v="0"/>
    <n v="1224"/>
    <n v="0"/>
  </r>
  <r>
    <s v="ADQUISICIÓN DE MATERIAL DE POSICIONAMIENTO E IDENTIDAD DEL ECU 911 PARA LOS CENTROS QUE CONFORMAN LA COORDINACIÓN ZONAL 1"/>
    <n v="1"/>
    <s v="266 0001"/>
    <x v="0"/>
    <n v="0"/>
    <x v="0"/>
    <n v="1001"/>
    <x v="3"/>
    <n v="1"/>
    <n v="0"/>
    <n v="0"/>
    <s v="CORRIENTE"/>
    <n v="53"/>
    <x v="16"/>
    <s v="MATERIALES DE OFICINA"/>
    <n v="0"/>
    <n v="6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"/>
    <n v="699"/>
    <n v="0"/>
    <n v="0"/>
    <n v="0"/>
    <n v="0"/>
    <n v="699"/>
    <s v="OK"/>
    <n v="699"/>
    <n v="0"/>
    <n v="699"/>
    <n v="0"/>
  </r>
  <r>
    <s v="ADQUISICIÓN DE VENTILADORES DE PARED PARA OFICINAS PARA EL CENTRO OPERATIVO ZONAL ECU 911 IBARRA"/>
    <n v="1"/>
    <s v="266 0001"/>
    <x v="0"/>
    <n v="0"/>
    <x v="0"/>
    <n v="1001"/>
    <x v="3"/>
    <n v="1"/>
    <n v="0"/>
    <n v="0"/>
    <s v="CORRIENTE"/>
    <n v="53"/>
    <x v="29"/>
    <s v="MAQUINARIAS Y EQUIPO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CINTAS PARA ETIQUETADORA PARA LA UNIDAD DE BIENES PARA EL CENTRO OPERATIVO ZONAL ECU 911 IBARRA"/>
    <n v="1"/>
    <s v="266 0001"/>
    <x v="0"/>
    <n v="0"/>
    <x v="0"/>
    <n v="1001"/>
    <x v="3"/>
    <n v="1"/>
    <n v="0"/>
    <n v="0"/>
    <s v="CORRIENTE"/>
    <n v="53"/>
    <x v="16"/>
    <s v="MATERIALES DE OFICIN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0"/>
    <n v="50"/>
    <n v="-50"/>
    <n v="0"/>
    <n v="50"/>
    <n v="0"/>
    <n v="0"/>
  </r>
  <r>
    <s v="ADQUISICIÓN DE ETIQUETADORA PARA LA UNIDAD DE BIENES PARA EL CENTRO OPERATIVO ZONAL ECU 911 IBARRA"/>
    <n v="1"/>
    <s v="266 0001"/>
    <x v="0"/>
    <n v="0"/>
    <x v="0"/>
    <n v="1001"/>
    <x v="3"/>
    <n v="1"/>
    <n v="0"/>
    <n v="0"/>
    <s v="CORRIENTE"/>
    <n v="53"/>
    <x v="26"/>
    <s v="HERRAMIENTAS Y EQUIPOS MENOR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0"/>
    <n v="100"/>
    <n v="-100"/>
    <n v="0"/>
    <n v="100"/>
    <n v="0"/>
    <n v="0"/>
  </r>
  <r>
    <s v="ARRASTRE: CANCELACIÓN POR CONSUMO DE SERVICIO DE AGUA POTABLE CORRESPONDIENTE A DICIEMBRE DEL 2021"/>
    <n v="1"/>
    <s v="266 0001"/>
    <x v="0"/>
    <n v="0"/>
    <x v="0"/>
    <n v="2101"/>
    <x v="4"/>
    <n v="1"/>
    <n v="0"/>
    <n v="0"/>
    <s v="CORRIENTE"/>
    <n v="53"/>
    <x v="0"/>
    <s v="AGUA POTABLE"/>
    <n v="100"/>
    <n v="38.99"/>
    <n v="38.99"/>
    <n v="3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.99"/>
    <s v="OK"/>
    <n v="38.99"/>
    <n v="0"/>
    <n v="38.99"/>
    <n v="0"/>
  </r>
  <r>
    <s v="PROVISIÓN POR CONSUMO DE SERVICIO DE AGUA POTABLE PERIODO ENERO A NOVIEMBRE 2022"/>
    <n v="1"/>
    <s v="266 0001"/>
    <x v="0"/>
    <n v="0"/>
    <x v="0"/>
    <n v="2101"/>
    <x v="4"/>
    <n v="1"/>
    <n v="0"/>
    <n v="0"/>
    <s v="CORRIENTE"/>
    <n v="53"/>
    <x v="0"/>
    <s v="AGUA POTABLE"/>
    <n v="605"/>
    <n v="605"/>
    <n v="0"/>
    <n v="0"/>
    <n v="55"/>
    <n v="27.04"/>
    <n v="55"/>
    <n v="70.48"/>
    <n v="55"/>
    <n v="32.94"/>
    <n v="55"/>
    <n v="27.04"/>
    <n v="55"/>
    <n v="32.94"/>
    <n v="55"/>
    <n v="68.3"/>
    <n v="55"/>
    <n v="11.44"/>
    <n v="55"/>
    <n v="0"/>
    <n v="55"/>
    <n v="88.38"/>
    <n v="110"/>
    <n v="129.53"/>
    <n v="0"/>
    <n v="0"/>
    <n v="605"/>
    <s v="OK"/>
    <n v="488.09000000000003"/>
    <n v="116.91"/>
    <n v="605"/>
    <n v="0"/>
  </r>
  <r>
    <s v="ARRASTRE: CANCELACIÓN POR CONSUMO DE SERVICIO DE ENERGÍA ELÉCTRICA CORRESPONDIENTE A DICIEMBRE DEL 2021"/>
    <n v="1"/>
    <s v="266 0001"/>
    <x v="0"/>
    <n v="0"/>
    <x v="0"/>
    <n v="2101"/>
    <x v="4"/>
    <n v="1"/>
    <n v="0"/>
    <n v="0"/>
    <s v="CORRIENTE"/>
    <n v="53"/>
    <x v="1"/>
    <s v="ENERGÍA ELÉCTRICA"/>
    <n v="7500"/>
    <n v="7368.66"/>
    <n v="7368.66"/>
    <n v="7368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68.66"/>
    <s v="OK"/>
    <n v="7368.66"/>
    <n v="0"/>
    <n v="7368.66"/>
    <n v="0"/>
  </r>
  <r>
    <s v="PROVISIÓN POR CONSUMO DE SERVICIO DE ENERGÍA ELÉCTRICA PERIODO ENERO A NOVIEMBRE 2022"/>
    <n v="1"/>
    <s v="266 0001"/>
    <x v="0"/>
    <n v="0"/>
    <x v="0"/>
    <n v="2101"/>
    <x v="4"/>
    <n v="1"/>
    <n v="0"/>
    <n v="0"/>
    <s v="CORRIENTE"/>
    <n v="53"/>
    <x v="1"/>
    <s v="ENERGÍA ELÉCTRICA"/>
    <n v="52500"/>
    <n v="82851.41"/>
    <n v="0"/>
    <n v="0"/>
    <n v="7500"/>
    <n v="7173.64"/>
    <n v="7500"/>
    <n v="6629.63"/>
    <n v="7500"/>
    <n v="7079.61"/>
    <n v="7500"/>
    <n v="7401.28"/>
    <n v="7500"/>
    <n v="7182.03"/>
    <n v="7500"/>
    <n v="7568.72"/>
    <n v="5970.28"/>
    <n v="7308.26"/>
    <n v="5970.28"/>
    <n v="7571"/>
    <n v="5970.28"/>
    <n v="7789.79"/>
    <n v="5970.28"/>
    <n v="8312.45"/>
    <n v="13970.290000000008"/>
    <n v="7939.58"/>
    <n v="82851.41"/>
    <s v="OK"/>
    <n v="81955.99"/>
    <n v="895.4200000000073"/>
    <n v="82851.41"/>
    <n v="0"/>
  </r>
  <r>
    <s v="ARRASTRE: CANCELACIÓN  POR CONSUMO DE SERVICIO DE CORREO NACIONAL A DICIEMBRE DEL 2021"/>
    <n v="2"/>
    <s v="266 0001"/>
    <x v="0"/>
    <n v="0"/>
    <x v="0"/>
    <n v="2101"/>
    <x v="4"/>
    <n v="1"/>
    <n v="0"/>
    <n v="0"/>
    <s v="CORRIENTE"/>
    <n v="53"/>
    <x v="2"/>
    <s v="SERVICIO DE CORREO"/>
    <n v="112"/>
    <n v="30.8"/>
    <n v="30.8"/>
    <n v="30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8"/>
    <s v="OK"/>
    <n v="30.8"/>
    <n v="0"/>
    <n v="30.8"/>
    <n v="0"/>
  </r>
  <r>
    <s v="CONTRATACIÓN  DEL SERVICIO DE CORREO NACIONAL PERIODO ENERO A DICIEMBRE 2022"/>
    <n v="1"/>
    <s v="266 0001"/>
    <x v="0"/>
    <n v="0"/>
    <x v="0"/>
    <n v="2101"/>
    <x v="4"/>
    <n v="1"/>
    <n v="0"/>
    <n v="0"/>
    <s v="CORRIENTE"/>
    <n v="53"/>
    <x v="2"/>
    <s v="SERVICIO DE CORREO"/>
    <n v="529.76"/>
    <n v="158.1"/>
    <n v="0"/>
    <n v="0"/>
    <n v="0"/>
    <n v="0"/>
    <n v="49.29"/>
    <n v="6"/>
    <n v="49.29"/>
    <n v="15"/>
    <n v="49.29"/>
    <n v="21"/>
    <n v="49.29"/>
    <n v="18"/>
    <n v="15.94"/>
    <n v="15.7"/>
    <n v="0"/>
    <n v="16.4"/>
    <n v="0"/>
    <n v="21"/>
    <n v="0"/>
    <n v="30"/>
    <n v="0"/>
    <n v="9"/>
    <n v="0"/>
    <n v="6"/>
    <n v="213.1"/>
    <n v="-55"/>
    <n v="158.1"/>
    <n v="55"/>
    <n v="213.1"/>
    <n v="-55"/>
  </r>
  <r>
    <s v="ARRASTRE: CANCELACIÓN  POR EL  SERVICIO DE TRANSPORTE PERSONAL OPERATIVO DICIEMBRE DEL 2021"/>
    <n v="1"/>
    <s v="266 0001"/>
    <x v="0"/>
    <n v="0"/>
    <x v="0"/>
    <n v="2101"/>
    <x v="4"/>
    <n v="1"/>
    <n v="0"/>
    <n v="0"/>
    <s v="CORRIENTE"/>
    <n v="53"/>
    <x v="3"/>
    <s v="TRANSPORTE DE PERSONAL"/>
    <n v="5640"/>
    <n v="5639.29"/>
    <n v="5639.29"/>
    <n v="5639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39.29"/>
    <s v="OK"/>
    <n v="5639.29"/>
    <n v="0"/>
    <n v="5639.29"/>
    <n v="0"/>
  </r>
  <r>
    <s v="CONTRATACIÓN  DEL SERVICIO DE TRANSPORTE PARA SERVIDORES DEL ÁREA OPERATIVA DEL CENTRO OPERATIVO LOCAL ECU 911 PARA ENERO-DICIEMBRE 2022, SE PAGA A MES VENCIDO"/>
    <n v="1"/>
    <s v="266 0001"/>
    <x v="0"/>
    <n v="0"/>
    <x v="0"/>
    <n v="2101"/>
    <x v="4"/>
    <n v="1"/>
    <n v="0"/>
    <n v="0"/>
    <s v="CORRIENTE"/>
    <n v="53"/>
    <x v="3"/>
    <s v="TRANSPORTE DE PERSONAL"/>
    <n v="72655"/>
    <n v="59625.09"/>
    <n v="0"/>
    <n v="1841.38"/>
    <n v="6605"/>
    <n v="0"/>
    <n v="6605"/>
    <n v="5778.37"/>
    <n v="6605"/>
    <n v="5778.37"/>
    <n v="6605"/>
    <n v="5778.37"/>
    <n v="6605"/>
    <n v="5778.37"/>
    <n v="6605"/>
    <n v="5778.37"/>
    <n v="6605"/>
    <n v="5778.37"/>
    <n v="6605"/>
    <n v="5778.37"/>
    <n v="6605"/>
    <n v="5778.37"/>
    <n v="180.0899999999965"/>
    <n v="5778.37"/>
    <n v="0"/>
    <n v="5778.37"/>
    <n v="59625.09"/>
    <s v="OK"/>
    <n v="59625.08000000001"/>
    <n v="0.010000000003856258"/>
    <n v="59625.08"/>
    <n v="0.00999999999476131"/>
  </r>
  <r>
    <s v="CONTRATACIÓN DEL SERVICIO DE RECARGA DE EXTINTORES DEL CENTRO"/>
    <n v="1"/>
    <s v="266 0001"/>
    <x v="0"/>
    <n v="0"/>
    <x v="0"/>
    <n v="2101"/>
    <x v="4"/>
    <n v="1"/>
    <n v="0"/>
    <n v="0"/>
    <s v="CORRIENTE"/>
    <n v="53"/>
    <x v="4"/>
    <s v="ALMACENAMIENTO, EMBALAJE, DESEMBALAJE, ENVASE, DESENVASE Y RECARGA DE EXTINTORES"/>
    <n v="600.3199999999996"/>
    <n v="535.6"/>
    <n v="0"/>
    <n v="0"/>
    <n v="0"/>
    <n v="0"/>
    <n v="0"/>
    <n v="0"/>
    <n v="0"/>
    <n v="0"/>
    <n v="0"/>
    <n v="0"/>
    <n v="0"/>
    <n v="0"/>
    <n v="0"/>
    <n v="0"/>
    <n v="535.6"/>
    <n v="535.6"/>
    <n v="0"/>
    <n v="0"/>
    <n v="0"/>
    <n v="0"/>
    <n v="0"/>
    <n v="0"/>
    <n v="0"/>
    <n v="0"/>
    <n v="535.6"/>
    <s v="OK"/>
    <n v="535.6"/>
    <n v="0"/>
    <n v="535.6"/>
    <n v="0"/>
  </r>
  <r>
    <s v="CANCELACIÓN POR BRANDEO ADHESIVO PARA LA SALA DE CAPACITACIÓN DEL CENTRO OPERATIVO LOCAL"/>
    <n v="1"/>
    <s v="266 0001"/>
    <x v="0"/>
    <n v="0"/>
    <x v="0"/>
    <n v="2101"/>
    <x v="4"/>
    <n v="1"/>
    <n v="0"/>
    <n v="0"/>
    <s v="CORRIENTE"/>
    <n v="53"/>
    <x v="5"/>
    <s v="EDICIÓN, IMPRESIÓN, REPRODUCCIÓN, PUBLICACIONES, SUSCRIPCIONES, FOTOCOPIADO, TRADUCCIÓN, EMPASTADO, ENMARCACIÓN, SERIGRAFÍA, FOTOGRAFÍA, CARNETIZACIÓN, FILMACIÓN E IMÁGENES SATELITALES"/>
    <n v="300.1599999999998"/>
    <n v="300"/>
    <n v="0"/>
    <n v="0"/>
    <n v="0"/>
    <n v="0"/>
    <n v="0"/>
    <n v="0"/>
    <n v="0"/>
    <n v="0"/>
    <n v="0"/>
    <n v="0"/>
    <n v="0"/>
    <n v="0"/>
    <n v="300"/>
    <n v="300"/>
    <n v="0"/>
    <n v="0"/>
    <n v="0"/>
    <n v="0"/>
    <n v="0"/>
    <n v="0"/>
    <n v="0"/>
    <n v="0"/>
    <n v="0"/>
    <n v="0"/>
    <n v="300"/>
    <s v="OK"/>
    <n v="300"/>
    <n v="0"/>
    <n v="300"/>
    <n v="0"/>
  </r>
  <r>
    <s v="IMPRESIÓN DE TARJETAS PVC, CINTA PARA CREDENCIALES PARA EL PERSONAL DEL CENTRO OPERATIVO LOCAL NUEVA LOJA."/>
    <n v="3"/>
    <s v="266 0001"/>
    <x v="0"/>
    <n v="0"/>
    <x v="0"/>
    <n v="2101"/>
    <x v="4"/>
    <n v="1"/>
    <n v="0"/>
    <n v="0"/>
    <s v="CORRIENTE"/>
    <n v="53"/>
    <x v="5"/>
    <s v="EDICIÓN, IMPRESIÓN, REPRODUCCIÓN, PUBLICACIONES, SUSCRIPCIONES, FOTOCOPIADO, TRADUCCIÓN, EMPASTADO, ENMARCACIÓN, SERIGRAFÍA, FOTOGRAFÍA, CARNETIZACIÓN, FILMACIÓN E IMÁGENES SATELITALES"/>
    <n v="240.8"/>
    <n v="84.15"/>
    <n v="0"/>
    <n v="0"/>
    <n v="0"/>
    <n v="0"/>
    <n v="0"/>
    <n v="0"/>
    <n v="0"/>
    <n v="0"/>
    <n v="0"/>
    <n v="0"/>
    <n v="84.15"/>
    <n v="0"/>
    <n v="0"/>
    <n v="84.15"/>
    <n v="0"/>
    <n v="0"/>
    <n v="0"/>
    <n v="0"/>
    <n v="0"/>
    <n v="0"/>
    <n v="0"/>
    <n v="0"/>
    <n v="0"/>
    <n v="0"/>
    <n v="84.15"/>
    <s v="OK"/>
    <n v="84.15"/>
    <n v="0"/>
    <n v="84.15"/>
    <n v="0"/>
  </r>
  <r>
    <s v="ADQUISICIÓN DE BIENES Y CANCELACIÓN  DE SERVICIOS NO PREVISIBLES, URGENTES Y DE VALOR REDUCIDO (CAJA CHICA)."/>
    <n v="1"/>
    <s v="266 0001"/>
    <x v="0"/>
    <n v="0"/>
    <x v="0"/>
    <n v="2101"/>
    <x v="4"/>
    <n v="1"/>
    <n v="0"/>
    <n v="0"/>
    <s v="CORRIENTE"/>
    <n v="53"/>
    <x v="5"/>
    <s v="EDICIÓN, IMPRESIÓN, REPRODUCCIÓN, PUBLICACIONES, SUSCRIPCIONES, FOTOCOPIADO, TRADUCCIÓN, EMPASTADO, ENMARCACIÓN, SERIGRAFÍA, FOTOGRAFÍA, CARNETIZACIÓN, FILMACIÓN E IMÁGENES SATELITALES"/>
    <n v="150"/>
    <n v="150"/>
    <n v="0"/>
    <n v="0"/>
    <n v="0"/>
    <n v="0"/>
    <n v="0"/>
    <n v="0"/>
    <n v="0"/>
    <n v="0"/>
    <n v="0"/>
    <n v="0"/>
    <n v="35.71"/>
    <n v="0"/>
    <n v="0"/>
    <n v="0"/>
    <n v="44.65"/>
    <n v="0"/>
    <n v="0"/>
    <n v="0"/>
    <n v="69.64"/>
    <n v="95.2"/>
    <n v="0"/>
    <n v="0"/>
    <n v="0"/>
    <n v="54.8"/>
    <n v="150"/>
    <s v="OK"/>
    <n v="150"/>
    <n v="0"/>
    <n v="0"/>
    <n v="150"/>
  </r>
  <r>
    <s v="ADQUISICIÓN DE MATERIAL DE POSICIONAMIENTO E IDENTIDAD DEL ECU 911 PARA EL CENTRO OPERATIVO ECU 911 NUEVA LOJA"/>
    <n v="2"/>
    <s v="266 0001"/>
    <x v="0"/>
    <n v="0"/>
    <x v="0"/>
    <n v="2101"/>
    <x v="4"/>
    <n v="1"/>
    <n v="0"/>
    <n v="0"/>
    <s v="CORRIENTE"/>
    <n v="53"/>
    <x v="5"/>
    <s v="EDICIÓN, IMPRESIÓN, REPRODUCCIÓN, PUBLICACIONES, SUSCRIPCIONES, FOTOCOPIADO, TRADUCCIÓN, EMPASTADO, ENMARCACIÓN, SERIGRAFÍA, FOTOGRAFÍA, CARNETIZACIÓN, FILMACIÓN E IMÁGENES SATELITALES"/>
    <n v="1367.5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CANCELACIÓN POR SPOTS PUBLICITARIOS EN RADIO Y TV STREAMMING Y PLATAFORMAS DIGITALES, PARA DIFUSIÓN DEL MODELO DE GESTIÓN Y BUEN USO DEL 911"/>
    <n v="2"/>
    <s v="266 0001"/>
    <x v="0"/>
    <n v="0"/>
    <x v="0"/>
    <n v="2101"/>
    <x v="4"/>
    <n v="1"/>
    <n v="0"/>
    <n v="0"/>
    <s v="CORRIENTE"/>
    <n v="53"/>
    <x v="6"/>
    <s v="DIFUSIÓN, INFORMACIÓN Y PUBLICIDAD"/>
    <n v="302.3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RRASTRE: CANCELACIÓN  POR EL SERVICIO DE LIMPIEZA DEL CENTRO OPERATIVO LOCAL ECU 911 DICIEMBRE DEL 2021"/>
    <n v="1"/>
    <s v="266 0001"/>
    <x v="0"/>
    <n v="0"/>
    <x v="0"/>
    <n v="2101"/>
    <x v="4"/>
    <n v="1"/>
    <n v="0"/>
    <n v="0"/>
    <s v="CORRIENTE"/>
    <n v="53"/>
    <x v="7"/>
    <s v="SERVICIOS DE ASEO, LAVADO DE VESTIMENTA DE TRABAJO, FUMIGACIÓN, DESINFECCIÓN, LIMPIEZA DE INSTALACIONES, MANEJO DE DESECHOS CONTAMINADOS, RECUPERACIÓN Y CLASIFICACIÓN DE MATERIALES RECICLABLES"/>
    <n v="3821.4399999999996"/>
    <n v="3410.76"/>
    <n v="3410.76"/>
    <n v="3410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0.76"/>
    <s v="OK"/>
    <n v="3410.76"/>
    <n v="0"/>
    <n v="3410.76"/>
    <n v="0"/>
  </r>
  <r>
    <s v="CONTRATACIÓN  DEL SERVICIO DE LIMPIEZA PARA EL CENTRO OPERATIVO LOCAL ECU 911 PERIODO 2022 SE PAGA A MES VENCIDO"/>
    <n v="1"/>
    <s v="266 0001"/>
    <x v="0"/>
    <n v="0"/>
    <x v="0"/>
    <n v="2101"/>
    <x v="4"/>
    <n v="1"/>
    <n v="0"/>
    <n v="0"/>
    <s v="CORRIENTE"/>
    <n v="53"/>
    <x v="7"/>
    <s v="SERVICIOS DE ASEO, LAVADO DE VESTIMENTA DE TRABAJO, FUMIGACIÓN, DESINFECCIÓN, LIMPIEZA DE INSTALACIONES, MANEJO DE DESECHOS CONTAMINADOS, RECUPERACIÓN Y CLASIFICACIÓN DE MATERIALES RECICLABLES"/>
    <n v="25011.84"/>
    <n v="37518.35999999999"/>
    <n v="0"/>
    <n v="0"/>
    <n v="3722"/>
    <n v="3410.76"/>
    <n v="3722"/>
    <n v="3410.76"/>
    <n v="3722"/>
    <n v="3410.76"/>
    <n v="3722"/>
    <n v="3410.76"/>
    <n v="3722"/>
    <n v="3410.76"/>
    <n v="3722"/>
    <n v="3410.76"/>
    <n v="3207.81"/>
    <n v="3410.76"/>
    <n v="3207.81"/>
    <n v="3410.76"/>
    <n v="3207.81"/>
    <n v="3410.76"/>
    <n v="3207.81"/>
    <n v="3410.76"/>
    <n v="2355.119999999988"/>
    <n v="3410.76"/>
    <n v="37518.35999999999"/>
    <s v="OK"/>
    <n v="37518.360000000015"/>
    <n v="-1.6370904631912708E-11"/>
    <n v="37518.36"/>
    <n v="0"/>
  </r>
  <r>
    <s v="PROVISIÓN PARA  MOVILIZACIONES TERRESTRES DE FUNCIONARIOS DEL ECU 911  POR ACTIVIDADES INSTITUCIONALES AÑO 2022"/>
    <n v="1"/>
    <s v="266 0001"/>
    <x v="0"/>
    <n v="0"/>
    <x v="0"/>
    <n v="2101"/>
    <x v="4"/>
    <n v="1"/>
    <n v="0"/>
    <n v="0"/>
    <s v="CORRIENTE"/>
    <n v="53"/>
    <x v="8"/>
    <s v="PASAJES AL INTERIOR"/>
    <n v="100"/>
    <n v="50"/>
    <n v="0"/>
    <n v="0"/>
    <n v="0"/>
    <n v="0"/>
    <n v="0"/>
    <n v="0"/>
    <n v="25"/>
    <n v="0"/>
    <n v="0"/>
    <n v="0"/>
    <n v="25"/>
    <n v="0"/>
    <n v="0"/>
    <n v="0"/>
    <n v="0"/>
    <n v="0"/>
    <n v="0"/>
    <n v="0"/>
    <n v="0"/>
    <n v="0"/>
    <n v="0"/>
    <n v="0"/>
    <n v="0"/>
    <n v="0"/>
    <n v="50"/>
    <s v="OK"/>
    <n v="0"/>
    <n v="50"/>
    <n v="50"/>
    <n v="0"/>
  </r>
  <r>
    <s v="PROVISIÓN PARA ALIMENTACIÓN Y ESTADÍA DE LOS FUNCIONARIOS DEL CENTRO OPERATIVO LOCAL ECU 911 CUANDO SALEN A CUMPLIR COMISIÓN DE SERVICIOS FUERA DE SU LUGAR HABITUAL DE TRABAJO AÑO 2022"/>
    <n v="1"/>
    <s v="266 0001"/>
    <x v="0"/>
    <n v="0"/>
    <x v="0"/>
    <n v="2101"/>
    <x v="4"/>
    <n v="1"/>
    <n v="0"/>
    <n v="0"/>
    <s v="CORRIENTE"/>
    <n v="53"/>
    <x v="9"/>
    <s v="VIÁTICOS Y SUBSISTENCIAS EN EL INTERIOR"/>
    <n v="1500"/>
    <n v="3406.1800000000003"/>
    <n v="0"/>
    <n v="0"/>
    <n v="0"/>
    <n v="0"/>
    <n v="150"/>
    <n v="224.4"/>
    <n v="150"/>
    <n v="281.4"/>
    <n v="150"/>
    <n v="559.59"/>
    <n v="150"/>
    <n v="335.09"/>
    <n v="150"/>
    <n v="0"/>
    <n v="150"/>
    <n v="395.83"/>
    <n v="150"/>
    <n v="411.87"/>
    <n v="150"/>
    <n v="598"/>
    <n v="2206.1800000000003"/>
    <n v="240"/>
    <n v="0"/>
    <n v="184"/>
    <n v="3406.1800000000003"/>
    <s v="OK"/>
    <n v="3230.18"/>
    <n v="176.00000000000045"/>
    <n v="3406.1800000000003"/>
    <n v="0"/>
  </r>
  <r>
    <s v="CONTRATACIÓN PARA MANTENIMIENTO DE INFRAESTRUCTURA DEL CENTRO OPERATIVO LOCAL ECU 911 NUEVA LOJA PARA EL 2022"/>
    <n v="1"/>
    <s v="266 0001"/>
    <x v="0"/>
    <n v="0"/>
    <x v="0"/>
    <n v="2101"/>
    <x v="4"/>
    <n v="1"/>
    <n v="0"/>
    <n v="0"/>
    <s v="CORRIENTE"/>
    <n v="53"/>
    <x v="10"/>
    <s v="EDIFICIOS, LOCALES, RESIDENCIAS Y CABLEADO ESTRUCTURADO (INSTALACIÓN, MANTENIMIENTO Y REPARACIÓN)"/>
    <n v="3300.6399999999985"/>
    <n v="6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1"/>
    <n v="0"/>
    <n v="0"/>
    <n v="6001"/>
    <n v="6001"/>
    <s v="OK"/>
    <n v="6001"/>
    <n v="0"/>
    <n v="6001"/>
    <n v="0"/>
  </r>
  <r>
    <s v="CONTRATACIÓN DEL SERVICIO DE MANTENIMIENTO Y REPARACIÓN DE MOBILIARIO DEL CENTRO AÑO 2022"/>
    <n v="1"/>
    <s v="266 0001"/>
    <x v="0"/>
    <n v="0"/>
    <x v="0"/>
    <n v="2101"/>
    <x v="4"/>
    <n v="1"/>
    <n v="0"/>
    <n v="0"/>
    <s v="CORRIENTE"/>
    <n v="53"/>
    <x v="11"/>
    <s v="MOBILIARIOS (INSTALACIÓN, MANTENIMIENTO Y REPARACIÓN)"/>
    <n v="1000.1599999999996"/>
    <n v="999.25"/>
    <n v="0"/>
    <n v="0"/>
    <n v="0"/>
    <n v="0"/>
    <n v="0"/>
    <n v="0"/>
    <n v="0"/>
    <n v="0"/>
    <n v="0"/>
    <n v="0"/>
    <n v="0"/>
    <n v="0"/>
    <n v="0"/>
    <n v="0"/>
    <n v="0"/>
    <n v="0"/>
    <n v="999.25"/>
    <n v="999.25"/>
    <n v="0"/>
    <n v="0"/>
    <n v="0"/>
    <n v="0"/>
    <n v="0"/>
    <n v="0"/>
    <n v="999.25"/>
    <s v="OK"/>
    <n v="999.25"/>
    <n v="0"/>
    <n v="999.25"/>
    <n v="0"/>
  </r>
  <r>
    <s v=" CONTRATACIÓN SERVICIO DE MANTENIMIENTO RELOJ BIOMÉTRICO "/>
    <n v="1"/>
    <s v="266 0001"/>
    <x v="0"/>
    <n v="0"/>
    <x v="0"/>
    <n v="2101"/>
    <x v="4"/>
    <n v="1"/>
    <n v="0"/>
    <n v="0"/>
    <s v="CORRIENTE"/>
    <n v="53"/>
    <x v="12"/>
    <s v="MAQUINARIAS Y EQUIPOS (INSTALACIÓN, MANTENIMIENTO Y REPARACIÓN)"/>
    <n v="350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0"/>
    <m/>
    <n v="0"/>
    <n v="280"/>
    <n v="0"/>
    <n v="0"/>
    <n v="280"/>
    <n v="-280"/>
    <n v="280"/>
    <n v="0"/>
    <n v="280"/>
    <n v="-280"/>
  </r>
  <r>
    <s v="CONTRATACIÓN DEL SERVICIO DE MANTENIMIENTO PREVENTIVO Y CORRECTIVO DE ELECTRODOMÉSTICOS DEL CENTRO OPERATIVO LOCAL ECU 911 NUEVA LOJA"/>
    <n v="3"/>
    <s v="266 0001"/>
    <x v="0"/>
    <n v="0"/>
    <x v="0"/>
    <n v="2101"/>
    <x v="4"/>
    <n v="1"/>
    <n v="0"/>
    <n v="0"/>
    <s v="CORRIENTE"/>
    <n v="53"/>
    <x v="12"/>
    <s v="MAQUINARIAS Y EQUIPOS (INSTALACIÓN, MANTENIMIENTO Y REPARACIÓN)"/>
    <n v="400.9599999999998"/>
    <n v="357"/>
    <n v="0"/>
    <n v="0"/>
    <n v="0"/>
    <n v="0"/>
    <n v="0"/>
    <n v="0"/>
    <n v="0"/>
    <n v="0"/>
    <n v="0"/>
    <n v="0"/>
    <n v="357"/>
    <n v="357"/>
    <n v="0"/>
    <n v="0"/>
    <n v="0"/>
    <n v="0"/>
    <n v="0"/>
    <n v="0"/>
    <n v="0"/>
    <n v="0"/>
    <n v="0"/>
    <n v="0"/>
    <n v="0"/>
    <n v="0"/>
    <n v="357"/>
    <s v="OK"/>
    <n v="357"/>
    <n v="0"/>
    <n v="357"/>
    <n v="0"/>
  </r>
  <r>
    <s v="CONTRATACIÓN DEL SERVICIO DE MANTENIMIENTO PREVENTIVO Y CORRECTIVO DEL ASCENSOR AÑO 2022"/>
    <n v="1"/>
    <s v="266 0001"/>
    <x v="0"/>
    <n v="0"/>
    <x v="0"/>
    <n v="2101"/>
    <x v="4"/>
    <n v="1"/>
    <n v="0"/>
    <n v="0"/>
    <s v="CORRIENTE"/>
    <n v="53"/>
    <x v="12"/>
    <s v="MAQUINARIAS Y EQUIPOS (INSTALACIÓN, MANTENIMIENTO Y REPARACIÓN)"/>
    <n v="2106.72"/>
    <n v="1835.9999999999998"/>
    <n v="0"/>
    <n v="0"/>
    <n v="0"/>
    <n v="0"/>
    <n v="171"/>
    <n v="153"/>
    <n v="171"/>
    <n v="306"/>
    <n v="171"/>
    <n v="153"/>
    <n v="171"/>
    <n v="153"/>
    <n v="171"/>
    <n v="153"/>
    <n v="171"/>
    <n v="153"/>
    <n v="171"/>
    <n v="153"/>
    <n v="171"/>
    <n v="153"/>
    <n v="171"/>
    <n v="153"/>
    <n v="296.9999999999998"/>
    <n v="306"/>
    <n v="1835.9999999999998"/>
    <s v="OK"/>
    <n v="1836"/>
    <n v="0"/>
    <n v="1836"/>
    <n v="0"/>
  </r>
  <r>
    <s v="CANCELACIÓN POR CONTRATACIÓN DE MANO DE OBRA PARA MANTENIMIENTO DE VEHÍCULOS LIVIANOS DEL CENTRO OPERATIVO  ECU 911 PARA GARANTIZAR OPERATIVIDAD"/>
    <n v="1"/>
    <s v="266 0001"/>
    <x v="0"/>
    <n v="0"/>
    <x v="0"/>
    <n v="2101"/>
    <x v="4"/>
    <n v="1"/>
    <n v="0"/>
    <n v="0"/>
    <s v="CORRIENTE"/>
    <n v="53"/>
    <x v="13"/>
    <s v="VEHÍCULOS (SERVICIO PARA MANTENIMIENTO Y REPARACIÓN)"/>
    <n v="1903.9999999999995"/>
    <n v="1666"/>
    <n v="0"/>
    <n v="0"/>
    <n v="0"/>
    <n v="0"/>
    <n v="0"/>
    <n v="0"/>
    <n v="851.44"/>
    <n v="842.44"/>
    <n v="0"/>
    <n v="197"/>
    <n v="0"/>
    <n v="0"/>
    <n v="197"/>
    <n v="100"/>
    <n v="0"/>
    <n v="0"/>
    <n v="226.06"/>
    <n v="362.06"/>
    <n v="0"/>
    <n v="0"/>
    <n v="0"/>
    <n v="52"/>
    <n v="391.5"/>
    <n v="112.5"/>
    <n v="1666"/>
    <s v="OK"/>
    <n v="1666"/>
    <n v="0"/>
    <n v="1666"/>
    <n v="0"/>
  </r>
  <r>
    <s v="ADQUISICIÓN DE BIENES Y PAGO DE SERVICIOS NO PREVISIBLES, URGENTES Y DE VALOR REDUCIDO (CAJA CHICA)"/>
    <n v="1"/>
    <s v="266 0001"/>
    <x v="0"/>
    <n v="0"/>
    <x v="0"/>
    <n v="2101"/>
    <x v="4"/>
    <n v="1"/>
    <n v="0"/>
    <n v="0"/>
    <s v="CORRIENTE"/>
    <n v="53"/>
    <x v="13"/>
    <s v="VEHÍCULOS (SERVICIO PARA MANTENIMIENTO Y REPARACIÓN)"/>
    <n v="100"/>
    <n v="100"/>
    <n v="0"/>
    <n v="0"/>
    <n v="0"/>
    <n v="0"/>
    <n v="0"/>
    <n v="0"/>
    <n v="39.29"/>
    <n v="44"/>
    <n v="0"/>
    <n v="19"/>
    <n v="25.89"/>
    <n v="0"/>
    <n v="0"/>
    <n v="0"/>
    <n v="34.81999999999999"/>
    <n v="27"/>
    <n v="0"/>
    <n v="0"/>
    <n v="0"/>
    <n v="0"/>
    <n v="0"/>
    <n v="0"/>
    <n v="0"/>
    <n v="10"/>
    <n v="100"/>
    <s v="OK"/>
    <n v="100"/>
    <n v="0"/>
    <n v="63"/>
    <n v="37"/>
  </r>
  <r>
    <s v="CANCELACIÓN POR MANTENIMIENTO DE FILMADORA DEL ÁREA DE COMUNICACIÓN SOCIAL"/>
    <n v="1"/>
    <s v="266 0001"/>
    <x v="0"/>
    <n v="0"/>
    <x v="0"/>
    <n v="2101"/>
    <x v="4"/>
    <n v="1"/>
    <n v="0"/>
    <n v="0"/>
    <s v="CORRIENTE"/>
    <n v="53"/>
    <x v="32"/>
    <s v="MANTENIMIENTO Y REPARACIÓN DE EQUIPOS Y SISTEMAS INFORMÁTICOS "/>
    <n v="299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 ADQUISICIÓN DE EQUIPOS DE PROTECCIÓN INDIVIDUAL Y ROPA DE TRABAJO"/>
    <n v="1"/>
    <s v="266 0001"/>
    <x v="0"/>
    <n v="0"/>
    <x v="0"/>
    <n v="2101"/>
    <x v="4"/>
    <n v="1"/>
    <n v="0"/>
    <n v="0"/>
    <s v="CORRIENTE"/>
    <n v="53"/>
    <x v="14"/>
    <s v="VESTUARIO, LENCERÍA, PRENDAS DE PROTECCIÓN Y ACCESORIOS PARA UNIFORMES DEL PERSONAL DE PROTECCIÓN, VIGILANCIA Y SEGURIDAD"/>
    <n v="1990.2399999999996"/>
    <n v="1074.98"/>
    <n v="0"/>
    <n v="0"/>
    <n v="0"/>
    <n v="0"/>
    <n v="0"/>
    <n v="0"/>
    <n v="0"/>
    <n v="0"/>
    <n v="0"/>
    <n v="0"/>
    <n v="0"/>
    <n v="0"/>
    <n v="0"/>
    <n v="0"/>
    <n v="0"/>
    <n v="0"/>
    <n v="1074.98"/>
    <n v="828.75"/>
    <n v="0"/>
    <n v="0"/>
    <n v="0"/>
    <n v="0"/>
    <n v="0"/>
    <n v="246.04"/>
    <n v="1074.98"/>
    <s v="OK"/>
    <n v="1074.79"/>
    <n v="0.19000000000002615"/>
    <n v="1074.98"/>
    <n v="0"/>
  </r>
  <r>
    <s v="ADQUISICIÓN DE COMBUSTIBLES, LUBRICANTES, Y ADITIVOS EN GENERAL PARA MANTENIMIENTO DE LOS VEHÍCULOS DEL CENTRO OPERATIVO ECU 911 AÑO 2022"/>
    <n v="1"/>
    <s v="266 0001"/>
    <x v="0"/>
    <n v="0"/>
    <x v="0"/>
    <n v="2101"/>
    <x v="4"/>
    <n v="1"/>
    <n v="0"/>
    <n v="0"/>
    <s v="CORRIENTE"/>
    <n v="53"/>
    <x v="15"/>
    <s v="COMBUSTIBLES Y LUBRICANTES"/>
    <n v="671.9999999999999"/>
    <n v="504.13"/>
    <n v="0"/>
    <n v="0"/>
    <n v="0"/>
    <n v="0"/>
    <n v="0"/>
    <n v="0"/>
    <n v="207.45"/>
    <n v="111.58"/>
    <n v="0"/>
    <n v="82"/>
    <n v="0"/>
    <n v="0"/>
    <n v="82"/>
    <n v="83.8"/>
    <n v="0"/>
    <n v="0"/>
    <n v="57.46"/>
    <n v="176.29"/>
    <n v="0"/>
    <n v="0"/>
    <n v="0"/>
    <n v="50.46"/>
    <n v="157.22000000000003"/>
    <n v="0"/>
    <n v="504.13"/>
    <s v="OK"/>
    <n v="504.12999999999994"/>
    <n v="2.842170943040401E-14"/>
    <n v="504.13"/>
    <n v="0"/>
  </r>
  <r>
    <s v="ADQUISICIÓN DE COMBUSTIBLES PARA MOVILIZACIÓN DE VEHÍCULOS DEL CENTRO PERIODO 2022"/>
    <n v="1"/>
    <s v="266 0001"/>
    <x v="0"/>
    <n v="0"/>
    <x v="0"/>
    <n v="2101"/>
    <x v="4"/>
    <n v="1"/>
    <n v="0"/>
    <n v="0"/>
    <s v="CORRIENTE"/>
    <n v="53"/>
    <x v="15"/>
    <s v="COMBUSTIBLES Y LUBRICANTES"/>
    <n v="2005.92"/>
    <n v="2005"/>
    <n v="0"/>
    <n v="0"/>
    <n v="0"/>
    <n v="0"/>
    <n v="0"/>
    <n v="300"/>
    <n v="199"/>
    <n v="0"/>
    <n v="199"/>
    <n v="500"/>
    <n v="199"/>
    <n v="446.43"/>
    <n v="199"/>
    <n v="0"/>
    <n v="199"/>
    <n v="0"/>
    <n v="199"/>
    <n v="543.74"/>
    <n v="0"/>
    <n v="0"/>
    <n v="0"/>
    <n v="0"/>
    <n v="811"/>
    <n v="214.82"/>
    <n v="2005"/>
    <s v="OK"/>
    <n v="2004.99"/>
    <n v="0.009999999999934062"/>
    <n v="2005"/>
    <n v="0"/>
  </r>
  <r>
    <s v="REPOSICIÓN DE ADQUISICIÓN DE COMBUSTIBLES EN CUMPLIMIENTO DE COMISIÓN DE SERVICIOS AL INTERIOR DE LOS SERVIDORES DEL CENTRO PERIODO 2022"/>
    <n v="1"/>
    <s v="266 0001"/>
    <x v="0"/>
    <n v="0"/>
    <x v="0"/>
    <n v="2101"/>
    <x v="4"/>
    <n v="1"/>
    <n v="0"/>
    <n v="0"/>
    <s v="CORRIENTE"/>
    <n v="53"/>
    <x v="15"/>
    <s v="COMBUSTIBLES Y LUBRICANTES"/>
    <n v="100"/>
    <n v="100"/>
    <n v="0"/>
    <n v="0"/>
    <n v="0"/>
    <n v="0"/>
    <n v="0"/>
    <n v="53.75"/>
    <n v="0"/>
    <n v="0"/>
    <n v="0"/>
    <n v="0"/>
    <n v="0"/>
    <n v="0"/>
    <n v="25"/>
    <n v="0"/>
    <n v="0"/>
    <n v="12"/>
    <n v="25"/>
    <n v="0"/>
    <n v="0"/>
    <n v="0"/>
    <n v="25"/>
    <n v="0"/>
    <n v="25"/>
    <n v="0"/>
    <n v="100"/>
    <s v="OK"/>
    <n v="65.75"/>
    <n v="34.25"/>
    <n v="100"/>
    <n v="0"/>
  </r>
  <r>
    <s v="ADQUISICIÓN DE COMBUSTIBLES PERIODO 2022 PARA ABASTECIMIENTO DE GENERADORES"/>
    <n v="1"/>
    <s v="266 0001"/>
    <x v="0"/>
    <n v="0"/>
    <x v="0"/>
    <n v="2101"/>
    <x v="4"/>
    <n v="1"/>
    <n v="0"/>
    <n v="0"/>
    <s v="CORRIENTE"/>
    <n v="53"/>
    <x v="15"/>
    <s v="COMBUSTIBLES Y LUBRICANTES"/>
    <n v="500.6399999999998"/>
    <n v="500.6399999999998"/>
    <n v="0"/>
    <n v="0"/>
    <n v="0"/>
    <n v="0"/>
    <n v="0"/>
    <n v="0"/>
    <n v="0"/>
    <n v="0"/>
    <n v="0"/>
    <n v="0"/>
    <n v="0"/>
    <n v="447"/>
    <n v="0"/>
    <n v="0"/>
    <n v="0"/>
    <n v="0"/>
    <n v="500.6399999999998"/>
    <n v="0"/>
    <n v="0"/>
    <n v="0"/>
    <n v="0"/>
    <n v="0"/>
    <n v="0"/>
    <n v="53.64"/>
    <n v="500.6399999999998"/>
    <s v="OK"/>
    <n v="500.64"/>
    <n v="-1.8474111129762605E-13"/>
    <n v="500.64"/>
    <n v="0"/>
  </r>
  <r>
    <s v="ELABORACIÓN DE FORMULARIOS PRE-IMPRESOS Y PRE-NUMERADOS PARA VALES DE CAJA CHICA, INGRESOS Y EGRESOS DE BODEGA, ÓRDENES DE COMBUSTIBLE, ÓRDENES DE MANTENIMIENTO, FORMULARIOS DE PERMISOS DE PERSONAL, SOLICITUD DE MOVILIZACIÓN"/>
    <n v="2"/>
    <s v="266 0001"/>
    <x v="0"/>
    <n v="0"/>
    <x v="0"/>
    <n v="2101"/>
    <x v="4"/>
    <n v="1"/>
    <n v="0"/>
    <n v="0"/>
    <s v="CORRIENTE"/>
    <n v="53"/>
    <x v="16"/>
    <s v="MATERIALES DE OFICINA"/>
    <n v="112"/>
    <n v="51"/>
    <n v="0"/>
    <n v="0"/>
    <n v="0"/>
    <n v="0"/>
    <n v="0"/>
    <n v="0"/>
    <n v="0"/>
    <n v="0"/>
    <n v="0"/>
    <n v="0"/>
    <n v="0"/>
    <n v="51"/>
    <n v="51"/>
    <n v="0"/>
    <n v="0"/>
    <n v="0"/>
    <n v="0"/>
    <n v="0"/>
    <n v="0"/>
    <n v="0"/>
    <n v="0"/>
    <n v="0"/>
    <n v="0"/>
    <n v="0"/>
    <n v="51"/>
    <s v="OK"/>
    <n v="51"/>
    <n v="0"/>
    <n v="51"/>
    <n v="0"/>
  </r>
  <r>
    <s v="ADQUISICIÓN DE MATERIALES DE OFICINA AÑO 2022"/>
    <n v="1"/>
    <s v="266 0001"/>
    <x v="0"/>
    <n v="0"/>
    <x v="0"/>
    <n v="2101"/>
    <x v="4"/>
    <n v="1"/>
    <n v="0"/>
    <n v="0"/>
    <s v="CORRIENTE"/>
    <n v="53"/>
    <x v="16"/>
    <s v="MATERIALES DE OFICINA"/>
    <n v="1500.7999999999993"/>
    <n v="1351.7199999999998"/>
    <n v="0"/>
    <n v="0"/>
    <n v="0"/>
    <n v="0"/>
    <n v="0"/>
    <n v="0"/>
    <n v="0"/>
    <n v="0"/>
    <n v="0"/>
    <n v="0"/>
    <n v="0"/>
    <n v="319.62"/>
    <n v="1351.7199999999998"/>
    <n v="559.5999999999999"/>
    <n v="0"/>
    <n v="0"/>
    <n v="0"/>
    <n v="472.5"/>
    <n v="0"/>
    <n v="0"/>
    <n v="0"/>
    <n v="0"/>
    <n v="0"/>
    <n v="0"/>
    <n v="1351.7199999999998"/>
    <s v="OK"/>
    <n v="1351.7199999999998"/>
    <n v="0"/>
    <n v="1351.72"/>
    <n v="0"/>
  </r>
  <r>
    <s v="ADQUISICIÓN DE CARTULINA MARFIL LISA PARA TOP 3, CAPACITACIONES  Y FECHAS CONMEMORATIVAS."/>
    <n v="2"/>
    <s v="266 0001"/>
    <x v="0"/>
    <n v="0"/>
    <x v="0"/>
    <n v="2101"/>
    <x v="4"/>
    <n v="1"/>
    <n v="0"/>
    <n v="0"/>
    <s v="CORRIENTE"/>
    <n v="53"/>
    <x v="16"/>
    <s v="MATERIALES DE OFICINA"/>
    <n v="120.95999999999995"/>
    <n v="107.91"/>
    <n v="0"/>
    <n v="0"/>
    <n v="0"/>
    <n v="0"/>
    <n v="0"/>
    <n v="0"/>
    <n v="107.91"/>
    <n v="0"/>
    <n v="0"/>
    <n v="107.91"/>
    <n v="0"/>
    <n v="0"/>
    <n v="0"/>
    <n v="0"/>
    <n v="0"/>
    <n v="0"/>
    <n v="0"/>
    <n v="0"/>
    <n v="0"/>
    <n v="0"/>
    <n v="0"/>
    <n v="0"/>
    <n v="0"/>
    <n v="0"/>
    <n v="107.91"/>
    <s v="OK"/>
    <n v="107.91"/>
    <n v="0"/>
    <n v="107.91"/>
    <n v="0"/>
  </r>
  <r>
    <s v="ADQUISICIÓN DE MATERIALES DE ASEO PARA EL CENTRO OPERATIVO LOCAL ECU 911 NUEVA LOJA AÑO 2022"/>
    <n v="1"/>
    <s v="266 0001"/>
    <x v="0"/>
    <n v="0"/>
    <x v="0"/>
    <n v="2101"/>
    <x v="4"/>
    <n v="1"/>
    <n v="0"/>
    <n v="0"/>
    <s v="CORRIENTE"/>
    <n v="53"/>
    <x v="17"/>
    <s v="MATERIALES DE ASEO"/>
    <n v="2000.3199999999993"/>
    <n v="452.07000000000005"/>
    <n v="0"/>
    <n v="0"/>
    <n v="0"/>
    <n v="0"/>
    <n v="0"/>
    <n v="0"/>
    <n v="0"/>
    <n v="0"/>
    <n v="0"/>
    <n v="0"/>
    <n v="0"/>
    <n v="165.68"/>
    <n v="452.07000000000005"/>
    <n v="286.39000000000004"/>
    <n v="0"/>
    <n v="0"/>
    <n v="0"/>
    <n v="0"/>
    <n v="0"/>
    <n v="0"/>
    <n v="0"/>
    <n v="0"/>
    <n v="0"/>
    <n v="0"/>
    <n v="452.07000000000005"/>
    <s v="OK"/>
    <n v="452.07000000000005"/>
    <n v="0"/>
    <n v="452.07"/>
    <n v="0"/>
  </r>
  <r>
    <s v="CANCELACIÓN  POR REPRODUCCIÓN DE REGLAMENTO INTERNO DE HIGIENE Y SEGURIDAD EN EL TRABAJO DE BOLSILLO PARA DISTRIBUIR A LOS SERVIDORES  Y TRABAJADORES DE LA COORDINACIÓN ZONAL 1 SERVICIO INTEGRADO DE SEGURIDAD ECU 911."/>
    <n v="1"/>
    <s v="266 0001"/>
    <x v="0"/>
    <n v="0"/>
    <x v="0"/>
    <n v="2101"/>
    <x v="4"/>
    <n v="1"/>
    <n v="0"/>
    <n v="0"/>
    <s v="CORRIENTE"/>
    <n v="53"/>
    <x v="18"/>
    <s v="MATERIALES DE IMPRESIÓN, FOTOGRAFÍA, REPRODUCCIÓN Y PUBLICACIONES"/>
    <n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SEÑALÉTICA DE SEGURIDAD PARA CENTROS OPERATIVOS LOCAL ECU 911 NUEVA LOJA"/>
    <n v="1"/>
    <s v="266 0001"/>
    <x v="0"/>
    <n v="0"/>
    <x v="0"/>
    <n v="2101"/>
    <x v="4"/>
    <n v="1"/>
    <n v="0"/>
    <n v="0"/>
    <s v="CORRIENTE"/>
    <n v="53"/>
    <x v="18"/>
    <s v="MATERIALES DE IMPRESIÓN, FOTOGRAFÍA, REPRODUCCIÓN Y PUBLICACIONES"/>
    <n v="68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TONERS NEGRO Y DE COLOR PARA IMPRESORAS DEL CENTRO OPERATIVO LOCAL ECU 911 NUEVA LOJA AÑO 2022"/>
    <n v="1"/>
    <s v="266 0001"/>
    <x v="0"/>
    <n v="0"/>
    <x v="0"/>
    <n v="2101"/>
    <x v="4"/>
    <n v="1"/>
    <n v="0"/>
    <n v="0"/>
    <s v="CORRIENTE"/>
    <n v="53"/>
    <x v="18"/>
    <s v="MATERIALES DE IMPRESIÓN, FOTOGRAFÍA, REPRODUCCIÓN Y PUBLICACIONES"/>
    <n v="3000.4799999999996"/>
    <n v="2554.5"/>
    <n v="0"/>
    <n v="0"/>
    <n v="0"/>
    <n v="0"/>
    <n v="0"/>
    <n v="0"/>
    <n v="0"/>
    <n v="0"/>
    <n v="0"/>
    <n v="0"/>
    <n v="0"/>
    <n v="0"/>
    <n v="2076.3199999999993"/>
    <n v="2554.5"/>
    <n v="0"/>
    <n v="0"/>
    <n v="0"/>
    <n v="0"/>
    <n v="0"/>
    <n v="0"/>
    <n v="0"/>
    <n v="0"/>
    <n v="478.18000000000075"/>
    <n v="0"/>
    <n v="2554.5"/>
    <s v="OK"/>
    <n v="2554.5"/>
    <n v="0"/>
    <n v="2554.5"/>
    <n v="0"/>
  </r>
  <r>
    <s v="ADQUISICIÓN DE MATERIALES E INSUMOS PARA MANTENIMIENTO DEL CENTRO OPERATIVO LOCAL"/>
    <n v="2"/>
    <s v="266 0001"/>
    <x v="0"/>
    <n v="0"/>
    <x v="0"/>
    <n v="2101"/>
    <x v="4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1000.15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BIENES Y PAGO DE SERVICIOS NO PREVISIBLES, URGENTES Y DE VALOR REDUCIDO (CAJA CHICA)"/>
    <n v="1"/>
    <s v="266 0001"/>
    <x v="0"/>
    <n v="0"/>
    <x v="0"/>
    <n v="2101"/>
    <x v="4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250"/>
    <n v="249.18"/>
    <n v="0"/>
    <n v="0"/>
    <n v="0"/>
    <n v="0"/>
    <n v="0"/>
    <n v="0"/>
    <n v="36.61"/>
    <n v="41"/>
    <n v="0"/>
    <n v="42.92"/>
    <n v="26.79"/>
    <n v="0"/>
    <n v="0"/>
    <n v="0"/>
    <n v="29.46"/>
    <n v="66.46"/>
    <n v="0"/>
    <n v="0"/>
    <n v="44.64"/>
    <n v="47.5"/>
    <n v="0"/>
    <n v="0"/>
    <n v="112.5"/>
    <n v="51.3"/>
    <n v="250"/>
    <n v="-0.8199999999999932"/>
    <n v="249.18"/>
    <n v="0.8200000000000074"/>
    <n v="83.92"/>
    <n v="165.26"/>
  </r>
  <r>
    <s v="ADQUISICIÓN DE PANEL CON AISLAMIENTO ACÚSTICO PARA GRABACIÓN Y PRODUCCIÓN DE PROGRAMA RADIAL ECU AL DÍA Y OTROS."/>
    <n v="2"/>
    <s v="266 0001"/>
    <x v="0"/>
    <n v="0"/>
    <x v="0"/>
    <n v="2101"/>
    <x v="4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300.15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ADQUISICIÓN DE  MATERIAL DE FERRETERÍA COMO: FLUXÓMETROS, EMPAQUES, SISTEMAS DE DESAGÜE, EMPASTES, PINTURA DE INTERIOR Y EXTERIOR, SILICONAS, SOLVENTES, PINTURA ESMALTE, MATERIAL ELÉCTRICO, TACOS, PERNOS, TUERCAS AÑO 2022"/>
    <n v="1"/>
    <s v="266 0001"/>
    <x v="0"/>
    <n v="0"/>
    <x v="0"/>
    <n v="2101"/>
    <x v="4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2200.8"/>
    <n v="2125.6000000000004"/>
    <n v="0"/>
    <n v="0"/>
    <n v="0"/>
    <n v="0"/>
    <n v="0"/>
    <n v="0"/>
    <n v="0"/>
    <n v="0"/>
    <n v="0"/>
    <n v="0"/>
    <n v="0"/>
    <n v="0"/>
    <n v="2125.6000000000004"/>
    <n v="2125.6"/>
    <n v="0"/>
    <n v="0"/>
    <n v="0"/>
    <n v="0"/>
    <n v="0"/>
    <n v="0"/>
    <n v="0"/>
    <n v="0"/>
    <n v="0"/>
    <n v="0"/>
    <n v="2125.6000000000004"/>
    <s v="OK"/>
    <n v="2125.6"/>
    <n v="4.547473508864641E-13"/>
    <n v="2125.6"/>
    <n v="0"/>
  </r>
  <r>
    <s v="ADQUISICIÓN DE CARPA INFLABLE PARA EL CENTRO OPERATIVO LOCAL ECU 911 NUEVA LOJA"/>
    <n v="2"/>
    <s v="266 0001"/>
    <x v="0"/>
    <n v="0"/>
    <x v="0"/>
    <n v="2101"/>
    <x v="4"/>
    <n v="1"/>
    <n v="0"/>
    <n v="0"/>
    <s v="CORRIENTE"/>
    <n v="53"/>
    <x v="29"/>
    <s v="MAQUINARIAS Y EQUIPOS"/>
    <n v="600.3199999999996"/>
    <n v="530"/>
    <n v="0"/>
    <n v="0"/>
    <n v="0"/>
    <n v="0"/>
    <n v="0"/>
    <n v="0"/>
    <n v="0"/>
    <n v="0"/>
    <n v="0"/>
    <n v="0"/>
    <n v="530"/>
    <n v="0"/>
    <n v="0"/>
    <n v="0"/>
    <n v="0"/>
    <n v="530"/>
    <n v="0"/>
    <n v="0"/>
    <n v="0"/>
    <n v="0"/>
    <n v="0"/>
    <n v="0"/>
    <n v="0"/>
    <n v="0"/>
    <n v="530"/>
    <s v="OK"/>
    <n v="530"/>
    <n v="0"/>
    <n v="530"/>
    <n v="0"/>
  </r>
  <r>
    <s v="ADQUISICIÓN DE REPUESTOS PARA MANTENIMIENTO DE VEHÍCULOS LIVIANOS DEL CENTRO OPERATIVO  ECU 911 POR EL PERÍODO 2022"/>
    <n v="1"/>
    <s v="266 0001"/>
    <x v="0"/>
    <n v="0"/>
    <x v="0"/>
    <n v="2101"/>
    <x v="4"/>
    <n v="1"/>
    <n v="0"/>
    <n v="0"/>
    <s v="CORRIENTE"/>
    <n v="53"/>
    <x v="21"/>
    <s v="REPUESTOS Y ACCESORIOS"/>
    <n v="2934.4"/>
    <n v="2431.78"/>
    <n v="0"/>
    <n v="0"/>
    <n v="0"/>
    <n v="0"/>
    <n v="0"/>
    <n v="0"/>
    <n v="1033.76"/>
    <n v="923.53"/>
    <n v="0"/>
    <n v="450.98"/>
    <n v="0"/>
    <n v="0"/>
    <n v="450.98"/>
    <n v="95.35"/>
    <n v="0"/>
    <n v="0"/>
    <n v="336.91"/>
    <n v="871.16"/>
    <n v="0"/>
    <n v="0"/>
    <n v="0"/>
    <n v="18.12"/>
    <n v="610.1300000000001"/>
    <n v="72.64"/>
    <n v="2431.78"/>
    <s v="OK"/>
    <n v="2431.7799999999997"/>
    <n v="2.1316282072803006E-13"/>
    <n v="2431.78"/>
    <n v="0"/>
  </r>
  <r>
    <s v="ADQUISICIÓN DE REPUESTOS COMO FILTROS DE IMAGEN, MOTOR, CUCHILLAS, RODILLOS, PIÑONES, UÑETAS, COMPONENTES ELECTRÓNICOS INTERNOS DE IMPRESORAS"/>
    <n v="1"/>
    <s v="266 0001"/>
    <x v="0"/>
    <n v="0"/>
    <x v="0"/>
    <n v="2101"/>
    <x v="4"/>
    <n v="1"/>
    <n v="0"/>
    <n v="0"/>
    <s v="CORRIENTE"/>
    <n v="53"/>
    <x v="21"/>
    <s v="REPUESTOS Y ACCESORIOS"/>
    <n v="1000.1599999999996"/>
    <n v="1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0"/>
    <n v="0"/>
    <n v="0"/>
    <n v="1000"/>
    <n v="0"/>
    <n v="0"/>
    <n v="1000"/>
    <s v="OK"/>
    <n v="1000"/>
    <n v="0"/>
    <n v="1000"/>
    <n v="0"/>
  </r>
  <r>
    <s v="ADQUISICIÓN DE BIENES Y PAGO DE SERVICIOS NO PREVISIBLES, URGENTES Y DE VALOR REDUCIDO (CAJA CHICA)"/>
    <n v="1"/>
    <s v="266 0001"/>
    <x v="0"/>
    <n v="0"/>
    <x v="0"/>
    <n v="2101"/>
    <x v="4"/>
    <n v="1"/>
    <n v="0"/>
    <n v="0"/>
    <s v="CORRIENTE"/>
    <n v="53"/>
    <x v="21"/>
    <s v="REPUESTOS Y ACCESORIOS"/>
    <n v="100"/>
    <n v="97.92"/>
    <n v="0"/>
    <n v="0"/>
    <n v="0"/>
    <n v="0"/>
    <n v="0"/>
    <n v="0"/>
    <n v="17.86"/>
    <n v="15.92"/>
    <n v="0"/>
    <n v="40"/>
    <n v="0"/>
    <n v="0"/>
    <n v="0"/>
    <n v="0"/>
    <n v="26.78"/>
    <n v="42"/>
    <n v="0"/>
    <n v="0"/>
    <n v="26.78"/>
    <n v="0"/>
    <n v="0"/>
    <n v="0"/>
    <n v="28.58"/>
    <n v="0"/>
    <n v="100"/>
    <n v="-2.0799999999999983"/>
    <n v="97.92"/>
    <n v="2.0799999999999983"/>
    <n v="55.92"/>
    <n v="42"/>
  </r>
  <r>
    <s v="ADQUISICIÓN DE LLANTAS PARAS LOS VEHÍCULOS DEL CENTRO OPERATIVO LOCAL ECU 911 NUEVA LOJA  EU 911  AÑO 2022"/>
    <n v="1"/>
    <s v="266 0001"/>
    <x v="0"/>
    <n v="0"/>
    <x v="0"/>
    <n v="2101"/>
    <x v="4"/>
    <n v="1"/>
    <n v="0"/>
    <n v="0"/>
    <s v="CORRIENTE"/>
    <n v="53"/>
    <x v="21"/>
    <s v="REPUESTOS Y ACCESORIOS"/>
    <n v="1500.7999999999993"/>
    <n v="1128.8"/>
    <n v="0"/>
    <n v="0"/>
    <n v="0"/>
    <n v="0"/>
    <n v="0"/>
    <n v="0"/>
    <n v="0"/>
    <n v="0"/>
    <n v="1128.8"/>
    <n v="1128.8"/>
    <n v="0"/>
    <n v="0"/>
    <n v="0"/>
    <n v="0"/>
    <n v="0"/>
    <n v="0"/>
    <n v="0"/>
    <n v="0"/>
    <n v="0"/>
    <n v="0"/>
    <n v="0"/>
    <n v="0"/>
    <n v="0"/>
    <n v="0"/>
    <n v="1128.8"/>
    <s v="OK"/>
    <n v="1128.8"/>
    <n v="0"/>
    <n v="1128.8"/>
    <n v="0"/>
  </r>
  <r>
    <s v="ADQUISICIÓN DE MENAJE DE HOGAR (PLATOS, CUCHARAS, VASOS, ENTRE OTROS)"/>
    <n v="3"/>
    <s v="266 0001"/>
    <x v="0"/>
    <n v="0"/>
    <x v="0"/>
    <n v="2101"/>
    <x v="4"/>
    <n v="1"/>
    <n v="0"/>
    <n v="0"/>
    <s v="CORRIENTE"/>
    <n v="53"/>
    <x v="22"/>
    <s v="MENAJE Y ACCESORIOS DESCARTABLES"/>
    <n v="500.6399999999998"/>
    <n v="319.04999999999995"/>
    <n v="0"/>
    <n v="0"/>
    <n v="0"/>
    <n v="0"/>
    <n v="0"/>
    <n v="0"/>
    <n v="0"/>
    <n v="0"/>
    <n v="0"/>
    <n v="0"/>
    <n v="0"/>
    <n v="0"/>
    <n v="0"/>
    <n v="0"/>
    <n v="0"/>
    <n v="0"/>
    <n v="319.04999999999995"/>
    <n v="319.05"/>
    <n v="0"/>
    <n v="0"/>
    <n v="0"/>
    <n v="0"/>
    <n v="0"/>
    <n v="0"/>
    <n v="319.04999999999995"/>
    <s v="OK"/>
    <n v="319.05"/>
    <n v="-5.684341886080802E-14"/>
    <n v="319.05"/>
    <n v="0"/>
  </r>
  <r>
    <s v="ADQUISICIÓN DE MASCARILLA QUIRÚRGICA 3 CAPAS ELÁSTICO TAMAÑO ESTÁNDAR "/>
    <n v="1"/>
    <s v="266 0001"/>
    <x v="0"/>
    <n v="0"/>
    <x v="0"/>
    <n v="2101"/>
    <x v="4"/>
    <n v="1"/>
    <n v="0"/>
    <n v="0"/>
    <s v="CORRIENTE"/>
    <n v="53"/>
    <x v="24"/>
    <s v="DISPOSITIVOS MÉDICOS DE USO GENERAL"/>
    <n v="537.6"/>
    <n v="287.3"/>
    <n v="0"/>
    <n v="0"/>
    <n v="0"/>
    <n v="0"/>
    <n v="287.3"/>
    <n v="287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7.3"/>
    <s v="OK"/>
    <n v="287.3"/>
    <n v="0"/>
    <n v="287.3"/>
    <n v="0"/>
  </r>
  <r>
    <s v="MATRICULACIÓN Y REVISIÓN VEHICULAR DE LOS VEHÍCULOS DEL CENTRO OPERATIVO LOCAL ECU 911 NUEVA LOJA AÑO 2022"/>
    <n v="1"/>
    <s v="266 0001"/>
    <x v="0"/>
    <n v="0"/>
    <x v="0"/>
    <n v="2101"/>
    <x v="4"/>
    <n v="1"/>
    <n v="0"/>
    <n v="0"/>
    <s v="CORRIENTE"/>
    <n v="57"/>
    <x v="27"/>
    <s v="TASAS GENERALES, IMPUESTOS, CONTRIBUCIONES, PERMISOS, LICENCIAS Y PATENTES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CANCELACIÓN DEL PERMISO DE FUNCIONAMIENTO DEL CUERPO DE BOMBEROS AÑO 2022"/>
    <n v="1"/>
    <s v="266 0001"/>
    <x v="0"/>
    <n v="0"/>
    <x v="0"/>
    <n v="2101"/>
    <x v="4"/>
    <n v="1"/>
    <n v="0"/>
    <n v="0"/>
    <s v="CORRIENTE"/>
    <n v="57"/>
    <x v="27"/>
    <s v="TASAS GENERALES, IMPUESTOS, CONTRIBUCIONES, PERMISOS, LICENCIAS Y PATENTES"/>
    <n v="500"/>
    <n v="500"/>
    <n v="0"/>
    <n v="0"/>
    <n v="0"/>
    <n v="0"/>
    <n v="50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s v="OK"/>
    <n v="500"/>
    <n v="0"/>
    <n v="500"/>
    <n v="0"/>
  </r>
  <r>
    <s v="CANCELACIÓN POR TASA DE MEJORAS EN EL MUNICIPIO AÑO 2022"/>
    <n v="1"/>
    <s v="266 0001"/>
    <x v="0"/>
    <n v="0"/>
    <x v="0"/>
    <n v="2101"/>
    <x v="4"/>
    <n v="1"/>
    <n v="0"/>
    <n v="0"/>
    <s v="CORRIENTE"/>
    <n v="57"/>
    <x v="27"/>
    <s v="TASAS GENERALES, IMPUESTOS, CONTRIBUCIONES, PERMISOS, LICENCIAS Y PATENTES"/>
    <n v="500"/>
    <n v="483.3"/>
    <n v="0"/>
    <n v="0"/>
    <n v="0"/>
    <n v="483.3"/>
    <n v="483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.3"/>
    <s v="OK"/>
    <n v="483.3"/>
    <n v="0"/>
    <n v="483.3"/>
    <n v="0"/>
  </r>
  <r>
    <s v="ADQUISICIÓN DE BIENES Y PAGO DE SERVICIOS NO PREVISIBLES, URGENTES Y DE VALOR REDUCIDO (CAJA CHICA)"/>
    <n v="1"/>
    <s v="266 0001"/>
    <x v="0"/>
    <n v="0"/>
    <x v="0"/>
    <n v="2101"/>
    <x v="4"/>
    <n v="1"/>
    <n v="0"/>
    <n v="0"/>
    <s v="CORRIENTE"/>
    <n v="57"/>
    <x v="27"/>
    <s v="TASAS GENERALES, IMPUESTOS, CONTRIBUCIONES, PERMISOS, LICENCIAS Y PATENTES"/>
    <n v="150"/>
    <n v="113.66"/>
    <n v="0"/>
    <n v="0"/>
    <n v="0"/>
    <n v="0"/>
    <n v="0"/>
    <n v="0"/>
    <n v="40.18"/>
    <n v="49.08"/>
    <n v="0"/>
    <n v="54.08"/>
    <n v="40.18"/>
    <n v="0"/>
    <n v="0"/>
    <n v="0"/>
    <n v="0"/>
    <n v="10.5"/>
    <n v="0"/>
    <n v="0"/>
    <n v="0"/>
    <n v="0"/>
    <n v="0"/>
    <n v="0"/>
    <n v="69.64"/>
    <n v="0"/>
    <n v="150"/>
    <n v="-36.34"/>
    <n v="113.66"/>
    <n v="36.34"/>
    <n v="103.16"/>
    <n v="10.5"/>
  </r>
  <r>
    <s v="ARRASTRE: CANCELACIÓN POR DE SERVICIOS DE TELECOMUNICACIONES CORRESPONDIENTE A DICIEMBRE DEL 2021"/>
    <n v="1"/>
    <s v="266 0001"/>
    <x v="1"/>
    <n v="0"/>
    <x v="1"/>
    <n v="2101"/>
    <x v="4"/>
    <n v="1"/>
    <n v="0"/>
    <n v="0"/>
    <s v="CORRIENTE"/>
    <n v="53"/>
    <x v="28"/>
    <s v="TELECOMUNICACIONES"/>
    <n v="13100.639999999994"/>
    <n v="6858.139999999999"/>
    <n v="6858.139999999999"/>
    <n v="6858.1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58.139999999999"/>
    <s v="OK"/>
    <n v="6858.139999999999"/>
    <n v="0"/>
    <n v="6858.14"/>
    <n v="0"/>
  </r>
  <r>
    <s v="CONTRATACIÓN DE SERVICIOS DE TELECOMUNICACIONES CORRESPONDIENTE AL CONTRATO ENERO-DICIEMBRE 2021"/>
    <n v="1"/>
    <s v="266 0001"/>
    <x v="1"/>
    <n v="0"/>
    <x v="1"/>
    <n v="2101"/>
    <x v="4"/>
    <n v="1"/>
    <n v="0"/>
    <n v="0"/>
    <s v="CORRIENTE"/>
    <n v="53"/>
    <x v="28"/>
    <s v="TELECOMUNICACIONES"/>
    <n v="107430.39999999995"/>
    <n v="84890.50999999998"/>
    <n v="0"/>
    <n v="0"/>
    <n v="8719.999999999998"/>
    <n v="6864.26"/>
    <n v="8719.999999999998"/>
    <n v="6843.6"/>
    <n v="8719.999999999998"/>
    <n v="6850.45"/>
    <n v="8719.999999999998"/>
    <n v="7283.53"/>
    <n v="8719.999999999998"/>
    <n v="7240.59"/>
    <n v="8719.999999999998"/>
    <n v="7277.19"/>
    <n v="8719.999999999998"/>
    <n v="7285.23"/>
    <n v="8719.999999999998"/>
    <n v="7239.39"/>
    <n v="8719.999999999998"/>
    <n v="7288.23"/>
    <n v="7215.059999999998"/>
    <n v="7229.39"/>
    <n v="0"/>
    <n v="7189.83"/>
    <n v="85695.05999999998"/>
    <n v="-804.5500000000029"/>
    <n v="78591.69"/>
    <n v="7103.369999999979"/>
    <n v="85695.06"/>
    <n v="-804.5500000000175"/>
  </r>
  <r>
    <s v=" ADQUISICIÓN DE MATERIALES E INSUMOS PARA MANTENIMIENTOS E INSTALACIONES TECNOLÓGICAS DEL CENTRO"/>
    <n v="2"/>
    <s v="266 0001"/>
    <x v="1"/>
    <n v="0"/>
    <x v="1"/>
    <n v="2101"/>
    <x v="4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1500.7999999999993"/>
    <n v="791.72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1.7299999999998"/>
    <n v="791.73"/>
    <n v="0"/>
    <n v="0"/>
    <n v="0"/>
    <n v="0"/>
    <n v="791.7299999999998"/>
    <s v="OK"/>
    <n v="791.73"/>
    <n v="-2.2737367544323206E-13"/>
    <n v="791.73"/>
    <n v="0"/>
  </r>
  <r>
    <s v="ADQUISICIÓN DE BIENES Y PAGO DE SERVICIOS NO PREVISIBLES, URGENTES Y DE VALOR REDUCIDO (CAJA CHICA)."/>
    <n v="2"/>
    <s v="266 0001"/>
    <x v="1"/>
    <n v="0"/>
    <x v="1"/>
    <n v="2101"/>
    <x v="4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300"/>
    <n v="284.9"/>
    <n v="0"/>
    <n v="0"/>
    <n v="0"/>
    <n v="0"/>
    <n v="0"/>
    <n v="0"/>
    <n v="44.64"/>
    <n v="50"/>
    <n v="0"/>
    <n v="44"/>
    <n v="50"/>
    <n v="0"/>
    <n v="0"/>
    <n v="0"/>
    <n v="53.57"/>
    <n v="50"/>
    <n v="0"/>
    <n v="0"/>
    <n v="53.57"/>
    <n v="57"/>
    <n v="0"/>
    <n v="0"/>
    <n v="98.22"/>
    <n v="83.9"/>
    <n v="300"/>
    <n v="-15.100000000000023"/>
    <n v="284.9"/>
    <n v="15.099999999999994"/>
    <n v="94"/>
    <n v="190.89999999999998"/>
  </r>
  <r>
    <s v=" ADQUISICIÓN DE REPUESTOS Y ACCESORIOS TECNOLÓGICOS PARA MAQUINARIAS, PLANTAS ELÉCTRICAS, EQUIPOS Y OTROS"/>
    <n v="2"/>
    <s v="266 0001"/>
    <x v="1"/>
    <n v="0"/>
    <x v="1"/>
    <n v="2101"/>
    <x v="4"/>
    <n v="1"/>
    <n v="0"/>
    <n v="0"/>
    <s v="CORRIENTE"/>
    <n v="53"/>
    <x v="21"/>
    <s v="REPUESTOS Y ACCESORIOS"/>
    <n v="5400.64"/>
    <n v="6995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33.26"/>
    <n v="3671.26"/>
    <n v="0"/>
    <n v="0"/>
    <n v="0"/>
    <n v="3324.49"/>
    <n v="7233.26"/>
    <n v="-237.51000000000022"/>
    <n v="6995.75"/>
    <n v="237.51000000000022"/>
    <n v="6995.75"/>
    <n v="0"/>
  </r>
  <r>
    <s v="ADQUISICIÓN DE EQUIPOS TECNOLÓGICOS PARA LOS CENTROS OPERATIVOS ECU911 IBARRA, ESMERALDAS, NUEVA LOJA Y TULCÁN"/>
    <n v="1"/>
    <s v="266 0001"/>
    <x v="1"/>
    <n v="0"/>
    <x v="1"/>
    <n v="2101"/>
    <x v="4"/>
    <n v="1"/>
    <n v="0"/>
    <n v="0"/>
    <s v="CORRIENTE"/>
    <n v="53"/>
    <x v="29"/>
    <s v="MAQUINARIAS Y EQUIPOS"/>
    <n v="0"/>
    <n v="1970"/>
    <n v="0"/>
    <n v="0"/>
    <n v="0"/>
    <n v="0"/>
    <n v="1970"/>
    <n v="19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70"/>
    <s v="OK"/>
    <n v="1970"/>
    <n v="0"/>
    <n v="1970"/>
    <n v="0"/>
  </r>
  <r>
    <s v="ADQUISICIÓN DE EQUIPOS TECNOLÓGICOS PARA LOS CENTROS OPERATIVOS ECU911 IBARRA, ESMERALDAS, NUEVA LOJA Y TULCÁN"/>
    <n v="1"/>
    <s v="266 0001"/>
    <x v="1"/>
    <n v="0"/>
    <x v="1"/>
    <n v="2101"/>
    <x v="4"/>
    <n v="1"/>
    <n v="0"/>
    <n v="0"/>
    <s v="CORRIENTE"/>
    <n v="53"/>
    <x v="30"/>
    <s v="EQUIPOS, SISTEMAS Y PAQUETES INFORMÁTICOS"/>
    <n v="0"/>
    <n v="529"/>
    <n v="0"/>
    <n v="0"/>
    <n v="0"/>
    <n v="0"/>
    <n v="529"/>
    <n v="5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"/>
    <s v="OK"/>
    <n v="529"/>
    <n v="0"/>
    <n v="529"/>
    <n v="0"/>
  </r>
  <r>
    <s v="ADQUISICIÓN DE SEÑALÉTICA DE SEGURIDAD PARA CENTROS OPERATIVOS LOCAL ECU 911 NUEVA LOJA"/>
    <n v="1"/>
    <s v="266 0001"/>
    <x v="0"/>
    <n v="0"/>
    <x v="0"/>
    <n v="2101"/>
    <x v="4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0.96"/>
    <n v="0"/>
    <n v="680.96"/>
    <n v="-680.96"/>
    <n v="0"/>
    <n v="680.96"/>
    <n v="0"/>
    <n v="0"/>
  </r>
  <r>
    <s v="ADQUISICIÓN DE TARJETAS PVC, CINTA PARA CREDENCIALES Y PORTA CREDENCIALES PARA EL PERSONAL DEL CENTRO OPERATIVO LOCAL NUEVA LOJA."/>
    <n v="1"/>
    <s v="266 0001"/>
    <x v="0"/>
    <n v="0"/>
    <x v="0"/>
    <n v="2101"/>
    <x v="4"/>
    <n v="1"/>
    <n v="0"/>
    <n v="0"/>
    <s v="CORRIENTE"/>
    <n v="53"/>
    <x v="16"/>
    <s v="MATERIALES DE OFICINA"/>
    <n v="0"/>
    <n v="116.28"/>
    <n v="0"/>
    <n v="0"/>
    <n v="0"/>
    <n v="0"/>
    <n v="0"/>
    <n v="0"/>
    <n v="0"/>
    <n v="0"/>
    <n v="0"/>
    <n v="0"/>
    <n v="116.28"/>
    <n v="0"/>
    <n v="0"/>
    <n v="116.28"/>
    <n v="0"/>
    <n v="0"/>
    <n v="0"/>
    <n v="0"/>
    <n v="0"/>
    <n v="0"/>
    <n v="0"/>
    <n v="0"/>
    <n v="0"/>
    <n v="0"/>
    <n v="116.28"/>
    <s v="OK"/>
    <n v="116.28"/>
    <n v="0"/>
    <n v="116.28"/>
    <n v="0"/>
  </r>
  <r>
    <s v="CONTRATACIÓN DEL SERVICIO DE EMISIÓN DE PASAJES AÉREOS NACIONALES PARA EL CENTRO OPERATIVO LOCAL ECU 911 LAGO AGRIO"/>
    <n v="1"/>
    <s v="266 0001"/>
    <x v="0"/>
    <n v="0"/>
    <x v="0"/>
    <n v="2101"/>
    <x v="4"/>
    <n v="1"/>
    <n v="0"/>
    <n v="0"/>
    <s v="CORRIENTE"/>
    <n v="53"/>
    <x v="8"/>
    <s v="PASAJES AL INTERIO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K"/>
    <n v="0"/>
    <n v="0"/>
    <n v="0"/>
    <n v="0"/>
  </r>
  <r>
    <s v="CONTRATACION DEL SERVICIO DE MANO DE OBRA PARA LA REPARACION DEL VEHICULO POR SINIESTRO"/>
    <n v="1"/>
    <s v="266 0001"/>
    <x v="0"/>
    <n v="0"/>
    <x v="0"/>
    <n v="2101"/>
    <x v="4"/>
    <n v="1"/>
    <n v="0"/>
    <n v="0"/>
    <s v="CORRIENTE"/>
    <n v="53"/>
    <x v="13"/>
    <s v="VEHÍCULOS (SERVICIO PARA MANTENIMIENTO Y REPARACIÓN)"/>
    <n v="0"/>
    <n v="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6.77"/>
    <n v="305"/>
    <n v="306.77"/>
    <n v="-1.7699999999999818"/>
    <n v="305"/>
    <n v="1.7699999999999818"/>
    <n v="305"/>
    <n v="0"/>
  </r>
  <r>
    <s v="ADQUISICIÓN DE MINI STAND PORTABLE (EXHIBIDOR DE PLÁSTICO) PARA LOS CENTROS OPERATIVOS QUE CONFORMAN LA COORDINACIÓN ZONAL 1 DEL SERVICIO INTEGRADO DE SEGURIDAD."/>
    <n v="1"/>
    <s v="266 0001"/>
    <x v="0"/>
    <n v="0"/>
    <x v="0"/>
    <n v="2101"/>
    <x v="4"/>
    <n v="1"/>
    <n v="0"/>
    <n v="0"/>
    <s v="CORRIENTE"/>
    <n v="53"/>
    <x v="25"/>
    <s v="MOBILIARIO"/>
    <n v="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"/>
    <n v="0"/>
    <n v="230"/>
    <n v="-80"/>
    <n v="0"/>
    <n v="230"/>
    <n v="150"/>
    <n v="0"/>
  </r>
  <r>
    <s v=" ADQUISICIÓN DE EQUIPOS DE PROTECCIÓN INDIVIDUAL Y ROPA DE TRABAJO"/>
    <n v="1"/>
    <s v="266 0001"/>
    <x v="0"/>
    <n v="0"/>
    <x v="0"/>
    <n v="2101"/>
    <x v="4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0"/>
    <n v="60"/>
    <n v="0"/>
    <n v="0"/>
    <n v="0"/>
    <n v="0"/>
    <n v="0"/>
    <n v="0"/>
    <n v="0"/>
    <n v="0"/>
    <n v="0"/>
    <n v="0"/>
    <n v="0"/>
    <n v="0"/>
    <n v="0"/>
    <n v="0"/>
    <n v="0"/>
    <n v="0"/>
    <n v="60"/>
    <n v="60"/>
    <n v="0"/>
    <n v="0"/>
    <n v="0"/>
    <n v="0"/>
    <n v="0"/>
    <n v="0"/>
    <n v="60"/>
    <s v="OK"/>
    <n v="60"/>
    <n v="0"/>
    <n v="60"/>
    <n v="0"/>
  </r>
  <r>
    <s v=" ADQUISICIÓN DE EQUIPOS DE PROTECCIÓN INDIVIDUAL Y ROPA DE TRABAJO"/>
    <n v="1"/>
    <s v="266 0001"/>
    <x v="0"/>
    <n v="0"/>
    <x v="0"/>
    <n v="2101"/>
    <x v="4"/>
    <n v="1"/>
    <n v="0"/>
    <n v="0"/>
    <s v="CORRIENTE"/>
    <n v="53"/>
    <x v="21"/>
    <s v="REPUESTOS Y ACCESORIOS"/>
    <n v="0"/>
    <n v="30"/>
    <n v="0"/>
    <n v="0"/>
    <n v="0"/>
    <n v="0"/>
    <n v="0"/>
    <n v="0"/>
    <n v="0"/>
    <n v="0"/>
    <n v="0"/>
    <n v="0"/>
    <n v="0"/>
    <n v="0"/>
    <n v="0"/>
    <n v="0"/>
    <n v="0"/>
    <n v="0"/>
    <n v="30"/>
    <n v="30"/>
    <n v="0"/>
    <n v="0"/>
    <n v="0"/>
    <n v="0"/>
    <n v="0"/>
    <n v="0"/>
    <n v="30"/>
    <s v="OK"/>
    <n v="30"/>
    <n v="0"/>
    <n v="30"/>
    <n v="0"/>
  </r>
  <r>
    <s v="ADQUISICIÓN DE MATERIAL DE POSICIONAMIENTO E IDENTIDAD DEL ECU 911 PARA LOS CENTROS QUE CONFORMAN LA COORDINACIÓN ZONAL 1"/>
    <n v="1"/>
    <s v="266 0001"/>
    <x v="0"/>
    <n v="0"/>
    <x v="0"/>
    <n v="2101"/>
    <x v="4"/>
    <n v="1"/>
    <n v="0"/>
    <n v="0"/>
    <s v="CORRIENTE"/>
    <n v="53"/>
    <x v="19"/>
    <s v="INSUMOS, MATERIALES Y SUMINISTROS PARA CONSTRUCCIÓN, ELECTRICIDAD, PLOMERÍA, CARPINTERÍA, SEÑALIZACIÓN VIAL, NAVEGACIÓN, CONTRA INCENDIOS Y PLACAS"/>
    <n v="0"/>
    <n v="6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2"/>
    <n v="632"/>
    <n v="0"/>
    <n v="0"/>
    <n v="0"/>
    <n v="0"/>
    <n v="632"/>
    <s v="OK"/>
    <n v="632"/>
    <n v="0"/>
    <n v="632"/>
    <n v="0"/>
  </r>
  <r>
    <s v="ADQUISICIÓN DE MATERIAL DE POSICIONAMIENTO E IDENTIDAD DEL ECU 911 PARA LOS CENTROS QUE CONFORMAN LA COORDINACIÓN ZONAL 1"/>
    <n v="1"/>
    <s v="266 0001"/>
    <x v="0"/>
    <n v="0"/>
    <x v="0"/>
    <n v="2101"/>
    <x v="4"/>
    <n v="1"/>
    <n v="0"/>
    <n v="0"/>
    <s v="CORRIENTE"/>
    <n v="53"/>
    <x v="16"/>
    <s v="MATERIALES DE OFICINA"/>
    <n v="0"/>
    <n v="4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"/>
    <n v="481"/>
    <n v="0"/>
    <n v="0"/>
    <n v="0"/>
    <n v="0"/>
    <n v="481"/>
    <s v="OK"/>
    <n v="481"/>
    <n v="0"/>
    <n v="481"/>
    <n v="0"/>
  </r>
  <r>
    <s v="ADQUISICIÓN DE CINTAS PARA ETIQUETADORA PARA LA UNIDAD DE BIENES PARA EL CENTRO OPERATIVO LOCAL ECU 911  NUEVA LOJA"/>
    <n v="1"/>
    <s v="266 0001"/>
    <x v="0"/>
    <n v="0"/>
    <x v="0"/>
    <n v="2101"/>
    <x v="4"/>
    <n v="1"/>
    <n v="0"/>
    <n v="0"/>
    <s v="CORRIENTE"/>
    <n v="53"/>
    <x v="16"/>
    <s v="MATERIALES DE OFICIN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0"/>
    <n v="50"/>
    <n v="-50"/>
    <n v="0"/>
    <n v="50"/>
    <n v="0"/>
    <n v="0"/>
  </r>
  <r>
    <s v="ADQUISICIÓN DE ETIQUETADORA PARA LA UNIDAD DE BIENES PARA EL CENTRO OPERATIVO LOCAL ECU 911  NUEVA LOJA"/>
    <n v="1"/>
    <s v="266 0001"/>
    <x v="0"/>
    <n v="0"/>
    <x v="0"/>
    <n v="2101"/>
    <x v="4"/>
    <n v="1"/>
    <n v="0"/>
    <n v="0"/>
    <s v="CORRIENTE"/>
    <n v="53"/>
    <x v="26"/>
    <s v="HERRAMIENTAS Y EQUIPOS MENOR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0"/>
    <n v="100"/>
    <n v="-100"/>
    <n v="0"/>
    <n v="100"/>
    <n v="0"/>
    <n v="0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3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6" updatedVersion="6" indent="0" multipleFieldFilters="0" showMemberPropertyTips="1">
  <location ref="A3:B7" firstHeaderRow="1" firstDataRow="1" firstDataCol="1"/>
  <pivotFields count="4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165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dataField="1" showAll="0" numFmtId="43"/>
    <pivotField showAll="0" numFmtId="43"/>
    <pivotField showAll="0" numFmtId="43"/>
    <pivotField showAll="0"/>
    <pivotField showAll="0" numFmtId="43"/>
    <pivotField showAll="0" numFmtId="43"/>
    <pivotField showAll="0" numFmtId="43"/>
    <pivotField showAll="0" numFmtId="43"/>
    <pivotField showAll="0" numFmtId="43"/>
    <pivotField showAll="0" numFmtId="43"/>
    <pivotField showAll="0" numFmtId="43"/>
    <pivotField showAll="0" numFmtId="43"/>
    <pivotField showAll="0" numFmtId="43"/>
    <pivotField showAll="0" numFmtId="43"/>
    <pivotField showAll="0" numFmtId="43"/>
    <pivotField showAll="0" numFmtId="43"/>
    <pivotField showAll="0" numFmtId="43"/>
    <pivotField showAll="0"/>
  </pivotFields>
  <rowFields count="1">
    <field x="2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de PRESUPUESTO INICIAL" fld="23" baseField="0" baseItem="0" numFmtId="4"/>
  </dataFields>
  <formats count="3">
    <format dxfId="4">
      <pivotArea outline="0" fieldPosition="0" collapsedLevelsAreSubtotals="1"/>
    </format>
    <format dxfId="3">
      <pivotArea outline="0" fieldPosition="0" axis="axisValues" dataOnly="0" labelOnly="1"/>
    </format>
    <format dxfId="2">
      <pivotArea outline="0" fieldPosition="0" axis="axisValues" dataOnly="0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A5:B21" firstHeaderRow="1" firstDataRow="1" firstDataCol="1" rowPageCount="3" colPageCount="1"/>
  <pivotFields count="47">
    <pivotField showAll="0" defaultSubtotal="0"/>
    <pivotField showAll="0"/>
    <pivotField showAll="0"/>
    <pivotField axis="axisPage" showAll="0" multipleItemSelectionAllowed="1" numFmtId="165">
      <items count="3">
        <item h="1" x="0"/>
        <item x="1"/>
        <item t="default"/>
      </items>
    </pivotField>
    <pivotField showAll="0"/>
    <pivotField axis="axisPage" showAll="0" multipleItemSelectionAllowed="1" numFmtId="166">
      <items count="4">
        <item x="0"/>
        <item x="2"/>
        <item x="1"/>
        <item t="default"/>
      </items>
    </pivotField>
    <pivotField showAll="0"/>
    <pivotField axis="axisPage" showAll="0" multipleItemSelectionAllowed="1">
      <items count="6">
        <item x="1"/>
        <item x="3"/>
        <item x="2"/>
        <item x="4"/>
        <item x="0"/>
        <item t="default"/>
      </items>
    </pivotField>
    <pivotField showAll="0"/>
    <pivotField showAll="0"/>
    <pivotField showAll="0"/>
    <pivotField showAll="0"/>
    <pivotField showAll="0"/>
    <pivotField axis="axisRow" showAll="0" sortType="ascending">
      <items count="52">
        <item x="33"/>
        <item x="34"/>
        <item x="35"/>
        <item x="36"/>
        <item x="45"/>
        <item x="46"/>
        <item x="47"/>
        <item x="48"/>
        <item x="37"/>
        <item x="40"/>
        <item x="41"/>
        <item x="42"/>
        <item x="38"/>
        <item x="39"/>
        <item x="43"/>
        <item x="0"/>
        <item x="1"/>
        <item x="28"/>
        <item x="2"/>
        <item x="3"/>
        <item x="49"/>
        <item x="4"/>
        <item x="5"/>
        <item x="6"/>
        <item x="50"/>
        <item x="7"/>
        <item x="8"/>
        <item x="9"/>
        <item x="10"/>
        <item x="11"/>
        <item x="12"/>
        <item x="13"/>
        <item x="31"/>
        <item x="3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9"/>
        <item x="26"/>
        <item x="30"/>
        <item x="27"/>
        <item x="44"/>
        <item t="default"/>
      </items>
    </pivotField>
    <pivotField showAll="0"/>
    <pivotField showAll="0"/>
    <pivotField dataField="1" showAll="0" numFmtId="43"/>
    <pivotField showAll="0" numFmtId="43"/>
    <pivotField showAll="0"/>
    <pivotField showAll="0" numFmtId="43"/>
    <pivotField showAll="0"/>
    <pivotField showAll="0" numFmtId="43"/>
    <pivotField showAll="0"/>
    <pivotField showAll="0" numFmtId="43"/>
    <pivotField showAll="0"/>
    <pivotField showAll="0" numFmtId="43"/>
    <pivotField showAll="0"/>
    <pivotField showAll="0" numFmtId="43"/>
    <pivotField showAll="0"/>
    <pivotField showAll="0" numFmtId="43"/>
    <pivotField showAll="0"/>
    <pivotField showAll="0"/>
    <pivotField showAll="0"/>
    <pivotField showAll="0" numFmtId="43"/>
    <pivotField showAll="0"/>
    <pivotField showAll="0" numFmtId="43"/>
    <pivotField showAll="0"/>
    <pivotField showAll="0" numFmtId="43"/>
    <pivotField showAll="0"/>
    <pivotField showAll="0"/>
    <pivotField showAll="0"/>
    <pivotField showAll="0" numFmtId="43"/>
    <pivotField showAll="0"/>
    <pivotField showAll="0"/>
    <pivotField showAll="0" numFmtId="43"/>
    <pivotField showAll="0" defaultSubtotal="0"/>
    <pivotField showAll="0" numFmtId="43"/>
  </pivotFields>
  <rowFields count="1">
    <field x="13"/>
  </rowFields>
  <rowItems count="16">
    <i>
      <x/>
    </i>
    <i>
      <x v="2"/>
    </i>
    <i>
      <x v="3"/>
    </i>
    <i>
      <x v="9"/>
    </i>
    <i>
      <x v="10"/>
    </i>
    <i>
      <x v="11"/>
    </i>
    <i>
      <x v="12"/>
    </i>
    <i>
      <x v="13"/>
    </i>
    <i>
      <x v="14"/>
    </i>
    <i>
      <x v="17"/>
    </i>
    <i>
      <x v="33"/>
    </i>
    <i>
      <x v="39"/>
    </i>
    <i>
      <x v="41"/>
    </i>
    <i>
      <x v="46"/>
    </i>
    <i>
      <x v="48"/>
    </i>
    <i t="grand">
      <x/>
    </i>
  </rowItems>
  <colItems count="1">
    <i/>
  </colItems>
  <pageFields count="3">
    <pageField fld="7" hier="-1"/>
    <pageField fld="3" hier="-1"/>
    <pageField fld="5" hier="-1"/>
  </pageFields>
  <dataFields count="1">
    <dataField name="Suma de PRESUPUESTO VIGENTE - TOTAL" fld="16" baseField="0" baseItem="0" numFmtId="43"/>
  </dataFields>
  <formats count="2">
    <format dxfId="1">
      <pivotArea outline="0" fieldPosition="0" collapsedLevelsAreSubtotals="1"/>
    </format>
    <format dxfId="0">
      <pivotArea outline="0" fieldPosition="0" axis="axisValues" dataOnly="0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904" dT="2021-11-05T20:10:17.84" personId="{5F73187F-9553-4938-AD67-65DE17200886}" id="{FEA0B8F5-FE56-4251-B2F9-2D8C34486BD9}">
    <text>139.735,68</text>
  </threadedComment>
  <threadedComment ref="I932" dT="2021-11-05T20:15:35.99" personId="{5F73187F-9553-4938-AD67-65DE17200886}" id="{76BCC9E4-79B7-4A09-B427-A20606FF38C3}">
    <text>274.704,96</text>
  </threadedComment>
  <threadedComment ref="I938" dT="2021-11-05T20:15:12.74" personId="{5F73187F-9553-4938-AD67-65DE17200886}" id="{F37AF5EA-9826-47E8-BA0C-22DFADB5A86F}">
    <text>42.317,18</text>
  </threadedComment>
  <threadedComment ref="I950" dT="2021-11-05T20:11:46.51" personId="{5F73187F-9553-4938-AD67-65DE17200886}" id="{57107CA6-2389-448D-9761-0659B86854EE}">
    <text>32.866,88</text>
  </threadedComment>
  <threadedComment ref="I951" dT="2021-11-05T20:13:03.95" personId="{5F73187F-9553-4938-AD67-65DE17200886}" id="{68EA41AF-CD75-421E-B63E-6F0A0C0738B3}">
    <text>177.757,24</text>
  </threadedComment>
  <threadedComment ref="I955" dT="2021-11-05T20:13:29.34" personId="{5F73187F-9553-4938-AD67-65DE17200886}" id="{E461EFD8-77B6-4A03-9D75-968E9919E03D}">
    <text>62.689,17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3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2"/>
  <sheetViews>
    <sheetView workbookViewId="0" topLeftCell="A1">
      <selection activeCell="A3" sqref="A3:C7"/>
    </sheetView>
  </sheetViews>
  <sheetFormatPr defaultColWidth="11.421875" defaultRowHeight="15"/>
  <cols>
    <col min="1" max="1" width="17.57421875" style="0" customWidth="1"/>
    <col min="2" max="2" width="29.00390625" style="28" bestFit="1" customWidth="1"/>
  </cols>
  <sheetData>
    <row r="3" spans="1:2" ht="15">
      <c r="A3" s="26" t="s">
        <v>0</v>
      </c>
      <c r="B3" s="28" t="s">
        <v>1</v>
      </c>
    </row>
    <row r="4" spans="1:3" ht="15">
      <c r="A4" s="27">
        <v>51</v>
      </c>
      <c r="B4" s="28">
        <v>23096818</v>
      </c>
      <c r="C4" s="54">
        <f>+GETPIVOTDATA("PRESUPUESTO INICIAL",$A$3,"GG",51)/GETPIVOTDATA("PRESUPUESTO INICIAL",$A$3)</f>
        <v>0.6177103116660178</v>
      </c>
    </row>
    <row r="5" spans="1:3" ht="15">
      <c r="A5" s="27">
        <v>53</v>
      </c>
      <c r="B5" s="28">
        <v>13282636.000000013</v>
      </c>
      <c r="C5" s="54">
        <f>+GETPIVOTDATA("PRESUPUESTO INICIAL",$A$3,"GG",53)/GETPIVOTDATA("PRESUPUESTO INICIAL",$A$3)</f>
        <v>0.3552359993184462</v>
      </c>
    </row>
    <row r="6" spans="1:3" ht="15">
      <c r="A6" s="27">
        <v>57</v>
      </c>
      <c r="B6" s="28">
        <v>1011565</v>
      </c>
      <c r="C6" s="54">
        <f>+GETPIVOTDATA("PRESUPUESTO INICIAL",$A$3,"GG",57)/GETPIVOTDATA("PRESUPUESTO INICIAL",$A$3)</f>
        <v>0.027053689015536047</v>
      </c>
    </row>
    <row r="7" spans="1:2" ht="15">
      <c r="A7" s="27" t="s">
        <v>3</v>
      </c>
      <c r="B7" s="28">
        <v>37391019.000000015</v>
      </c>
    </row>
    <row r="8" ht="15">
      <c r="B8"/>
    </row>
    <row r="9" ht="15">
      <c r="B9"/>
    </row>
    <row r="10" ht="15">
      <c r="B10"/>
    </row>
    <row r="11" ht="15">
      <c r="B11"/>
    </row>
    <row r="12" ht="15">
      <c r="B12"/>
    </row>
    <row r="13" ht="15">
      <c r="B13"/>
    </row>
    <row r="14" ht="15">
      <c r="B14"/>
    </row>
    <row r="15" ht="15">
      <c r="B15"/>
    </row>
    <row r="16" ht="15">
      <c r="B16"/>
    </row>
    <row r="17" ht="15">
      <c r="B17"/>
    </row>
    <row r="18" ht="15">
      <c r="B18"/>
    </row>
    <row r="19" ht="15">
      <c r="B19"/>
    </row>
    <row r="20" ht="15">
      <c r="B20"/>
    </row>
    <row r="21" ht="15">
      <c r="B21"/>
    </row>
    <row r="22" ht="15">
      <c r="B22"/>
    </row>
    <row r="23" ht="15">
      <c r="B23"/>
    </row>
    <row r="24" ht="15">
      <c r="B24"/>
    </row>
    <row r="25" ht="15">
      <c r="B25"/>
    </row>
    <row r="26" ht="15">
      <c r="B26"/>
    </row>
    <row r="27" ht="15">
      <c r="B27"/>
    </row>
    <row r="28" ht="15">
      <c r="B28"/>
    </row>
    <row r="29" ht="15">
      <c r="B29"/>
    </row>
    <row r="30" ht="15">
      <c r="B30"/>
    </row>
    <row r="31" ht="15">
      <c r="B31"/>
    </row>
    <row r="32" ht="15">
      <c r="B3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="85" zoomScaleNormal="85" workbookViewId="0" topLeftCell="A1">
      <selection activeCell="A6" sqref="A6:B20"/>
    </sheetView>
  </sheetViews>
  <sheetFormatPr defaultColWidth="11.421875" defaultRowHeight="15"/>
  <cols>
    <col min="1" max="1" width="17.57421875" style="0" bestFit="1" customWidth="1"/>
    <col min="2" max="2" width="39.140625" style="75" bestFit="1" customWidth="1"/>
  </cols>
  <sheetData>
    <row r="1" spans="1:2" ht="15">
      <c r="A1" s="26" t="s">
        <v>24</v>
      </c>
      <c r="B1" t="s">
        <v>264</v>
      </c>
    </row>
    <row r="2" spans="1:2" ht="15">
      <c r="A2" s="26" t="s">
        <v>20</v>
      </c>
      <c r="B2" s="138">
        <v>55</v>
      </c>
    </row>
    <row r="3" spans="1:2" ht="15">
      <c r="A3" s="26" t="s">
        <v>22</v>
      </c>
      <c r="B3" t="s">
        <v>264</v>
      </c>
    </row>
    <row r="4" spans="2:7" ht="15">
      <c r="B4"/>
      <c r="D4" s="150"/>
      <c r="E4" s="150"/>
      <c r="F4" s="150"/>
      <c r="G4" s="150"/>
    </row>
    <row r="5" spans="1:8" ht="15">
      <c r="A5" s="26" t="s">
        <v>0</v>
      </c>
      <c r="B5" s="75" t="s">
        <v>259</v>
      </c>
      <c r="D5" s="77"/>
      <c r="E5" s="77"/>
      <c r="F5" s="77"/>
      <c r="G5" s="77"/>
      <c r="H5" s="78"/>
    </row>
    <row r="6" spans="1:8" ht="15">
      <c r="A6" s="27">
        <v>510105</v>
      </c>
      <c r="B6" s="75">
        <v>1868015.18</v>
      </c>
      <c r="D6" s="77"/>
      <c r="E6" s="77"/>
      <c r="F6" s="77"/>
      <c r="G6" s="77"/>
      <c r="H6" s="78"/>
    </row>
    <row r="7" spans="1:8" ht="15">
      <c r="A7" s="27">
        <v>510203</v>
      </c>
      <c r="B7" s="75">
        <v>164318.33000000002</v>
      </c>
      <c r="D7" s="77"/>
      <c r="E7" s="77"/>
      <c r="F7" s="77"/>
      <c r="G7" s="77"/>
      <c r="H7" s="78"/>
    </row>
    <row r="8" spans="1:11" ht="15">
      <c r="A8" s="27">
        <v>510204</v>
      </c>
      <c r="B8" s="75">
        <v>71395.56999999999</v>
      </c>
      <c r="D8" s="77"/>
      <c r="E8" s="77"/>
      <c r="F8" s="77"/>
      <c r="G8" s="77"/>
      <c r="H8" s="78"/>
      <c r="J8" s="77"/>
      <c r="K8" s="77"/>
    </row>
    <row r="9" spans="1:8" ht="15">
      <c r="A9" s="27">
        <v>510510</v>
      </c>
      <c r="B9" s="75">
        <v>97973.3</v>
      </c>
      <c r="D9" s="77"/>
      <c r="E9" s="77"/>
      <c r="F9" s="77"/>
      <c r="G9" s="77"/>
      <c r="H9" s="78"/>
    </row>
    <row r="10" spans="1:8" ht="15">
      <c r="A10" s="27">
        <v>510512</v>
      </c>
      <c r="B10" s="75">
        <v>2422.01</v>
      </c>
      <c r="D10" s="77"/>
      <c r="E10" s="77"/>
      <c r="F10" s="77"/>
      <c r="G10" s="77"/>
      <c r="H10" s="78"/>
    </row>
    <row r="11" spans="1:8" ht="15">
      <c r="A11" s="27">
        <v>510513</v>
      </c>
      <c r="B11" s="75">
        <v>3483.07</v>
      </c>
      <c r="D11" s="77"/>
      <c r="E11" s="77"/>
      <c r="F11" s="77"/>
      <c r="G11" s="77"/>
      <c r="H11" s="78"/>
    </row>
    <row r="12" spans="1:8" ht="15">
      <c r="A12" s="27">
        <v>510601</v>
      </c>
      <c r="B12" s="75">
        <v>190297.3</v>
      </c>
      <c r="D12" s="77"/>
      <c r="E12" s="77"/>
      <c r="F12" s="77"/>
      <c r="G12" s="77"/>
      <c r="H12" s="78"/>
    </row>
    <row r="13" spans="1:8" ht="15">
      <c r="A13" s="27">
        <v>510602</v>
      </c>
      <c r="B13" s="75">
        <v>157311.08000000002</v>
      </c>
      <c r="D13" s="77"/>
      <c r="E13" s="77"/>
      <c r="F13" s="77"/>
      <c r="G13" s="77"/>
      <c r="H13" s="78"/>
    </row>
    <row r="14" spans="1:8" ht="15">
      <c r="A14" s="27">
        <v>510707</v>
      </c>
      <c r="B14" s="75">
        <v>662.31</v>
      </c>
      <c r="D14" s="77"/>
      <c r="E14" s="77"/>
      <c r="F14" s="77"/>
      <c r="G14" s="77"/>
      <c r="H14" s="78"/>
    </row>
    <row r="15" spans="1:8" ht="15">
      <c r="A15" s="27">
        <v>530105</v>
      </c>
      <c r="B15" s="75">
        <v>419787.45</v>
      </c>
      <c r="D15" s="77"/>
      <c r="E15" s="77"/>
      <c r="F15" s="77"/>
      <c r="G15" s="77"/>
      <c r="H15" s="78"/>
    </row>
    <row r="16" spans="1:12" ht="15">
      <c r="A16" s="27">
        <v>530704</v>
      </c>
      <c r="B16" s="75">
        <v>89967.56000000001</v>
      </c>
      <c r="D16" s="77"/>
      <c r="E16" s="77"/>
      <c r="F16" s="77"/>
      <c r="G16" s="77"/>
      <c r="H16" s="78"/>
      <c r="K16" s="77"/>
      <c r="L16" s="77"/>
    </row>
    <row r="17" spans="1:12" ht="15">
      <c r="A17" s="27">
        <v>530811</v>
      </c>
      <c r="B17" s="75">
        <v>4423.09</v>
      </c>
      <c r="D17" s="77"/>
      <c r="E17" s="77"/>
      <c r="F17" s="77"/>
      <c r="G17" s="77"/>
      <c r="H17" s="78"/>
      <c r="K17" s="77"/>
      <c r="L17" s="77"/>
    </row>
    <row r="18" spans="1:8" ht="15">
      <c r="A18" s="27">
        <v>530813</v>
      </c>
      <c r="B18" s="75">
        <v>21320.939999999995</v>
      </c>
      <c r="D18" s="77"/>
      <c r="E18" s="77"/>
      <c r="F18" s="77"/>
      <c r="G18" s="77"/>
      <c r="H18" s="78"/>
    </row>
    <row r="19" spans="1:8" ht="15">
      <c r="A19" s="27">
        <v>531404</v>
      </c>
      <c r="B19" s="75">
        <v>9040</v>
      </c>
      <c r="D19" s="77"/>
      <c r="E19" s="77"/>
      <c r="F19" s="77"/>
      <c r="G19" s="77"/>
      <c r="H19" s="78"/>
    </row>
    <row r="20" spans="1:8" ht="15">
      <c r="A20" s="27">
        <v>531407</v>
      </c>
      <c r="B20" s="75">
        <v>2468</v>
      </c>
      <c r="D20" s="77"/>
      <c r="E20" s="77"/>
      <c r="F20" s="77"/>
      <c r="G20" s="77"/>
      <c r="H20" s="78"/>
    </row>
    <row r="21" spans="1:8" ht="15">
      <c r="A21" s="27" t="s">
        <v>3</v>
      </c>
      <c r="B21" s="75">
        <v>3102885.1899999995</v>
      </c>
      <c r="D21" s="77"/>
      <c r="E21" s="77"/>
      <c r="F21" s="77"/>
      <c r="G21" s="77"/>
      <c r="H21" s="78"/>
    </row>
    <row r="22" spans="2:8" ht="15">
      <c r="B22"/>
      <c r="D22" s="77"/>
      <c r="E22" s="77"/>
      <c r="F22" s="77"/>
      <c r="G22" s="77"/>
      <c r="H22" s="78"/>
    </row>
    <row r="23" spans="2:8" ht="15">
      <c r="B23"/>
      <c r="D23" s="77"/>
      <c r="E23" s="77"/>
      <c r="F23" s="77"/>
      <c r="G23" s="77"/>
      <c r="H23" s="78"/>
    </row>
    <row r="24" spans="2:8" ht="15">
      <c r="B24"/>
      <c r="D24" s="77"/>
      <c r="E24" s="77"/>
      <c r="F24" s="77"/>
      <c r="G24" s="77"/>
      <c r="H24" s="78"/>
    </row>
    <row r="25" spans="2:8" ht="15">
      <c r="B25"/>
      <c r="D25" s="77"/>
      <c r="E25" s="77"/>
      <c r="F25" s="77"/>
      <c r="G25" s="77"/>
      <c r="H25" s="78"/>
    </row>
    <row r="26" spans="2:8" ht="15">
      <c r="B26"/>
      <c r="D26" s="77"/>
      <c r="E26" s="77"/>
      <c r="F26" s="77"/>
      <c r="G26" s="77"/>
      <c r="H26" s="78"/>
    </row>
    <row r="27" spans="2:8" ht="15">
      <c r="B27"/>
      <c r="D27" s="77"/>
      <c r="E27" s="77"/>
      <c r="F27" s="77"/>
      <c r="G27" s="77"/>
      <c r="H27" s="78"/>
    </row>
    <row r="28" spans="2:11" ht="15">
      <c r="B28"/>
      <c r="D28" s="77"/>
      <c r="E28" s="77"/>
      <c r="F28" s="77"/>
      <c r="G28" s="77"/>
      <c r="H28" s="78"/>
      <c r="J28" s="77"/>
      <c r="K28" s="77"/>
    </row>
    <row r="29" spans="2:8" ht="15">
      <c r="B29"/>
      <c r="D29" s="77"/>
      <c r="E29" s="77"/>
      <c r="F29" s="77"/>
      <c r="G29" s="77"/>
      <c r="H29" s="78"/>
    </row>
    <row r="30" spans="2:8" ht="15">
      <c r="B30"/>
      <c r="D30" s="77"/>
      <c r="E30" s="77"/>
      <c r="F30" s="77"/>
      <c r="G30" s="77"/>
      <c r="H30" s="78"/>
    </row>
    <row r="31" spans="2:8" ht="15">
      <c r="B31"/>
      <c r="D31" s="77"/>
      <c r="E31" s="77"/>
      <c r="F31" s="77"/>
      <c r="G31" s="77"/>
      <c r="H31" s="78"/>
    </row>
    <row r="32" spans="2:8" ht="15">
      <c r="B32"/>
      <c r="D32" s="77"/>
      <c r="E32" s="77"/>
      <c r="H32" s="78"/>
    </row>
    <row r="33" spans="2:8" ht="15">
      <c r="B33"/>
      <c r="D33" s="77"/>
      <c r="E33" s="77"/>
      <c r="H33" s="78"/>
    </row>
    <row r="34" spans="2:8" ht="15">
      <c r="B34"/>
      <c r="D34" s="77"/>
      <c r="E34" s="77"/>
      <c r="H34" s="78"/>
    </row>
    <row r="35" spans="2:8" ht="15">
      <c r="B35"/>
      <c r="D35" s="77"/>
      <c r="E35" s="77"/>
      <c r="H35" s="78"/>
    </row>
    <row r="36" spans="2:8" ht="15">
      <c r="B36"/>
      <c r="H36" s="78"/>
    </row>
    <row r="37" spans="2:8" ht="15">
      <c r="B37"/>
      <c r="H37" s="78"/>
    </row>
    <row r="38" spans="2:8" ht="15">
      <c r="B38"/>
      <c r="H38" s="78"/>
    </row>
    <row r="39" spans="2:8" ht="15">
      <c r="B39"/>
      <c r="H39" s="78"/>
    </row>
    <row r="40" spans="2:8" ht="15">
      <c r="B40"/>
      <c r="H40" s="78"/>
    </row>
    <row r="41" spans="2:8" ht="15">
      <c r="B41"/>
      <c r="H41" s="78"/>
    </row>
    <row r="42" spans="2:8" ht="15">
      <c r="B42"/>
      <c r="H42" s="78"/>
    </row>
    <row r="43" spans="2:8" ht="15">
      <c r="B43"/>
      <c r="H43" s="78"/>
    </row>
    <row r="44" spans="2:8" ht="15">
      <c r="B44"/>
      <c r="H44" s="78"/>
    </row>
    <row r="45" spans="2:8" ht="15">
      <c r="B45"/>
      <c r="H45" s="78"/>
    </row>
    <row r="46" spans="2:8" ht="15">
      <c r="B46"/>
      <c r="H46" s="78"/>
    </row>
    <row r="47" spans="2:8" ht="15">
      <c r="B47"/>
      <c r="H47" s="78"/>
    </row>
    <row r="48" spans="2:8" ht="15">
      <c r="B48"/>
      <c r="H48" s="78"/>
    </row>
    <row r="49" spans="2:8" ht="15">
      <c r="B49"/>
      <c r="H49" s="78"/>
    </row>
    <row r="50" spans="2:8" ht="15">
      <c r="B50"/>
      <c r="H50" s="78"/>
    </row>
    <row r="51" spans="2:8" ht="15">
      <c r="B51"/>
      <c r="H51" s="78"/>
    </row>
    <row r="52" spans="2:8" ht="15">
      <c r="B52"/>
      <c r="H52" s="78"/>
    </row>
    <row r="53" spans="2:8" ht="15">
      <c r="B53"/>
      <c r="H53" s="78"/>
    </row>
    <row r="54" ht="15">
      <c r="B54"/>
    </row>
    <row r="55" ht="15">
      <c r="B55"/>
    </row>
    <row r="56" ht="15">
      <c r="B56"/>
    </row>
    <row r="57" ht="15">
      <c r="B57"/>
    </row>
  </sheetData>
  <mergeCells count="2"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D357"/>
  <sheetViews>
    <sheetView showGridLines="0" tabSelected="1" workbookViewId="0" topLeftCell="I4">
      <pane xSplit="17" ySplit="2" topLeftCell="AV322" activePane="bottomRight" state="frozen"/>
      <selection pane="topLeft" activeCell="I4" sqref="I4"/>
      <selection pane="topRight" activeCell="Z4" sqref="Z4"/>
      <selection pane="bottomLeft" activeCell="I6" sqref="I6"/>
      <selection pane="bottomRight" activeCell="I343" sqref="I343"/>
    </sheetView>
  </sheetViews>
  <sheetFormatPr defaultColWidth="11.421875" defaultRowHeight="15"/>
  <cols>
    <col min="1" max="1" width="10.140625" style="15" customWidth="1"/>
    <col min="2" max="2" width="11.421875" style="15" customWidth="1"/>
    <col min="3" max="3" width="14.140625" style="15" customWidth="1"/>
    <col min="4" max="4" width="20.57421875" style="15" customWidth="1"/>
    <col min="5" max="5" width="15.00390625" style="15" customWidth="1"/>
    <col min="6" max="6" width="18.7109375" style="15" customWidth="1"/>
    <col min="7" max="7" width="14.00390625" style="15" customWidth="1"/>
    <col min="8" max="8" width="17.57421875" style="15" customWidth="1"/>
    <col min="9" max="9" width="39.7109375" style="15" customWidth="1"/>
    <col min="10" max="10" width="9.8515625" style="3" hidden="1" customWidth="1"/>
    <col min="11" max="11" width="10.8515625" style="3" hidden="1" customWidth="1"/>
    <col min="12" max="12" width="8.140625" style="4" customWidth="1"/>
    <col min="13" max="14" width="9.28125" style="5" hidden="1" customWidth="1"/>
    <col min="15" max="15" width="10.8515625" style="6" hidden="1" customWidth="1"/>
    <col min="16" max="16" width="13.7109375" style="6" customWidth="1"/>
    <col min="17" max="17" width="7.8515625" style="5" hidden="1" customWidth="1"/>
    <col min="18" max="18" width="7.421875" style="6" hidden="1" customWidth="1"/>
    <col min="19" max="19" width="8.00390625" style="6" hidden="1" customWidth="1"/>
    <col min="20" max="20" width="11.57421875" style="3" hidden="1" customWidth="1"/>
    <col min="21" max="21" width="8.7109375" style="7" hidden="1" customWidth="1"/>
    <col min="22" max="22" width="9.7109375" style="3" customWidth="1"/>
    <col min="23" max="23" width="20.140625" style="15" hidden="1" customWidth="1"/>
    <col min="24" max="24" width="15.140625" style="129" hidden="1" customWidth="1"/>
    <col min="25" max="25" width="14.8515625" style="24" customWidth="1"/>
    <col min="26" max="27" width="11.7109375" style="25" customWidth="1"/>
    <col min="28" max="29" width="12.421875" style="25" customWidth="1"/>
    <col min="30" max="33" width="11.7109375" style="25" customWidth="1"/>
    <col min="34" max="35" width="13.00390625" style="25" customWidth="1"/>
    <col min="36" max="37" width="13.421875" style="25" customWidth="1"/>
    <col min="38" max="38" width="13.7109375" style="25" customWidth="1"/>
    <col min="39" max="39" width="13.57421875" style="25" customWidth="1"/>
    <col min="40" max="41" width="14.28125" style="25" customWidth="1"/>
    <col min="42" max="43" width="13.57421875" style="25" customWidth="1"/>
    <col min="44" max="45" width="14.7109375" style="25" customWidth="1"/>
    <col min="46" max="49" width="12.421875" style="25" customWidth="1"/>
    <col min="50" max="50" width="13.421875" style="25" customWidth="1"/>
    <col min="51" max="51" width="11.00390625" style="3" customWidth="1"/>
    <col min="52" max="52" width="14.28125" style="3" customWidth="1"/>
    <col min="53" max="53" width="12.140625" style="3" customWidth="1"/>
    <col min="54" max="54" width="14.00390625" style="2" customWidth="1"/>
    <col min="55" max="55" width="13.57421875" style="121" customWidth="1"/>
    <col min="56" max="16384" width="11.421875" style="121" customWidth="1"/>
  </cols>
  <sheetData>
    <row r="1" spans="1:54" s="114" customFormat="1" ht="26.25" customHeight="1">
      <c r="A1" s="151" t="s">
        <v>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57"/>
      <c r="BA1" s="57"/>
      <c r="BB1" s="1"/>
    </row>
    <row r="2" spans="1:54" s="114" customFormat="1" ht="26.25" customHeight="1">
      <c r="A2" s="152" t="s">
        <v>253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58"/>
      <c r="BA2" s="58"/>
      <c r="BB2" s="1"/>
    </row>
    <row r="3" spans="1:54" s="115" customFormat="1" ht="12" customHeight="1">
      <c r="A3" s="29"/>
      <c r="B3" s="29"/>
      <c r="C3" s="29"/>
      <c r="D3" s="29"/>
      <c r="E3" s="29"/>
      <c r="F3" s="29"/>
      <c r="G3" s="29"/>
      <c r="H3" s="29"/>
      <c r="I3" s="29"/>
      <c r="J3" s="30"/>
      <c r="K3" s="30"/>
      <c r="L3" s="31"/>
      <c r="M3" s="32"/>
      <c r="N3" s="32"/>
      <c r="O3" s="33"/>
      <c r="P3" s="33"/>
      <c r="Q3" s="32"/>
      <c r="R3" s="33"/>
      <c r="S3" s="33"/>
      <c r="T3" s="30"/>
      <c r="U3" s="34"/>
      <c r="V3" s="30"/>
      <c r="W3" s="29"/>
      <c r="X3" s="126"/>
      <c r="Y3" s="35"/>
      <c r="Z3" s="36">
        <v>0</v>
      </c>
      <c r="AA3" s="36">
        <v>0</v>
      </c>
      <c r="AB3" s="36">
        <v>0</v>
      </c>
      <c r="AC3" s="36">
        <v>0</v>
      </c>
      <c r="AD3" s="36">
        <v>0</v>
      </c>
      <c r="AE3" s="36">
        <v>0</v>
      </c>
      <c r="AF3" s="36">
        <v>0</v>
      </c>
      <c r="AG3" s="36">
        <v>0</v>
      </c>
      <c r="AH3" s="36">
        <v>0</v>
      </c>
      <c r="AI3" s="36">
        <v>0</v>
      </c>
      <c r="AJ3" s="36">
        <v>0</v>
      </c>
      <c r="AK3" s="36">
        <v>0</v>
      </c>
      <c r="AL3" s="36">
        <v>0</v>
      </c>
      <c r="AM3" s="36">
        <v>0</v>
      </c>
      <c r="AN3" s="36">
        <v>0</v>
      </c>
      <c r="AO3" s="36">
        <v>0</v>
      </c>
      <c r="AP3" s="36">
        <v>0</v>
      </c>
      <c r="AQ3" s="36">
        <v>0</v>
      </c>
      <c r="AR3" s="36">
        <v>0</v>
      </c>
      <c r="AS3" s="36">
        <v>0</v>
      </c>
      <c r="AT3" s="36">
        <v>0</v>
      </c>
      <c r="AU3" s="36">
        <v>0</v>
      </c>
      <c r="AV3" s="36">
        <v>0</v>
      </c>
      <c r="AW3" s="36">
        <v>0</v>
      </c>
      <c r="AX3" s="35">
        <v>0</v>
      </c>
      <c r="AY3" s="37"/>
      <c r="AZ3" s="37"/>
      <c r="BA3" s="37"/>
      <c r="BB3" s="38"/>
    </row>
    <row r="4" spans="1:54" s="116" customFormat="1" ht="24.95" customHeight="1">
      <c r="A4" s="155" t="s">
        <v>5</v>
      </c>
      <c r="B4" s="156"/>
      <c r="C4" s="156"/>
      <c r="D4" s="156"/>
      <c r="E4" s="157" t="s">
        <v>6</v>
      </c>
      <c r="F4" s="157"/>
      <c r="G4" s="157"/>
      <c r="H4" s="158" t="s">
        <v>7</v>
      </c>
      <c r="I4" s="159"/>
      <c r="J4" s="159"/>
      <c r="K4" s="160" t="s">
        <v>8</v>
      </c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1"/>
      <c r="X4" s="154" t="s">
        <v>9</v>
      </c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61" t="s">
        <v>326</v>
      </c>
      <c r="BA4" s="37"/>
      <c r="BB4" s="37"/>
    </row>
    <row r="5" spans="1:55" s="117" customFormat="1" ht="33.75">
      <c r="A5" s="39" t="s">
        <v>10</v>
      </c>
      <c r="B5" s="39" t="s">
        <v>11</v>
      </c>
      <c r="C5" s="39" t="s">
        <v>12</v>
      </c>
      <c r="D5" s="39" t="s">
        <v>13</v>
      </c>
      <c r="E5" s="40" t="s">
        <v>14</v>
      </c>
      <c r="F5" s="40" t="s">
        <v>15</v>
      </c>
      <c r="G5" s="40" t="s">
        <v>16</v>
      </c>
      <c r="H5" s="41" t="s">
        <v>17</v>
      </c>
      <c r="I5" s="42" t="s">
        <v>291</v>
      </c>
      <c r="J5" s="41" t="s">
        <v>18</v>
      </c>
      <c r="K5" s="43" t="s">
        <v>19</v>
      </c>
      <c r="L5" s="44" t="s">
        <v>20</v>
      </c>
      <c r="M5" s="45" t="s">
        <v>21</v>
      </c>
      <c r="N5" s="45" t="s">
        <v>22</v>
      </c>
      <c r="O5" s="46" t="s">
        <v>23</v>
      </c>
      <c r="P5" s="46" t="s">
        <v>24</v>
      </c>
      <c r="Q5" s="45" t="s">
        <v>25</v>
      </c>
      <c r="R5" s="47" t="s">
        <v>26</v>
      </c>
      <c r="S5" s="47" t="s">
        <v>27</v>
      </c>
      <c r="T5" s="43" t="s">
        <v>28</v>
      </c>
      <c r="U5" s="48" t="s">
        <v>29</v>
      </c>
      <c r="V5" s="49" t="s">
        <v>30</v>
      </c>
      <c r="W5" s="49" t="s">
        <v>31</v>
      </c>
      <c r="X5" s="50" t="s">
        <v>32</v>
      </c>
      <c r="Y5" s="50" t="s">
        <v>33</v>
      </c>
      <c r="Z5" s="51" t="s">
        <v>34</v>
      </c>
      <c r="AA5" s="56" t="s">
        <v>34</v>
      </c>
      <c r="AB5" s="51" t="s">
        <v>35</v>
      </c>
      <c r="AC5" s="56" t="s">
        <v>35</v>
      </c>
      <c r="AD5" s="51" t="s">
        <v>36</v>
      </c>
      <c r="AE5" s="56" t="s">
        <v>36</v>
      </c>
      <c r="AF5" s="51" t="s">
        <v>37</v>
      </c>
      <c r="AG5" s="56" t="s">
        <v>37</v>
      </c>
      <c r="AH5" s="51" t="s">
        <v>38</v>
      </c>
      <c r="AI5" s="56" t="s">
        <v>38</v>
      </c>
      <c r="AJ5" s="51" t="s">
        <v>39</v>
      </c>
      <c r="AK5" s="56" t="s">
        <v>39</v>
      </c>
      <c r="AL5" s="51" t="s">
        <v>40</v>
      </c>
      <c r="AM5" s="56" t="s">
        <v>40</v>
      </c>
      <c r="AN5" s="51" t="s">
        <v>41</v>
      </c>
      <c r="AO5" s="56" t="s">
        <v>41</v>
      </c>
      <c r="AP5" s="51" t="s">
        <v>42</v>
      </c>
      <c r="AQ5" s="56" t="s">
        <v>42</v>
      </c>
      <c r="AR5" s="51" t="s">
        <v>43</v>
      </c>
      <c r="AS5" s="56" t="s">
        <v>43</v>
      </c>
      <c r="AT5" s="51" t="s">
        <v>44</v>
      </c>
      <c r="AU5" s="56" t="s">
        <v>44</v>
      </c>
      <c r="AV5" s="51" t="s">
        <v>45</v>
      </c>
      <c r="AW5" s="56" t="s">
        <v>45</v>
      </c>
      <c r="AX5" s="50" t="s">
        <v>46</v>
      </c>
      <c r="AY5" s="52" t="s">
        <v>47</v>
      </c>
      <c r="AZ5" s="60" t="s">
        <v>256</v>
      </c>
      <c r="BA5" s="62" t="s">
        <v>257</v>
      </c>
      <c r="BB5" s="53" t="s">
        <v>296</v>
      </c>
      <c r="BC5" s="53" t="s">
        <v>252</v>
      </c>
    </row>
    <row r="6" spans="1:55" s="118" customFormat="1" ht="12.75" customHeight="1">
      <c r="A6" s="16" t="s">
        <v>48</v>
      </c>
      <c r="B6" s="16" t="s">
        <v>49</v>
      </c>
      <c r="C6" s="16" t="s">
        <v>50</v>
      </c>
      <c r="D6" s="16" t="s">
        <v>51</v>
      </c>
      <c r="E6" s="16" t="s">
        <v>52</v>
      </c>
      <c r="F6" s="16" t="s">
        <v>53</v>
      </c>
      <c r="G6" s="16" t="s">
        <v>54</v>
      </c>
      <c r="H6" s="22" t="s">
        <v>55</v>
      </c>
      <c r="I6" s="63" t="s">
        <v>56</v>
      </c>
      <c r="J6" s="131">
        <v>1</v>
      </c>
      <c r="K6" s="12" t="s">
        <v>2</v>
      </c>
      <c r="L6" s="13">
        <v>1</v>
      </c>
      <c r="M6" s="14">
        <v>0</v>
      </c>
      <c r="N6" s="14">
        <v>1</v>
      </c>
      <c r="O6" s="9">
        <v>401</v>
      </c>
      <c r="P6" s="9" t="s">
        <v>57</v>
      </c>
      <c r="Q6" s="14">
        <v>1</v>
      </c>
      <c r="R6" s="9">
        <v>0</v>
      </c>
      <c r="S6" s="9">
        <v>0</v>
      </c>
      <c r="T6" s="8" t="s">
        <v>58</v>
      </c>
      <c r="U6" s="85">
        <v>53</v>
      </c>
      <c r="V6" s="8">
        <v>530101</v>
      </c>
      <c r="W6" s="16" t="s">
        <v>59</v>
      </c>
      <c r="X6" s="18">
        <v>100</v>
      </c>
      <c r="Y6" s="79">
        <f>100-32.06</f>
        <v>67.94</v>
      </c>
      <c r="Z6" s="17">
        <v>67.94</v>
      </c>
      <c r="AA6" s="17">
        <v>67.94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0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9">
        <f aca="true" t="shared" si="0" ref="AX6">SUM(Z6+AB6+AD6+AF6+AH6+AJ6+AL6+AN6+AP6+AR6+AT6+AV6)</f>
        <v>67.94</v>
      </c>
      <c r="AY6" s="10" t="str">
        <f>IF(AX6=Y6,"OK",Y6-AX6)</f>
        <v>OK</v>
      </c>
      <c r="AZ6" s="10">
        <f aca="true" t="shared" si="1" ref="AZ6:AZ69">IF($AZ$4="Seleccione el mes",$AZ$4,IF($AZ$4="Enero",AA6,IF($AZ$4="Febrero",AA6+AC6,IF($AZ$4="Marzo",AA6+AC6+AE6,IF($AZ$4="Abril",AA6+AC6+AE6+AG6,IF($AZ$4="Mayo",AA6+AC6+AE6+AG6+AI6,IF($AZ$4="Junio",AA6+AC6+AE6+AG6+AI6+AK6,IF($AZ$4="Julio",AA6+AC6+AE6+AG6+AI6+AK6+AM6,IF($AZ$4="Agosto",AA6+AC6+AE6+AG6+AI6+AK6+AM6+AO6,IF($AZ$4="Septiembre",AA6++AE6++AI6+AK6+AM6+AO6+AQ6,IF($AZ$4="Octubre",AA6+AC6+AE6+AG6+AI6+AK6+AM6+AO6+AQ6+AS6,IF($AZ$4="Noviembre",AA6+AC6+AE6+AG6+AI6+AK6+AM6+AO6+AQ6+AS6+AU6,IF($AZ$4="Diciembre",AA6+AC6+AE6+AG6+AI6+AK6+AM6+AO6+AQ6+AS6+AU6+AW6)))))))))))))</f>
        <v>67.94</v>
      </c>
      <c r="BA6" s="10">
        <f aca="true" t="shared" si="2" ref="BA6">Z6-AA6+AB6-AC6+AD6-AE6+AF6-AG6+AH6-AI6+AJ6-AK6+AL6-AM6+AN6-AO6+AP6-AQ6+AR6-AS6+AT6-AU6+AV6-AW6</f>
        <v>0</v>
      </c>
      <c r="BB6" s="17">
        <v>67.94</v>
      </c>
      <c r="BC6" s="113">
        <f aca="true" t="shared" si="3" ref="BC6:BC69">Y6-BB6</f>
        <v>0</v>
      </c>
    </row>
    <row r="7" spans="1:55" s="118" customFormat="1" ht="13.5" customHeight="1">
      <c r="A7" s="16" t="s">
        <v>48</v>
      </c>
      <c r="B7" s="16" t="s">
        <v>49</v>
      </c>
      <c r="C7" s="16" t="s">
        <v>50</v>
      </c>
      <c r="D7" s="16" t="s">
        <v>51</v>
      </c>
      <c r="E7" s="16" t="s">
        <v>52</v>
      </c>
      <c r="F7" s="16" t="s">
        <v>53</v>
      </c>
      <c r="G7" s="16" t="s">
        <v>54</v>
      </c>
      <c r="H7" s="22" t="s">
        <v>55</v>
      </c>
      <c r="I7" s="134" t="s">
        <v>60</v>
      </c>
      <c r="J7" s="11">
        <v>1</v>
      </c>
      <c r="K7" s="12" t="s">
        <v>2</v>
      </c>
      <c r="L7" s="13">
        <v>1</v>
      </c>
      <c r="M7" s="14">
        <v>0</v>
      </c>
      <c r="N7" s="14">
        <v>1</v>
      </c>
      <c r="O7" s="9">
        <v>401</v>
      </c>
      <c r="P7" s="9" t="s">
        <v>57</v>
      </c>
      <c r="Q7" s="14">
        <v>1</v>
      </c>
      <c r="R7" s="9">
        <v>0</v>
      </c>
      <c r="S7" s="9">
        <v>0</v>
      </c>
      <c r="T7" s="8" t="s">
        <v>58</v>
      </c>
      <c r="U7" s="85">
        <v>53</v>
      </c>
      <c r="V7" s="8">
        <v>530101</v>
      </c>
      <c r="W7" s="16" t="s">
        <v>59</v>
      </c>
      <c r="X7" s="18">
        <v>605</v>
      </c>
      <c r="Y7" s="132">
        <f>605+112-24.7</f>
        <v>692.3</v>
      </c>
      <c r="Z7" s="17">
        <v>0</v>
      </c>
      <c r="AA7" s="17">
        <v>0</v>
      </c>
      <c r="AB7" s="17">
        <v>55</v>
      </c>
      <c r="AC7" s="17">
        <v>55.96</v>
      </c>
      <c r="AD7" s="17">
        <v>55</v>
      </c>
      <c r="AE7" s="17">
        <v>18.64</v>
      </c>
      <c r="AF7" s="17">
        <v>55</v>
      </c>
      <c r="AG7" s="59">
        <v>30.83</v>
      </c>
      <c r="AH7" s="17">
        <v>55</v>
      </c>
      <c r="AI7" s="17">
        <v>30.1</v>
      </c>
      <c r="AJ7" s="107">
        <v>55</v>
      </c>
      <c r="AK7" s="17">
        <v>28.64</v>
      </c>
      <c r="AL7" s="17">
        <v>55</v>
      </c>
      <c r="AM7" s="17">
        <v>128.13</v>
      </c>
      <c r="AN7" s="17">
        <v>55</v>
      </c>
      <c r="AO7" s="17">
        <v>18.13</v>
      </c>
      <c r="AP7" s="17">
        <v>55</v>
      </c>
      <c r="AQ7" s="17">
        <v>53.19</v>
      </c>
      <c r="AR7" s="17">
        <v>55</v>
      </c>
      <c r="AS7" s="17">
        <v>170.62</v>
      </c>
      <c r="AT7" s="17">
        <v>55</v>
      </c>
      <c r="AU7" s="17">
        <v>78.01</v>
      </c>
      <c r="AV7" s="17">
        <v>142.29999999999995</v>
      </c>
      <c r="AW7" s="17">
        <v>78.01</v>
      </c>
      <c r="AX7" s="19">
        <f aca="true" t="shared" si="4" ref="AX7:AX70">SUM(Z7+AB7+AD7+AF7+AH7+AJ7+AL7+AN7+AP7+AR7+AT7+AV7)</f>
        <v>692.3</v>
      </c>
      <c r="AY7" s="10" t="str">
        <f aca="true" t="shared" si="5" ref="AY7:AY70">IF(AX7=Y7,"OK",Y7-AX7)</f>
        <v>OK</v>
      </c>
      <c r="AZ7" s="10">
        <f t="shared" si="1"/>
        <v>690.26</v>
      </c>
      <c r="BA7" s="10">
        <f aca="true" t="shared" si="6" ref="BA7:BA70">Z7-AA7+AB7-AC7+AD7-AE7+AF7-AG7+AH7-AI7+AJ7-AK7+AL7-AM7+AN7-AO7+AP7-AQ7+AR7-AS7+AT7-AU7+AV7-AW7</f>
        <v>2.039999999999935</v>
      </c>
      <c r="BB7" s="17">
        <f>440-147.7+400</f>
        <v>692.3</v>
      </c>
      <c r="BC7" s="113">
        <f t="shared" si="3"/>
        <v>0</v>
      </c>
    </row>
    <row r="8" spans="1:55" s="118" customFormat="1" ht="13.5" customHeight="1">
      <c r="A8" s="16" t="s">
        <v>48</v>
      </c>
      <c r="B8" s="16" t="s">
        <v>49</v>
      </c>
      <c r="C8" s="16" t="s">
        <v>50</v>
      </c>
      <c r="D8" s="16" t="s">
        <v>51</v>
      </c>
      <c r="E8" s="16" t="s">
        <v>52</v>
      </c>
      <c r="F8" s="16" t="s">
        <v>53</v>
      </c>
      <c r="G8" s="16" t="s">
        <v>54</v>
      </c>
      <c r="H8" s="22" t="s">
        <v>55</v>
      </c>
      <c r="I8" s="63" t="s">
        <v>61</v>
      </c>
      <c r="J8" s="11">
        <v>1</v>
      </c>
      <c r="K8" s="12" t="s">
        <v>2</v>
      </c>
      <c r="L8" s="13">
        <v>1</v>
      </c>
      <c r="M8" s="14">
        <v>0</v>
      </c>
      <c r="N8" s="14">
        <v>1</v>
      </c>
      <c r="O8" s="9">
        <v>401</v>
      </c>
      <c r="P8" s="9" t="s">
        <v>57</v>
      </c>
      <c r="Q8" s="14">
        <v>1</v>
      </c>
      <c r="R8" s="9">
        <v>0</v>
      </c>
      <c r="S8" s="9">
        <v>0</v>
      </c>
      <c r="T8" s="8" t="s">
        <v>58</v>
      </c>
      <c r="U8" s="85">
        <v>53</v>
      </c>
      <c r="V8" s="8">
        <v>530104</v>
      </c>
      <c r="W8" s="16" t="s">
        <v>62</v>
      </c>
      <c r="X8" s="18">
        <v>2100</v>
      </c>
      <c r="Y8" s="79">
        <f>2100-208.82</f>
        <v>1891.18</v>
      </c>
      <c r="Z8" s="17">
        <v>1891.18</v>
      </c>
      <c r="AA8" s="17">
        <v>1891.18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0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9">
        <f t="shared" si="4"/>
        <v>1891.18</v>
      </c>
      <c r="AY8" s="10" t="str">
        <f t="shared" si="5"/>
        <v>OK</v>
      </c>
      <c r="AZ8" s="10">
        <f t="shared" si="1"/>
        <v>1891.18</v>
      </c>
      <c r="BA8" s="10">
        <f t="shared" si="6"/>
        <v>0</v>
      </c>
      <c r="BB8" s="17">
        <v>1891.18</v>
      </c>
      <c r="BC8" s="113">
        <f t="shared" si="3"/>
        <v>0</v>
      </c>
    </row>
    <row r="9" spans="1:55" s="118" customFormat="1" ht="13.5" customHeight="1">
      <c r="A9" s="16" t="s">
        <v>48</v>
      </c>
      <c r="B9" s="16" t="s">
        <v>49</v>
      </c>
      <c r="C9" s="16" t="s">
        <v>50</v>
      </c>
      <c r="D9" s="16" t="s">
        <v>51</v>
      </c>
      <c r="E9" s="16" t="s">
        <v>52</v>
      </c>
      <c r="F9" s="16" t="s">
        <v>53</v>
      </c>
      <c r="G9" s="16" t="s">
        <v>54</v>
      </c>
      <c r="H9" s="22" t="s">
        <v>55</v>
      </c>
      <c r="I9" s="147" t="s">
        <v>63</v>
      </c>
      <c r="J9" s="11">
        <v>1</v>
      </c>
      <c r="K9" s="12" t="s">
        <v>2</v>
      </c>
      <c r="L9" s="13">
        <v>1</v>
      </c>
      <c r="M9" s="14">
        <v>0</v>
      </c>
      <c r="N9" s="14">
        <v>1</v>
      </c>
      <c r="O9" s="9">
        <v>401</v>
      </c>
      <c r="P9" s="9" t="s">
        <v>57</v>
      </c>
      <c r="Q9" s="14">
        <v>1</v>
      </c>
      <c r="R9" s="9">
        <v>0</v>
      </c>
      <c r="S9" s="9">
        <v>0</v>
      </c>
      <c r="T9" s="8" t="s">
        <v>58</v>
      </c>
      <c r="U9" s="85">
        <v>53</v>
      </c>
      <c r="V9" s="8">
        <v>530104</v>
      </c>
      <c r="W9" s="16" t="s">
        <v>62</v>
      </c>
      <c r="X9" s="18">
        <v>16233</v>
      </c>
      <c r="Y9" s="146">
        <f>16233+8000-1159.48-2075.7-182.78</f>
        <v>20815.04</v>
      </c>
      <c r="Z9" s="17">
        <v>0</v>
      </c>
      <c r="AA9" s="17">
        <v>1770.42</v>
      </c>
      <c r="AB9" s="17">
        <v>2319</v>
      </c>
      <c r="AC9" s="17">
        <v>1614.84</v>
      </c>
      <c r="AD9" s="17">
        <v>2319</v>
      </c>
      <c r="AE9" s="17">
        <v>1818.22</v>
      </c>
      <c r="AF9" s="17">
        <v>2319</v>
      </c>
      <c r="AG9" s="59">
        <v>1696.33</v>
      </c>
      <c r="AH9" s="17">
        <v>2319</v>
      </c>
      <c r="AI9" s="17">
        <v>1973.71</v>
      </c>
      <c r="AJ9" s="107">
        <v>2319</v>
      </c>
      <c r="AK9" s="17">
        <v>1144.68</v>
      </c>
      <c r="AL9" s="17">
        <v>2319</v>
      </c>
      <c r="AM9" s="17">
        <v>1639.75</v>
      </c>
      <c r="AN9" s="17">
        <v>1831.9</v>
      </c>
      <c r="AO9" s="17">
        <v>1577.88</v>
      </c>
      <c r="AP9" s="17">
        <v>1831.9</v>
      </c>
      <c r="AQ9" s="17">
        <v>1651.51</v>
      </c>
      <c r="AR9" s="17">
        <v>1831.9</v>
      </c>
      <c r="AS9" s="17">
        <v>2110.48</v>
      </c>
      <c r="AT9" s="17">
        <v>1405.3400000000001</v>
      </c>
      <c r="AU9" s="17">
        <v>2041.52</v>
      </c>
      <c r="AV9" s="17">
        <v>0</v>
      </c>
      <c r="AW9" s="17">
        <v>1775.7</v>
      </c>
      <c r="AX9" s="19">
        <f t="shared" si="4"/>
        <v>20815.04</v>
      </c>
      <c r="AY9" s="10" t="str">
        <f t="shared" si="5"/>
        <v>OK</v>
      </c>
      <c r="AZ9" s="10">
        <f t="shared" si="1"/>
        <v>20815.040000000005</v>
      </c>
      <c r="BA9" s="10">
        <f t="shared" si="6"/>
        <v>0</v>
      </c>
      <c r="BB9" s="17">
        <f>8873.52+14200-2075.7</f>
        <v>20997.82</v>
      </c>
      <c r="BC9" s="113">
        <f t="shared" si="3"/>
        <v>-182.77999999999884</v>
      </c>
    </row>
    <row r="10" spans="1:55" s="118" customFormat="1" ht="13.5" customHeight="1">
      <c r="A10" s="16" t="s">
        <v>48</v>
      </c>
      <c r="B10" s="16" t="s">
        <v>49</v>
      </c>
      <c r="C10" s="16" t="s">
        <v>50</v>
      </c>
      <c r="D10" s="16" t="s">
        <v>51</v>
      </c>
      <c r="E10" s="16" t="s">
        <v>52</v>
      </c>
      <c r="F10" s="16" t="s">
        <v>53</v>
      </c>
      <c r="G10" s="16" t="s">
        <v>54</v>
      </c>
      <c r="H10" s="22" t="s">
        <v>55</v>
      </c>
      <c r="I10" s="23" t="s">
        <v>64</v>
      </c>
      <c r="J10" s="11">
        <v>2</v>
      </c>
      <c r="K10" s="12" t="s">
        <v>2</v>
      </c>
      <c r="L10" s="13">
        <v>1</v>
      </c>
      <c r="M10" s="14">
        <v>0</v>
      </c>
      <c r="N10" s="14">
        <v>1</v>
      </c>
      <c r="O10" s="9">
        <v>401</v>
      </c>
      <c r="P10" s="9" t="s">
        <v>57</v>
      </c>
      <c r="Q10" s="14">
        <v>1</v>
      </c>
      <c r="R10" s="9">
        <v>0</v>
      </c>
      <c r="S10" s="9">
        <v>0</v>
      </c>
      <c r="T10" s="8" t="s">
        <v>58</v>
      </c>
      <c r="U10" s="85">
        <v>53</v>
      </c>
      <c r="V10" s="8">
        <v>530106</v>
      </c>
      <c r="W10" s="16" t="s">
        <v>65</v>
      </c>
      <c r="X10" s="18">
        <v>112</v>
      </c>
      <c r="Y10" s="65">
        <f>112-82.77-3.13</f>
        <v>26.100000000000005</v>
      </c>
      <c r="Z10" s="17">
        <v>26.100000000000005</v>
      </c>
      <c r="AA10" s="17">
        <v>26.09821428571429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0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9">
        <f t="shared" si="4"/>
        <v>26.100000000000005</v>
      </c>
      <c r="AY10" s="10" t="str">
        <f t="shared" si="5"/>
        <v>OK</v>
      </c>
      <c r="AZ10" s="10">
        <f t="shared" si="1"/>
        <v>26.09821428571429</v>
      </c>
      <c r="BA10" s="10">
        <f t="shared" si="6"/>
        <v>0.0017857142857167219</v>
      </c>
      <c r="BB10" s="17">
        <v>26.1</v>
      </c>
      <c r="BC10" s="113">
        <f t="shared" si="3"/>
        <v>0</v>
      </c>
    </row>
    <row r="11" spans="1:55" s="118" customFormat="1" ht="13.5" customHeight="1">
      <c r="A11" s="16" t="s">
        <v>48</v>
      </c>
      <c r="B11" s="16" t="s">
        <v>49</v>
      </c>
      <c r="C11" s="16" t="s">
        <v>50</v>
      </c>
      <c r="D11" s="16" t="s">
        <v>51</v>
      </c>
      <c r="E11" s="16" t="s">
        <v>52</v>
      </c>
      <c r="F11" s="16" t="s">
        <v>53</v>
      </c>
      <c r="G11" s="16" t="s">
        <v>54</v>
      </c>
      <c r="H11" s="22" t="s">
        <v>55</v>
      </c>
      <c r="I11" s="134" t="s">
        <v>66</v>
      </c>
      <c r="J11" s="11">
        <v>1</v>
      </c>
      <c r="K11" s="12" t="s">
        <v>2</v>
      </c>
      <c r="L11" s="13">
        <v>1</v>
      </c>
      <c r="M11" s="14">
        <v>0</v>
      </c>
      <c r="N11" s="14">
        <v>1</v>
      </c>
      <c r="O11" s="9">
        <v>401</v>
      </c>
      <c r="P11" s="9" t="s">
        <v>57</v>
      </c>
      <c r="Q11" s="14">
        <v>1</v>
      </c>
      <c r="R11" s="9">
        <v>0</v>
      </c>
      <c r="S11" s="9">
        <v>0</v>
      </c>
      <c r="T11" s="8" t="s">
        <v>58</v>
      </c>
      <c r="U11" s="85">
        <v>53</v>
      </c>
      <c r="V11" s="8">
        <v>530106</v>
      </c>
      <c r="W11" s="16" t="s">
        <v>65</v>
      </c>
      <c r="X11" s="18">
        <v>381.92</v>
      </c>
      <c r="Y11" s="132">
        <f>381.92+82.77-196.83-45.06-73</f>
        <v>149.8</v>
      </c>
      <c r="Z11" s="17">
        <v>0</v>
      </c>
      <c r="AA11" s="17">
        <v>0</v>
      </c>
      <c r="AB11" s="17">
        <v>0</v>
      </c>
      <c r="AC11" s="17">
        <v>0</v>
      </c>
      <c r="AD11" s="17">
        <v>31</v>
      </c>
      <c r="AE11" s="17">
        <v>15</v>
      </c>
      <c r="AF11" s="17">
        <v>31</v>
      </c>
      <c r="AG11" s="59">
        <v>12</v>
      </c>
      <c r="AH11" s="17">
        <v>31</v>
      </c>
      <c r="AI11" s="17">
        <v>28.4</v>
      </c>
      <c r="AJ11" s="107">
        <v>31</v>
      </c>
      <c r="AK11" s="17">
        <v>21</v>
      </c>
      <c r="AL11" s="17">
        <v>25.80000000000001</v>
      </c>
      <c r="AM11" s="17">
        <v>9</v>
      </c>
      <c r="AN11" s="17">
        <v>0</v>
      </c>
      <c r="AO11" s="17">
        <v>15</v>
      </c>
      <c r="AP11" s="17">
        <v>0</v>
      </c>
      <c r="AQ11" s="17">
        <v>22.4</v>
      </c>
      <c r="AR11" s="17">
        <v>0</v>
      </c>
      <c r="AS11" s="17">
        <v>12</v>
      </c>
      <c r="AT11" s="17">
        <v>0</v>
      </c>
      <c r="AU11" s="17">
        <v>6</v>
      </c>
      <c r="AV11" s="17">
        <v>0</v>
      </c>
      <c r="AW11" s="17">
        <v>9</v>
      </c>
      <c r="AX11" s="19">
        <f t="shared" si="4"/>
        <v>149.8</v>
      </c>
      <c r="AY11" s="10" t="str">
        <f t="shared" si="5"/>
        <v>OK</v>
      </c>
      <c r="AZ11" s="10">
        <f t="shared" si="1"/>
        <v>149.8</v>
      </c>
      <c r="BA11" s="10">
        <f t="shared" si="6"/>
        <v>0</v>
      </c>
      <c r="BB11" s="17">
        <f>267.86-45.06</f>
        <v>222.8</v>
      </c>
      <c r="BC11" s="113">
        <f t="shared" si="3"/>
        <v>-73</v>
      </c>
    </row>
    <row r="12" spans="1:55" s="118" customFormat="1" ht="13.5" customHeight="1">
      <c r="A12" s="16" t="s">
        <v>48</v>
      </c>
      <c r="B12" s="16" t="s">
        <v>49</v>
      </c>
      <c r="C12" s="16" t="s">
        <v>50</v>
      </c>
      <c r="D12" s="16" t="s">
        <v>51</v>
      </c>
      <c r="E12" s="16" t="s">
        <v>52</v>
      </c>
      <c r="F12" s="16" t="s">
        <v>53</v>
      </c>
      <c r="G12" s="16" t="s">
        <v>54</v>
      </c>
      <c r="H12" s="22" t="s">
        <v>55</v>
      </c>
      <c r="I12" s="23" t="s">
        <v>67</v>
      </c>
      <c r="J12" s="11">
        <v>1</v>
      </c>
      <c r="K12" s="12" t="s">
        <v>2</v>
      </c>
      <c r="L12" s="13">
        <v>1</v>
      </c>
      <c r="M12" s="14">
        <v>0</v>
      </c>
      <c r="N12" s="14">
        <v>1</v>
      </c>
      <c r="O12" s="9">
        <v>401</v>
      </c>
      <c r="P12" s="9" t="s">
        <v>57</v>
      </c>
      <c r="Q12" s="14">
        <v>1</v>
      </c>
      <c r="R12" s="9">
        <v>0</v>
      </c>
      <c r="S12" s="9">
        <v>0</v>
      </c>
      <c r="T12" s="8" t="s">
        <v>58</v>
      </c>
      <c r="U12" s="85">
        <v>53</v>
      </c>
      <c r="V12" s="8">
        <v>530201</v>
      </c>
      <c r="W12" s="16" t="s">
        <v>68</v>
      </c>
      <c r="X12" s="18">
        <v>1840</v>
      </c>
      <c r="Y12" s="65">
        <f>1840-3.77</f>
        <v>1836.23</v>
      </c>
      <c r="Z12" s="17">
        <v>1836.23</v>
      </c>
      <c r="AA12" s="17">
        <v>1836.23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0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9">
        <f t="shared" si="4"/>
        <v>1836.23</v>
      </c>
      <c r="AY12" s="10" t="str">
        <f t="shared" si="5"/>
        <v>OK</v>
      </c>
      <c r="AZ12" s="10">
        <f t="shared" si="1"/>
        <v>1836.23</v>
      </c>
      <c r="BA12" s="10">
        <f t="shared" si="6"/>
        <v>0</v>
      </c>
      <c r="BB12" s="17">
        <v>1836.23</v>
      </c>
      <c r="BC12" s="113">
        <f t="shared" si="3"/>
        <v>0</v>
      </c>
    </row>
    <row r="13" spans="1:55" s="118" customFormat="1" ht="13.5" customHeight="1">
      <c r="A13" s="16" t="s">
        <v>48</v>
      </c>
      <c r="B13" s="16" t="s">
        <v>49</v>
      </c>
      <c r="C13" s="16" t="s">
        <v>50</v>
      </c>
      <c r="D13" s="16" t="s">
        <v>51</v>
      </c>
      <c r="E13" s="16" t="s">
        <v>52</v>
      </c>
      <c r="F13" s="16" t="s">
        <v>53</v>
      </c>
      <c r="G13" s="16" t="s">
        <v>54</v>
      </c>
      <c r="H13" s="22" t="s">
        <v>55</v>
      </c>
      <c r="I13" s="143" t="s">
        <v>69</v>
      </c>
      <c r="J13" s="11">
        <v>1</v>
      </c>
      <c r="K13" s="12" t="s">
        <v>2</v>
      </c>
      <c r="L13" s="13">
        <v>1</v>
      </c>
      <c r="M13" s="14">
        <v>0</v>
      </c>
      <c r="N13" s="14">
        <v>1</v>
      </c>
      <c r="O13" s="9">
        <v>401</v>
      </c>
      <c r="P13" s="9" t="s">
        <v>57</v>
      </c>
      <c r="Q13" s="14">
        <v>1</v>
      </c>
      <c r="R13" s="9">
        <v>0</v>
      </c>
      <c r="S13" s="9">
        <v>0</v>
      </c>
      <c r="T13" s="8" t="s">
        <v>58</v>
      </c>
      <c r="U13" s="85">
        <v>53</v>
      </c>
      <c r="V13" s="8">
        <v>530201</v>
      </c>
      <c r="W13" s="16" t="s">
        <v>68</v>
      </c>
      <c r="X13" s="18">
        <v>26763</v>
      </c>
      <c r="Y13" s="144">
        <f>26763-8763+0.01-1500</f>
        <v>16500.01</v>
      </c>
      <c r="Z13" s="17">
        <v>0</v>
      </c>
      <c r="AA13" s="17">
        <v>0</v>
      </c>
      <c r="AB13" s="17">
        <v>1500</v>
      </c>
      <c r="AC13" s="17">
        <v>1500</v>
      </c>
      <c r="AD13" s="17">
        <v>1500</v>
      </c>
      <c r="AE13" s="17">
        <v>1500</v>
      </c>
      <c r="AF13" s="17">
        <v>1500</v>
      </c>
      <c r="AG13" s="59">
        <v>1500</v>
      </c>
      <c r="AH13" s="17">
        <v>1500</v>
      </c>
      <c r="AI13" s="17">
        <v>1500</v>
      </c>
      <c r="AJ13" s="107">
        <v>1500</v>
      </c>
      <c r="AK13" s="17">
        <v>1500</v>
      </c>
      <c r="AL13" s="17">
        <v>1500</v>
      </c>
      <c r="AM13" s="17">
        <v>1500</v>
      </c>
      <c r="AN13" s="17">
        <v>1500</v>
      </c>
      <c r="AO13" s="17">
        <v>1500</v>
      </c>
      <c r="AP13" s="17">
        <v>1500</v>
      </c>
      <c r="AQ13" s="17">
        <v>1500</v>
      </c>
      <c r="AR13" s="17">
        <v>1500</v>
      </c>
      <c r="AS13" s="17">
        <v>1500</v>
      </c>
      <c r="AT13" s="17">
        <v>1500</v>
      </c>
      <c r="AU13" s="17">
        <v>1500</v>
      </c>
      <c r="AV13" s="17">
        <v>1500.0099999999984</v>
      </c>
      <c r="AW13" s="17">
        <v>1500</v>
      </c>
      <c r="AX13" s="19">
        <f t="shared" si="4"/>
        <v>16500.01</v>
      </c>
      <c r="AY13" s="10" t="str">
        <f t="shared" si="5"/>
        <v>OK</v>
      </c>
      <c r="AZ13" s="10">
        <f t="shared" si="1"/>
        <v>16500</v>
      </c>
      <c r="BA13" s="10">
        <f t="shared" si="6"/>
        <v>0.00999999999839929</v>
      </c>
      <c r="BB13" s="17">
        <f>18000-1500</f>
        <v>16500</v>
      </c>
      <c r="BC13" s="113">
        <f t="shared" si="3"/>
        <v>0.00999999999839929</v>
      </c>
    </row>
    <row r="14" spans="1:55" s="118" customFormat="1" ht="13.5" customHeight="1">
      <c r="A14" s="16" t="s">
        <v>48</v>
      </c>
      <c r="B14" s="16" t="s">
        <v>49</v>
      </c>
      <c r="C14" s="16" t="s">
        <v>50</v>
      </c>
      <c r="D14" s="16" t="s">
        <v>51</v>
      </c>
      <c r="E14" s="16" t="s">
        <v>52</v>
      </c>
      <c r="F14" s="16" t="s">
        <v>53</v>
      </c>
      <c r="G14" s="16" t="s">
        <v>54</v>
      </c>
      <c r="H14" s="22" t="s">
        <v>55</v>
      </c>
      <c r="I14" s="147" t="s">
        <v>70</v>
      </c>
      <c r="J14" s="11">
        <v>1</v>
      </c>
      <c r="K14" s="12" t="s">
        <v>2</v>
      </c>
      <c r="L14" s="13">
        <v>1</v>
      </c>
      <c r="M14" s="14">
        <v>0</v>
      </c>
      <c r="N14" s="14">
        <v>1</v>
      </c>
      <c r="O14" s="9">
        <v>401</v>
      </c>
      <c r="P14" s="9" t="s">
        <v>57</v>
      </c>
      <c r="Q14" s="14">
        <v>1</v>
      </c>
      <c r="R14" s="9">
        <v>0</v>
      </c>
      <c r="S14" s="9">
        <v>0</v>
      </c>
      <c r="T14" s="8" t="s">
        <v>58</v>
      </c>
      <c r="U14" s="85">
        <v>53</v>
      </c>
      <c r="V14" s="8">
        <v>530203</v>
      </c>
      <c r="W14" s="16" t="s">
        <v>71</v>
      </c>
      <c r="X14" s="18">
        <v>340.48</v>
      </c>
      <c r="Y14" s="146">
        <f>340.48-60.48-162</f>
        <v>118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0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118</v>
      </c>
      <c r="AU14" s="17">
        <v>0</v>
      </c>
      <c r="AV14" s="17">
        <v>0</v>
      </c>
      <c r="AW14" s="17">
        <v>118</v>
      </c>
      <c r="AX14" s="19">
        <f t="shared" si="4"/>
        <v>118</v>
      </c>
      <c r="AY14" s="10" t="str">
        <f t="shared" si="5"/>
        <v>OK</v>
      </c>
      <c r="AZ14" s="10">
        <f t="shared" si="1"/>
        <v>118</v>
      </c>
      <c r="BA14" s="10">
        <f t="shared" si="6"/>
        <v>0</v>
      </c>
      <c r="BB14" s="17">
        <v>118</v>
      </c>
      <c r="BC14" s="113">
        <f t="shared" si="3"/>
        <v>0</v>
      </c>
    </row>
    <row r="15" spans="1:55" s="118" customFormat="1" ht="13.5" customHeight="1">
      <c r="A15" s="16" t="s">
        <v>48</v>
      </c>
      <c r="B15" s="16" t="s">
        <v>49</v>
      </c>
      <c r="C15" s="16" t="s">
        <v>50</v>
      </c>
      <c r="D15" s="16" t="s">
        <v>51</v>
      </c>
      <c r="E15" s="16" t="s">
        <v>52</v>
      </c>
      <c r="F15" s="16" t="s">
        <v>53</v>
      </c>
      <c r="G15" s="16" t="s">
        <v>54</v>
      </c>
      <c r="H15" s="22" t="s">
        <v>55</v>
      </c>
      <c r="I15" s="23" t="s">
        <v>72</v>
      </c>
      <c r="J15" s="11">
        <v>2</v>
      </c>
      <c r="K15" s="12" t="s">
        <v>2</v>
      </c>
      <c r="L15" s="13">
        <v>1</v>
      </c>
      <c r="M15" s="14">
        <v>0</v>
      </c>
      <c r="N15" s="14">
        <v>1</v>
      </c>
      <c r="O15" s="9">
        <v>401</v>
      </c>
      <c r="P15" s="9" t="s">
        <v>57</v>
      </c>
      <c r="Q15" s="14">
        <v>1</v>
      </c>
      <c r="R15" s="9">
        <v>0</v>
      </c>
      <c r="S15" s="9">
        <v>0</v>
      </c>
      <c r="T15" s="8" t="s">
        <v>58</v>
      </c>
      <c r="U15" s="85">
        <v>53</v>
      </c>
      <c r="V15" s="8">
        <v>530204</v>
      </c>
      <c r="W15" s="16" t="s">
        <v>73</v>
      </c>
      <c r="X15" s="18">
        <v>100</v>
      </c>
      <c r="Y15" s="89">
        <f>100-50-20</f>
        <v>30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0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30</v>
      </c>
      <c r="AW15" s="17">
        <v>30</v>
      </c>
      <c r="AX15" s="19">
        <f t="shared" si="4"/>
        <v>30</v>
      </c>
      <c r="AY15" s="10" t="str">
        <f t="shared" si="5"/>
        <v>OK</v>
      </c>
      <c r="AZ15" s="10">
        <f t="shared" si="1"/>
        <v>30</v>
      </c>
      <c r="BA15" s="10">
        <f t="shared" si="6"/>
        <v>0</v>
      </c>
      <c r="BB15" s="17">
        <v>0</v>
      </c>
      <c r="BC15" s="113">
        <f t="shared" si="3"/>
        <v>30</v>
      </c>
    </row>
    <row r="16" spans="1:55" s="118" customFormat="1" ht="13.5" customHeight="1">
      <c r="A16" s="16" t="s">
        <v>48</v>
      </c>
      <c r="B16" s="16" t="s">
        <v>49</v>
      </c>
      <c r="C16" s="16" t="s">
        <v>50</v>
      </c>
      <c r="D16" s="16" t="s">
        <v>51</v>
      </c>
      <c r="E16" s="16" t="s">
        <v>52</v>
      </c>
      <c r="F16" s="16" t="s">
        <v>53</v>
      </c>
      <c r="G16" s="16" t="s">
        <v>54</v>
      </c>
      <c r="H16" s="22" t="s">
        <v>55</v>
      </c>
      <c r="I16" s="63" t="s">
        <v>276</v>
      </c>
      <c r="J16" s="11">
        <v>1</v>
      </c>
      <c r="K16" s="12" t="s">
        <v>2</v>
      </c>
      <c r="L16" s="13">
        <v>1</v>
      </c>
      <c r="M16" s="14">
        <v>0</v>
      </c>
      <c r="N16" s="14">
        <v>1</v>
      </c>
      <c r="O16" s="9">
        <v>401</v>
      </c>
      <c r="P16" s="9" t="s">
        <v>57</v>
      </c>
      <c r="Q16" s="14">
        <v>1</v>
      </c>
      <c r="R16" s="9">
        <v>0</v>
      </c>
      <c r="S16" s="9">
        <v>0</v>
      </c>
      <c r="T16" s="8" t="s">
        <v>58</v>
      </c>
      <c r="U16" s="85">
        <v>53</v>
      </c>
      <c r="V16" s="8">
        <v>530204</v>
      </c>
      <c r="W16" s="16" t="s">
        <v>73</v>
      </c>
      <c r="X16" s="18">
        <v>450.23999999999995</v>
      </c>
      <c r="Y16" s="89">
        <f>450.24-250.24-122.45</f>
        <v>77.55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07">
        <v>77.55</v>
      </c>
      <c r="AK16" s="17">
        <v>0</v>
      </c>
      <c r="AL16" s="17">
        <v>0</v>
      </c>
      <c r="AM16" s="17">
        <v>77.55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9">
        <f t="shared" si="4"/>
        <v>77.55</v>
      </c>
      <c r="AY16" s="10" t="str">
        <f t="shared" si="5"/>
        <v>OK</v>
      </c>
      <c r="AZ16" s="10">
        <f t="shared" si="1"/>
        <v>77.55</v>
      </c>
      <c r="BA16" s="10">
        <f t="shared" si="6"/>
        <v>0</v>
      </c>
      <c r="BB16" s="17">
        <v>77.55</v>
      </c>
      <c r="BC16" s="113">
        <f t="shared" si="3"/>
        <v>0</v>
      </c>
    </row>
    <row r="17" spans="1:55" s="118" customFormat="1" ht="13.5" customHeight="1">
      <c r="A17" s="16" t="s">
        <v>48</v>
      </c>
      <c r="B17" s="16" t="s">
        <v>49</v>
      </c>
      <c r="C17" s="16" t="s">
        <v>74</v>
      </c>
      <c r="D17" s="16" t="s">
        <v>75</v>
      </c>
      <c r="E17" s="16" t="s">
        <v>52</v>
      </c>
      <c r="F17" s="16" t="s">
        <v>53</v>
      </c>
      <c r="G17" s="16" t="s">
        <v>306</v>
      </c>
      <c r="H17" s="22" t="s">
        <v>76</v>
      </c>
      <c r="I17" s="134" t="s">
        <v>303</v>
      </c>
      <c r="J17" s="11">
        <v>2</v>
      </c>
      <c r="K17" s="12" t="s">
        <v>2</v>
      </c>
      <c r="L17" s="13">
        <v>1</v>
      </c>
      <c r="M17" s="14">
        <v>0</v>
      </c>
      <c r="N17" s="14">
        <v>1</v>
      </c>
      <c r="O17" s="9">
        <v>401</v>
      </c>
      <c r="P17" s="9" t="s">
        <v>57</v>
      </c>
      <c r="Q17" s="14">
        <v>1</v>
      </c>
      <c r="R17" s="9">
        <v>0</v>
      </c>
      <c r="S17" s="9">
        <v>0</v>
      </c>
      <c r="T17" s="8" t="s">
        <v>58</v>
      </c>
      <c r="U17" s="85">
        <v>53</v>
      </c>
      <c r="V17" s="8">
        <v>530204</v>
      </c>
      <c r="W17" s="16" t="s">
        <v>73</v>
      </c>
      <c r="X17" s="18">
        <v>1382.0799999999992</v>
      </c>
      <c r="Y17" s="132">
        <f>1382.08-1382.08</f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80">
        <v>0</v>
      </c>
      <c r="AG17" s="17">
        <v>0</v>
      </c>
      <c r="AH17" s="17">
        <v>0</v>
      </c>
      <c r="AI17" s="17">
        <v>0</v>
      </c>
      <c r="AJ17" s="107">
        <v>0</v>
      </c>
      <c r="AK17" s="17">
        <v>0</v>
      </c>
      <c r="AL17" s="17">
        <v>0</v>
      </c>
      <c r="AM17" s="17">
        <v>0</v>
      </c>
      <c r="AN17" s="59">
        <v>0</v>
      </c>
      <c r="AO17" s="17">
        <v>0</v>
      </c>
      <c r="AP17" s="59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9">
        <f t="shared" si="4"/>
        <v>0</v>
      </c>
      <c r="AY17" s="10" t="str">
        <f t="shared" si="5"/>
        <v>OK</v>
      </c>
      <c r="AZ17" s="10">
        <f t="shared" si="1"/>
        <v>0</v>
      </c>
      <c r="BA17" s="10">
        <f t="shared" si="6"/>
        <v>0</v>
      </c>
      <c r="BB17" s="17">
        <v>0</v>
      </c>
      <c r="BC17" s="113">
        <f t="shared" si="3"/>
        <v>0</v>
      </c>
    </row>
    <row r="18" spans="1:55" s="118" customFormat="1" ht="13.5" customHeight="1">
      <c r="A18" s="16" t="s">
        <v>48</v>
      </c>
      <c r="B18" s="16" t="s">
        <v>49</v>
      </c>
      <c r="C18" s="16" t="s">
        <v>74</v>
      </c>
      <c r="D18" s="16" t="s">
        <v>75</v>
      </c>
      <c r="E18" s="16" t="s">
        <v>52</v>
      </c>
      <c r="F18" s="16" t="s">
        <v>53</v>
      </c>
      <c r="G18" s="16" t="s">
        <v>306</v>
      </c>
      <c r="H18" s="22" t="s">
        <v>76</v>
      </c>
      <c r="I18" s="23" t="s">
        <v>77</v>
      </c>
      <c r="J18" s="11">
        <v>2</v>
      </c>
      <c r="K18" s="12" t="s">
        <v>2</v>
      </c>
      <c r="L18" s="13">
        <v>1</v>
      </c>
      <c r="M18" s="14">
        <v>0</v>
      </c>
      <c r="N18" s="14">
        <v>1</v>
      </c>
      <c r="O18" s="9">
        <v>401</v>
      </c>
      <c r="P18" s="9" t="s">
        <v>57</v>
      </c>
      <c r="Q18" s="14">
        <v>1</v>
      </c>
      <c r="R18" s="9">
        <v>0</v>
      </c>
      <c r="S18" s="9">
        <v>0</v>
      </c>
      <c r="T18" s="8" t="s">
        <v>58</v>
      </c>
      <c r="U18" s="85">
        <v>53</v>
      </c>
      <c r="V18" s="8">
        <v>530207</v>
      </c>
      <c r="W18" s="16" t="s">
        <v>78</v>
      </c>
      <c r="X18" s="18">
        <v>240.8</v>
      </c>
      <c r="Y18" s="18">
        <f>240.8-240.8</f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0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9">
        <f t="shared" si="4"/>
        <v>0</v>
      </c>
      <c r="AY18" s="10" t="str">
        <f t="shared" si="5"/>
        <v>OK</v>
      </c>
      <c r="AZ18" s="10">
        <f t="shared" si="1"/>
        <v>0</v>
      </c>
      <c r="BA18" s="10">
        <f t="shared" si="6"/>
        <v>0</v>
      </c>
      <c r="BB18" s="17">
        <v>0</v>
      </c>
      <c r="BC18" s="113">
        <f t="shared" si="3"/>
        <v>0</v>
      </c>
    </row>
    <row r="19" spans="1:55" s="118" customFormat="1" ht="13.5" customHeight="1">
      <c r="A19" s="16" t="s">
        <v>48</v>
      </c>
      <c r="B19" s="16" t="s">
        <v>49</v>
      </c>
      <c r="C19" s="16" t="s">
        <v>50</v>
      </c>
      <c r="D19" s="16" t="s">
        <v>51</v>
      </c>
      <c r="E19" s="16" t="s">
        <v>52</v>
      </c>
      <c r="F19" s="16" t="s">
        <v>53</v>
      </c>
      <c r="G19" s="16" t="s">
        <v>54</v>
      </c>
      <c r="H19" s="22" t="s">
        <v>55</v>
      </c>
      <c r="I19" s="134" t="s">
        <v>79</v>
      </c>
      <c r="J19" s="11">
        <v>1</v>
      </c>
      <c r="K19" s="12" t="s">
        <v>2</v>
      </c>
      <c r="L19" s="13">
        <v>1</v>
      </c>
      <c r="M19" s="14">
        <v>0</v>
      </c>
      <c r="N19" s="14">
        <v>1</v>
      </c>
      <c r="O19" s="9">
        <v>401</v>
      </c>
      <c r="P19" s="9" t="s">
        <v>57</v>
      </c>
      <c r="Q19" s="14">
        <v>1</v>
      </c>
      <c r="R19" s="9">
        <v>0</v>
      </c>
      <c r="S19" s="9">
        <v>0</v>
      </c>
      <c r="T19" s="8" t="s">
        <v>58</v>
      </c>
      <c r="U19" s="85">
        <v>53</v>
      </c>
      <c r="V19" s="8">
        <v>530209</v>
      </c>
      <c r="W19" s="16" t="s">
        <v>80</v>
      </c>
      <c r="X19" s="18">
        <v>3311.84</v>
      </c>
      <c r="Y19" s="132">
        <f>3311.84-1.8-354.65</f>
        <v>2955.39</v>
      </c>
      <c r="Z19" s="17">
        <v>2955.39</v>
      </c>
      <c r="AA19" s="17">
        <v>2955.39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0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9">
        <f t="shared" si="4"/>
        <v>2955.39</v>
      </c>
      <c r="AY19" s="10" t="str">
        <f t="shared" si="5"/>
        <v>OK</v>
      </c>
      <c r="AZ19" s="10">
        <f t="shared" si="1"/>
        <v>2955.39</v>
      </c>
      <c r="BA19" s="10">
        <f t="shared" si="6"/>
        <v>0</v>
      </c>
      <c r="BB19" s="17">
        <v>2955.39</v>
      </c>
      <c r="BC19" s="113">
        <f t="shared" si="3"/>
        <v>0</v>
      </c>
    </row>
    <row r="20" spans="1:55" s="118" customFormat="1" ht="13.5" customHeight="1">
      <c r="A20" s="16" t="s">
        <v>48</v>
      </c>
      <c r="B20" s="16" t="s">
        <v>49</v>
      </c>
      <c r="C20" s="16" t="s">
        <v>50</v>
      </c>
      <c r="D20" s="16" t="s">
        <v>51</v>
      </c>
      <c r="E20" s="16" t="s">
        <v>52</v>
      </c>
      <c r="F20" s="16" t="s">
        <v>53</v>
      </c>
      <c r="G20" s="16" t="s">
        <v>54</v>
      </c>
      <c r="H20" s="22" t="s">
        <v>55</v>
      </c>
      <c r="I20" s="143" t="s">
        <v>81</v>
      </c>
      <c r="J20" s="11">
        <v>1</v>
      </c>
      <c r="K20" s="12" t="s">
        <v>2</v>
      </c>
      <c r="L20" s="13">
        <v>1</v>
      </c>
      <c r="M20" s="14">
        <v>0</v>
      </c>
      <c r="N20" s="14">
        <v>1</v>
      </c>
      <c r="O20" s="9">
        <v>401</v>
      </c>
      <c r="P20" s="9" t="s">
        <v>57</v>
      </c>
      <c r="Q20" s="14">
        <v>1</v>
      </c>
      <c r="R20" s="9">
        <v>0</v>
      </c>
      <c r="S20" s="9">
        <v>0</v>
      </c>
      <c r="T20" s="8" t="s">
        <v>58</v>
      </c>
      <c r="U20" s="85">
        <v>53</v>
      </c>
      <c r="V20" s="8">
        <v>530209</v>
      </c>
      <c r="W20" s="16" t="s">
        <v>80</v>
      </c>
      <c r="X20" s="18">
        <v>21766.08</v>
      </c>
      <c r="Y20" s="144">
        <f>21766.08+19861-1906.64-4255.76-2955.39</f>
        <v>32509.29</v>
      </c>
      <c r="Z20" s="17">
        <v>0</v>
      </c>
      <c r="AA20" s="17">
        <v>0</v>
      </c>
      <c r="AB20" s="17">
        <v>2955.39</v>
      </c>
      <c r="AC20" s="17">
        <v>2955.39</v>
      </c>
      <c r="AD20" s="17">
        <v>2955.39</v>
      </c>
      <c r="AE20" s="17">
        <v>2955.39</v>
      </c>
      <c r="AF20" s="17">
        <v>2955.39</v>
      </c>
      <c r="AG20" s="59">
        <v>2955.39</v>
      </c>
      <c r="AH20" s="17">
        <v>2955.39</v>
      </c>
      <c r="AI20" s="17">
        <v>2955.39</v>
      </c>
      <c r="AJ20" s="17">
        <v>2955.39</v>
      </c>
      <c r="AK20" s="17">
        <v>2955.39</v>
      </c>
      <c r="AL20" s="17">
        <v>2955.39</v>
      </c>
      <c r="AM20" s="17">
        <v>2955.39</v>
      </c>
      <c r="AN20" s="17">
        <v>2955.39</v>
      </c>
      <c r="AO20" s="17">
        <v>2955.39</v>
      </c>
      <c r="AP20" s="17">
        <v>2955.39</v>
      </c>
      <c r="AQ20" s="17">
        <v>2955.39</v>
      </c>
      <c r="AR20" s="17">
        <v>2955.39</v>
      </c>
      <c r="AS20" s="17">
        <v>2955.39</v>
      </c>
      <c r="AT20" s="17">
        <v>2955.39</v>
      </c>
      <c r="AU20" s="17">
        <v>2955.39</v>
      </c>
      <c r="AV20" s="17">
        <v>2955.390000000003</v>
      </c>
      <c r="AW20" s="17">
        <v>2955.39</v>
      </c>
      <c r="AX20" s="19">
        <f t="shared" si="4"/>
        <v>32509.29</v>
      </c>
      <c r="AY20" s="10" t="str">
        <f t="shared" si="5"/>
        <v>OK</v>
      </c>
      <c r="AZ20" s="10">
        <f t="shared" si="1"/>
        <v>32509.289999999997</v>
      </c>
      <c r="BA20" s="10">
        <f t="shared" si="6"/>
        <v>0</v>
      </c>
      <c r="BB20" s="17">
        <f>17732.34+17732.34-2955.39</f>
        <v>32509.29</v>
      </c>
      <c r="BC20" s="113">
        <f t="shared" si="3"/>
        <v>0</v>
      </c>
    </row>
    <row r="21" spans="1:55" s="118" customFormat="1" ht="13.5" customHeight="1">
      <c r="A21" s="16" t="s">
        <v>48</v>
      </c>
      <c r="B21" s="16" t="s">
        <v>49</v>
      </c>
      <c r="C21" s="16" t="s">
        <v>50</v>
      </c>
      <c r="D21" s="16" t="s">
        <v>51</v>
      </c>
      <c r="E21" s="16" t="s">
        <v>52</v>
      </c>
      <c r="F21" s="16" t="s">
        <v>53</v>
      </c>
      <c r="G21" s="16" t="s">
        <v>54</v>
      </c>
      <c r="H21" s="22" t="s">
        <v>55</v>
      </c>
      <c r="I21" s="23" t="s">
        <v>82</v>
      </c>
      <c r="J21" s="11">
        <v>2</v>
      </c>
      <c r="K21" s="12" t="s">
        <v>2</v>
      </c>
      <c r="L21" s="13">
        <v>1</v>
      </c>
      <c r="M21" s="14">
        <v>0</v>
      </c>
      <c r="N21" s="14">
        <v>1</v>
      </c>
      <c r="O21" s="9">
        <v>401</v>
      </c>
      <c r="P21" s="9" t="s">
        <v>57</v>
      </c>
      <c r="Q21" s="14">
        <v>1</v>
      </c>
      <c r="R21" s="9">
        <v>0</v>
      </c>
      <c r="S21" s="9">
        <v>0</v>
      </c>
      <c r="T21" s="8" t="s">
        <v>58</v>
      </c>
      <c r="U21" s="85">
        <v>53</v>
      </c>
      <c r="V21" s="8">
        <v>530301</v>
      </c>
      <c r="W21" s="16" t="s">
        <v>83</v>
      </c>
      <c r="X21" s="18">
        <v>100</v>
      </c>
      <c r="Y21" s="123">
        <f>100-100</f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0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9">
        <f t="shared" si="4"/>
        <v>0</v>
      </c>
      <c r="AY21" s="10" t="str">
        <f t="shared" si="5"/>
        <v>OK</v>
      </c>
      <c r="AZ21" s="10">
        <f t="shared" si="1"/>
        <v>0</v>
      </c>
      <c r="BA21" s="10">
        <f t="shared" si="6"/>
        <v>0</v>
      </c>
      <c r="BB21" s="17">
        <v>0</v>
      </c>
      <c r="BC21" s="113">
        <f t="shared" si="3"/>
        <v>0</v>
      </c>
    </row>
    <row r="22" spans="1:55" s="118" customFormat="1" ht="13.5" customHeight="1">
      <c r="A22" s="16" t="s">
        <v>48</v>
      </c>
      <c r="B22" s="16" t="s">
        <v>49</v>
      </c>
      <c r="C22" s="16" t="s">
        <v>50</v>
      </c>
      <c r="D22" s="16" t="s">
        <v>51</v>
      </c>
      <c r="E22" s="16" t="s">
        <v>52</v>
      </c>
      <c r="F22" s="16" t="s">
        <v>53</v>
      </c>
      <c r="G22" s="16" t="s">
        <v>54</v>
      </c>
      <c r="H22" s="22" t="s">
        <v>55</v>
      </c>
      <c r="I22" s="143" t="s">
        <v>84</v>
      </c>
      <c r="J22" s="11">
        <v>1</v>
      </c>
      <c r="K22" s="12" t="s">
        <v>2</v>
      </c>
      <c r="L22" s="13">
        <v>1</v>
      </c>
      <c r="M22" s="14">
        <v>0</v>
      </c>
      <c r="N22" s="14">
        <v>1</v>
      </c>
      <c r="O22" s="9">
        <v>401</v>
      </c>
      <c r="P22" s="9" t="s">
        <v>57</v>
      </c>
      <c r="Q22" s="14">
        <v>1</v>
      </c>
      <c r="R22" s="9">
        <v>0</v>
      </c>
      <c r="S22" s="9">
        <v>0</v>
      </c>
      <c r="T22" s="8" t="s">
        <v>58</v>
      </c>
      <c r="U22" s="85">
        <v>53</v>
      </c>
      <c r="V22" s="8">
        <v>530301</v>
      </c>
      <c r="W22" s="16" t="s">
        <v>83</v>
      </c>
      <c r="X22" s="18">
        <v>100</v>
      </c>
      <c r="Y22" s="144">
        <f>100-100</f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0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/>
      <c r="AW22" s="17">
        <v>0</v>
      </c>
      <c r="AX22" s="19">
        <f t="shared" si="4"/>
        <v>0</v>
      </c>
      <c r="AY22" s="10" t="str">
        <f t="shared" si="5"/>
        <v>OK</v>
      </c>
      <c r="AZ22" s="10">
        <f t="shared" si="1"/>
        <v>0</v>
      </c>
      <c r="BA22" s="10">
        <f t="shared" si="6"/>
        <v>0</v>
      </c>
      <c r="BB22" s="17">
        <v>0</v>
      </c>
      <c r="BC22" s="113">
        <f t="shared" si="3"/>
        <v>0</v>
      </c>
    </row>
    <row r="23" spans="1:55" s="118" customFormat="1" ht="13.5" customHeight="1">
      <c r="A23" s="16" t="s">
        <v>48</v>
      </c>
      <c r="B23" s="16" t="s">
        <v>49</v>
      </c>
      <c r="C23" s="16" t="s">
        <v>50</v>
      </c>
      <c r="D23" s="16" t="s">
        <v>51</v>
      </c>
      <c r="E23" s="16" t="s">
        <v>52</v>
      </c>
      <c r="F23" s="16" t="s">
        <v>53</v>
      </c>
      <c r="G23" s="16" t="s">
        <v>54</v>
      </c>
      <c r="H23" s="22" t="s">
        <v>55</v>
      </c>
      <c r="I23" s="134" t="s">
        <v>85</v>
      </c>
      <c r="J23" s="11">
        <v>1</v>
      </c>
      <c r="K23" s="12" t="s">
        <v>2</v>
      </c>
      <c r="L23" s="13">
        <v>1</v>
      </c>
      <c r="M23" s="14">
        <v>0</v>
      </c>
      <c r="N23" s="14">
        <v>1</v>
      </c>
      <c r="O23" s="9">
        <v>401</v>
      </c>
      <c r="P23" s="9" t="s">
        <v>57</v>
      </c>
      <c r="Q23" s="14">
        <v>1</v>
      </c>
      <c r="R23" s="9">
        <v>0</v>
      </c>
      <c r="S23" s="9">
        <v>0</v>
      </c>
      <c r="T23" s="8" t="s">
        <v>58</v>
      </c>
      <c r="U23" s="85">
        <v>53</v>
      </c>
      <c r="V23" s="8">
        <v>530303</v>
      </c>
      <c r="W23" s="16" t="s">
        <v>86</v>
      </c>
      <c r="X23" s="18">
        <v>960</v>
      </c>
      <c r="Y23" s="132">
        <f>960+500</f>
        <v>1460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59">
        <v>240</v>
      </c>
      <c r="AH23" s="17">
        <v>320</v>
      </c>
      <c r="AI23" s="17">
        <v>289.6</v>
      </c>
      <c r="AJ23" s="10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52.5</v>
      </c>
      <c r="AR23" s="17">
        <v>0</v>
      </c>
      <c r="AS23" s="17">
        <v>327.7</v>
      </c>
      <c r="AT23" s="17">
        <v>320</v>
      </c>
      <c r="AU23" s="17">
        <v>232</v>
      </c>
      <c r="AV23" s="17">
        <v>820</v>
      </c>
      <c r="AW23" s="17"/>
      <c r="AX23" s="19">
        <f t="shared" si="4"/>
        <v>1460</v>
      </c>
      <c r="AY23" s="10" t="str">
        <f t="shared" si="5"/>
        <v>OK</v>
      </c>
      <c r="AZ23" s="10">
        <f t="shared" si="1"/>
        <v>1141.8</v>
      </c>
      <c r="BA23" s="10">
        <f t="shared" si="6"/>
        <v>318.20000000000005</v>
      </c>
      <c r="BB23" s="17">
        <f>960-377.9+877.9</f>
        <v>1460</v>
      </c>
      <c r="BC23" s="113">
        <f t="shared" si="3"/>
        <v>0</v>
      </c>
    </row>
    <row r="24" spans="1:55" s="118" customFormat="1" ht="13.5" customHeight="1">
      <c r="A24" s="16" t="s">
        <v>48</v>
      </c>
      <c r="B24" s="16" t="s">
        <v>49</v>
      </c>
      <c r="C24" s="16" t="s">
        <v>50</v>
      </c>
      <c r="D24" s="16" t="s">
        <v>51</v>
      </c>
      <c r="E24" s="16" t="s">
        <v>52</v>
      </c>
      <c r="F24" s="16" t="s">
        <v>53</v>
      </c>
      <c r="G24" s="16" t="s">
        <v>54</v>
      </c>
      <c r="H24" s="22" t="s">
        <v>55</v>
      </c>
      <c r="I24" s="147" t="s">
        <v>87</v>
      </c>
      <c r="J24" s="11">
        <v>1</v>
      </c>
      <c r="K24" s="12" t="s">
        <v>2</v>
      </c>
      <c r="L24" s="13">
        <v>1</v>
      </c>
      <c r="M24" s="14">
        <v>0</v>
      </c>
      <c r="N24" s="14">
        <v>1</v>
      </c>
      <c r="O24" s="9">
        <v>401</v>
      </c>
      <c r="P24" s="9" t="s">
        <v>57</v>
      </c>
      <c r="Q24" s="14">
        <v>1</v>
      </c>
      <c r="R24" s="9">
        <v>0</v>
      </c>
      <c r="S24" s="9">
        <v>0</v>
      </c>
      <c r="T24" s="8" t="s">
        <v>58</v>
      </c>
      <c r="U24" s="85">
        <v>53</v>
      </c>
      <c r="V24" s="8">
        <v>530402</v>
      </c>
      <c r="W24" s="16" t="s">
        <v>88</v>
      </c>
      <c r="X24" s="18">
        <v>3499.999999999999</v>
      </c>
      <c r="Y24" s="146">
        <f>3500+4517.46-1017.46+1000-194.65-7805.35</f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0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9">
        <f t="shared" si="4"/>
        <v>0</v>
      </c>
      <c r="AY24" s="10" t="str">
        <f t="shared" si="5"/>
        <v>OK</v>
      </c>
      <c r="AZ24" s="10">
        <f t="shared" si="1"/>
        <v>0</v>
      </c>
      <c r="BA24" s="10">
        <f t="shared" si="6"/>
        <v>0</v>
      </c>
      <c r="BB24" s="17">
        <v>0</v>
      </c>
      <c r="BC24" s="113">
        <f t="shared" si="3"/>
        <v>0</v>
      </c>
    </row>
    <row r="25" spans="1:55" s="118" customFormat="1" ht="13.5" customHeight="1">
      <c r="A25" s="16" t="s">
        <v>48</v>
      </c>
      <c r="B25" s="16" t="s">
        <v>49</v>
      </c>
      <c r="C25" s="16" t="s">
        <v>50</v>
      </c>
      <c r="D25" s="16" t="s">
        <v>51</v>
      </c>
      <c r="E25" s="16" t="s">
        <v>52</v>
      </c>
      <c r="F25" s="16" t="s">
        <v>53</v>
      </c>
      <c r="G25" s="16" t="s">
        <v>54</v>
      </c>
      <c r="H25" s="22" t="s">
        <v>55</v>
      </c>
      <c r="I25" s="143" t="s">
        <v>89</v>
      </c>
      <c r="J25" s="11">
        <v>2</v>
      </c>
      <c r="K25" s="12" t="s">
        <v>2</v>
      </c>
      <c r="L25" s="13">
        <v>1</v>
      </c>
      <c r="M25" s="14">
        <v>0</v>
      </c>
      <c r="N25" s="14">
        <v>1</v>
      </c>
      <c r="O25" s="9">
        <v>401</v>
      </c>
      <c r="P25" s="9" t="s">
        <v>57</v>
      </c>
      <c r="Q25" s="14">
        <v>1</v>
      </c>
      <c r="R25" s="9">
        <v>0</v>
      </c>
      <c r="S25" s="9">
        <v>0</v>
      </c>
      <c r="T25" s="8" t="s">
        <v>58</v>
      </c>
      <c r="U25" s="85">
        <v>53</v>
      </c>
      <c r="V25" s="8">
        <v>530402</v>
      </c>
      <c r="W25" s="16" t="s">
        <v>88</v>
      </c>
      <c r="X25" s="18">
        <v>5500.319999999997</v>
      </c>
      <c r="Y25" s="144">
        <f>5500.32-3500.32+4800-1327.48</f>
        <v>5472.52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07">
        <v>0</v>
      </c>
      <c r="AK25" s="17">
        <v>0</v>
      </c>
      <c r="AL25" s="17">
        <v>0</v>
      </c>
      <c r="AM25" s="17">
        <v>0</v>
      </c>
      <c r="AN25" s="59">
        <v>0</v>
      </c>
      <c r="AO25" s="17">
        <v>0</v>
      </c>
      <c r="AP25" s="80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5472.52</v>
      </c>
      <c r="AW25" s="17">
        <v>5472.52</v>
      </c>
      <c r="AX25" s="19">
        <f t="shared" si="4"/>
        <v>5472.52</v>
      </c>
      <c r="AY25" s="10" t="str">
        <f t="shared" si="5"/>
        <v>OK</v>
      </c>
      <c r="AZ25" s="10">
        <f t="shared" si="1"/>
        <v>5472.52</v>
      </c>
      <c r="BA25" s="10">
        <f t="shared" si="6"/>
        <v>0</v>
      </c>
      <c r="BB25" s="17">
        <v>5472.52</v>
      </c>
      <c r="BC25" s="113">
        <f t="shared" si="3"/>
        <v>0</v>
      </c>
    </row>
    <row r="26" spans="1:55" s="118" customFormat="1" ht="13.5" customHeight="1">
      <c r="A26" s="16" t="s">
        <v>48</v>
      </c>
      <c r="B26" s="16" t="s">
        <v>49</v>
      </c>
      <c r="C26" s="16" t="s">
        <v>50</v>
      </c>
      <c r="D26" s="16" t="s">
        <v>51</v>
      </c>
      <c r="E26" s="16" t="s">
        <v>52</v>
      </c>
      <c r="F26" s="16" t="s">
        <v>53</v>
      </c>
      <c r="G26" s="16" t="s">
        <v>54</v>
      </c>
      <c r="H26" s="22" t="s">
        <v>55</v>
      </c>
      <c r="I26" s="143" t="s">
        <v>90</v>
      </c>
      <c r="J26" s="11">
        <v>2</v>
      </c>
      <c r="K26" s="12" t="s">
        <v>2</v>
      </c>
      <c r="L26" s="13">
        <v>1</v>
      </c>
      <c r="M26" s="14">
        <v>0</v>
      </c>
      <c r="N26" s="14">
        <v>1</v>
      </c>
      <c r="O26" s="9">
        <v>401</v>
      </c>
      <c r="P26" s="9" t="s">
        <v>57</v>
      </c>
      <c r="Q26" s="14">
        <v>1</v>
      </c>
      <c r="R26" s="9">
        <v>0</v>
      </c>
      <c r="S26" s="9">
        <v>0</v>
      </c>
      <c r="T26" s="8" t="s">
        <v>58</v>
      </c>
      <c r="U26" s="85">
        <v>53</v>
      </c>
      <c r="V26" s="8">
        <v>530403</v>
      </c>
      <c r="W26" s="16" t="s">
        <v>91</v>
      </c>
      <c r="X26" s="18">
        <v>1000.1599999999996</v>
      </c>
      <c r="Y26" s="144">
        <f>1000.16+550-90.16</f>
        <v>1459.9999999999998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0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1459.9999999999998</v>
      </c>
      <c r="AW26" s="17">
        <v>1460</v>
      </c>
      <c r="AX26" s="19">
        <f t="shared" si="4"/>
        <v>1459.9999999999998</v>
      </c>
      <c r="AY26" s="10" t="str">
        <f t="shared" si="5"/>
        <v>OK</v>
      </c>
      <c r="AZ26" s="10">
        <f t="shared" si="1"/>
        <v>1460</v>
      </c>
      <c r="BA26" s="10">
        <f t="shared" si="6"/>
        <v>0</v>
      </c>
      <c r="BB26" s="17">
        <v>1460</v>
      </c>
      <c r="BC26" s="113">
        <f t="shared" si="3"/>
        <v>0</v>
      </c>
    </row>
    <row r="27" spans="1:55" s="118" customFormat="1" ht="13.5" customHeight="1">
      <c r="A27" s="16" t="s">
        <v>48</v>
      </c>
      <c r="B27" s="16" t="s">
        <v>49</v>
      </c>
      <c r="C27" s="16" t="s">
        <v>50</v>
      </c>
      <c r="D27" s="16" t="s">
        <v>51</v>
      </c>
      <c r="E27" s="16" t="s">
        <v>52</v>
      </c>
      <c r="F27" s="16" t="s">
        <v>53</v>
      </c>
      <c r="G27" s="16" t="s">
        <v>54</v>
      </c>
      <c r="H27" s="22" t="s">
        <v>55</v>
      </c>
      <c r="I27" s="134" t="s">
        <v>92</v>
      </c>
      <c r="J27" s="11">
        <v>1</v>
      </c>
      <c r="K27" s="12" t="s">
        <v>2</v>
      </c>
      <c r="L27" s="13">
        <v>1</v>
      </c>
      <c r="M27" s="14">
        <v>0</v>
      </c>
      <c r="N27" s="14">
        <v>1</v>
      </c>
      <c r="O27" s="9">
        <v>401</v>
      </c>
      <c r="P27" s="9" t="s">
        <v>57</v>
      </c>
      <c r="Q27" s="14">
        <v>1</v>
      </c>
      <c r="R27" s="9">
        <v>0</v>
      </c>
      <c r="S27" s="9">
        <v>0</v>
      </c>
      <c r="T27" s="8" t="s">
        <v>58</v>
      </c>
      <c r="U27" s="85">
        <v>53</v>
      </c>
      <c r="V27" s="8">
        <v>530404</v>
      </c>
      <c r="W27" s="16" t="s">
        <v>93</v>
      </c>
      <c r="X27" s="18">
        <v>350.56</v>
      </c>
      <c r="Y27" s="132">
        <f>350.56-115.56</f>
        <v>235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08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235</v>
      </c>
      <c r="AR27" s="80">
        <v>235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9">
        <f t="shared" si="4"/>
        <v>235</v>
      </c>
      <c r="AY27" s="10" t="str">
        <f t="shared" si="5"/>
        <v>OK</v>
      </c>
      <c r="AZ27" s="10">
        <f t="shared" si="1"/>
        <v>235</v>
      </c>
      <c r="BA27" s="10">
        <f t="shared" si="6"/>
        <v>0</v>
      </c>
      <c r="BB27" s="17">
        <v>235</v>
      </c>
      <c r="BC27" s="113">
        <f t="shared" si="3"/>
        <v>0</v>
      </c>
    </row>
    <row r="28" spans="1:55" s="118" customFormat="1" ht="13.5" customHeight="1">
      <c r="A28" s="16" t="s">
        <v>48</v>
      </c>
      <c r="B28" s="16" t="s">
        <v>49</v>
      </c>
      <c r="C28" s="16" t="s">
        <v>50</v>
      </c>
      <c r="D28" s="16" t="s">
        <v>51</v>
      </c>
      <c r="E28" s="16" t="s">
        <v>52</v>
      </c>
      <c r="F28" s="16" t="s">
        <v>53</v>
      </c>
      <c r="G28" s="16" t="s">
        <v>54</v>
      </c>
      <c r="H28" s="22" t="s">
        <v>55</v>
      </c>
      <c r="I28" s="147" t="s">
        <v>94</v>
      </c>
      <c r="J28" s="11">
        <v>1</v>
      </c>
      <c r="K28" s="12" t="s">
        <v>2</v>
      </c>
      <c r="L28" s="13">
        <v>1</v>
      </c>
      <c r="M28" s="14">
        <v>0</v>
      </c>
      <c r="N28" s="14">
        <v>1</v>
      </c>
      <c r="O28" s="9">
        <v>401</v>
      </c>
      <c r="P28" s="9" t="s">
        <v>57</v>
      </c>
      <c r="Q28" s="14">
        <v>1</v>
      </c>
      <c r="R28" s="9">
        <v>0</v>
      </c>
      <c r="S28" s="9">
        <v>0</v>
      </c>
      <c r="T28" s="8" t="s">
        <v>58</v>
      </c>
      <c r="U28" s="85">
        <v>53</v>
      </c>
      <c r="V28" s="8">
        <v>530404</v>
      </c>
      <c r="W28" s="16" t="s">
        <v>93</v>
      </c>
      <c r="X28" s="18">
        <v>2106.72</v>
      </c>
      <c r="Y28" s="146">
        <f>2106.72-270.72-765</f>
        <v>1070.9999999999998</v>
      </c>
      <c r="Z28" s="17">
        <v>0</v>
      </c>
      <c r="AA28" s="17">
        <v>0</v>
      </c>
      <c r="AB28" s="17">
        <v>0</v>
      </c>
      <c r="AC28" s="17">
        <v>0</v>
      </c>
      <c r="AD28" s="17">
        <v>171</v>
      </c>
      <c r="AE28" s="17">
        <v>153</v>
      </c>
      <c r="AF28" s="17">
        <v>171</v>
      </c>
      <c r="AG28" s="59">
        <v>306</v>
      </c>
      <c r="AH28" s="17">
        <v>171</v>
      </c>
      <c r="AI28" s="17">
        <v>153</v>
      </c>
      <c r="AJ28" s="107">
        <v>171</v>
      </c>
      <c r="AK28" s="17">
        <v>153</v>
      </c>
      <c r="AL28" s="17">
        <v>171</v>
      </c>
      <c r="AM28" s="17">
        <v>153</v>
      </c>
      <c r="AN28" s="17">
        <v>171</v>
      </c>
      <c r="AO28" s="17">
        <v>153</v>
      </c>
      <c r="AP28" s="17">
        <v>44.99999999999977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9">
        <f t="shared" si="4"/>
        <v>1070.9999999999998</v>
      </c>
      <c r="AY28" s="10" t="str">
        <f t="shared" si="5"/>
        <v>OK</v>
      </c>
      <c r="AZ28" s="10">
        <f t="shared" si="1"/>
        <v>1071</v>
      </c>
      <c r="BA28" s="10">
        <f t="shared" si="6"/>
        <v>-2.2737367544323206E-13</v>
      </c>
      <c r="BB28" s="17">
        <f>1836-765</f>
        <v>1071</v>
      </c>
      <c r="BC28" s="113">
        <f t="shared" si="3"/>
        <v>0</v>
      </c>
    </row>
    <row r="29" spans="1:55" s="118" customFormat="1" ht="13.5" customHeight="1">
      <c r="A29" s="16" t="s">
        <v>48</v>
      </c>
      <c r="B29" s="16" t="s">
        <v>49</v>
      </c>
      <c r="C29" s="16" t="s">
        <v>50</v>
      </c>
      <c r="D29" s="16" t="s">
        <v>51</v>
      </c>
      <c r="E29" s="16" t="s">
        <v>52</v>
      </c>
      <c r="F29" s="16" t="s">
        <v>53</v>
      </c>
      <c r="G29" s="16" t="s">
        <v>54</v>
      </c>
      <c r="H29" s="22" t="s">
        <v>55</v>
      </c>
      <c r="I29" s="63" t="s">
        <v>95</v>
      </c>
      <c r="J29" s="11">
        <v>2</v>
      </c>
      <c r="K29" s="12" t="s">
        <v>2</v>
      </c>
      <c r="L29" s="13">
        <v>1</v>
      </c>
      <c r="M29" s="14">
        <v>0</v>
      </c>
      <c r="N29" s="14">
        <v>1</v>
      </c>
      <c r="O29" s="9">
        <v>401</v>
      </c>
      <c r="P29" s="9" t="s">
        <v>57</v>
      </c>
      <c r="Q29" s="14">
        <v>1</v>
      </c>
      <c r="R29" s="9">
        <v>0</v>
      </c>
      <c r="S29" s="9">
        <v>0</v>
      </c>
      <c r="T29" s="8" t="s">
        <v>58</v>
      </c>
      <c r="U29" s="85">
        <v>53</v>
      </c>
      <c r="V29" s="8">
        <v>530405</v>
      </c>
      <c r="W29" s="16" t="s">
        <v>96</v>
      </c>
      <c r="X29" s="18">
        <v>960.96</v>
      </c>
      <c r="Y29" s="79">
        <f>960.96-960.96</f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0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9">
        <f t="shared" si="4"/>
        <v>0</v>
      </c>
      <c r="AY29" s="10" t="str">
        <f t="shared" si="5"/>
        <v>OK</v>
      </c>
      <c r="AZ29" s="10">
        <f t="shared" si="1"/>
        <v>0</v>
      </c>
      <c r="BA29" s="10">
        <f t="shared" si="6"/>
        <v>0</v>
      </c>
      <c r="BB29" s="17">
        <v>0</v>
      </c>
      <c r="BC29" s="113">
        <f t="shared" si="3"/>
        <v>0</v>
      </c>
    </row>
    <row r="30" spans="1:55" s="118" customFormat="1" ht="13.5" customHeight="1">
      <c r="A30" s="16" t="s">
        <v>48</v>
      </c>
      <c r="B30" s="16" t="s">
        <v>49</v>
      </c>
      <c r="C30" s="16" t="s">
        <v>50</v>
      </c>
      <c r="D30" s="16" t="s">
        <v>51</v>
      </c>
      <c r="E30" s="16" t="s">
        <v>52</v>
      </c>
      <c r="F30" s="16" t="s">
        <v>53</v>
      </c>
      <c r="G30" s="16" t="s">
        <v>54</v>
      </c>
      <c r="H30" s="22" t="s">
        <v>55</v>
      </c>
      <c r="I30" s="134" t="s">
        <v>97</v>
      </c>
      <c r="J30" s="11">
        <v>1</v>
      </c>
      <c r="K30" s="12" t="s">
        <v>2</v>
      </c>
      <c r="L30" s="13">
        <v>1</v>
      </c>
      <c r="M30" s="14">
        <v>0</v>
      </c>
      <c r="N30" s="14">
        <v>1</v>
      </c>
      <c r="O30" s="9">
        <v>401</v>
      </c>
      <c r="P30" s="9" t="s">
        <v>57</v>
      </c>
      <c r="Q30" s="14">
        <v>1</v>
      </c>
      <c r="R30" s="9">
        <v>0</v>
      </c>
      <c r="S30" s="9">
        <v>0</v>
      </c>
      <c r="T30" s="8" t="s">
        <v>58</v>
      </c>
      <c r="U30" s="85">
        <v>53</v>
      </c>
      <c r="V30" s="8">
        <v>530405</v>
      </c>
      <c r="W30" s="16" t="s">
        <v>96</v>
      </c>
      <c r="X30" s="18">
        <v>651.84</v>
      </c>
      <c r="Y30" s="132">
        <f>651.84-19.04-67.8</f>
        <v>565.0000000000001</v>
      </c>
      <c r="Z30" s="17">
        <v>0</v>
      </c>
      <c r="AA30" s="17">
        <v>0</v>
      </c>
      <c r="AB30" s="17">
        <v>0</v>
      </c>
      <c r="AC30" s="17">
        <v>175</v>
      </c>
      <c r="AD30" s="17">
        <v>0</v>
      </c>
      <c r="AE30" s="17">
        <v>0</v>
      </c>
      <c r="AF30" s="17">
        <v>0</v>
      </c>
      <c r="AG30" s="59">
        <v>73</v>
      </c>
      <c r="AH30" s="17">
        <v>0</v>
      </c>
      <c r="AI30" s="17">
        <v>0</v>
      </c>
      <c r="AJ30" s="10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63</v>
      </c>
      <c r="AP30" s="17">
        <v>0</v>
      </c>
      <c r="AQ30" s="17">
        <v>0</v>
      </c>
      <c r="AR30" s="17">
        <v>0</v>
      </c>
      <c r="AS30" s="17">
        <v>0</v>
      </c>
      <c r="AT30" s="59">
        <v>565.0000000000001</v>
      </c>
      <c r="AU30" s="17">
        <v>175</v>
      </c>
      <c r="AV30" s="17">
        <v>0</v>
      </c>
      <c r="AW30" s="17">
        <v>79</v>
      </c>
      <c r="AX30" s="19">
        <f t="shared" si="4"/>
        <v>565.0000000000001</v>
      </c>
      <c r="AY30" s="10" t="str">
        <f t="shared" si="5"/>
        <v>OK</v>
      </c>
      <c r="AZ30" s="10">
        <f t="shared" si="1"/>
        <v>565</v>
      </c>
      <c r="BA30" s="10">
        <f t="shared" si="6"/>
        <v>1.1368683772161603E-13</v>
      </c>
      <c r="BB30" s="17">
        <v>565</v>
      </c>
      <c r="BC30" s="113">
        <f t="shared" si="3"/>
        <v>0</v>
      </c>
    </row>
    <row r="31" spans="1:55" s="118" customFormat="1" ht="13.5" customHeight="1">
      <c r="A31" s="16" t="s">
        <v>48</v>
      </c>
      <c r="B31" s="16" t="s">
        <v>49</v>
      </c>
      <c r="C31" s="16" t="s">
        <v>50</v>
      </c>
      <c r="D31" s="16" t="s">
        <v>51</v>
      </c>
      <c r="E31" s="16" t="s">
        <v>52</v>
      </c>
      <c r="F31" s="16" t="s">
        <v>53</v>
      </c>
      <c r="G31" s="16" t="s">
        <v>54</v>
      </c>
      <c r="H31" s="22" t="s">
        <v>55</v>
      </c>
      <c r="I31" s="134" t="s">
        <v>98</v>
      </c>
      <c r="J31" s="11">
        <v>1</v>
      </c>
      <c r="K31" s="12" t="s">
        <v>2</v>
      </c>
      <c r="L31" s="13">
        <v>1</v>
      </c>
      <c r="M31" s="14">
        <v>0</v>
      </c>
      <c r="N31" s="14">
        <v>1</v>
      </c>
      <c r="O31" s="9">
        <v>401</v>
      </c>
      <c r="P31" s="9" t="s">
        <v>57</v>
      </c>
      <c r="Q31" s="14">
        <v>1</v>
      </c>
      <c r="R31" s="9">
        <v>0</v>
      </c>
      <c r="S31" s="9">
        <v>0</v>
      </c>
      <c r="T31" s="8" t="s">
        <v>58</v>
      </c>
      <c r="U31" s="85">
        <v>53</v>
      </c>
      <c r="V31" s="8">
        <v>530802</v>
      </c>
      <c r="W31" s="16" t="s">
        <v>99</v>
      </c>
      <c r="X31" s="18">
        <v>1249.92</v>
      </c>
      <c r="Y31" s="132">
        <f>1249.92-224.94</f>
        <v>1024.98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83">
        <v>0</v>
      </c>
      <c r="AK31" s="17">
        <v>0</v>
      </c>
      <c r="AL31" s="17">
        <v>0</v>
      </c>
      <c r="AM31" s="17">
        <v>0</v>
      </c>
      <c r="AN31" s="59">
        <v>0</v>
      </c>
      <c r="AO31" s="17">
        <v>0</v>
      </c>
      <c r="AP31" s="59">
        <v>1024.98</v>
      </c>
      <c r="AQ31" s="17">
        <v>778.75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246.04</v>
      </c>
      <c r="AX31" s="19">
        <f t="shared" si="4"/>
        <v>1024.98</v>
      </c>
      <c r="AY31" s="10" t="str">
        <f t="shared" si="5"/>
        <v>OK</v>
      </c>
      <c r="AZ31" s="10">
        <f t="shared" si="1"/>
        <v>1024.79</v>
      </c>
      <c r="BA31" s="10">
        <f t="shared" si="6"/>
        <v>0.19000000000002615</v>
      </c>
      <c r="BB31" s="17">
        <f>825.48+199.5</f>
        <v>1024.98</v>
      </c>
      <c r="BC31" s="113">
        <f t="shared" si="3"/>
        <v>0</v>
      </c>
    </row>
    <row r="32" spans="1:55" s="118" customFormat="1" ht="13.5" customHeight="1">
      <c r="A32" s="16" t="s">
        <v>48</v>
      </c>
      <c r="B32" s="16" t="s">
        <v>49</v>
      </c>
      <c r="C32" s="16" t="s">
        <v>50</v>
      </c>
      <c r="D32" s="16" t="s">
        <v>51</v>
      </c>
      <c r="E32" s="16" t="s">
        <v>52</v>
      </c>
      <c r="F32" s="16" t="s">
        <v>53</v>
      </c>
      <c r="G32" s="16" t="s">
        <v>54</v>
      </c>
      <c r="H32" s="22" t="s">
        <v>55</v>
      </c>
      <c r="I32" s="134" t="s">
        <v>100</v>
      </c>
      <c r="J32" s="11">
        <v>1</v>
      </c>
      <c r="K32" s="12" t="s">
        <v>2</v>
      </c>
      <c r="L32" s="13">
        <v>1</v>
      </c>
      <c r="M32" s="14">
        <v>0</v>
      </c>
      <c r="N32" s="14">
        <v>1</v>
      </c>
      <c r="O32" s="9">
        <v>401</v>
      </c>
      <c r="P32" s="9" t="s">
        <v>57</v>
      </c>
      <c r="Q32" s="14">
        <v>1</v>
      </c>
      <c r="R32" s="9">
        <v>0</v>
      </c>
      <c r="S32" s="9">
        <v>0</v>
      </c>
      <c r="T32" s="8" t="s">
        <v>58</v>
      </c>
      <c r="U32" s="85">
        <v>53</v>
      </c>
      <c r="V32" s="8">
        <v>530803</v>
      </c>
      <c r="W32" s="16" t="s">
        <v>101</v>
      </c>
      <c r="X32" s="18">
        <v>366.24</v>
      </c>
      <c r="Y32" s="132">
        <f>366.24-20.16-29.12-33.96</f>
        <v>283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59">
        <v>42.5</v>
      </c>
      <c r="AH32" s="17">
        <v>0</v>
      </c>
      <c r="AI32" s="17">
        <v>0</v>
      </c>
      <c r="AJ32" s="10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44.5</v>
      </c>
      <c r="AP32" s="17">
        <v>0</v>
      </c>
      <c r="AQ32" s="17">
        <v>0</v>
      </c>
      <c r="AR32" s="17">
        <v>0</v>
      </c>
      <c r="AS32" s="17">
        <v>0</v>
      </c>
      <c r="AT32" s="59">
        <v>283</v>
      </c>
      <c r="AU32" s="17">
        <v>105.5</v>
      </c>
      <c r="AV32" s="17">
        <v>0</v>
      </c>
      <c r="AW32" s="17">
        <v>46</v>
      </c>
      <c r="AX32" s="19">
        <f t="shared" si="4"/>
        <v>283</v>
      </c>
      <c r="AY32" s="10" t="str">
        <f t="shared" si="5"/>
        <v>OK</v>
      </c>
      <c r="AZ32" s="10">
        <f t="shared" si="1"/>
        <v>238.5</v>
      </c>
      <c r="BA32" s="10">
        <f t="shared" si="6"/>
        <v>44.5</v>
      </c>
      <c r="BB32" s="17">
        <v>283</v>
      </c>
      <c r="BC32" s="113">
        <f t="shared" si="3"/>
        <v>0</v>
      </c>
    </row>
    <row r="33" spans="1:55" s="118" customFormat="1" ht="13.5" customHeight="1">
      <c r="A33" s="16" t="s">
        <v>48</v>
      </c>
      <c r="B33" s="16" t="s">
        <v>49</v>
      </c>
      <c r="C33" s="16" t="s">
        <v>50</v>
      </c>
      <c r="D33" s="16" t="s">
        <v>51</v>
      </c>
      <c r="E33" s="16" t="s">
        <v>52</v>
      </c>
      <c r="F33" s="16" t="s">
        <v>53</v>
      </c>
      <c r="G33" s="16" t="s">
        <v>54</v>
      </c>
      <c r="H33" s="22" t="s">
        <v>55</v>
      </c>
      <c r="I33" s="134" t="s">
        <v>102</v>
      </c>
      <c r="J33" s="11">
        <v>1</v>
      </c>
      <c r="K33" s="12" t="s">
        <v>2</v>
      </c>
      <c r="L33" s="13">
        <v>1</v>
      </c>
      <c r="M33" s="14">
        <v>0</v>
      </c>
      <c r="N33" s="14">
        <v>1</v>
      </c>
      <c r="O33" s="9">
        <v>401</v>
      </c>
      <c r="P33" s="9" t="s">
        <v>57</v>
      </c>
      <c r="Q33" s="14">
        <v>1</v>
      </c>
      <c r="R33" s="9">
        <v>0</v>
      </c>
      <c r="S33" s="9">
        <v>0</v>
      </c>
      <c r="T33" s="8" t="s">
        <v>58</v>
      </c>
      <c r="U33" s="85">
        <v>53</v>
      </c>
      <c r="V33" s="8">
        <v>530803</v>
      </c>
      <c r="W33" s="16" t="s">
        <v>101</v>
      </c>
      <c r="X33" s="18">
        <v>1100.9599999999998</v>
      </c>
      <c r="Y33" s="132">
        <f>1100.96-80-1.11-160.16</f>
        <v>859.69</v>
      </c>
      <c r="Z33" s="17">
        <v>0</v>
      </c>
      <c r="AA33" s="17">
        <v>0</v>
      </c>
      <c r="AB33" s="17">
        <v>0</v>
      </c>
      <c r="AC33" s="17">
        <v>44.5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07">
        <v>0</v>
      </c>
      <c r="AK33" s="17">
        <v>223.21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178.57</v>
      </c>
      <c r="AR33" s="17">
        <v>0</v>
      </c>
      <c r="AS33" s="17">
        <v>0</v>
      </c>
      <c r="AT33" s="17">
        <v>859.69</v>
      </c>
      <c r="AU33" s="17">
        <v>542.28</v>
      </c>
      <c r="AV33" s="17">
        <v>0</v>
      </c>
      <c r="AW33" s="17">
        <v>0</v>
      </c>
      <c r="AX33" s="19">
        <f t="shared" si="4"/>
        <v>859.69</v>
      </c>
      <c r="AY33" s="10" t="str">
        <f t="shared" si="5"/>
        <v>OK</v>
      </c>
      <c r="AZ33" s="10">
        <f t="shared" si="1"/>
        <v>988.56</v>
      </c>
      <c r="BA33" s="10">
        <f t="shared" si="6"/>
        <v>-128.86999999999995</v>
      </c>
      <c r="BB33" s="17">
        <v>859.69</v>
      </c>
      <c r="BC33" s="113">
        <f t="shared" si="3"/>
        <v>0</v>
      </c>
    </row>
    <row r="34" spans="1:55" s="118" customFormat="1" ht="13.5" customHeight="1">
      <c r="A34" s="16" t="s">
        <v>48</v>
      </c>
      <c r="B34" s="16" t="s">
        <v>49</v>
      </c>
      <c r="C34" s="16" t="s">
        <v>50</v>
      </c>
      <c r="D34" s="16" t="s">
        <v>51</v>
      </c>
      <c r="E34" s="16" t="s">
        <v>52</v>
      </c>
      <c r="F34" s="16" t="s">
        <v>53</v>
      </c>
      <c r="G34" s="16" t="s">
        <v>54</v>
      </c>
      <c r="H34" s="22" t="s">
        <v>55</v>
      </c>
      <c r="I34" s="87" t="s">
        <v>103</v>
      </c>
      <c r="J34" s="11">
        <v>1</v>
      </c>
      <c r="K34" s="12" t="s">
        <v>2</v>
      </c>
      <c r="L34" s="13">
        <v>1</v>
      </c>
      <c r="M34" s="14">
        <v>0</v>
      </c>
      <c r="N34" s="14">
        <v>1</v>
      </c>
      <c r="O34" s="9">
        <v>401</v>
      </c>
      <c r="P34" s="9" t="s">
        <v>57</v>
      </c>
      <c r="Q34" s="14">
        <v>1</v>
      </c>
      <c r="R34" s="9">
        <v>0</v>
      </c>
      <c r="S34" s="9">
        <v>0</v>
      </c>
      <c r="T34" s="8" t="s">
        <v>58</v>
      </c>
      <c r="U34" s="85">
        <v>53</v>
      </c>
      <c r="V34" s="8">
        <v>530803</v>
      </c>
      <c r="W34" s="16" t="s">
        <v>101</v>
      </c>
      <c r="X34" s="18">
        <v>400.9599999999998</v>
      </c>
      <c r="Y34" s="89">
        <f>400.96+80-5.96</f>
        <v>475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07">
        <v>0</v>
      </c>
      <c r="AK34" s="17">
        <v>0</v>
      </c>
      <c r="AL34" s="17">
        <v>475</v>
      </c>
      <c r="AM34" s="17">
        <v>390.63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9">
        <f t="shared" si="4"/>
        <v>475</v>
      </c>
      <c r="AY34" s="10" t="str">
        <f t="shared" si="5"/>
        <v>OK</v>
      </c>
      <c r="AZ34" s="10">
        <f t="shared" si="1"/>
        <v>390.63</v>
      </c>
      <c r="BA34" s="10">
        <f t="shared" si="6"/>
        <v>84.37</v>
      </c>
      <c r="BB34" s="17">
        <v>475</v>
      </c>
      <c r="BC34" s="113">
        <f t="shared" si="3"/>
        <v>0</v>
      </c>
    </row>
    <row r="35" spans="1:55" s="118" customFormat="1" ht="13.5" customHeight="1">
      <c r="A35" s="16" t="s">
        <v>48</v>
      </c>
      <c r="B35" s="16" t="s">
        <v>49</v>
      </c>
      <c r="C35" s="16" t="s">
        <v>50</v>
      </c>
      <c r="D35" s="16" t="s">
        <v>51</v>
      </c>
      <c r="E35" s="16" t="s">
        <v>52</v>
      </c>
      <c r="F35" s="16" t="s">
        <v>53</v>
      </c>
      <c r="G35" s="16" t="s">
        <v>54</v>
      </c>
      <c r="H35" s="22" t="s">
        <v>55</v>
      </c>
      <c r="I35" s="63" t="s">
        <v>104</v>
      </c>
      <c r="J35" s="11">
        <v>2</v>
      </c>
      <c r="K35" s="12" t="s">
        <v>2</v>
      </c>
      <c r="L35" s="13">
        <v>1</v>
      </c>
      <c r="M35" s="14">
        <v>0</v>
      </c>
      <c r="N35" s="14">
        <v>1</v>
      </c>
      <c r="O35" s="9">
        <v>401</v>
      </c>
      <c r="P35" s="9" t="s">
        <v>57</v>
      </c>
      <c r="Q35" s="14">
        <v>1</v>
      </c>
      <c r="R35" s="9">
        <v>0</v>
      </c>
      <c r="S35" s="9">
        <v>0</v>
      </c>
      <c r="T35" s="8" t="s">
        <v>58</v>
      </c>
      <c r="U35" s="85">
        <v>53</v>
      </c>
      <c r="V35" s="8">
        <v>530804</v>
      </c>
      <c r="W35" s="16" t="s">
        <v>105</v>
      </c>
      <c r="X35" s="18">
        <v>112</v>
      </c>
      <c r="Y35" s="79">
        <f>112-112</f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0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9">
        <f t="shared" si="4"/>
        <v>0</v>
      </c>
      <c r="AY35" s="10" t="str">
        <f t="shared" si="5"/>
        <v>OK</v>
      </c>
      <c r="AZ35" s="10">
        <f t="shared" si="1"/>
        <v>0</v>
      </c>
      <c r="BA35" s="10">
        <f t="shared" si="6"/>
        <v>0</v>
      </c>
      <c r="BB35" s="17">
        <v>0</v>
      </c>
      <c r="BC35" s="113">
        <f t="shared" si="3"/>
        <v>0</v>
      </c>
    </row>
    <row r="36" spans="1:55" s="118" customFormat="1" ht="13.5" customHeight="1">
      <c r="A36" s="16" t="s">
        <v>48</v>
      </c>
      <c r="B36" s="16" t="s">
        <v>49</v>
      </c>
      <c r="C36" s="16" t="s">
        <v>50</v>
      </c>
      <c r="D36" s="16" t="s">
        <v>51</v>
      </c>
      <c r="E36" s="16" t="s">
        <v>52</v>
      </c>
      <c r="F36" s="16" t="s">
        <v>53</v>
      </c>
      <c r="G36" s="16" t="s">
        <v>54</v>
      </c>
      <c r="H36" s="22" t="s">
        <v>55</v>
      </c>
      <c r="I36" s="134" t="s">
        <v>106</v>
      </c>
      <c r="J36" s="11">
        <v>1</v>
      </c>
      <c r="K36" s="12" t="s">
        <v>2</v>
      </c>
      <c r="L36" s="13">
        <v>1</v>
      </c>
      <c r="M36" s="14">
        <v>0</v>
      </c>
      <c r="N36" s="14">
        <v>1</v>
      </c>
      <c r="O36" s="9">
        <v>401</v>
      </c>
      <c r="P36" s="9" t="s">
        <v>57</v>
      </c>
      <c r="Q36" s="14">
        <v>1</v>
      </c>
      <c r="R36" s="9">
        <v>0</v>
      </c>
      <c r="S36" s="9">
        <v>0</v>
      </c>
      <c r="T36" s="8" t="s">
        <v>58</v>
      </c>
      <c r="U36" s="85">
        <v>53</v>
      </c>
      <c r="V36" s="8">
        <v>530804</v>
      </c>
      <c r="W36" s="16" t="s">
        <v>105</v>
      </c>
      <c r="X36" s="18">
        <v>699.9999999999999</v>
      </c>
      <c r="Y36" s="132">
        <f>700-304.97-90.76</f>
        <v>304.27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304.27</v>
      </c>
      <c r="AI36" s="17">
        <v>53.86</v>
      </c>
      <c r="AJ36" s="107">
        <v>0</v>
      </c>
      <c r="AK36" s="17">
        <v>250.41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9">
        <f t="shared" si="4"/>
        <v>304.27</v>
      </c>
      <c r="AY36" s="10" t="str">
        <f t="shared" si="5"/>
        <v>OK</v>
      </c>
      <c r="AZ36" s="10">
        <f t="shared" si="1"/>
        <v>304.27</v>
      </c>
      <c r="BA36" s="10">
        <f t="shared" si="6"/>
        <v>-2.842170943040401E-14</v>
      </c>
      <c r="BB36" s="17">
        <f>352.7-48.43</f>
        <v>304.27</v>
      </c>
      <c r="BC36" s="113">
        <f t="shared" si="3"/>
        <v>0</v>
      </c>
    </row>
    <row r="37" spans="1:55" s="118" customFormat="1" ht="13.5" customHeight="1">
      <c r="A37" s="16" t="s">
        <v>48</v>
      </c>
      <c r="B37" s="16" t="s">
        <v>49</v>
      </c>
      <c r="C37" s="16" t="s">
        <v>50</v>
      </c>
      <c r="D37" s="16" t="s">
        <v>51</v>
      </c>
      <c r="E37" s="16" t="s">
        <v>52</v>
      </c>
      <c r="F37" s="16" t="s">
        <v>53</v>
      </c>
      <c r="G37" s="16" t="s">
        <v>54</v>
      </c>
      <c r="H37" s="22" t="s">
        <v>55</v>
      </c>
      <c r="I37" s="134" t="s">
        <v>107</v>
      </c>
      <c r="J37" s="11">
        <v>1</v>
      </c>
      <c r="K37" s="12" t="s">
        <v>2</v>
      </c>
      <c r="L37" s="13">
        <v>1</v>
      </c>
      <c r="M37" s="14">
        <v>0</v>
      </c>
      <c r="N37" s="14">
        <v>1</v>
      </c>
      <c r="O37" s="9">
        <v>401</v>
      </c>
      <c r="P37" s="9" t="s">
        <v>57</v>
      </c>
      <c r="Q37" s="14">
        <v>1</v>
      </c>
      <c r="R37" s="9">
        <v>0</v>
      </c>
      <c r="S37" s="9">
        <v>0</v>
      </c>
      <c r="T37" s="8" t="s">
        <v>58</v>
      </c>
      <c r="U37" s="85">
        <v>53</v>
      </c>
      <c r="V37" s="8">
        <v>530805</v>
      </c>
      <c r="W37" s="16" t="s">
        <v>108</v>
      </c>
      <c r="X37" s="18">
        <v>500.6399999999998</v>
      </c>
      <c r="Y37" s="132">
        <f>500.64-16.02-126.04</f>
        <v>358.58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62.4</v>
      </c>
      <c r="AJ37" s="107">
        <v>358.58</v>
      </c>
      <c r="AK37" s="17">
        <v>296.18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9">
        <f t="shared" si="4"/>
        <v>358.58</v>
      </c>
      <c r="AY37" s="10" t="str">
        <f t="shared" si="5"/>
        <v>OK</v>
      </c>
      <c r="AZ37" s="10">
        <f t="shared" si="1"/>
        <v>358.58</v>
      </c>
      <c r="BA37" s="10">
        <f t="shared" si="6"/>
        <v>0</v>
      </c>
      <c r="BB37" s="17">
        <f>432.7-74.12</f>
        <v>358.58</v>
      </c>
      <c r="BC37" s="113">
        <f t="shared" si="3"/>
        <v>0</v>
      </c>
    </row>
    <row r="38" spans="1:55" s="118" customFormat="1" ht="13.5" customHeight="1">
      <c r="A38" s="16" t="s">
        <v>48</v>
      </c>
      <c r="B38" s="16" t="s">
        <v>49</v>
      </c>
      <c r="C38" s="16" t="s">
        <v>50</v>
      </c>
      <c r="D38" s="16" t="s">
        <v>51</v>
      </c>
      <c r="E38" s="16" t="s">
        <v>52</v>
      </c>
      <c r="F38" s="16" t="s">
        <v>53</v>
      </c>
      <c r="G38" s="16" t="s">
        <v>54</v>
      </c>
      <c r="H38" s="22" t="s">
        <v>55</v>
      </c>
      <c r="I38" s="134" t="s">
        <v>109</v>
      </c>
      <c r="J38" s="11">
        <v>1</v>
      </c>
      <c r="K38" s="12" t="s">
        <v>2</v>
      </c>
      <c r="L38" s="13">
        <v>1</v>
      </c>
      <c r="M38" s="14">
        <v>0</v>
      </c>
      <c r="N38" s="14">
        <v>1</v>
      </c>
      <c r="O38" s="9">
        <v>401</v>
      </c>
      <c r="P38" s="9" t="s">
        <v>57</v>
      </c>
      <c r="Q38" s="14">
        <v>1</v>
      </c>
      <c r="R38" s="9">
        <v>0</v>
      </c>
      <c r="S38" s="9">
        <v>0</v>
      </c>
      <c r="T38" s="8" t="s">
        <v>58</v>
      </c>
      <c r="U38" s="85">
        <v>53</v>
      </c>
      <c r="V38" s="8">
        <v>530807</v>
      </c>
      <c r="W38" s="16" t="s">
        <v>110</v>
      </c>
      <c r="X38" s="18">
        <v>3499.999999999999</v>
      </c>
      <c r="Y38" s="132">
        <f>3500-2489.57-278.43</f>
        <v>731.9999999999998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83">
        <v>0</v>
      </c>
      <c r="AK38" s="17">
        <v>0</v>
      </c>
      <c r="AL38" s="59">
        <v>731.9999999999998</v>
      </c>
      <c r="AM38" s="17">
        <v>731.9999999999998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9">
        <f t="shared" si="4"/>
        <v>731.9999999999998</v>
      </c>
      <c r="AY38" s="10" t="str">
        <f t="shared" si="5"/>
        <v>OK</v>
      </c>
      <c r="AZ38" s="10">
        <f t="shared" si="1"/>
        <v>731.9999999999998</v>
      </c>
      <c r="BA38" s="10">
        <f t="shared" si="6"/>
        <v>0</v>
      </c>
      <c r="BB38" s="17">
        <f>768.24-36.24</f>
        <v>732</v>
      </c>
      <c r="BC38" s="113">
        <f t="shared" si="3"/>
        <v>0</v>
      </c>
    </row>
    <row r="39" spans="1:55" s="118" customFormat="1" ht="13.5" customHeight="1">
      <c r="A39" s="16" t="s">
        <v>48</v>
      </c>
      <c r="B39" s="16" t="s">
        <v>49</v>
      </c>
      <c r="C39" s="16" t="s">
        <v>50</v>
      </c>
      <c r="D39" s="16" t="s">
        <v>51</v>
      </c>
      <c r="E39" s="16" t="s">
        <v>52</v>
      </c>
      <c r="F39" s="16" t="s">
        <v>53</v>
      </c>
      <c r="G39" s="16" t="s">
        <v>54</v>
      </c>
      <c r="H39" s="22" t="s">
        <v>55</v>
      </c>
      <c r="I39" s="66" t="s">
        <v>111</v>
      </c>
      <c r="J39" s="11">
        <v>1</v>
      </c>
      <c r="K39" s="12" t="s">
        <v>2</v>
      </c>
      <c r="L39" s="67">
        <v>1</v>
      </c>
      <c r="M39" s="14">
        <v>0</v>
      </c>
      <c r="N39" s="68">
        <v>1</v>
      </c>
      <c r="O39" s="9">
        <v>401</v>
      </c>
      <c r="P39" s="69" t="s">
        <v>57</v>
      </c>
      <c r="Q39" s="14">
        <v>1</v>
      </c>
      <c r="R39" s="9">
        <v>0</v>
      </c>
      <c r="S39" s="9">
        <v>0</v>
      </c>
      <c r="T39" s="8" t="s">
        <v>58</v>
      </c>
      <c r="U39" s="85">
        <v>53</v>
      </c>
      <c r="V39" s="8">
        <v>530807</v>
      </c>
      <c r="W39" s="16" t="s">
        <v>110</v>
      </c>
      <c r="X39" s="18">
        <v>112</v>
      </c>
      <c r="Y39" s="73">
        <f>112-112</f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0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9">
        <f t="shared" si="4"/>
        <v>0</v>
      </c>
      <c r="AY39" s="10" t="str">
        <f t="shared" si="5"/>
        <v>OK</v>
      </c>
      <c r="AZ39" s="10">
        <f t="shared" si="1"/>
        <v>0</v>
      </c>
      <c r="BA39" s="10">
        <f t="shared" si="6"/>
        <v>0</v>
      </c>
      <c r="BB39" s="17">
        <v>0</v>
      </c>
      <c r="BC39" s="113">
        <f t="shared" si="3"/>
        <v>0</v>
      </c>
    </row>
    <row r="40" spans="1:55" s="118" customFormat="1" ht="13.5" customHeight="1">
      <c r="A40" s="16" t="s">
        <v>48</v>
      </c>
      <c r="B40" s="16" t="s">
        <v>49</v>
      </c>
      <c r="C40" s="16" t="s">
        <v>50</v>
      </c>
      <c r="D40" s="16" t="s">
        <v>51</v>
      </c>
      <c r="E40" s="16" t="s">
        <v>52</v>
      </c>
      <c r="F40" s="16" t="s">
        <v>53</v>
      </c>
      <c r="G40" s="16" t="s">
        <v>54</v>
      </c>
      <c r="H40" s="22" t="s">
        <v>55</v>
      </c>
      <c r="I40" s="66" t="s">
        <v>112</v>
      </c>
      <c r="J40" s="11">
        <v>1</v>
      </c>
      <c r="K40" s="12" t="s">
        <v>2</v>
      </c>
      <c r="L40" s="67">
        <v>1</v>
      </c>
      <c r="M40" s="14">
        <v>0</v>
      </c>
      <c r="N40" s="68">
        <v>1</v>
      </c>
      <c r="O40" s="9">
        <v>401</v>
      </c>
      <c r="P40" s="69" t="s">
        <v>57</v>
      </c>
      <c r="Q40" s="14">
        <v>1</v>
      </c>
      <c r="R40" s="9">
        <v>0</v>
      </c>
      <c r="S40" s="9">
        <v>0</v>
      </c>
      <c r="T40" s="8" t="s">
        <v>58</v>
      </c>
      <c r="U40" s="85">
        <v>53</v>
      </c>
      <c r="V40" s="8">
        <v>530807</v>
      </c>
      <c r="W40" s="16" t="s">
        <v>110</v>
      </c>
      <c r="X40" s="18">
        <v>567.84</v>
      </c>
      <c r="Y40" s="70">
        <f>567.84-567.84</f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0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9">
        <f t="shared" si="4"/>
        <v>0</v>
      </c>
      <c r="AY40" s="10" t="str">
        <f t="shared" si="5"/>
        <v>OK</v>
      </c>
      <c r="AZ40" s="10">
        <f t="shared" si="1"/>
        <v>0</v>
      </c>
      <c r="BA40" s="10">
        <f t="shared" si="6"/>
        <v>0</v>
      </c>
      <c r="BB40" s="17">
        <v>0</v>
      </c>
      <c r="BC40" s="113">
        <f t="shared" si="3"/>
        <v>0</v>
      </c>
    </row>
    <row r="41" spans="1:55" s="118" customFormat="1" ht="13.5" customHeight="1">
      <c r="A41" s="16" t="s">
        <v>48</v>
      </c>
      <c r="B41" s="16" t="s">
        <v>49</v>
      </c>
      <c r="C41" s="16" t="s">
        <v>50</v>
      </c>
      <c r="D41" s="16" t="s">
        <v>51</v>
      </c>
      <c r="E41" s="16" t="s">
        <v>52</v>
      </c>
      <c r="F41" s="16" t="s">
        <v>53</v>
      </c>
      <c r="G41" s="16" t="s">
        <v>54</v>
      </c>
      <c r="H41" s="22" t="s">
        <v>55</v>
      </c>
      <c r="I41" s="23" t="s">
        <v>113</v>
      </c>
      <c r="J41" s="11">
        <v>2</v>
      </c>
      <c r="K41" s="12" t="s">
        <v>2</v>
      </c>
      <c r="L41" s="13">
        <v>1</v>
      </c>
      <c r="M41" s="14">
        <v>0</v>
      </c>
      <c r="N41" s="14">
        <v>1</v>
      </c>
      <c r="O41" s="9">
        <v>401</v>
      </c>
      <c r="P41" s="9" t="s">
        <v>57</v>
      </c>
      <c r="Q41" s="14">
        <v>1</v>
      </c>
      <c r="R41" s="9">
        <v>0</v>
      </c>
      <c r="S41" s="9">
        <v>0</v>
      </c>
      <c r="T41" s="8" t="s">
        <v>58</v>
      </c>
      <c r="U41" s="85">
        <v>53</v>
      </c>
      <c r="V41" s="8">
        <v>530811</v>
      </c>
      <c r="W41" s="16" t="s">
        <v>254</v>
      </c>
      <c r="X41" s="18">
        <v>400</v>
      </c>
      <c r="Y41" s="18">
        <f>400-174.96</f>
        <v>225.04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75</v>
      </c>
      <c r="AJ41" s="107">
        <v>0</v>
      </c>
      <c r="AK41" s="17">
        <v>22.14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92.75</v>
      </c>
      <c r="AV41" s="17">
        <v>225.04</v>
      </c>
      <c r="AW41" s="17">
        <v>35.15</v>
      </c>
      <c r="AX41" s="19">
        <f t="shared" si="4"/>
        <v>225.04</v>
      </c>
      <c r="AY41" s="10" t="str">
        <f t="shared" si="5"/>
        <v>OK</v>
      </c>
      <c r="AZ41" s="10">
        <f t="shared" si="1"/>
        <v>225.04</v>
      </c>
      <c r="BA41" s="10">
        <f t="shared" si="6"/>
        <v>0</v>
      </c>
      <c r="BB41" s="17">
        <v>97.14</v>
      </c>
      <c r="BC41" s="113">
        <f t="shared" si="3"/>
        <v>127.89999999999999</v>
      </c>
    </row>
    <row r="42" spans="1:55" s="118" customFormat="1" ht="13.5" customHeight="1">
      <c r="A42" s="16" t="s">
        <v>48</v>
      </c>
      <c r="B42" s="16" t="s">
        <v>49</v>
      </c>
      <c r="C42" s="16" t="s">
        <v>50</v>
      </c>
      <c r="D42" s="16" t="s">
        <v>51</v>
      </c>
      <c r="E42" s="16" t="s">
        <v>52</v>
      </c>
      <c r="F42" s="16" t="s">
        <v>53</v>
      </c>
      <c r="G42" s="16" t="s">
        <v>54</v>
      </c>
      <c r="H42" s="22" t="s">
        <v>55</v>
      </c>
      <c r="I42" s="134" t="s">
        <v>114</v>
      </c>
      <c r="J42" s="11">
        <v>1</v>
      </c>
      <c r="K42" s="12" t="s">
        <v>2</v>
      </c>
      <c r="L42" s="13">
        <v>1</v>
      </c>
      <c r="M42" s="14">
        <v>0</v>
      </c>
      <c r="N42" s="14">
        <v>1</v>
      </c>
      <c r="O42" s="9">
        <v>401</v>
      </c>
      <c r="P42" s="9" t="s">
        <v>57</v>
      </c>
      <c r="Q42" s="14">
        <v>1</v>
      </c>
      <c r="R42" s="9">
        <v>0</v>
      </c>
      <c r="S42" s="9">
        <v>0</v>
      </c>
      <c r="T42" s="8" t="s">
        <v>58</v>
      </c>
      <c r="U42" s="85">
        <v>53</v>
      </c>
      <c r="V42" s="8">
        <v>530811</v>
      </c>
      <c r="W42" s="16" t="s">
        <v>254</v>
      </c>
      <c r="X42" s="18">
        <v>2500.96</v>
      </c>
      <c r="Y42" s="135">
        <f>2500.96+1671.7-1671.7-2500.96</f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0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9">
        <f t="shared" si="4"/>
        <v>0</v>
      </c>
      <c r="AY42" s="10" t="str">
        <f t="shared" si="5"/>
        <v>OK</v>
      </c>
      <c r="AZ42" s="10">
        <f t="shared" si="1"/>
        <v>0</v>
      </c>
      <c r="BA42" s="10">
        <f t="shared" si="6"/>
        <v>0</v>
      </c>
      <c r="BB42" s="17">
        <v>0</v>
      </c>
      <c r="BC42" s="113">
        <f t="shared" si="3"/>
        <v>0</v>
      </c>
    </row>
    <row r="43" spans="1:55" s="118" customFormat="1" ht="13.5" customHeight="1">
      <c r="A43" s="16" t="s">
        <v>48</v>
      </c>
      <c r="B43" s="16" t="s">
        <v>49</v>
      </c>
      <c r="C43" s="16" t="s">
        <v>74</v>
      </c>
      <c r="D43" s="16" t="s">
        <v>75</v>
      </c>
      <c r="E43" s="16" t="s">
        <v>52</v>
      </c>
      <c r="F43" s="16" t="s">
        <v>53</v>
      </c>
      <c r="G43" s="16" t="s">
        <v>306</v>
      </c>
      <c r="H43" s="22" t="s">
        <v>76</v>
      </c>
      <c r="I43" s="23" t="s">
        <v>115</v>
      </c>
      <c r="J43" s="11">
        <v>2</v>
      </c>
      <c r="K43" s="12" t="s">
        <v>2</v>
      </c>
      <c r="L43" s="13">
        <v>1</v>
      </c>
      <c r="M43" s="14">
        <v>0</v>
      </c>
      <c r="N43" s="14">
        <v>1</v>
      </c>
      <c r="O43" s="9">
        <v>401</v>
      </c>
      <c r="P43" s="9" t="s">
        <v>57</v>
      </c>
      <c r="Q43" s="14">
        <v>1</v>
      </c>
      <c r="R43" s="9">
        <v>0</v>
      </c>
      <c r="S43" s="9">
        <v>0</v>
      </c>
      <c r="T43" s="8" t="s">
        <v>58</v>
      </c>
      <c r="U43" s="85">
        <v>53</v>
      </c>
      <c r="V43" s="8">
        <v>530812</v>
      </c>
      <c r="W43" s="16" t="s">
        <v>116</v>
      </c>
      <c r="X43" s="18">
        <v>200.4799999999999</v>
      </c>
      <c r="Y43" s="124">
        <f>200.48-200.48</f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0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9">
        <f t="shared" si="4"/>
        <v>0</v>
      </c>
      <c r="AY43" s="10" t="str">
        <f t="shared" si="5"/>
        <v>OK</v>
      </c>
      <c r="AZ43" s="10">
        <f t="shared" si="1"/>
        <v>0</v>
      </c>
      <c r="BA43" s="10">
        <f t="shared" si="6"/>
        <v>0</v>
      </c>
      <c r="BB43" s="17">
        <v>0</v>
      </c>
      <c r="BC43" s="113">
        <f t="shared" si="3"/>
        <v>0</v>
      </c>
    </row>
    <row r="44" spans="1:55" s="118" customFormat="1" ht="13.5" customHeight="1">
      <c r="A44" s="16" t="s">
        <v>48</v>
      </c>
      <c r="B44" s="16" t="s">
        <v>49</v>
      </c>
      <c r="C44" s="16" t="s">
        <v>74</v>
      </c>
      <c r="D44" s="16" t="s">
        <v>75</v>
      </c>
      <c r="E44" s="16" t="s">
        <v>52</v>
      </c>
      <c r="F44" s="16" t="s">
        <v>53</v>
      </c>
      <c r="G44" s="16" t="s">
        <v>306</v>
      </c>
      <c r="H44" s="22" t="s">
        <v>76</v>
      </c>
      <c r="I44" s="23" t="s">
        <v>117</v>
      </c>
      <c r="J44" s="11">
        <v>2</v>
      </c>
      <c r="K44" s="12" t="s">
        <v>2</v>
      </c>
      <c r="L44" s="13">
        <v>1</v>
      </c>
      <c r="M44" s="14">
        <v>0</v>
      </c>
      <c r="N44" s="14">
        <v>1</v>
      </c>
      <c r="O44" s="9">
        <v>401</v>
      </c>
      <c r="P44" s="9" t="s">
        <v>57</v>
      </c>
      <c r="Q44" s="14">
        <v>1</v>
      </c>
      <c r="R44" s="9">
        <v>0</v>
      </c>
      <c r="S44" s="9">
        <v>0</v>
      </c>
      <c r="T44" s="8" t="s">
        <v>58</v>
      </c>
      <c r="U44" s="85">
        <v>53</v>
      </c>
      <c r="V44" s="8">
        <v>530812</v>
      </c>
      <c r="W44" s="16" t="s">
        <v>116</v>
      </c>
      <c r="X44" s="18">
        <v>600.3199999999996</v>
      </c>
      <c r="Y44" s="124">
        <f>600.32-600.32</f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0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9">
        <f t="shared" si="4"/>
        <v>0</v>
      </c>
      <c r="AY44" s="10" t="str">
        <f t="shared" si="5"/>
        <v>OK</v>
      </c>
      <c r="AZ44" s="10">
        <f t="shared" si="1"/>
        <v>0</v>
      </c>
      <c r="BA44" s="10">
        <f t="shared" si="6"/>
        <v>0</v>
      </c>
      <c r="BB44" s="17">
        <v>0</v>
      </c>
      <c r="BC44" s="113">
        <f t="shared" si="3"/>
        <v>0</v>
      </c>
    </row>
    <row r="45" spans="1:55" s="118" customFormat="1" ht="13.5" customHeight="1">
      <c r="A45" s="16" t="s">
        <v>48</v>
      </c>
      <c r="B45" s="16" t="s">
        <v>49</v>
      </c>
      <c r="C45" s="16" t="s">
        <v>50</v>
      </c>
      <c r="D45" s="16" t="s">
        <v>51</v>
      </c>
      <c r="E45" s="16" t="s">
        <v>52</v>
      </c>
      <c r="F45" s="16" t="s">
        <v>53</v>
      </c>
      <c r="G45" s="16" t="s">
        <v>54</v>
      </c>
      <c r="H45" s="22" t="s">
        <v>55</v>
      </c>
      <c r="I45" s="63" t="s">
        <v>118</v>
      </c>
      <c r="J45" s="11">
        <v>1</v>
      </c>
      <c r="K45" s="12" t="s">
        <v>2</v>
      </c>
      <c r="L45" s="13">
        <v>1</v>
      </c>
      <c r="M45" s="14">
        <v>0</v>
      </c>
      <c r="N45" s="14">
        <v>1</v>
      </c>
      <c r="O45" s="9">
        <v>401</v>
      </c>
      <c r="P45" s="9" t="s">
        <v>57</v>
      </c>
      <c r="Q45" s="14">
        <v>1</v>
      </c>
      <c r="R45" s="9">
        <v>0</v>
      </c>
      <c r="S45" s="9">
        <v>0</v>
      </c>
      <c r="T45" s="8" t="s">
        <v>58</v>
      </c>
      <c r="U45" s="85">
        <v>53</v>
      </c>
      <c r="V45" s="8">
        <v>530813</v>
      </c>
      <c r="W45" s="16" t="s">
        <v>119</v>
      </c>
      <c r="X45" s="18">
        <v>200.4799999999999</v>
      </c>
      <c r="Y45" s="79">
        <f>200.48-200.48</f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0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9">
        <f t="shared" si="4"/>
        <v>0</v>
      </c>
      <c r="AY45" s="10" t="str">
        <f t="shared" si="5"/>
        <v>OK</v>
      </c>
      <c r="AZ45" s="10">
        <f t="shared" si="1"/>
        <v>0</v>
      </c>
      <c r="BA45" s="10">
        <f t="shared" si="6"/>
        <v>0</v>
      </c>
      <c r="BB45" s="17">
        <v>0</v>
      </c>
      <c r="BC45" s="113">
        <f t="shared" si="3"/>
        <v>0</v>
      </c>
    </row>
    <row r="46" spans="1:55" s="118" customFormat="1" ht="13.5" customHeight="1">
      <c r="A46" s="16" t="s">
        <v>48</v>
      </c>
      <c r="B46" s="16" t="s">
        <v>49</v>
      </c>
      <c r="C46" s="16" t="s">
        <v>50</v>
      </c>
      <c r="D46" s="16" t="s">
        <v>51</v>
      </c>
      <c r="E46" s="16" t="s">
        <v>52</v>
      </c>
      <c r="F46" s="16" t="s">
        <v>53</v>
      </c>
      <c r="G46" s="16" t="s">
        <v>54</v>
      </c>
      <c r="H46" s="22" t="s">
        <v>55</v>
      </c>
      <c r="I46" s="134" t="s">
        <v>120</v>
      </c>
      <c r="J46" s="11">
        <v>1</v>
      </c>
      <c r="K46" s="12" t="s">
        <v>2</v>
      </c>
      <c r="L46" s="13">
        <v>1</v>
      </c>
      <c r="M46" s="14">
        <v>0</v>
      </c>
      <c r="N46" s="14">
        <v>1</v>
      </c>
      <c r="O46" s="9">
        <v>401</v>
      </c>
      <c r="P46" s="9" t="s">
        <v>57</v>
      </c>
      <c r="Q46" s="14">
        <v>1</v>
      </c>
      <c r="R46" s="9">
        <v>0</v>
      </c>
      <c r="S46" s="9">
        <v>0</v>
      </c>
      <c r="T46" s="8" t="s">
        <v>58</v>
      </c>
      <c r="U46" s="85">
        <v>53</v>
      </c>
      <c r="V46" s="8">
        <v>530813</v>
      </c>
      <c r="W46" s="64" t="s">
        <v>119</v>
      </c>
      <c r="X46" s="18">
        <v>430.0799999999998</v>
      </c>
      <c r="Y46" s="132">
        <f>430.08+20.16-48.24</f>
        <v>402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59">
        <v>30</v>
      </c>
      <c r="AH46" s="17">
        <v>0</v>
      </c>
      <c r="AI46" s="17">
        <v>0</v>
      </c>
      <c r="AJ46" s="10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75</v>
      </c>
      <c r="AP46" s="17">
        <v>0</v>
      </c>
      <c r="AQ46" s="17">
        <v>0</v>
      </c>
      <c r="AR46" s="17">
        <v>0</v>
      </c>
      <c r="AS46" s="17">
        <v>0</v>
      </c>
      <c r="AT46" s="59">
        <v>402</v>
      </c>
      <c r="AU46" s="17">
        <v>64</v>
      </c>
      <c r="AV46" s="17">
        <v>0</v>
      </c>
      <c r="AW46" s="17">
        <v>31</v>
      </c>
      <c r="AX46" s="19">
        <f t="shared" si="4"/>
        <v>402</v>
      </c>
      <c r="AY46" s="10" t="str">
        <f t="shared" si="5"/>
        <v>OK</v>
      </c>
      <c r="AZ46" s="10">
        <f t="shared" si="1"/>
        <v>200</v>
      </c>
      <c r="BA46" s="10">
        <f t="shared" si="6"/>
        <v>202</v>
      </c>
      <c r="BB46" s="17">
        <v>402</v>
      </c>
      <c r="BC46" s="113">
        <f t="shared" si="3"/>
        <v>0</v>
      </c>
    </row>
    <row r="47" spans="1:55" s="118" customFormat="1" ht="13.5" customHeight="1">
      <c r="A47" s="16" t="s">
        <v>48</v>
      </c>
      <c r="B47" s="16" t="s">
        <v>49</v>
      </c>
      <c r="C47" s="16" t="s">
        <v>50</v>
      </c>
      <c r="D47" s="16" t="s">
        <v>51</v>
      </c>
      <c r="E47" s="16" t="s">
        <v>52</v>
      </c>
      <c r="F47" s="16" t="s">
        <v>53</v>
      </c>
      <c r="G47" s="16" t="s">
        <v>54</v>
      </c>
      <c r="H47" s="22" t="s">
        <v>55</v>
      </c>
      <c r="I47" s="134" t="s">
        <v>121</v>
      </c>
      <c r="J47" s="11">
        <v>1</v>
      </c>
      <c r="K47" s="12" t="s">
        <v>2</v>
      </c>
      <c r="L47" s="13">
        <v>1</v>
      </c>
      <c r="M47" s="14">
        <v>0</v>
      </c>
      <c r="N47" s="14">
        <v>1</v>
      </c>
      <c r="O47" s="9">
        <v>401</v>
      </c>
      <c r="P47" s="9" t="s">
        <v>57</v>
      </c>
      <c r="Q47" s="14">
        <v>1</v>
      </c>
      <c r="R47" s="9">
        <v>0</v>
      </c>
      <c r="S47" s="9">
        <v>0</v>
      </c>
      <c r="T47" s="8" t="s">
        <v>58</v>
      </c>
      <c r="U47" s="85">
        <v>53</v>
      </c>
      <c r="V47" s="8">
        <v>530813</v>
      </c>
      <c r="W47" s="16" t="s">
        <v>119</v>
      </c>
      <c r="X47" s="18">
        <v>2000.3199999999993</v>
      </c>
      <c r="Y47" s="132">
        <f>2000.32-1220.32</f>
        <v>780</v>
      </c>
      <c r="Z47" s="17">
        <v>0</v>
      </c>
      <c r="AA47" s="17">
        <v>0</v>
      </c>
      <c r="AB47" s="17">
        <v>0</v>
      </c>
      <c r="AC47" s="17">
        <v>202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07">
        <v>0</v>
      </c>
      <c r="AK47" s="17">
        <v>0</v>
      </c>
      <c r="AL47" s="17">
        <v>0</v>
      </c>
      <c r="AM47" s="17">
        <v>0</v>
      </c>
      <c r="AN47" s="59">
        <v>0</v>
      </c>
      <c r="AO47" s="17">
        <v>0</v>
      </c>
      <c r="AP47" s="80">
        <v>780</v>
      </c>
      <c r="AQ47" s="17">
        <v>780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9">
        <f t="shared" si="4"/>
        <v>780</v>
      </c>
      <c r="AY47" s="10" t="str">
        <f t="shared" si="5"/>
        <v>OK</v>
      </c>
      <c r="AZ47" s="10">
        <f t="shared" si="1"/>
        <v>982</v>
      </c>
      <c r="BA47" s="10">
        <f t="shared" si="6"/>
        <v>-202</v>
      </c>
      <c r="BB47" s="17">
        <v>780</v>
      </c>
      <c r="BC47" s="113">
        <f t="shared" si="3"/>
        <v>0</v>
      </c>
    </row>
    <row r="48" spans="1:55" s="118" customFormat="1" ht="13.5" customHeight="1">
      <c r="A48" s="16" t="s">
        <v>48</v>
      </c>
      <c r="B48" s="16" t="s">
        <v>49</v>
      </c>
      <c r="C48" s="16" t="s">
        <v>50</v>
      </c>
      <c r="D48" s="16" t="s">
        <v>51</v>
      </c>
      <c r="E48" s="16" t="s">
        <v>52</v>
      </c>
      <c r="F48" s="16" t="s">
        <v>53</v>
      </c>
      <c r="G48" s="16" t="s">
        <v>54</v>
      </c>
      <c r="H48" s="22" t="s">
        <v>55</v>
      </c>
      <c r="I48" s="63" t="s">
        <v>122</v>
      </c>
      <c r="J48" s="11">
        <v>2</v>
      </c>
      <c r="K48" s="12" t="s">
        <v>2</v>
      </c>
      <c r="L48" s="13">
        <v>1</v>
      </c>
      <c r="M48" s="14">
        <v>0</v>
      </c>
      <c r="N48" s="14">
        <v>1</v>
      </c>
      <c r="O48" s="9">
        <v>401</v>
      </c>
      <c r="P48" s="9" t="s">
        <v>57</v>
      </c>
      <c r="Q48" s="14">
        <v>1</v>
      </c>
      <c r="R48" s="9">
        <v>0</v>
      </c>
      <c r="S48" s="9">
        <v>0</v>
      </c>
      <c r="T48" s="8" t="s">
        <v>58</v>
      </c>
      <c r="U48" s="85">
        <v>53</v>
      </c>
      <c r="V48" s="8">
        <v>530813</v>
      </c>
      <c r="W48" s="16" t="s">
        <v>119</v>
      </c>
      <c r="X48" s="18">
        <v>180.3199999999999</v>
      </c>
      <c r="Y48" s="79">
        <f>180.32-180.32</f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0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9">
        <f t="shared" si="4"/>
        <v>0</v>
      </c>
      <c r="AY48" s="10" t="str">
        <f t="shared" si="5"/>
        <v>OK</v>
      </c>
      <c r="AZ48" s="10">
        <f t="shared" si="1"/>
        <v>0</v>
      </c>
      <c r="BA48" s="10">
        <f t="shared" si="6"/>
        <v>0</v>
      </c>
      <c r="BB48" s="17">
        <v>0</v>
      </c>
      <c r="BC48" s="113">
        <f t="shared" si="3"/>
        <v>0</v>
      </c>
    </row>
    <row r="49" spans="1:55" s="118" customFormat="1" ht="13.5" customHeight="1">
      <c r="A49" s="16" t="s">
        <v>48</v>
      </c>
      <c r="B49" s="16" t="s">
        <v>49</v>
      </c>
      <c r="C49" s="16" t="s">
        <v>50</v>
      </c>
      <c r="D49" s="16" t="s">
        <v>51</v>
      </c>
      <c r="E49" s="16" t="s">
        <v>52</v>
      </c>
      <c r="F49" s="16" t="s">
        <v>53</v>
      </c>
      <c r="G49" s="16" t="s">
        <v>54</v>
      </c>
      <c r="H49" s="22" t="s">
        <v>55</v>
      </c>
      <c r="I49" s="134" t="s">
        <v>123</v>
      </c>
      <c r="J49" s="11">
        <v>3</v>
      </c>
      <c r="K49" s="12" t="s">
        <v>2</v>
      </c>
      <c r="L49" s="13">
        <v>1</v>
      </c>
      <c r="M49" s="14">
        <v>0</v>
      </c>
      <c r="N49" s="14">
        <v>1</v>
      </c>
      <c r="O49" s="9">
        <v>401</v>
      </c>
      <c r="P49" s="9" t="s">
        <v>57</v>
      </c>
      <c r="Q49" s="14">
        <v>1</v>
      </c>
      <c r="R49" s="9">
        <v>0</v>
      </c>
      <c r="S49" s="9">
        <v>0</v>
      </c>
      <c r="T49" s="8" t="s">
        <v>58</v>
      </c>
      <c r="U49" s="85">
        <v>53</v>
      </c>
      <c r="V49" s="8">
        <v>530820</v>
      </c>
      <c r="W49" s="16" t="s">
        <v>124</v>
      </c>
      <c r="X49" s="18">
        <v>300.1599999999998</v>
      </c>
      <c r="Y49" s="132">
        <f>300.16-300.16</f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83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59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9">
        <f t="shared" si="4"/>
        <v>0</v>
      </c>
      <c r="AY49" s="10" t="str">
        <f t="shared" si="5"/>
        <v>OK</v>
      </c>
      <c r="AZ49" s="10">
        <f t="shared" si="1"/>
        <v>0</v>
      </c>
      <c r="BA49" s="10">
        <f t="shared" si="6"/>
        <v>0</v>
      </c>
      <c r="BB49" s="17">
        <v>0</v>
      </c>
      <c r="BC49" s="113">
        <f t="shared" si="3"/>
        <v>0</v>
      </c>
    </row>
    <row r="50" spans="1:55" s="118" customFormat="1" ht="13.5" customHeight="1">
      <c r="A50" s="16" t="s">
        <v>48</v>
      </c>
      <c r="B50" s="16" t="s">
        <v>49</v>
      </c>
      <c r="C50" s="16" t="s">
        <v>74</v>
      </c>
      <c r="D50" s="16" t="s">
        <v>75</v>
      </c>
      <c r="E50" s="16" t="s">
        <v>52</v>
      </c>
      <c r="F50" s="16" t="s">
        <v>53</v>
      </c>
      <c r="G50" s="16" t="s">
        <v>306</v>
      </c>
      <c r="H50" s="22" t="s">
        <v>76</v>
      </c>
      <c r="I50" s="23" t="s">
        <v>125</v>
      </c>
      <c r="J50" s="11">
        <v>2</v>
      </c>
      <c r="K50" s="12" t="s">
        <v>2</v>
      </c>
      <c r="L50" s="13">
        <v>1</v>
      </c>
      <c r="M50" s="14">
        <v>0</v>
      </c>
      <c r="N50" s="14">
        <v>1</v>
      </c>
      <c r="O50" s="9">
        <v>401</v>
      </c>
      <c r="P50" s="9" t="s">
        <v>57</v>
      </c>
      <c r="Q50" s="14">
        <v>1</v>
      </c>
      <c r="R50" s="9">
        <v>0</v>
      </c>
      <c r="S50" s="9">
        <v>0</v>
      </c>
      <c r="T50" s="8" t="s">
        <v>58</v>
      </c>
      <c r="U50" s="85">
        <v>53</v>
      </c>
      <c r="V50" s="8">
        <v>530824</v>
      </c>
      <c r="W50" s="16" t="s">
        <v>126</v>
      </c>
      <c r="X50" s="18">
        <v>1000.1599999999996</v>
      </c>
      <c r="Y50" s="123">
        <f>1000.16-1000.16</f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0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9">
        <f t="shared" si="4"/>
        <v>0</v>
      </c>
      <c r="AY50" s="10" t="str">
        <f t="shared" si="5"/>
        <v>OK</v>
      </c>
      <c r="AZ50" s="10">
        <f t="shared" si="1"/>
        <v>0</v>
      </c>
      <c r="BA50" s="10">
        <f t="shared" si="6"/>
        <v>0</v>
      </c>
      <c r="BB50" s="17">
        <v>0</v>
      </c>
      <c r="BC50" s="113">
        <f t="shared" si="3"/>
        <v>0</v>
      </c>
    </row>
    <row r="51" spans="1:55" s="118" customFormat="1" ht="13.5" customHeight="1">
      <c r="A51" s="16" t="s">
        <v>48</v>
      </c>
      <c r="B51" s="16" t="s">
        <v>49</v>
      </c>
      <c r="C51" s="16" t="s">
        <v>74</v>
      </c>
      <c r="D51" s="16" t="s">
        <v>75</v>
      </c>
      <c r="E51" s="16" t="s">
        <v>52</v>
      </c>
      <c r="F51" s="16" t="s">
        <v>53</v>
      </c>
      <c r="G51" s="16" t="s">
        <v>306</v>
      </c>
      <c r="H51" s="22" t="s">
        <v>76</v>
      </c>
      <c r="I51" s="23" t="s">
        <v>127</v>
      </c>
      <c r="J51" s="11">
        <v>2</v>
      </c>
      <c r="K51" s="12" t="s">
        <v>2</v>
      </c>
      <c r="L51" s="13">
        <v>1</v>
      </c>
      <c r="M51" s="14">
        <v>0</v>
      </c>
      <c r="N51" s="14">
        <v>1</v>
      </c>
      <c r="O51" s="9">
        <v>401</v>
      </c>
      <c r="P51" s="9" t="s">
        <v>57</v>
      </c>
      <c r="Q51" s="14">
        <v>1</v>
      </c>
      <c r="R51" s="9">
        <v>0</v>
      </c>
      <c r="S51" s="9">
        <v>0</v>
      </c>
      <c r="T51" s="8" t="s">
        <v>58</v>
      </c>
      <c r="U51" s="85">
        <v>53</v>
      </c>
      <c r="V51" s="8">
        <v>530824</v>
      </c>
      <c r="W51" s="16" t="s">
        <v>126</v>
      </c>
      <c r="X51" s="18">
        <v>112</v>
      </c>
      <c r="Y51" s="123">
        <f>112-112</f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0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9">
        <f t="shared" si="4"/>
        <v>0</v>
      </c>
      <c r="AY51" s="10" t="str">
        <f t="shared" si="5"/>
        <v>OK</v>
      </c>
      <c r="AZ51" s="10">
        <f t="shared" si="1"/>
        <v>0</v>
      </c>
      <c r="BA51" s="10">
        <f t="shared" si="6"/>
        <v>0</v>
      </c>
      <c r="BB51" s="17">
        <v>0</v>
      </c>
      <c r="BC51" s="113">
        <f t="shared" si="3"/>
        <v>0</v>
      </c>
    </row>
    <row r="52" spans="1:55" s="118" customFormat="1" ht="13.5" customHeight="1">
      <c r="A52" s="16" t="s">
        <v>48</v>
      </c>
      <c r="B52" s="16" t="s">
        <v>49</v>
      </c>
      <c r="C52" s="16" t="s">
        <v>50</v>
      </c>
      <c r="D52" s="16" t="s">
        <v>51</v>
      </c>
      <c r="E52" s="16" t="s">
        <v>52</v>
      </c>
      <c r="F52" s="16" t="s">
        <v>53</v>
      </c>
      <c r="G52" s="16" t="s">
        <v>54</v>
      </c>
      <c r="H52" s="22" t="s">
        <v>55</v>
      </c>
      <c r="I52" s="87" t="s">
        <v>128</v>
      </c>
      <c r="J52" s="11">
        <v>1</v>
      </c>
      <c r="K52" s="12" t="s">
        <v>2</v>
      </c>
      <c r="L52" s="13">
        <v>1</v>
      </c>
      <c r="M52" s="14">
        <v>0</v>
      </c>
      <c r="N52" s="14">
        <v>1</v>
      </c>
      <c r="O52" s="9">
        <v>401</v>
      </c>
      <c r="P52" s="9" t="s">
        <v>57</v>
      </c>
      <c r="Q52" s="14">
        <v>1</v>
      </c>
      <c r="R52" s="9">
        <v>0</v>
      </c>
      <c r="S52" s="9">
        <v>0</v>
      </c>
      <c r="T52" s="8" t="s">
        <v>58</v>
      </c>
      <c r="U52" s="85">
        <v>53</v>
      </c>
      <c r="V52" s="8">
        <v>530826</v>
      </c>
      <c r="W52" s="16" t="s">
        <v>129</v>
      </c>
      <c r="X52" s="18">
        <v>470.3999999999998</v>
      </c>
      <c r="Y52" s="86">
        <f>470.4-211.83</f>
        <v>258.56999999999994</v>
      </c>
      <c r="Z52" s="17">
        <v>0</v>
      </c>
      <c r="AA52" s="17">
        <v>0</v>
      </c>
      <c r="AB52" s="17">
        <v>0</v>
      </c>
      <c r="AC52" s="17">
        <v>0</v>
      </c>
      <c r="AD52" s="17">
        <v>258.56999999999994</v>
      </c>
      <c r="AE52" s="17">
        <v>258.56999999999994</v>
      </c>
      <c r="AF52" s="17">
        <v>0</v>
      </c>
      <c r="AG52" s="17">
        <v>0</v>
      </c>
      <c r="AH52" s="17">
        <v>0</v>
      </c>
      <c r="AI52" s="17">
        <v>0</v>
      </c>
      <c r="AJ52" s="10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9">
        <f t="shared" si="4"/>
        <v>258.56999999999994</v>
      </c>
      <c r="AY52" s="10" t="str">
        <f t="shared" si="5"/>
        <v>OK</v>
      </c>
      <c r="AZ52" s="10">
        <f t="shared" si="1"/>
        <v>258.56999999999994</v>
      </c>
      <c r="BA52" s="10">
        <f t="shared" si="6"/>
        <v>0</v>
      </c>
      <c r="BB52" s="17">
        <v>258.57</v>
      </c>
      <c r="BC52" s="113">
        <f t="shared" si="3"/>
        <v>0</v>
      </c>
    </row>
    <row r="53" spans="1:55" s="118" customFormat="1" ht="13.5" customHeight="1">
      <c r="A53" s="16" t="s">
        <v>48</v>
      </c>
      <c r="B53" s="16" t="s">
        <v>49</v>
      </c>
      <c r="C53" s="16" t="s">
        <v>50</v>
      </c>
      <c r="D53" s="16" t="s">
        <v>51</v>
      </c>
      <c r="E53" s="16" t="s">
        <v>52</v>
      </c>
      <c r="F53" s="16" t="s">
        <v>53</v>
      </c>
      <c r="G53" s="16" t="s">
        <v>54</v>
      </c>
      <c r="H53" s="22" t="s">
        <v>55</v>
      </c>
      <c r="I53" s="134" t="s">
        <v>130</v>
      </c>
      <c r="J53" s="11">
        <v>2</v>
      </c>
      <c r="K53" s="12" t="s">
        <v>2</v>
      </c>
      <c r="L53" s="13">
        <v>1</v>
      </c>
      <c r="M53" s="14">
        <v>0</v>
      </c>
      <c r="N53" s="14">
        <v>1</v>
      </c>
      <c r="O53" s="9">
        <v>401</v>
      </c>
      <c r="P53" s="9" t="s">
        <v>57</v>
      </c>
      <c r="Q53" s="14">
        <v>1</v>
      </c>
      <c r="R53" s="9">
        <v>0</v>
      </c>
      <c r="S53" s="9">
        <v>0</v>
      </c>
      <c r="T53" s="8" t="s">
        <v>58</v>
      </c>
      <c r="U53" s="85">
        <v>53</v>
      </c>
      <c r="V53" s="8">
        <v>531403</v>
      </c>
      <c r="W53" s="16" t="s">
        <v>131</v>
      </c>
      <c r="X53" s="18">
        <v>500.6399999999998</v>
      </c>
      <c r="Y53" s="132">
        <f>500.64-100.64</f>
        <v>400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83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400</v>
      </c>
      <c r="AR53" s="17">
        <v>0</v>
      </c>
      <c r="AS53" s="17">
        <v>0</v>
      </c>
      <c r="AT53" s="59">
        <v>400</v>
      </c>
      <c r="AU53" s="17">
        <v>0</v>
      </c>
      <c r="AV53" s="17">
        <v>0</v>
      </c>
      <c r="AW53" s="17">
        <v>0</v>
      </c>
      <c r="AX53" s="19">
        <f t="shared" si="4"/>
        <v>400</v>
      </c>
      <c r="AY53" s="10" t="str">
        <f t="shared" si="5"/>
        <v>OK</v>
      </c>
      <c r="AZ53" s="10">
        <f t="shared" si="1"/>
        <v>400</v>
      </c>
      <c r="BA53" s="10">
        <f t="shared" si="6"/>
        <v>0</v>
      </c>
      <c r="BB53" s="17">
        <v>400</v>
      </c>
      <c r="BC53" s="113">
        <f t="shared" si="3"/>
        <v>0</v>
      </c>
    </row>
    <row r="54" spans="1:55" s="118" customFormat="1" ht="13.5" customHeight="1">
      <c r="A54" s="16" t="s">
        <v>48</v>
      </c>
      <c r="B54" s="16" t="s">
        <v>49</v>
      </c>
      <c r="C54" s="16" t="s">
        <v>50</v>
      </c>
      <c r="D54" s="16" t="s">
        <v>51</v>
      </c>
      <c r="E54" s="16" t="s">
        <v>52</v>
      </c>
      <c r="F54" s="16" t="s">
        <v>53</v>
      </c>
      <c r="G54" s="16" t="s">
        <v>54</v>
      </c>
      <c r="H54" s="22" t="s">
        <v>55</v>
      </c>
      <c r="I54" s="87" t="s">
        <v>132</v>
      </c>
      <c r="J54" s="11">
        <v>2</v>
      </c>
      <c r="K54" s="12" t="s">
        <v>2</v>
      </c>
      <c r="L54" s="13">
        <v>1</v>
      </c>
      <c r="M54" s="14">
        <v>0</v>
      </c>
      <c r="N54" s="14">
        <v>1</v>
      </c>
      <c r="O54" s="9">
        <v>401</v>
      </c>
      <c r="P54" s="9" t="s">
        <v>57</v>
      </c>
      <c r="Q54" s="14">
        <v>1</v>
      </c>
      <c r="R54" s="9">
        <v>0</v>
      </c>
      <c r="S54" s="9">
        <v>0</v>
      </c>
      <c r="T54" s="8" t="s">
        <v>58</v>
      </c>
      <c r="U54" s="85">
        <v>53</v>
      </c>
      <c r="V54" s="8">
        <v>531406</v>
      </c>
      <c r="W54" s="16" t="s">
        <v>133</v>
      </c>
      <c r="X54" s="18">
        <v>112</v>
      </c>
      <c r="Y54" s="86">
        <f>112-112</f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0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9">
        <f t="shared" si="4"/>
        <v>0</v>
      </c>
      <c r="AY54" s="10" t="str">
        <f t="shared" si="5"/>
        <v>OK</v>
      </c>
      <c r="AZ54" s="10">
        <f t="shared" si="1"/>
        <v>0</v>
      </c>
      <c r="BA54" s="10">
        <f t="shared" si="6"/>
        <v>0</v>
      </c>
      <c r="BB54" s="17">
        <v>0</v>
      </c>
      <c r="BC54" s="113">
        <f t="shared" si="3"/>
        <v>0</v>
      </c>
    </row>
    <row r="55" spans="1:55" s="118" customFormat="1" ht="13.5" customHeight="1">
      <c r="A55" s="16" t="s">
        <v>48</v>
      </c>
      <c r="B55" s="16" t="s">
        <v>49</v>
      </c>
      <c r="C55" s="16" t="s">
        <v>50</v>
      </c>
      <c r="D55" s="16" t="s">
        <v>51</v>
      </c>
      <c r="E55" s="16" t="s">
        <v>52</v>
      </c>
      <c r="F55" s="16" t="s">
        <v>53</v>
      </c>
      <c r="G55" s="16" t="s">
        <v>54</v>
      </c>
      <c r="H55" s="22" t="s">
        <v>55</v>
      </c>
      <c r="I55" s="63" t="s">
        <v>134</v>
      </c>
      <c r="J55" s="11">
        <v>1</v>
      </c>
      <c r="K55" s="12" t="s">
        <v>2</v>
      </c>
      <c r="L55" s="13">
        <v>1</v>
      </c>
      <c r="M55" s="14">
        <v>0</v>
      </c>
      <c r="N55" s="14">
        <v>1</v>
      </c>
      <c r="O55" s="9">
        <v>401</v>
      </c>
      <c r="P55" s="9" t="s">
        <v>57</v>
      </c>
      <c r="Q55" s="14">
        <v>1</v>
      </c>
      <c r="R55" s="9">
        <v>0</v>
      </c>
      <c r="S55" s="9">
        <v>0</v>
      </c>
      <c r="T55" s="8" t="s">
        <v>58</v>
      </c>
      <c r="U55" s="85">
        <v>57</v>
      </c>
      <c r="V55" s="8">
        <v>570102</v>
      </c>
      <c r="W55" s="16" t="s">
        <v>135</v>
      </c>
      <c r="X55" s="18">
        <v>230</v>
      </c>
      <c r="Y55" s="79">
        <f>230-230</f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0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9">
        <f t="shared" si="4"/>
        <v>0</v>
      </c>
      <c r="AY55" s="10" t="str">
        <f t="shared" si="5"/>
        <v>OK</v>
      </c>
      <c r="AZ55" s="10">
        <f t="shared" si="1"/>
        <v>0</v>
      </c>
      <c r="BA55" s="10">
        <f t="shared" si="6"/>
        <v>0</v>
      </c>
      <c r="BB55" s="17">
        <v>0</v>
      </c>
      <c r="BC55" s="113">
        <f t="shared" si="3"/>
        <v>0</v>
      </c>
    </row>
    <row r="56" spans="1:55" s="118" customFormat="1" ht="13.5" customHeight="1">
      <c r="A56" s="16" t="s">
        <v>48</v>
      </c>
      <c r="B56" s="16" t="s">
        <v>49</v>
      </c>
      <c r="C56" s="16" t="s">
        <v>50</v>
      </c>
      <c r="D56" s="16" t="s">
        <v>51</v>
      </c>
      <c r="E56" s="16" t="s">
        <v>52</v>
      </c>
      <c r="F56" s="16" t="s">
        <v>53</v>
      </c>
      <c r="G56" s="16" t="s">
        <v>54</v>
      </c>
      <c r="H56" s="22" t="s">
        <v>55</v>
      </c>
      <c r="I56" s="23" t="s">
        <v>136</v>
      </c>
      <c r="J56" s="11">
        <v>1</v>
      </c>
      <c r="K56" s="12" t="s">
        <v>2</v>
      </c>
      <c r="L56" s="13">
        <v>1</v>
      </c>
      <c r="M56" s="14">
        <v>0</v>
      </c>
      <c r="N56" s="14">
        <v>1</v>
      </c>
      <c r="O56" s="9">
        <v>401</v>
      </c>
      <c r="P56" s="9" t="s">
        <v>57</v>
      </c>
      <c r="Q56" s="14">
        <v>1</v>
      </c>
      <c r="R56" s="9">
        <v>0</v>
      </c>
      <c r="S56" s="9">
        <v>0</v>
      </c>
      <c r="T56" s="8" t="s">
        <v>58</v>
      </c>
      <c r="U56" s="85">
        <v>57</v>
      </c>
      <c r="V56" s="8">
        <v>570102</v>
      </c>
      <c r="W56" s="16" t="s">
        <v>135</v>
      </c>
      <c r="X56" s="18">
        <v>100</v>
      </c>
      <c r="Y56" s="18">
        <v>100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100</v>
      </c>
      <c r="AF56" s="17">
        <v>100</v>
      </c>
      <c r="AG56" s="17">
        <v>0</v>
      </c>
      <c r="AH56" s="17">
        <v>0</v>
      </c>
      <c r="AI56" s="17">
        <v>0</v>
      </c>
      <c r="AJ56" s="10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9">
        <f t="shared" si="4"/>
        <v>100</v>
      </c>
      <c r="AY56" s="10" t="str">
        <f t="shared" si="5"/>
        <v>OK</v>
      </c>
      <c r="AZ56" s="10">
        <f t="shared" si="1"/>
        <v>100</v>
      </c>
      <c r="BA56" s="10">
        <f t="shared" si="6"/>
        <v>0</v>
      </c>
      <c r="BB56" s="17">
        <v>100</v>
      </c>
      <c r="BC56" s="113">
        <f t="shared" si="3"/>
        <v>0</v>
      </c>
    </row>
    <row r="57" spans="1:55" s="118" customFormat="1" ht="13.5" customHeight="1">
      <c r="A57" s="16" t="s">
        <v>48</v>
      </c>
      <c r="B57" s="16" t="s">
        <v>49</v>
      </c>
      <c r="C57" s="16" t="s">
        <v>50</v>
      </c>
      <c r="D57" s="16" t="s">
        <v>51</v>
      </c>
      <c r="E57" s="16" t="s">
        <v>52</v>
      </c>
      <c r="F57" s="16" t="s">
        <v>53</v>
      </c>
      <c r="G57" s="16" t="s">
        <v>54</v>
      </c>
      <c r="H57" s="22" t="s">
        <v>55</v>
      </c>
      <c r="I57" s="63" t="s">
        <v>137</v>
      </c>
      <c r="J57" s="11">
        <v>1</v>
      </c>
      <c r="K57" s="12" t="s">
        <v>2</v>
      </c>
      <c r="L57" s="13">
        <v>1</v>
      </c>
      <c r="M57" s="14">
        <v>0</v>
      </c>
      <c r="N57" s="14">
        <v>1</v>
      </c>
      <c r="O57" s="9">
        <v>401</v>
      </c>
      <c r="P57" s="9" t="s">
        <v>57</v>
      </c>
      <c r="Q57" s="14">
        <v>1</v>
      </c>
      <c r="R57" s="9">
        <v>0</v>
      </c>
      <c r="S57" s="9">
        <v>0</v>
      </c>
      <c r="T57" s="8" t="s">
        <v>58</v>
      </c>
      <c r="U57" s="85">
        <v>57</v>
      </c>
      <c r="V57" s="8">
        <v>570102</v>
      </c>
      <c r="W57" s="16" t="s">
        <v>135</v>
      </c>
      <c r="X57" s="18">
        <v>1600</v>
      </c>
      <c r="Y57" s="79">
        <f>1600-651.7</f>
        <v>948.3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59">
        <v>948.3</v>
      </c>
      <c r="AF57" s="17">
        <v>948.3</v>
      </c>
      <c r="AG57" s="17">
        <v>0</v>
      </c>
      <c r="AH57" s="17">
        <v>0</v>
      </c>
      <c r="AI57" s="17">
        <v>0</v>
      </c>
      <c r="AJ57" s="10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9">
        <f t="shared" si="4"/>
        <v>948.3</v>
      </c>
      <c r="AY57" s="10" t="str">
        <f t="shared" si="5"/>
        <v>OK</v>
      </c>
      <c r="AZ57" s="10">
        <f t="shared" si="1"/>
        <v>948.3</v>
      </c>
      <c r="BA57" s="10">
        <f t="shared" si="6"/>
        <v>0</v>
      </c>
      <c r="BB57" s="17">
        <v>948.3</v>
      </c>
      <c r="BC57" s="113">
        <f t="shared" si="3"/>
        <v>0</v>
      </c>
    </row>
    <row r="58" spans="1:55" s="118" customFormat="1" ht="13.5" customHeight="1">
      <c r="A58" s="16" t="s">
        <v>48</v>
      </c>
      <c r="B58" s="16" t="s">
        <v>49</v>
      </c>
      <c r="C58" s="16" t="s">
        <v>50</v>
      </c>
      <c r="D58" s="16" t="s">
        <v>51</v>
      </c>
      <c r="E58" s="16" t="s">
        <v>52</v>
      </c>
      <c r="F58" s="16" t="s">
        <v>53</v>
      </c>
      <c r="G58" s="16" t="s">
        <v>54</v>
      </c>
      <c r="H58" s="22" t="s">
        <v>55</v>
      </c>
      <c r="I58" s="23" t="s">
        <v>113</v>
      </c>
      <c r="J58" s="11">
        <v>1</v>
      </c>
      <c r="K58" s="12" t="s">
        <v>2</v>
      </c>
      <c r="L58" s="13">
        <v>1</v>
      </c>
      <c r="M58" s="14">
        <v>0</v>
      </c>
      <c r="N58" s="14">
        <v>1</v>
      </c>
      <c r="O58" s="9">
        <v>401</v>
      </c>
      <c r="P58" s="9" t="s">
        <v>57</v>
      </c>
      <c r="Q58" s="14">
        <v>1</v>
      </c>
      <c r="R58" s="9">
        <v>0</v>
      </c>
      <c r="S58" s="9">
        <v>0</v>
      </c>
      <c r="T58" s="8" t="s">
        <v>58</v>
      </c>
      <c r="U58" s="85">
        <v>57</v>
      </c>
      <c r="V58" s="8">
        <v>570102</v>
      </c>
      <c r="W58" s="16" t="s">
        <v>135</v>
      </c>
      <c r="X58" s="18">
        <v>100</v>
      </c>
      <c r="Y58" s="18">
        <f>100-4.63</f>
        <v>95.37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36</v>
      </c>
      <c r="AJ58" s="10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59">
        <v>95.37</v>
      </c>
      <c r="AW58" s="17">
        <v>59.37</v>
      </c>
      <c r="AX58" s="19">
        <f t="shared" si="4"/>
        <v>95.37</v>
      </c>
      <c r="AY58" s="10" t="str">
        <f t="shared" si="5"/>
        <v>OK</v>
      </c>
      <c r="AZ58" s="10">
        <f t="shared" si="1"/>
        <v>95.37</v>
      </c>
      <c r="BA58" s="10">
        <f t="shared" si="6"/>
        <v>0</v>
      </c>
      <c r="BB58" s="17">
        <v>36</v>
      </c>
      <c r="BC58" s="113">
        <f t="shared" si="3"/>
        <v>59.370000000000005</v>
      </c>
    </row>
    <row r="59" spans="1:55" s="118" customFormat="1" ht="13.5" customHeight="1">
      <c r="A59" s="16" t="s">
        <v>138</v>
      </c>
      <c r="B59" s="16" t="s">
        <v>139</v>
      </c>
      <c r="C59" s="16" t="s">
        <v>140</v>
      </c>
      <c r="D59" s="16" t="s">
        <v>51</v>
      </c>
      <c r="E59" s="16" t="s">
        <v>52</v>
      </c>
      <c r="F59" s="16" t="s">
        <v>53</v>
      </c>
      <c r="G59" s="16" t="s">
        <v>141</v>
      </c>
      <c r="H59" s="22" t="s">
        <v>142</v>
      </c>
      <c r="I59" s="63" t="s">
        <v>143</v>
      </c>
      <c r="J59" s="11">
        <v>1</v>
      </c>
      <c r="K59" s="12" t="s">
        <v>2</v>
      </c>
      <c r="L59" s="13">
        <v>55</v>
      </c>
      <c r="M59" s="14">
        <v>0</v>
      </c>
      <c r="N59" s="14">
        <v>3</v>
      </c>
      <c r="O59" s="9">
        <v>401</v>
      </c>
      <c r="P59" s="9" t="s">
        <v>57</v>
      </c>
      <c r="Q59" s="14">
        <v>1</v>
      </c>
      <c r="R59" s="9">
        <v>0</v>
      </c>
      <c r="S59" s="9">
        <v>0</v>
      </c>
      <c r="T59" s="8" t="s">
        <v>58</v>
      </c>
      <c r="U59" s="85">
        <v>53</v>
      </c>
      <c r="V59" s="8">
        <v>530105</v>
      </c>
      <c r="W59" s="16" t="s">
        <v>144</v>
      </c>
      <c r="X59" s="18">
        <v>10300.639999999994</v>
      </c>
      <c r="Y59" s="79">
        <f>10300.64-3706.13-1103.64</f>
        <v>5490.869999999999</v>
      </c>
      <c r="Z59" s="17">
        <v>5490.869999999999</v>
      </c>
      <c r="AA59" s="17">
        <v>5490.869999999999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0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9">
        <f t="shared" si="4"/>
        <v>5490.869999999999</v>
      </c>
      <c r="AY59" s="10" t="str">
        <f t="shared" si="5"/>
        <v>OK</v>
      </c>
      <c r="AZ59" s="10">
        <f t="shared" si="1"/>
        <v>5490.869999999999</v>
      </c>
      <c r="BA59" s="10">
        <f t="shared" si="6"/>
        <v>0</v>
      </c>
      <c r="BB59" s="17">
        <v>5490.87</v>
      </c>
      <c r="BC59" s="113">
        <f t="shared" si="3"/>
        <v>0</v>
      </c>
    </row>
    <row r="60" spans="1:55" s="118" customFormat="1" ht="13.5" customHeight="1">
      <c r="A60" s="16" t="s">
        <v>138</v>
      </c>
      <c r="B60" s="16" t="s">
        <v>139</v>
      </c>
      <c r="C60" s="16" t="s">
        <v>140</v>
      </c>
      <c r="D60" s="16" t="s">
        <v>51</v>
      </c>
      <c r="E60" s="16" t="s">
        <v>52</v>
      </c>
      <c r="F60" s="16" t="s">
        <v>53</v>
      </c>
      <c r="G60" s="16" t="s">
        <v>141</v>
      </c>
      <c r="H60" s="22" t="s">
        <v>142</v>
      </c>
      <c r="I60" s="147" t="s">
        <v>255</v>
      </c>
      <c r="J60" s="11">
        <v>1</v>
      </c>
      <c r="K60" s="12" t="s">
        <v>2</v>
      </c>
      <c r="L60" s="13">
        <v>55</v>
      </c>
      <c r="M60" s="14">
        <v>0</v>
      </c>
      <c r="N60" s="14">
        <v>3</v>
      </c>
      <c r="O60" s="9">
        <v>401</v>
      </c>
      <c r="P60" s="9" t="s">
        <v>57</v>
      </c>
      <c r="Q60" s="14">
        <v>1</v>
      </c>
      <c r="R60" s="9">
        <v>0</v>
      </c>
      <c r="S60" s="9">
        <v>0</v>
      </c>
      <c r="T60" s="8" t="s">
        <v>58</v>
      </c>
      <c r="U60" s="85">
        <v>53</v>
      </c>
      <c r="V60" s="8">
        <v>530105</v>
      </c>
      <c r="W60" s="16" t="s">
        <v>144</v>
      </c>
      <c r="X60" s="18">
        <v>78010.24</v>
      </c>
      <c r="Y60" s="146">
        <f>78010.24-3610.27-6100-4917.58-317.25</f>
        <v>63065.14</v>
      </c>
      <c r="Z60" s="17">
        <v>0</v>
      </c>
      <c r="AA60" s="17">
        <v>0</v>
      </c>
      <c r="AB60" s="17">
        <v>6332</v>
      </c>
      <c r="AC60" s="59">
        <v>5475.33</v>
      </c>
      <c r="AD60" s="17">
        <v>6332</v>
      </c>
      <c r="AE60" s="17">
        <v>5460.14</v>
      </c>
      <c r="AF60" s="17">
        <v>6332</v>
      </c>
      <c r="AG60" s="59">
        <v>5495.35</v>
      </c>
      <c r="AH60" s="17">
        <v>6332</v>
      </c>
      <c r="AI60" s="17">
        <v>5471.21</v>
      </c>
      <c r="AJ60" s="107">
        <v>6332</v>
      </c>
      <c r="AK60" s="17">
        <v>5451.53</v>
      </c>
      <c r="AL60" s="17">
        <v>6332</v>
      </c>
      <c r="AM60" s="17">
        <v>5469.38</v>
      </c>
      <c r="AN60" s="17">
        <v>6332</v>
      </c>
      <c r="AO60" s="17">
        <v>5437.66</v>
      </c>
      <c r="AP60" s="17">
        <v>6332</v>
      </c>
      <c r="AQ60" s="17">
        <v>5441.87</v>
      </c>
      <c r="AR60" s="17">
        <v>6332</v>
      </c>
      <c r="AS60" s="17">
        <v>5410.74</v>
      </c>
      <c r="AT60" s="17">
        <v>6077.139999999999</v>
      </c>
      <c r="AU60" s="17">
        <v>5444.24</v>
      </c>
      <c r="AV60" s="17">
        <v>0</v>
      </c>
      <c r="AW60" s="17">
        <v>5438.51</v>
      </c>
      <c r="AX60" s="19">
        <f t="shared" si="4"/>
        <v>63065.14</v>
      </c>
      <c r="AY60" s="10" t="str">
        <f t="shared" si="5"/>
        <v>OK</v>
      </c>
      <c r="AZ60" s="10">
        <f t="shared" si="1"/>
        <v>59995.95999999999</v>
      </c>
      <c r="BA60" s="10">
        <f t="shared" si="6"/>
        <v>3069.180000000002</v>
      </c>
      <c r="BB60" s="17">
        <f>19500+48799.97-4917.58</f>
        <v>63382.39</v>
      </c>
      <c r="BC60" s="113">
        <f t="shared" si="3"/>
        <v>-317.25</v>
      </c>
    </row>
    <row r="61" spans="1:55" s="118" customFormat="1" ht="13.5" customHeight="1">
      <c r="A61" s="16" t="s">
        <v>138</v>
      </c>
      <c r="B61" s="16" t="s">
        <v>139</v>
      </c>
      <c r="C61" s="16" t="s">
        <v>140</v>
      </c>
      <c r="D61" s="16" t="s">
        <v>51</v>
      </c>
      <c r="E61" s="16" t="s">
        <v>52</v>
      </c>
      <c r="F61" s="16" t="s">
        <v>53</v>
      </c>
      <c r="G61" s="16" t="s">
        <v>141</v>
      </c>
      <c r="H61" s="22" t="s">
        <v>142</v>
      </c>
      <c r="I61" s="23" t="s">
        <v>113</v>
      </c>
      <c r="J61" s="11">
        <v>2</v>
      </c>
      <c r="K61" s="12" t="s">
        <v>2</v>
      </c>
      <c r="L61" s="13">
        <v>55</v>
      </c>
      <c r="M61" s="14">
        <v>0</v>
      </c>
      <c r="N61" s="14">
        <v>3</v>
      </c>
      <c r="O61" s="9">
        <v>401</v>
      </c>
      <c r="P61" s="9" t="s">
        <v>57</v>
      </c>
      <c r="Q61" s="14">
        <v>1</v>
      </c>
      <c r="R61" s="9">
        <v>0</v>
      </c>
      <c r="S61" s="9">
        <v>0</v>
      </c>
      <c r="T61" s="8" t="s">
        <v>58</v>
      </c>
      <c r="U61" s="85">
        <v>53</v>
      </c>
      <c r="V61" s="8">
        <v>530811</v>
      </c>
      <c r="W61" s="16" t="s">
        <v>254</v>
      </c>
      <c r="X61" s="18">
        <v>300</v>
      </c>
      <c r="Y61" s="18">
        <f>300-142.36</f>
        <v>157.64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07">
        <v>0</v>
      </c>
      <c r="AK61" s="17">
        <v>107.64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50</v>
      </c>
      <c r="AV61" s="17">
        <v>157.64</v>
      </c>
      <c r="AW61" s="17">
        <v>0</v>
      </c>
      <c r="AX61" s="19">
        <f t="shared" si="4"/>
        <v>157.64</v>
      </c>
      <c r="AY61" s="10" t="str">
        <f t="shared" si="5"/>
        <v>OK</v>
      </c>
      <c r="AZ61" s="10">
        <f t="shared" si="1"/>
        <v>157.64</v>
      </c>
      <c r="BA61" s="10">
        <f t="shared" si="6"/>
        <v>0</v>
      </c>
      <c r="BB61" s="17">
        <v>107.64</v>
      </c>
      <c r="BC61" s="113">
        <f t="shared" si="3"/>
        <v>49.999999999999986</v>
      </c>
    </row>
    <row r="62" spans="1:55" s="118" customFormat="1" ht="13.5" customHeight="1">
      <c r="A62" s="16" t="s">
        <v>138</v>
      </c>
      <c r="B62" s="16" t="s">
        <v>139</v>
      </c>
      <c r="C62" s="16" t="s">
        <v>140</v>
      </c>
      <c r="D62" s="16" t="s">
        <v>51</v>
      </c>
      <c r="E62" s="16" t="s">
        <v>52</v>
      </c>
      <c r="F62" s="16" t="s">
        <v>53</v>
      </c>
      <c r="G62" s="16" t="s">
        <v>141</v>
      </c>
      <c r="H62" s="22" t="s">
        <v>142</v>
      </c>
      <c r="I62" s="134" t="s">
        <v>146</v>
      </c>
      <c r="J62" s="11">
        <v>1</v>
      </c>
      <c r="K62" s="12" t="s">
        <v>2</v>
      </c>
      <c r="L62" s="92">
        <v>55</v>
      </c>
      <c r="M62" s="14">
        <v>0</v>
      </c>
      <c r="N62" s="14">
        <v>3</v>
      </c>
      <c r="O62" s="9">
        <v>401</v>
      </c>
      <c r="P62" s="93" t="s">
        <v>57</v>
      </c>
      <c r="Q62" s="14">
        <v>1</v>
      </c>
      <c r="R62" s="9">
        <v>0</v>
      </c>
      <c r="S62" s="9">
        <v>0</v>
      </c>
      <c r="T62" s="8" t="s">
        <v>58</v>
      </c>
      <c r="U62" s="85">
        <v>53</v>
      </c>
      <c r="V62" s="90">
        <v>530811</v>
      </c>
      <c r="W62" s="91" t="s">
        <v>254</v>
      </c>
      <c r="X62" s="18">
        <v>1200.6399999999992</v>
      </c>
      <c r="Y62" s="132">
        <f>1200.64+1363.95-785.84</f>
        <v>1778.75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80">
        <v>0</v>
      </c>
      <c r="AI62" s="17">
        <v>0</v>
      </c>
      <c r="AJ62" s="107">
        <v>0</v>
      </c>
      <c r="AK62" s="17">
        <v>0</v>
      </c>
      <c r="AL62" s="17">
        <v>0</v>
      </c>
      <c r="AM62" s="17">
        <v>0</v>
      </c>
      <c r="AN62" s="59">
        <v>0</v>
      </c>
      <c r="AO62" s="17">
        <v>0</v>
      </c>
      <c r="AP62" s="17">
        <v>0</v>
      </c>
      <c r="AQ62" s="17">
        <v>0</v>
      </c>
      <c r="AR62" s="59">
        <v>1778.75</v>
      </c>
      <c r="AS62" s="17">
        <v>1778.75</v>
      </c>
      <c r="AT62" s="17">
        <v>0</v>
      </c>
      <c r="AU62" s="17">
        <v>0</v>
      </c>
      <c r="AV62" s="17">
        <v>0</v>
      </c>
      <c r="AW62" s="17">
        <v>0</v>
      </c>
      <c r="AX62" s="19">
        <f t="shared" si="4"/>
        <v>1778.75</v>
      </c>
      <c r="AY62" s="10" t="str">
        <f t="shared" si="5"/>
        <v>OK</v>
      </c>
      <c r="AZ62" s="10">
        <f t="shared" si="1"/>
        <v>1778.75</v>
      </c>
      <c r="BA62" s="10">
        <f t="shared" si="6"/>
        <v>0</v>
      </c>
      <c r="BB62" s="17">
        <f>2564.59-785.84</f>
        <v>1778.75</v>
      </c>
      <c r="BC62" s="113">
        <f t="shared" si="3"/>
        <v>0</v>
      </c>
    </row>
    <row r="63" spans="1:55" s="118" customFormat="1" ht="13.5" customHeight="1">
      <c r="A63" s="16" t="s">
        <v>138</v>
      </c>
      <c r="B63" s="16" t="s">
        <v>139</v>
      </c>
      <c r="C63" s="16" t="s">
        <v>140</v>
      </c>
      <c r="D63" s="16" t="s">
        <v>51</v>
      </c>
      <c r="E63" s="16" t="s">
        <v>52</v>
      </c>
      <c r="F63" s="16" t="s">
        <v>53</v>
      </c>
      <c r="G63" s="16" t="s">
        <v>141</v>
      </c>
      <c r="H63" s="22" t="s">
        <v>142</v>
      </c>
      <c r="I63" s="23" t="s">
        <v>113</v>
      </c>
      <c r="J63" s="11">
        <v>2</v>
      </c>
      <c r="K63" s="12" t="s">
        <v>2</v>
      </c>
      <c r="L63" s="13">
        <v>55</v>
      </c>
      <c r="M63" s="14">
        <v>0</v>
      </c>
      <c r="N63" s="14">
        <v>3</v>
      </c>
      <c r="O63" s="9">
        <v>401</v>
      </c>
      <c r="P63" s="9" t="s">
        <v>57</v>
      </c>
      <c r="Q63" s="14">
        <v>1</v>
      </c>
      <c r="R63" s="9">
        <v>0</v>
      </c>
      <c r="S63" s="9">
        <v>0</v>
      </c>
      <c r="T63" s="8" t="s">
        <v>58</v>
      </c>
      <c r="U63" s="85">
        <v>53</v>
      </c>
      <c r="V63" s="8">
        <v>530813</v>
      </c>
      <c r="W63" s="16" t="s">
        <v>119</v>
      </c>
      <c r="X63" s="18">
        <v>150</v>
      </c>
      <c r="Y63" s="18">
        <f>150-18</f>
        <v>132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89</v>
      </c>
      <c r="AJ63" s="107">
        <v>0</v>
      </c>
      <c r="AK63" s="17">
        <v>43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59">
        <v>132</v>
      </c>
      <c r="AW63" s="17">
        <v>0</v>
      </c>
      <c r="AX63" s="19">
        <f t="shared" si="4"/>
        <v>132</v>
      </c>
      <c r="AY63" s="10" t="str">
        <f t="shared" si="5"/>
        <v>OK</v>
      </c>
      <c r="AZ63" s="10">
        <f t="shared" si="1"/>
        <v>132</v>
      </c>
      <c r="BA63" s="10">
        <f t="shared" si="6"/>
        <v>0</v>
      </c>
      <c r="BB63" s="17">
        <v>132</v>
      </c>
      <c r="BC63" s="113">
        <f t="shared" si="3"/>
        <v>0</v>
      </c>
    </row>
    <row r="64" spans="1:55" s="118" customFormat="1" ht="13.5" customHeight="1">
      <c r="A64" s="16" t="s">
        <v>138</v>
      </c>
      <c r="B64" s="16" t="s">
        <v>139</v>
      </c>
      <c r="C64" s="16" t="s">
        <v>140</v>
      </c>
      <c r="D64" s="16" t="s">
        <v>51</v>
      </c>
      <c r="E64" s="16" t="s">
        <v>52</v>
      </c>
      <c r="F64" s="16" t="s">
        <v>53</v>
      </c>
      <c r="G64" s="16" t="s">
        <v>141</v>
      </c>
      <c r="H64" s="22" t="s">
        <v>142</v>
      </c>
      <c r="I64" s="134" t="s">
        <v>171</v>
      </c>
      <c r="J64" s="11">
        <v>1</v>
      </c>
      <c r="K64" s="12" t="s">
        <v>2</v>
      </c>
      <c r="L64" s="13">
        <v>55</v>
      </c>
      <c r="M64" s="14">
        <v>0</v>
      </c>
      <c r="N64" s="14">
        <v>3</v>
      </c>
      <c r="O64" s="9">
        <v>401</v>
      </c>
      <c r="P64" s="9" t="s">
        <v>57</v>
      </c>
      <c r="Q64" s="14">
        <v>1</v>
      </c>
      <c r="R64" s="9">
        <v>0</v>
      </c>
      <c r="S64" s="9">
        <v>0</v>
      </c>
      <c r="T64" s="8" t="s">
        <v>58</v>
      </c>
      <c r="U64" s="85">
        <v>53</v>
      </c>
      <c r="V64" s="8">
        <v>530813</v>
      </c>
      <c r="W64" s="16" t="s">
        <v>119</v>
      </c>
      <c r="X64" s="18">
        <v>5200.159999999998</v>
      </c>
      <c r="Y64" s="132">
        <f>5200.16+1985.11-769.85-1965.11</f>
        <v>4450.3099999999995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0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17">
        <v>4450.3099999999995</v>
      </c>
      <c r="AS64" s="17">
        <v>4450.31</v>
      </c>
      <c r="AT64" s="17">
        <v>0</v>
      </c>
      <c r="AU64" s="17">
        <v>0</v>
      </c>
      <c r="AV64" s="17">
        <v>0</v>
      </c>
      <c r="AW64" s="17">
        <v>0</v>
      </c>
      <c r="AX64" s="19">
        <f t="shared" si="4"/>
        <v>4450.3099999999995</v>
      </c>
      <c r="AY64" s="10" t="str">
        <f t="shared" si="5"/>
        <v>OK</v>
      </c>
      <c r="AZ64" s="10">
        <f t="shared" si="1"/>
        <v>4450.31</v>
      </c>
      <c r="BA64" s="10">
        <f t="shared" si="6"/>
        <v>-9.094947017729282E-13</v>
      </c>
      <c r="BB64" s="17">
        <f>6415.42-1965.11</f>
        <v>4450.31</v>
      </c>
      <c r="BC64" s="113">
        <f t="shared" si="3"/>
        <v>0</v>
      </c>
    </row>
    <row r="65" spans="1:55" s="118" customFormat="1" ht="13.5" customHeight="1">
      <c r="A65" s="16" t="s">
        <v>138</v>
      </c>
      <c r="B65" s="16" t="s">
        <v>139</v>
      </c>
      <c r="C65" s="16" t="s">
        <v>140</v>
      </c>
      <c r="D65" s="16" t="s">
        <v>51</v>
      </c>
      <c r="E65" s="16" t="s">
        <v>52</v>
      </c>
      <c r="F65" s="16" t="s">
        <v>53</v>
      </c>
      <c r="G65" s="16" t="s">
        <v>141</v>
      </c>
      <c r="H65" s="22" t="s">
        <v>142</v>
      </c>
      <c r="I65" s="147" t="s">
        <v>260</v>
      </c>
      <c r="J65" s="11">
        <v>1</v>
      </c>
      <c r="K65" s="12" t="s">
        <v>2</v>
      </c>
      <c r="L65" s="13">
        <v>55</v>
      </c>
      <c r="M65" s="14">
        <v>0</v>
      </c>
      <c r="N65" s="14">
        <v>3</v>
      </c>
      <c r="O65" s="9">
        <v>401</v>
      </c>
      <c r="P65" s="9" t="s">
        <v>57</v>
      </c>
      <c r="Q65" s="14">
        <v>1</v>
      </c>
      <c r="R65" s="9">
        <v>0</v>
      </c>
      <c r="S65" s="9">
        <v>0</v>
      </c>
      <c r="T65" s="8" t="s">
        <v>58</v>
      </c>
      <c r="U65" s="85">
        <v>53</v>
      </c>
      <c r="V65" s="8">
        <v>531404</v>
      </c>
      <c r="W65" s="16" t="s">
        <v>261</v>
      </c>
      <c r="X65" s="127">
        <v>0</v>
      </c>
      <c r="Y65" s="146">
        <f>2206.4-236.4</f>
        <v>1970</v>
      </c>
      <c r="Z65" s="17">
        <v>0</v>
      </c>
      <c r="AA65" s="17">
        <v>0</v>
      </c>
      <c r="AB65" s="17">
        <v>0</v>
      </c>
      <c r="AC65" s="17">
        <v>0</v>
      </c>
      <c r="AD65" s="17">
        <v>1970</v>
      </c>
      <c r="AE65" s="17">
        <v>1970</v>
      </c>
      <c r="AF65" s="17">
        <v>0</v>
      </c>
      <c r="AG65" s="17">
        <v>0</v>
      </c>
      <c r="AH65" s="17">
        <v>0</v>
      </c>
      <c r="AI65" s="17">
        <v>0</v>
      </c>
      <c r="AJ65" s="10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9">
        <f t="shared" si="4"/>
        <v>1970</v>
      </c>
      <c r="AY65" s="10" t="str">
        <f t="shared" si="5"/>
        <v>OK</v>
      </c>
      <c r="AZ65" s="10">
        <f t="shared" si="1"/>
        <v>1970</v>
      </c>
      <c r="BA65" s="10">
        <f t="shared" si="6"/>
        <v>0</v>
      </c>
      <c r="BB65" s="17">
        <v>1970</v>
      </c>
      <c r="BC65" s="113">
        <f t="shared" si="3"/>
        <v>0</v>
      </c>
    </row>
    <row r="66" spans="1:55" s="118" customFormat="1" ht="13.5" customHeight="1">
      <c r="A66" s="16" t="s">
        <v>138</v>
      </c>
      <c r="B66" s="16" t="s">
        <v>139</v>
      </c>
      <c r="C66" s="16" t="s">
        <v>140</v>
      </c>
      <c r="D66" s="16" t="s">
        <v>51</v>
      </c>
      <c r="E66" s="16" t="s">
        <v>52</v>
      </c>
      <c r="F66" s="16" t="s">
        <v>53</v>
      </c>
      <c r="G66" s="16" t="s">
        <v>141</v>
      </c>
      <c r="H66" s="22" t="s">
        <v>142</v>
      </c>
      <c r="I66" s="147" t="s">
        <v>260</v>
      </c>
      <c r="J66" s="11">
        <v>1</v>
      </c>
      <c r="K66" s="12" t="s">
        <v>2</v>
      </c>
      <c r="L66" s="13">
        <v>55</v>
      </c>
      <c r="M66" s="14">
        <v>0</v>
      </c>
      <c r="N66" s="14">
        <v>3</v>
      </c>
      <c r="O66" s="9">
        <v>401</v>
      </c>
      <c r="P66" s="9" t="s">
        <v>57</v>
      </c>
      <c r="Q66" s="14">
        <v>1</v>
      </c>
      <c r="R66" s="9">
        <v>0</v>
      </c>
      <c r="S66" s="9">
        <v>0</v>
      </c>
      <c r="T66" s="8" t="s">
        <v>58</v>
      </c>
      <c r="U66" s="85">
        <v>53</v>
      </c>
      <c r="V66" s="8">
        <v>531407</v>
      </c>
      <c r="W66" s="16" t="s">
        <v>262</v>
      </c>
      <c r="X66" s="127">
        <v>0</v>
      </c>
      <c r="Y66" s="146">
        <f>554.4-59.4</f>
        <v>495</v>
      </c>
      <c r="Z66" s="17">
        <v>0</v>
      </c>
      <c r="AA66" s="17">
        <v>0</v>
      </c>
      <c r="AB66" s="17">
        <v>0</v>
      </c>
      <c r="AC66" s="17">
        <v>0</v>
      </c>
      <c r="AD66" s="17">
        <v>495</v>
      </c>
      <c r="AE66" s="17">
        <v>495</v>
      </c>
      <c r="AF66" s="17">
        <v>0</v>
      </c>
      <c r="AG66" s="17">
        <v>0</v>
      </c>
      <c r="AH66" s="17">
        <v>0</v>
      </c>
      <c r="AI66" s="17">
        <v>0</v>
      </c>
      <c r="AJ66" s="10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9">
        <f t="shared" si="4"/>
        <v>495</v>
      </c>
      <c r="AY66" s="10" t="str">
        <f t="shared" si="5"/>
        <v>OK</v>
      </c>
      <c r="AZ66" s="10">
        <f t="shared" si="1"/>
        <v>495</v>
      </c>
      <c r="BA66" s="10">
        <f t="shared" si="6"/>
        <v>0</v>
      </c>
      <c r="BB66" s="17">
        <v>495</v>
      </c>
      <c r="BC66" s="113">
        <f t="shared" si="3"/>
        <v>0</v>
      </c>
    </row>
    <row r="67" spans="1:55" s="118" customFormat="1" ht="13.5" customHeight="1">
      <c r="A67" s="16" t="s">
        <v>48</v>
      </c>
      <c r="B67" s="16" t="s">
        <v>49</v>
      </c>
      <c r="C67" s="16" t="s">
        <v>50</v>
      </c>
      <c r="D67" s="16" t="s">
        <v>51</v>
      </c>
      <c r="E67" s="16" t="s">
        <v>52</v>
      </c>
      <c r="F67" s="16" t="s">
        <v>53</v>
      </c>
      <c r="G67" s="16" t="s">
        <v>54</v>
      </c>
      <c r="H67" s="22" t="s">
        <v>55</v>
      </c>
      <c r="I67" s="134" t="s">
        <v>263</v>
      </c>
      <c r="J67" s="11">
        <v>1</v>
      </c>
      <c r="K67" s="12" t="s">
        <v>2</v>
      </c>
      <c r="L67" s="13">
        <v>1</v>
      </c>
      <c r="M67" s="14">
        <v>0</v>
      </c>
      <c r="N67" s="14">
        <v>1</v>
      </c>
      <c r="O67" s="9">
        <v>401</v>
      </c>
      <c r="P67" s="9" t="s">
        <v>57</v>
      </c>
      <c r="Q67" s="14">
        <v>1</v>
      </c>
      <c r="R67" s="9">
        <v>0</v>
      </c>
      <c r="S67" s="9">
        <v>0</v>
      </c>
      <c r="T67" s="8" t="s">
        <v>58</v>
      </c>
      <c r="U67" s="85">
        <v>53</v>
      </c>
      <c r="V67" s="8">
        <v>530402</v>
      </c>
      <c r="W67" s="16" t="s">
        <v>88</v>
      </c>
      <c r="X67" s="127">
        <v>0</v>
      </c>
      <c r="Y67" s="132">
        <f>8766.77+6041.59-2241.62-4444.99</f>
        <v>8121.750000000002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07">
        <v>0</v>
      </c>
      <c r="AK67" s="17">
        <v>0</v>
      </c>
      <c r="AL67" s="59">
        <v>0</v>
      </c>
      <c r="AM67" s="17">
        <v>0</v>
      </c>
      <c r="AN67" s="80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8121.750000000002</v>
      </c>
      <c r="AU67" s="17">
        <v>8121.75</v>
      </c>
      <c r="AV67" s="17">
        <v>0</v>
      </c>
      <c r="AW67" s="17">
        <v>0</v>
      </c>
      <c r="AX67" s="19">
        <f t="shared" si="4"/>
        <v>8121.750000000002</v>
      </c>
      <c r="AY67" s="10" t="str">
        <f t="shared" si="5"/>
        <v>OK</v>
      </c>
      <c r="AZ67" s="10">
        <f t="shared" si="1"/>
        <v>8121.75</v>
      </c>
      <c r="BA67" s="10">
        <f t="shared" si="6"/>
        <v>1.8189894035458565E-12</v>
      </c>
      <c r="BB67" s="17">
        <f>12566.74-4444.99</f>
        <v>8121.75</v>
      </c>
      <c r="BC67" s="113">
        <f t="shared" si="3"/>
        <v>0</v>
      </c>
    </row>
    <row r="68" spans="1:55" s="118" customFormat="1" ht="13.5" customHeight="1">
      <c r="A68" s="16" t="s">
        <v>48</v>
      </c>
      <c r="B68" s="16" t="s">
        <v>49</v>
      </c>
      <c r="C68" s="16" t="s">
        <v>50</v>
      </c>
      <c r="D68" s="16" t="s">
        <v>51</v>
      </c>
      <c r="E68" s="16" t="s">
        <v>52</v>
      </c>
      <c r="F68" s="16" t="s">
        <v>53</v>
      </c>
      <c r="G68" s="16" t="s">
        <v>54</v>
      </c>
      <c r="H68" s="22" t="s">
        <v>55</v>
      </c>
      <c r="I68" s="72" t="s">
        <v>112</v>
      </c>
      <c r="J68" s="11">
        <v>1</v>
      </c>
      <c r="K68" s="12" t="s">
        <v>2</v>
      </c>
      <c r="L68" s="13">
        <v>1</v>
      </c>
      <c r="M68" s="14">
        <v>0</v>
      </c>
      <c r="N68" s="14">
        <v>1</v>
      </c>
      <c r="O68" s="9">
        <v>401</v>
      </c>
      <c r="P68" s="9" t="s">
        <v>57</v>
      </c>
      <c r="Q68" s="14">
        <v>1</v>
      </c>
      <c r="R68" s="9">
        <v>0</v>
      </c>
      <c r="S68" s="9">
        <v>0</v>
      </c>
      <c r="T68" s="8" t="s">
        <v>58</v>
      </c>
      <c r="U68" s="85">
        <v>53</v>
      </c>
      <c r="V68" s="8">
        <v>530811</v>
      </c>
      <c r="W68" s="16" t="s">
        <v>254</v>
      </c>
      <c r="X68" s="127">
        <v>0</v>
      </c>
      <c r="Y68" s="71">
        <f>567.84-567.84</f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0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9">
        <f t="shared" si="4"/>
        <v>0</v>
      </c>
      <c r="AY68" s="10" t="str">
        <f t="shared" si="5"/>
        <v>OK</v>
      </c>
      <c r="AZ68" s="10">
        <f t="shared" si="1"/>
        <v>0</v>
      </c>
      <c r="BA68" s="10">
        <f t="shared" si="6"/>
        <v>0</v>
      </c>
      <c r="BB68" s="17">
        <v>0</v>
      </c>
      <c r="BC68" s="113">
        <f t="shared" si="3"/>
        <v>0</v>
      </c>
    </row>
    <row r="69" spans="1:55" s="118" customFormat="1" ht="13.5" customHeight="1">
      <c r="A69" s="16" t="s">
        <v>48</v>
      </c>
      <c r="B69" s="16" t="s">
        <v>49</v>
      </c>
      <c r="C69" s="16" t="s">
        <v>50</v>
      </c>
      <c r="D69" s="16" t="s">
        <v>51</v>
      </c>
      <c r="E69" s="16" t="s">
        <v>52</v>
      </c>
      <c r="F69" s="16" t="s">
        <v>53</v>
      </c>
      <c r="G69" s="16" t="s">
        <v>54</v>
      </c>
      <c r="H69" s="22" t="s">
        <v>55</v>
      </c>
      <c r="I69" s="81" t="s">
        <v>280</v>
      </c>
      <c r="J69" s="11">
        <v>1</v>
      </c>
      <c r="K69" s="12" t="s">
        <v>2</v>
      </c>
      <c r="L69" s="13">
        <v>1</v>
      </c>
      <c r="M69" s="14">
        <v>0</v>
      </c>
      <c r="N69" s="14">
        <v>1</v>
      </c>
      <c r="O69" s="9">
        <v>401</v>
      </c>
      <c r="P69" s="9" t="s">
        <v>57</v>
      </c>
      <c r="Q69" s="14">
        <v>1</v>
      </c>
      <c r="R69" s="9">
        <v>0</v>
      </c>
      <c r="S69" s="9">
        <v>0</v>
      </c>
      <c r="T69" s="8" t="s">
        <v>58</v>
      </c>
      <c r="U69" s="85" t="s">
        <v>287</v>
      </c>
      <c r="V69" s="8">
        <v>530804</v>
      </c>
      <c r="W69" s="16" t="s">
        <v>105</v>
      </c>
      <c r="X69" s="127">
        <v>0</v>
      </c>
      <c r="Y69" s="89">
        <f>90+17.16</f>
        <v>107.16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07">
        <v>107.16</v>
      </c>
      <c r="AK69" s="17">
        <v>0</v>
      </c>
      <c r="AL69" s="17">
        <v>0</v>
      </c>
      <c r="AM69" s="17">
        <v>107.16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9">
        <f t="shared" si="4"/>
        <v>107.16</v>
      </c>
      <c r="AY69" s="10" t="str">
        <f t="shared" si="5"/>
        <v>OK</v>
      </c>
      <c r="AZ69" s="10">
        <f t="shared" si="1"/>
        <v>107.16</v>
      </c>
      <c r="BA69" s="10">
        <f t="shared" si="6"/>
        <v>0</v>
      </c>
      <c r="BB69" s="17">
        <v>107.16</v>
      </c>
      <c r="BC69" s="113">
        <f t="shared" si="3"/>
        <v>0</v>
      </c>
    </row>
    <row r="70" spans="1:55" s="118" customFormat="1" ht="13.5" customHeight="1">
      <c r="A70" s="16" t="s">
        <v>48</v>
      </c>
      <c r="B70" s="16" t="s">
        <v>49</v>
      </c>
      <c r="C70" s="16" t="s">
        <v>50</v>
      </c>
      <c r="D70" s="16" t="s">
        <v>51</v>
      </c>
      <c r="E70" s="16" t="s">
        <v>52</v>
      </c>
      <c r="F70" s="16" t="s">
        <v>53</v>
      </c>
      <c r="G70" s="16" t="s">
        <v>54</v>
      </c>
      <c r="H70" s="22" t="s">
        <v>55</v>
      </c>
      <c r="I70" s="88" t="s">
        <v>283</v>
      </c>
      <c r="J70" s="11">
        <v>1</v>
      </c>
      <c r="K70" s="12" t="s">
        <v>2</v>
      </c>
      <c r="L70" s="13">
        <v>1</v>
      </c>
      <c r="M70" s="14">
        <v>0</v>
      </c>
      <c r="N70" s="14">
        <v>1</v>
      </c>
      <c r="O70" s="9">
        <v>401</v>
      </c>
      <c r="P70" s="9" t="s">
        <v>57</v>
      </c>
      <c r="Q70" s="14">
        <v>1</v>
      </c>
      <c r="R70" s="9">
        <v>0</v>
      </c>
      <c r="S70" s="9">
        <v>0</v>
      </c>
      <c r="T70" s="8" t="s">
        <v>58</v>
      </c>
      <c r="U70" s="85" t="s">
        <v>287</v>
      </c>
      <c r="V70" s="8">
        <v>530301</v>
      </c>
      <c r="W70" s="16" t="s">
        <v>83</v>
      </c>
      <c r="X70" s="127">
        <v>0</v>
      </c>
      <c r="Y70" s="86">
        <f>1000-1000</f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0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9">
        <f t="shared" si="4"/>
        <v>0</v>
      </c>
      <c r="AY70" s="10" t="str">
        <f t="shared" si="5"/>
        <v>OK</v>
      </c>
      <c r="AZ70" s="10">
        <f aca="true" t="shared" si="7" ref="AZ70:AZ133">IF($AZ$4="Seleccione el mes",$AZ$4,IF($AZ$4="Enero",AA70,IF($AZ$4="Febrero",AA70+AC70,IF($AZ$4="Marzo",AA70+AC70+AE70,IF($AZ$4="Abril",AA70+AC70+AE70+AG70,IF($AZ$4="Mayo",AA70+AC70+AE70+AG70+AI70,IF($AZ$4="Junio",AA70+AC70+AE70+AG70+AI70+AK70,IF($AZ$4="Julio",AA70+AC70+AE70+AG70+AI70+AK70+AM70,IF($AZ$4="Agosto",AA70+AC70+AE70+AG70+AI70+AK70+AM70+AO70,IF($AZ$4="Septiembre",AA70++AE70++AI70+AK70+AM70+AO70+AQ70,IF($AZ$4="Octubre",AA70+AC70+AE70+AG70+AI70+AK70+AM70+AO70+AQ70+AS70,IF($AZ$4="Noviembre",AA70+AC70+AE70+AG70+AI70+AK70+AM70+AO70+AQ70+AS70+AU70,IF($AZ$4="Diciembre",AA70+AC70+AE70+AG70+AI70+AK70+AM70+AO70+AQ70+AS70+AU70+AW70)))))))))))))</f>
        <v>0</v>
      </c>
      <c r="BA70" s="10">
        <f t="shared" si="6"/>
        <v>0</v>
      </c>
      <c r="BB70" s="17">
        <v>0</v>
      </c>
      <c r="BC70" s="113">
        <f aca="true" t="shared" si="8" ref="BC70:BC135">Y70-BB70</f>
        <v>0</v>
      </c>
    </row>
    <row r="71" spans="1:55" s="118" customFormat="1" ht="13.5" customHeight="1">
      <c r="A71" s="16" t="s">
        <v>48</v>
      </c>
      <c r="B71" s="16" t="s">
        <v>49</v>
      </c>
      <c r="C71" s="16" t="s">
        <v>50</v>
      </c>
      <c r="D71" s="16" t="s">
        <v>51</v>
      </c>
      <c r="E71" s="16" t="s">
        <v>52</v>
      </c>
      <c r="F71" s="16" t="s">
        <v>53</v>
      </c>
      <c r="G71" s="16" t="s">
        <v>54</v>
      </c>
      <c r="H71" s="22" t="s">
        <v>55</v>
      </c>
      <c r="I71" s="133" t="s">
        <v>293</v>
      </c>
      <c r="J71" s="11">
        <v>1</v>
      </c>
      <c r="K71" s="12" t="s">
        <v>2</v>
      </c>
      <c r="L71" s="13">
        <v>1</v>
      </c>
      <c r="M71" s="14">
        <v>0</v>
      </c>
      <c r="N71" s="14">
        <v>1</v>
      </c>
      <c r="O71" s="9">
        <v>401</v>
      </c>
      <c r="P71" s="9" t="s">
        <v>57</v>
      </c>
      <c r="Q71" s="14">
        <v>1</v>
      </c>
      <c r="R71" s="9">
        <v>0</v>
      </c>
      <c r="S71" s="9">
        <v>0</v>
      </c>
      <c r="T71" s="8" t="s">
        <v>58</v>
      </c>
      <c r="U71" s="85" t="s">
        <v>287</v>
      </c>
      <c r="V71" s="8">
        <v>530405</v>
      </c>
      <c r="W71" s="16" t="s">
        <v>96</v>
      </c>
      <c r="X71" s="127">
        <v>0</v>
      </c>
      <c r="Y71" s="132">
        <f>2025+5168.29-1500-4193.29</f>
        <v>1500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0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1500</v>
      </c>
      <c r="AU71" s="17">
        <v>1500</v>
      </c>
      <c r="AV71" s="17">
        <v>0</v>
      </c>
      <c r="AW71" s="17">
        <v>0</v>
      </c>
      <c r="AX71" s="19">
        <f aca="true" t="shared" si="9" ref="AX71:AX134">SUM(Z71+AB71+AD71+AF71+AH71+AJ71+AL71+AN71+AP71+AR71+AT71+AV71)</f>
        <v>1500</v>
      </c>
      <c r="AY71" s="10" t="str">
        <f aca="true" t="shared" si="10" ref="AY71:AY134">IF(AX71=Y71,"OK",Y71-AX71)</f>
        <v>OK</v>
      </c>
      <c r="AZ71" s="10">
        <f t="shared" si="7"/>
        <v>1500</v>
      </c>
      <c r="BA71" s="10">
        <f aca="true" t="shared" si="11" ref="BA71:BA134">Z71-AA71+AB71-AC71+AD71-AE71+AF71-AG71+AH71-AI71+AJ71-AK71+AL71-AM71+AN71-AO71+AP71-AQ71+AR71-AS71+AT71-AU71+AV71-AW71</f>
        <v>0</v>
      </c>
      <c r="BB71" s="17">
        <v>1500</v>
      </c>
      <c r="BC71" s="113">
        <f t="shared" si="8"/>
        <v>0</v>
      </c>
    </row>
    <row r="72" spans="1:55" s="118" customFormat="1" ht="13.5" customHeight="1">
      <c r="A72" s="16" t="s">
        <v>48</v>
      </c>
      <c r="B72" s="16" t="s">
        <v>49</v>
      </c>
      <c r="C72" s="16" t="s">
        <v>50</v>
      </c>
      <c r="D72" s="16" t="s">
        <v>51</v>
      </c>
      <c r="E72" s="16" t="s">
        <v>52</v>
      </c>
      <c r="F72" s="16" t="s">
        <v>53</v>
      </c>
      <c r="G72" s="16" t="s">
        <v>54</v>
      </c>
      <c r="H72" s="22" t="s">
        <v>55</v>
      </c>
      <c r="I72" s="145" t="s">
        <v>295</v>
      </c>
      <c r="J72" s="11">
        <v>1</v>
      </c>
      <c r="K72" s="12" t="s">
        <v>2</v>
      </c>
      <c r="L72" s="13">
        <v>1</v>
      </c>
      <c r="M72" s="14">
        <v>0</v>
      </c>
      <c r="N72" s="14">
        <v>1</v>
      </c>
      <c r="O72" s="9">
        <v>401</v>
      </c>
      <c r="P72" s="9" t="s">
        <v>57</v>
      </c>
      <c r="Q72" s="14">
        <v>1</v>
      </c>
      <c r="R72" s="9">
        <v>0</v>
      </c>
      <c r="S72" s="9">
        <v>0</v>
      </c>
      <c r="T72" s="8" t="s">
        <v>58</v>
      </c>
      <c r="U72" s="85" t="s">
        <v>287</v>
      </c>
      <c r="V72" s="8">
        <v>530502</v>
      </c>
      <c r="W72" s="16" t="s">
        <v>294</v>
      </c>
      <c r="X72" s="127">
        <v>0</v>
      </c>
      <c r="Y72" s="144">
        <f>200+400-600</f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0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/>
      <c r="AU72" s="17">
        <v>0</v>
      </c>
      <c r="AV72" s="17">
        <v>0</v>
      </c>
      <c r="AW72" s="17">
        <v>0</v>
      </c>
      <c r="AX72" s="19">
        <f t="shared" si="9"/>
        <v>0</v>
      </c>
      <c r="AY72" s="10" t="str">
        <f t="shared" si="10"/>
        <v>OK</v>
      </c>
      <c r="AZ72" s="10">
        <f t="shared" si="7"/>
        <v>0</v>
      </c>
      <c r="BA72" s="10">
        <f t="shared" si="11"/>
        <v>0</v>
      </c>
      <c r="BB72" s="17">
        <v>0</v>
      </c>
      <c r="BC72" s="113">
        <f t="shared" si="8"/>
        <v>0</v>
      </c>
    </row>
    <row r="73" spans="1:55" s="118" customFormat="1" ht="13.5" customHeight="1">
      <c r="A73" s="16" t="s">
        <v>48</v>
      </c>
      <c r="B73" s="16" t="s">
        <v>49</v>
      </c>
      <c r="C73" s="16" t="s">
        <v>74</v>
      </c>
      <c r="D73" s="16" t="s">
        <v>75</v>
      </c>
      <c r="E73" s="16" t="s">
        <v>52</v>
      </c>
      <c r="F73" s="16" t="s">
        <v>53</v>
      </c>
      <c r="G73" s="16" t="s">
        <v>306</v>
      </c>
      <c r="H73" s="22" t="s">
        <v>76</v>
      </c>
      <c r="I73" s="125" t="s">
        <v>301</v>
      </c>
      <c r="J73" s="11">
        <v>1</v>
      </c>
      <c r="K73" s="12" t="s">
        <v>2</v>
      </c>
      <c r="L73" s="13">
        <v>1</v>
      </c>
      <c r="M73" s="14">
        <v>0</v>
      </c>
      <c r="N73" s="14">
        <v>1</v>
      </c>
      <c r="O73" s="9">
        <v>401</v>
      </c>
      <c r="P73" s="9" t="s">
        <v>57</v>
      </c>
      <c r="Q73" s="14">
        <v>1</v>
      </c>
      <c r="R73" s="9">
        <v>0</v>
      </c>
      <c r="S73" s="9">
        <v>0</v>
      </c>
      <c r="T73" s="8" t="s">
        <v>58</v>
      </c>
      <c r="U73" s="85" t="s">
        <v>287</v>
      </c>
      <c r="V73" s="8">
        <v>531403</v>
      </c>
      <c r="W73" s="16" t="s">
        <v>302</v>
      </c>
      <c r="X73" s="127">
        <v>0</v>
      </c>
      <c r="Y73" s="124">
        <f>230-80</f>
        <v>150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0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150</v>
      </c>
      <c r="AW73" s="17">
        <v>0</v>
      </c>
      <c r="AX73" s="19">
        <f t="shared" si="9"/>
        <v>150</v>
      </c>
      <c r="AY73" s="10" t="str">
        <f t="shared" si="10"/>
        <v>OK</v>
      </c>
      <c r="AZ73" s="10">
        <f t="shared" si="7"/>
        <v>0</v>
      </c>
      <c r="BA73" s="10">
        <f t="shared" si="11"/>
        <v>150</v>
      </c>
      <c r="BB73" s="17">
        <v>150</v>
      </c>
      <c r="BC73" s="113">
        <f t="shared" si="8"/>
        <v>0</v>
      </c>
    </row>
    <row r="74" spans="1:55" s="118" customFormat="1" ht="13.5" customHeight="1">
      <c r="A74" s="16" t="s">
        <v>48</v>
      </c>
      <c r="B74" s="16" t="s">
        <v>49</v>
      </c>
      <c r="C74" s="16" t="s">
        <v>74</v>
      </c>
      <c r="D74" s="16" t="s">
        <v>75</v>
      </c>
      <c r="E74" s="16" t="s">
        <v>52</v>
      </c>
      <c r="F74" s="16" t="s">
        <v>53</v>
      </c>
      <c r="G74" s="16" t="s">
        <v>306</v>
      </c>
      <c r="H74" s="22" t="s">
        <v>76</v>
      </c>
      <c r="I74" s="133" t="s">
        <v>115</v>
      </c>
      <c r="J74" s="11">
        <v>1</v>
      </c>
      <c r="K74" s="12" t="s">
        <v>2</v>
      </c>
      <c r="L74" s="13">
        <v>1</v>
      </c>
      <c r="M74" s="14">
        <v>0</v>
      </c>
      <c r="N74" s="14">
        <v>1</v>
      </c>
      <c r="O74" s="9">
        <v>401</v>
      </c>
      <c r="P74" s="9" t="s">
        <v>57</v>
      </c>
      <c r="Q74" s="14">
        <v>1</v>
      </c>
      <c r="R74" s="9">
        <v>0</v>
      </c>
      <c r="S74" s="9">
        <v>0</v>
      </c>
      <c r="T74" s="8" t="s">
        <v>58</v>
      </c>
      <c r="U74" s="85" t="s">
        <v>287</v>
      </c>
      <c r="V74" s="8">
        <v>531404</v>
      </c>
      <c r="W74" s="16" t="s">
        <v>261</v>
      </c>
      <c r="X74" s="127">
        <v>0</v>
      </c>
      <c r="Y74" s="132">
        <f>800.8-270.8</f>
        <v>530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0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530</v>
      </c>
      <c r="AT74" s="17">
        <v>530</v>
      </c>
      <c r="AU74" s="17">
        <v>0</v>
      </c>
      <c r="AV74" s="17">
        <v>0</v>
      </c>
      <c r="AW74" s="17">
        <v>0</v>
      </c>
      <c r="AX74" s="19">
        <f t="shared" si="9"/>
        <v>530</v>
      </c>
      <c r="AY74" s="10" t="str">
        <f t="shared" si="10"/>
        <v>OK</v>
      </c>
      <c r="AZ74" s="10">
        <f t="shared" si="7"/>
        <v>530</v>
      </c>
      <c r="BA74" s="10">
        <f t="shared" si="11"/>
        <v>0</v>
      </c>
      <c r="BB74" s="17">
        <v>530</v>
      </c>
      <c r="BC74" s="113">
        <f t="shared" si="8"/>
        <v>0</v>
      </c>
    </row>
    <row r="75" spans="1:55" s="118" customFormat="1" ht="13.5" customHeight="1">
      <c r="A75" s="16" t="s">
        <v>48</v>
      </c>
      <c r="B75" s="16" t="s">
        <v>49</v>
      </c>
      <c r="C75" s="16" t="s">
        <v>50</v>
      </c>
      <c r="D75" s="16" t="s">
        <v>51</v>
      </c>
      <c r="E75" s="16" t="s">
        <v>52</v>
      </c>
      <c r="F75" s="16" t="s">
        <v>53</v>
      </c>
      <c r="G75" s="16" t="s">
        <v>54</v>
      </c>
      <c r="H75" s="22" t="s">
        <v>55</v>
      </c>
      <c r="I75" s="133" t="s">
        <v>98</v>
      </c>
      <c r="J75" s="11">
        <v>1</v>
      </c>
      <c r="K75" s="12" t="s">
        <v>2</v>
      </c>
      <c r="L75" s="13">
        <v>1</v>
      </c>
      <c r="M75" s="14">
        <v>0</v>
      </c>
      <c r="N75" s="14">
        <v>1</v>
      </c>
      <c r="O75" s="9">
        <v>401</v>
      </c>
      <c r="P75" s="9" t="s">
        <v>57</v>
      </c>
      <c r="Q75" s="14">
        <v>1</v>
      </c>
      <c r="R75" s="9">
        <v>0</v>
      </c>
      <c r="S75" s="9">
        <v>0</v>
      </c>
      <c r="T75" s="8" t="s">
        <v>58</v>
      </c>
      <c r="U75" s="85" t="s">
        <v>287</v>
      </c>
      <c r="V75" s="8">
        <v>530813</v>
      </c>
      <c r="W75" s="16" t="s">
        <v>119</v>
      </c>
      <c r="X75" s="127">
        <v>0</v>
      </c>
      <c r="Y75" s="132">
        <f>80-20</f>
        <v>60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0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60</v>
      </c>
      <c r="AQ75" s="17">
        <v>60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9">
        <f t="shared" si="9"/>
        <v>60</v>
      </c>
      <c r="AY75" s="10" t="str">
        <f t="shared" si="10"/>
        <v>OK</v>
      </c>
      <c r="AZ75" s="10">
        <f t="shared" si="7"/>
        <v>60</v>
      </c>
      <c r="BA75" s="10">
        <f t="shared" si="11"/>
        <v>0</v>
      </c>
      <c r="BB75" s="17">
        <v>60</v>
      </c>
      <c r="BC75" s="113">
        <f t="shared" si="8"/>
        <v>0</v>
      </c>
    </row>
    <row r="76" spans="1:55" s="118" customFormat="1" ht="13.5" customHeight="1">
      <c r="A76" s="16" t="s">
        <v>48</v>
      </c>
      <c r="B76" s="16" t="s">
        <v>49</v>
      </c>
      <c r="C76" s="16" t="s">
        <v>50</v>
      </c>
      <c r="D76" s="16" t="s">
        <v>51</v>
      </c>
      <c r="E76" s="16" t="s">
        <v>52</v>
      </c>
      <c r="F76" s="16" t="s">
        <v>53</v>
      </c>
      <c r="G76" s="16" t="s">
        <v>54</v>
      </c>
      <c r="H76" s="22" t="s">
        <v>55</v>
      </c>
      <c r="I76" s="140" t="s">
        <v>309</v>
      </c>
      <c r="J76" s="11">
        <v>1</v>
      </c>
      <c r="K76" s="12" t="s">
        <v>2</v>
      </c>
      <c r="L76" s="13">
        <v>1</v>
      </c>
      <c r="M76" s="14">
        <v>0</v>
      </c>
      <c r="N76" s="14">
        <v>1</v>
      </c>
      <c r="O76" s="9">
        <v>401</v>
      </c>
      <c r="P76" s="9" t="s">
        <v>57</v>
      </c>
      <c r="Q76" s="14">
        <v>1</v>
      </c>
      <c r="R76" s="9">
        <v>0</v>
      </c>
      <c r="S76" s="9">
        <v>0</v>
      </c>
      <c r="T76" s="8" t="s">
        <v>58</v>
      </c>
      <c r="U76" s="85" t="s">
        <v>287</v>
      </c>
      <c r="V76" s="8">
        <v>530813</v>
      </c>
      <c r="W76" s="16" t="s">
        <v>119</v>
      </c>
      <c r="X76" s="127">
        <v>0</v>
      </c>
      <c r="Y76" s="55">
        <f>1500+4193.29-873.79</f>
        <v>4819.5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0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4819.5</v>
      </c>
      <c r="AU76" s="17">
        <v>4819.5</v>
      </c>
      <c r="AV76" s="17">
        <v>0</v>
      </c>
      <c r="AW76" s="17">
        <v>0</v>
      </c>
      <c r="AX76" s="19">
        <f t="shared" si="9"/>
        <v>4819.5</v>
      </c>
      <c r="AY76" s="10" t="str">
        <f t="shared" si="10"/>
        <v>OK</v>
      </c>
      <c r="AZ76" s="10">
        <f t="shared" si="7"/>
        <v>4819.5</v>
      </c>
      <c r="BA76" s="10">
        <f t="shared" si="11"/>
        <v>0</v>
      </c>
      <c r="BB76" s="17">
        <v>4819.5</v>
      </c>
      <c r="BC76" s="113">
        <f t="shared" si="8"/>
        <v>0</v>
      </c>
    </row>
    <row r="77" spans="1:55" s="118" customFormat="1" ht="13.5" customHeight="1">
      <c r="A77" s="16" t="s">
        <v>48</v>
      </c>
      <c r="B77" s="16" t="s">
        <v>49</v>
      </c>
      <c r="C77" s="16" t="s">
        <v>50</v>
      </c>
      <c r="D77" s="16" t="s">
        <v>51</v>
      </c>
      <c r="E77" s="16" t="s">
        <v>52</v>
      </c>
      <c r="F77" s="16" t="s">
        <v>53</v>
      </c>
      <c r="G77" s="16" t="s">
        <v>54</v>
      </c>
      <c r="H77" s="22" t="s">
        <v>55</v>
      </c>
      <c r="I77" s="149" t="s">
        <v>310</v>
      </c>
      <c r="J77" s="11">
        <v>1</v>
      </c>
      <c r="K77" s="12" t="s">
        <v>2</v>
      </c>
      <c r="L77" s="13">
        <v>1</v>
      </c>
      <c r="M77" s="14">
        <v>0</v>
      </c>
      <c r="N77" s="14">
        <v>1</v>
      </c>
      <c r="O77" s="9">
        <v>401</v>
      </c>
      <c r="P77" s="9" t="s">
        <v>57</v>
      </c>
      <c r="Q77" s="14">
        <v>1</v>
      </c>
      <c r="R77" s="9">
        <v>0</v>
      </c>
      <c r="S77" s="9">
        <v>0</v>
      </c>
      <c r="T77" s="8" t="s">
        <v>58</v>
      </c>
      <c r="U77" s="85" t="s">
        <v>287</v>
      </c>
      <c r="V77" s="8">
        <v>530402</v>
      </c>
      <c r="W77" s="16" t="s">
        <v>88</v>
      </c>
      <c r="X77" s="127">
        <v>0</v>
      </c>
      <c r="Y77" s="146">
        <f>16000-16000</f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0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9">
        <f t="shared" si="9"/>
        <v>0</v>
      </c>
      <c r="AY77" s="10" t="str">
        <f t="shared" si="10"/>
        <v>OK</v>
      </c>
      <c r="AZ77" s="10">
        <f t="shared" si="7"/>
        <v>0</v>
      </c>
      <c r="BA77" s="10">
        <f t="shared" si="11"/>
        <v>0</v>
      </c>
      <c r="BB77" s="17">
        <v>0</v>
      </c>
      <c r="BC77" s="113">
        <f t="shared" si="8"/>
        <v>0</v>
      </c>
    </row>
    <row r="78" spans="1:55" s="118" customFormat="1" ht="13.5" customHeight="1">
      <c r="A78" s="16" t="s">
        <v>48</v>
      </c>
      <c r="B78" s="16" t="s">
        <v>49</v>
      </c>
      <c r="C78" s="16" t="s">
        <v>74</v>
      </c>
      <c r="D78" s="16" t="s">
        <v>75</v>
      </c>
      <c r="E78" s="16" t="s">
        <v>52</v>
      </c>
      <c r="F78" s="16" t="s">
        <v>53</v>
      </c>
      <c r="G78" s="16" t="s">
        <v>306</v>
      </c>
      <c r="H78" s="22" t="s">
        <v>76</v>
      </c>
      <c r="I78" s="136" t="s">
        <v>311</v>
      </c>
      <c r="J78" s="11">
        <v>1</v>
      </c>
      <c r="K78" s="12" t="s">
        <v>2</v>
      </c>
      <c r="L78" s="13">
        <v>1</v>
      </c>
      <c r="M78" s="14">
        <v>0</v>
      </c>
      <c r="N78" s="14">
        <v>1</v>
      </c>
      <c r="O78" s="9">
        <v>401</v>
      </c>
      <c r="P78" s="9" t="s">
        <v>57</v>
      </c>
      <c r="Q78" s="14">
        <v>1</v>
      </c>
      <c r="R78" s="9">
        <v>0</v>
      </c>
      <c r="S78" s="9">
        <v>0</v>
      </c>
      <c r="T78" s="8" t="s">
        <v>58</v>
      </c>
      <c r="U78" s="85" t="s">
        <v>287</v>
      </c>
      <c r="V78" s="8">
        <v>530811</v>
      </c>
      <c r="W78" s="16" t="s">
        <v>254</v>
      </c>
      <c r="X78" s="127">
        <v>0</v>
      </c>
      <c r="Y78" s="132">
        <v>687.5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0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>
        <v>0</v>
      </c>
      <c r="AQ78" s="17">
        <v>0</v>
      </c>
      <c r="AR78" s="17">
        <v>687.5</v>
      </c>
      <c r="AS78" s="17">
        <v>687.5</v>
      </c>
      <c r="AT78" s="17">
        <v>0</v>
      </c>
      <c r="AU78" s="17">
        <v>0</v>
      </c>
      <c r="AV78" s="17">
        <v>0</v>
      </c>
      <c r="AW78" s="17">
        <v>0</v>
      </c>
      <c r="AX78" s="19">
        <f t="shared" si="9"/>
        <v>687.5</v>
      </c>
      <c r="AY78" s="10" t="str">
        <f t="shared" si="10"/>
        <v>OK</v>
      </c>
      <c r="AZ78" s="10">
        <f t="shared" si="7"/>
        <v>687.5</v>
      </c>
      <c r="BA78" s="10">
        <f t="shared" si="11"/>
        <v>0</v>
      </c>
      <c r="BB78" s="17">
        <v>687.5</v>
      </c>
      <c r="BC78" s="113">
        <f t="shared" si="8"/>
        <v>0</v>
      </c>
    </row>
    <row r="79" spans="1:55" s="118" customFormat="1" ht="13.5" customHeight="1">
      <c r="A79" s="16" t="s">
        <v>48</v>
      </c>
      <c r="B79" s="16" t="s">
        <v>49</v>
      </c>
      <c r="C79" s="16" t="s">
        <v>74</v>
      </c>
      <c r="D79" s="16" t="s">
        <v>75</v>
      </c>
      <c r="E79" s="16" t="s">
        <v>52</v>
      </c>
      <c r="F79" s="16" t="s">
        <v>53</v>
      </c>
      <c r="G79" s="16" t="s">
        <v>306</v>
      </c>
      <c r="H79" s="22" t="s">
        <v>76</v>
      </c>
      <c r="I79" s="136" t="s">
        <v>311</v>
      </c>
      <c r="J79" s="11">
        <v>1</v>
      </c>
      <c r="K79" s="12" t="s">
        <v>2</v>
      </c>
      <c r="L79" s="13">
        <v>1</v>
      </c>
      <c r="M79" s="14">
        <v>0</v>
      </c>
      <c r="N79" s="14">
        <v>1</v>
      </c>
      <c r="O79" s="9">
        <v>401</v>
      </c>
      <c r="P79" s="9" t="s">
        <v>57</v>
      </c>
      <c r="Q79" s="14">
        <v>1</v>
      </c>
      <c r="R79" s="9">
        <v>0</v>
      </c>
      <c r="S79" s="9">
        <v>0</v>
      </c>
      <c r="T79" s="8" t="s">
        <v>58</v>
      </c>
      <c r="U79" s="85" t="s">
        <v>287</v>
      </c>
      <c r="V79" s="8">
        <v>530804</v>
      </c>
      <c r="W79" s="16" t="s">
        <v>105</v>
      </c>
      <c r="X79" s="127">
        <v>0</v>
      </c>
      <c r="Y79" s="132">
        <v>481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0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481</v>
      </c>
      <c r="AS79" s="17">
        <v>481</v>
      </c>
      <c r="AT79" s="17">
        <v>0</v>
      </c>
      <c r="AU79" s="17">
        <v>0</v>
      </c>
      <c r="AV79" s="17">
        <v>0</v>
      </c>
      <c r="AW79" s="17">
        <v>0</v>
      </c>
      <c r="AX79" s="19">
        <f t="shared" si="9"/>
        <v>481</v>
      </c>
      <c r="AY79" s="10" t="str">
        <f t="shared" si="10"/>
        <v>OK</v>
      </c>
      <c r="AZ79" s="10">
        <f t="shared" si="7"/>
        <v>481</v>
      </c>
      <c r="BA79" s="10">
        <f t="shared" si="11"/>
        <v>0</v>
      </c>
      <c r="BB79" s="17">
        <v>481</v>
      </c>
      <c r="BC79" s="113">
        <f t="shared" si="8"/>
        <v>0</v>
      </c>
    </row>
    <row r="80" spans="1:55" s="118" customFormat="1" ht="13.5" customHeight="1">
      <c r="A80" s="16" t="s">
        <v>48</v>
      </c>
      <c r="B80" s="16" t="s">
        <v>49</v>
      </c>
      <c r="C80" s="16" t="s">
        <v>50</v>
      </c>
      <c r="D80" s="16" t="s">
        <v>51</v>
      </c>
      <c r="E80" s="16" t="s">
        <v>52</v>
      </c>
      <c r="F80" s="16" t="s">
        <v>53</v>
      </c>
      <c r="G80" s="16" t="s">
        <v>54</v>
      </c>
      <c r="H80" s="22" t="s">
        <v>55</v>
      </c>
      <c r="I80" s="136" t="s">
        <v>313</v>
      </c>
      <c r="J80" s="11">
        <v>1</v>
      </c>
      <c r="K80" s="12" t="s">
        <v>2</v>
      </c>
      <c r="L80" s="13">
        <v>1</v>
      </c>
      <c r="M80" s="14">
        <v>0</v>
      </c>
      <c r="N80" s="14">
        <v>1</v>
      </c>
      <c r="O80" s="9">
        <v>401</v>
      </c>
      <c r="P80" s="9" t="s">
        <v>57</v>
      </c>
      <c r="Q80" s="14">
        <v>1</v>
      </c>
      <c r="R80" s="9">
        <v>0</v>
      </c>
      <c r="S80" s="9">
        <v>0</v>
      </c>
      <c r="T80" s="8" t="s">
        <v>58</v>
      </c>
      <c r="U80" s="85" t="s">
        <v>287</v>
      </c>
      <c r="V80" s="8">
        <v>530804</v>
      </c>
      <c r="W80" s="16" t="s">
        <v>105</v>
      </c>
      <c r="X80" s="127">
        <v>0</v>
      </c>
      <c r="Y80" s="132">
        <f>50-50</f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0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9">
        <f t="shared" si="9"/>
        <v>0</v>
      </c>
      <c r="AY80" s="10" t="str">
        <f t="shared" si="10"/>
        <v>OK</v>
      </c>
      <c r="AZ80" s="10">
        <f t="shared" si="7"/>
        <v>0</v>
      </c>
      <c r="BA80" s="10">
        <f t="shared" si="11"/>
        <v>0</v>
      </c>
      <c r="BB80" s="17">
        <v>0</v>
      </c>
      <c r="BC80" s="113">
        <f t="shared" si="8"/>
        <v>0</v>
      </c>
    </row>
    <row r="81" spans="1:55" s="118" customFormat="1" ht="13.5" customHeight="1">
      <c r="A81" s="16" t="s">
        <v>48</v>
      </c>
      <c r="B81" s="16" t="s">
        <v>49</v>
      </c>
      <c r="C81" s="16" t="s">
        <v>50</v>
      </c>
      <c r="D81" s="16" t="s">
        <v>51</v>
      </c>
      <c r="E81" s="16" t="s">
        <v>52</v>
      </c>
      <c r="F81" s="16" t="s">
        <v>53</v>
      </c>
      <c r="G81" s="16" t="s">
        <v>54</v>
      </c>
      <c r="H81" s="22" t="s">
        <v>55</v>
      </c>
      <c r="I81" s="136" t="s">
        <v>317</v>
      </c>
      <c r="J81" s="11">
        <v>1</v>
      </c>
      <c r="K81" s="12" t="s">
        <v>2</v>
      </c>
      <c r="L81" s="13">
        <v>1</v>
      </c>
      <c r="M81" s="14">
        <v>0</v>
      </c>
      <c r="N81" s="14">
        <v>1</v>
      </c>
      <c r="O81" s="9">
        <v>401</v>
      </c>
      <c r="P81" s="9" t="s">
        <v>57</v>
      </c>
      <c r="Q81" s="14">
        <v>1</v>
      </c>
      <c r="R81" s="9">
        <v>0</v>
      </c>
      <c r="S81" s="9">
        <v>0</v>
      </c>
      <c r="T81" s="8" t="s">
        <v>58</v>
      </c>
      <c r="U81" s="85" t="s">
        <v>287</v>
      </c>
      <c r="V81" s="8">
        <v>531406</v>
      </c>
      <c r="W81" s="16" t="s">
        <v>133</v>
      </c>
      <c r="X81" s="127">
        <v>0</v>
      </c>
      <c r="Y81" s="132">
        <f>100-100</f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0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9">
        <f t="shared" si="9"/>
        <v>0</v>
      </c>
      <c r="AY81" s="10" t="str">
        <f t="shared" si="10"/>
        <v>OK</v>
      </c>
      <c r="AZ81" s="10">
        <f t="shared" si="7"/>
        <v>0</v>
      </c>
      <c r="BA81" s="10">
        <f t="shared" si="11"/>
        <v>0</v>
      </c>
      <c r="BB81" s="17">
        <v>0</v>
      </c>
      <c r="BC81" s="113">
        <f t="shared" si="8"/>
        <v>0</v>
      </c>
    </row>
    <row r="82" spans="1:55" s="118" customFormat="1" ht="13.5" customHeight="1">
      <c r="A82" s="16" t="s">
        <v>48</v>
      </c>
      <c r="B82" s="16" t="s">
        <v>49</v>
      </c>
      <c r="C82" s="16" t="s">
        <v>50</v>
      </c>
      <c r="D82" s="16" t="s">
        <v>51</v>
      </c>
      <c r="E82" s="16" t="s">
        <v>52</v>
      </c>
      <c r="F82" s="16" t="s">
        <v>53</v>
      </c>
      <c r="G82" s="16" t="s">
        <v>54</v>
      </c>
      <c r="H82" s="22" t="s">
        <v>55</v>
      </c>
      <c r="I82" s="63" t="s">
        <v>56</v>
      </c>
      <c r="J82" s="11">
        <v>1</v>
      </c>
      <c r="K82" s="12" t="s">
        <v>2</v>
      </c>
      <c r="L82" s="13">
        <v>1</v>
      </c>
      <c r="M82" s="14">
        <v>0</v>
      </c>
      <c r="N82" s="14">
        <v>1</v>
      </c>
      <c r="O82" s="9">
        <v>801</v>
      </c>
      <c r="P82" s="9" t="s">
        <v>147</v>
      </c>
      <c r="Q82" s="14">
        <v>1</v>
      </c>
      <c r="R82" s="9">
        <v>0</v>
      </c>
      <c r="S82" s="9">
        <v>0</v>
      </c>
      <c r="T82" s="8" t="s">
        <v>58</v>
      </c>
      <c r="U82" s="85">
        <v>53</v>
      </c>
      <c r="V82" s="8">
        <v>530101</v>
      </c>
      <c r="W82" s="16" t="s">
        <v>59</v>
      </c>
      <c r="X82" s="18">
        <v>100</v>
      </c>
      <c r="Y82" s="79">
        <f>100-35</f>
        <v>65</v>
      </c>
      <c r="Z82" s="17">
        <v>65</v>
      </c>
      <c r="AA82" s="17">
        <v>65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0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9">
        <f t="shared" si="9"/>
        <v>65</v>
      </c>
      <c r="AY82" s="10" t="str">
        <f t="shared" si="10"/>
        <v>OK</v>
      </c>
      <c r="AZ82" s="10">
        <f t="shared" si="7"/>
        <v>65</v>
      </c>
      <c r="BA82" s="10">
        <f t="shared" si="11"/>
        <v>0</v>
      </c>
      <c r="BB82" s="17">
        <v>65</v>
      </c>
      <c r="BC82" s="113">
        <f t="shared" si="8"/>
        <v>0</v>
      </c>
    </row>
    <row r="83" spans="1:55" s="118" customFormat="1" ht="13.5" customHeight="1">
      <c r="A83" s="16" t="s">
        <v>48</v>
      </c>
      <c r="B83" s="16" t="s">
        <v>49</v>
      </c>
      <c r="C83" s="16" t="s">
        <v>50</v>
      </c>
      <c r="D83" s="16" t="s">
        <v>51</v>
      </c>
      <c r="E83" s="16" t="s">
        <v>52</v>
      </c>
      <c r="F83" s="16" t="s">
        <v>53</v>
      </c>
      <c r="G83" s="16" t="s">
        <v>54</v>
      </c>
      <c r="H83" s="22" t="s">
        <v>55</v>
      </c>
      <c r="I83" s="147" t="s">
        <v>60</v>
      </c>
      <c r="J83" s="11">
        <v>1</v>
      </c>
      <c r="K83" s="12" t="s">
        <v>2</v>
      </c>
      <c r="L83" s="13">
        <v>1</v>
      </c>
      <c r="M83" s="14">
        <v>0</v>
      </c>
      <c r="N83" s="14">
        <v>1</v>
      </c>
      <c r="O83" s="9">
        <v>801</v>
      </c>
      <c r="P83" s="9" t="s">
        <v>147</v>
      </c>
      <c r="Q83" s="14">
        <v>1</v>
      </c>
      <c r="R83" s="9">
        <v>0</v>
      </c>
      <c r="S83" s="9">
        <v>0</v>
      </c>
      <c r="T83" s="8" t="s">
        <v>58</v>
      </c>
      <c r="U83" s="85">
        <v>53</v>
      </c>
      <c r="V83" s="8">
        <v>530101</v>
      </c>
      <c r="W83" s="16" t="s">
        <v>59</v>
      </c>
      <c r="X83" s="18">
        <v>880</v>
      </c>
      <c r="Y83" s="146">
        <f>880-261.43-67.75</f>
        <v>550.8199999999999</v>
      </c>
      <c r="Z83" s="17">
        <v>0</v>
      </c>
      <c r="AA83" s="17">
        <v>0</v>
      </c>
      <c r="AB83" s="17">
        <v>80</v>
      </c>
      <c r="AC83" s="17">
        <v>25.25</v>
      </c>
      <c r="AD83" s="17">
        <v>80</v>
      </c>
      <c r="AE83" s="17">
        <v>46</v>
      </c>
      <c r="AF83" s="17">
        <v>80</v>
      </c>
      <c r="AG83" s="17">
        <v>28.75</v>
      </c>
      <c r="AH83" s="17">
        <v>80</v>
      </c>
      <c r="AI83" s="17">
        <v>48.88</v>
      </c>
      <c r="AJ83" s="107">
        <v>80</v>
      </c>
      <c r="AK83" s="17">
        <v>104.08</v>
      </c>
      <c r="AL83" s="17">
        <v>80</v>
      </c>
      <c r="AM83" s="17">
        <v>62.1</v>
      </c>
      <c r="AN83" s="17">
        <v>70.81999999999994</v>
      </c>
      <c r="AO83" s="17">
        <v>52.33</v>
      </c>
      <c r="AP83" s="17">
        <v>0</v>
      </c>
      <c r="AQ83" s="17">
        <v>56.93</v>
      </c>
      <c r="AR83" s="17">
        <v>0</v>
      </c>
      <c r="AS83" s="17">
        <v>92</v>
      </c>
      <c r="AT83" s="17">
        <v>0</v>
      </c>
      <c r="AU83" s="17">
        <v>17.25</v>
      </c>
      <c r="AV83" s="17">
        <v>0</v>
      </c>
      <c r="AW83" s="80">
        <v>17.25</v>
      </c>
      <c r="AX83" s="19">
        <f t="shared" si="9"/>
        <v>550.8199999999999</v>
      </c>
      <c r="AY83" s="10" t="str">
        <f t="shared" si="10"/>
        <v>OK</v>
      </c>
      <c r="AZ83" s="10">
        <f t="shared" si="7"/>
        <v>550.8199999999999</v>
      </c>
      <c r="BA83" s="10">
        <f t="shared" si="11"/>
        <v>-5.684341886080802E-14</v>
      </c>
      <c r="BB83" s="17">
        <f>880-261.43</f>
        <v>618.5699999999999</v>
      </c>
      <c r="BC83" s="113">
        <f t="shared" si="8"/>
        <v>-67.75</v>
      </c>
    </row>
    <row r="84" spans="1:55" s="118" customFormat="1" ht="13.5" customHeight="1">
      <c r="A84" s="16" t="s">
        <v>48</v>
      </c>
      <c r="B84" s="16" t="s">
        <v>49</v>
      </c>
      <c r="C84" s="16" t="s">
        <v>50</v>
      </c>
      <c r="D84" s="16" t="s">
        <v>51</v>
      </c>
      <c r="E84" s="16" t="s">
        <v>52</v>
      </c>
      <c r="F84" s="16" t="s">
        <v>53</v>
      </c>
      <c r="G84" s="16" t="s">
        <v>54</v>
      </c>
      <c r="H84" s="22" t="s">
        <v>55</v>
      </c>
      <c r="I84" s="63" t="s">
        <v>61</v>
      </c>
      <c r="J84" s="11">
        <v>1</v>
      </c>
      <c r="K84" s="12" t="s">
        <v>2</v>
      </c>
      <c r="L84" s="13">
        <v>1</v>
      </c>
      <c r="M84" s="14">
        <v>0</v>
      </c>
      <c r="N84" s="14">
        <v>1</v>
      </c>
      <c r="O84" s="9">
        <v>801</v>
      </c>
      <c r="P84" s="9" t="s">
        <v>147</v>
      </c>
      <c r="Q84" s="14">
        <v>1</v>
      </c>
      <c r="R84" s="9">
        <v>0</v>
      </c>
      <c r="S84" s="9">
        <v>0</v>
      </c>
      <c r="T84" s="8" t="s">
        <v>58</v>
      </c>
      <c r="U84" s="85">
        <v>53</v>
      </c>
      <c r="V84" s="8">
        <v>530104</v>
      </c>
      <c r="W84" s="16" t="s">
        <v>62</v>
      </c>
      <c r="X84" s="18">
        <v>5500</v>
      </c>
      <c r="Y84" s="79">
        <f>5500-242.06</f>
        <v>5257.94</v>
      </c>
      <c r="Z84" s="17">
        <v>5257.94</v>
      </c>
      <c r="AA84" s="17">
        <v>5257.94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0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9">
        <f t="shared" si="9"/>
        <v>5257.94</v>
      </c>
      <c r="AY84" s="10" t="str">
        <f t="shared" si="10"/>
        <v>OK</v>
      </c>
      <c r="AZ84" s="10">
        <f t="shared" si="7"/>
        <v>5257.94</v>
      </c>
      <c r="BA84" s="10">
        <f t="shared" si="11"/>
        <v>0</v>
      </c>
      <c r="BB84" s="17">
        <v>5257.94</v>
      </c>
      <c r="BC84" s="113">
        <f t="shared" si="8"/>
        <v>0</v>
      </c>
    </row>
    <row r="85" spans="1:55" s="118" customFormat="1" ht="13.5" customHeight="1">
      <c r="A85" s="16" t="s">
        <v>48</v>
      </c>
      <c r="B85" s="16" t="s">
        <v>49</v>
      </c>
      <c r="C85" s="16" t="s">
        <v>50</v>
      </c>
      <c r="D85" s="16" t="s">
        <v>51</v>
      </c>
      <c r="E85" s="16" t="s">
        <v>52</v>
      </c>
      <c r="F85" s="16" t="s">
        <v>53</v>
      </c>
      <c r="G85" s="16" t="s">
        <v>54</v>
      </c>
      <c r="H85" s="22" t="s">
        <v>55</v>
      </c>
      <c r="I85" s="87" t="s">
        <v>63</v>
      </c>
      <c r="J85" s="11">
        <v>1</v>
      </c>
      <c r="K85" s="12" t="s">
        <v>2</v>
      </c>
      <c r="L85" s="13">
        <v>1</v>
      </c>
      <c r="M85" s="14">
        <v>0</v>
      </c>
      <c r="N85" s="14">
        <v>1</v>
      </c>
      <c r="O85" s="9">
        <v>801</v>
      </c>
      <c r="P85" s="9" t="s">
        <v>147</v>
      </c>
      <c r="Q85" s="14">
        <v>1</v>
      </c>
      <c r="R85" s="9">
        <v>0</v>
      </c>
      <c r="S85" s="9">
        <v>0</v>
      </c>
      <c r="T85" s="8" t="s">
        <v>58</v>
      </c>
      <c r="U85" s="85">
        <v>53</v>
      </c>
      <c r="V85" s="8">
        <v>530104</v>
      </c>
      <c r="W85" s="16" t="s">
        <v>62</v>
      </c>
      <c r="X85" s="18">
        <v>38500</v>
      </c>
      <c r="Y85" s="86">
        <f>38500+2691.76+19838.61</f>
        <v>61030.37</v>
      </c>
      <c r="Z85" s="17">
        <v>0</v>
      </c>
      <c r="AA85" s="17">
        <v>0</v>
      </c>
      <c r="AB85" s="17">
        <v>5500</v>
      </c>
      <c r="AC85" s="17">
        <v>5220.83</v>
      </c>
      <c r="AD85" s="17">
        <v>5500</v>
      </c>
      <c r="AE85" s="17">
        <v>4976.69</v>
      </c>
      <c r="AF85" s="17">
        <v>5500</v>
      </c>
      <c r="AG85" s="17">
        <v>6291.69</v>
      </c>
      <c r="AH85" s="17">
        <v>5500</v>
      </c>
      <c r="AI85" s="17">
        <v>6325.05</v>
      </c>
      <c r="AJ85" s="107">
        <v>5500</v>
      </c>
      <c r="AK85" s="17">
        <v>5892.41</v>
      </c>
      <c r="AL85" s="17">
        <v>5500</v>
      </c>
      <c r="AM85" s="17">
        <v>5055.13</v>
      </c>
      <c r="AN85" s="17">
        <v>5500</v>
      </c>
      <c r="AO85" s="17">
        <v>4974.66</v>
      </c>
      <c r="AP85" s="17">
        <v>5632.59</v>
      </c>
      <c r="AQ85" s="17">
        <v>5013.39</v>
      </c>
      <c r="AR85" s="17">
        <v>5632.59</v>
      </c>
      <c r="AS85" s="17">
        <v>5315.06</v>
      </c>
      <c r="AT85" s="17">
        <v>5632.59</v>
      </c>
      <c r="AU85" s="17">
        <v>5403.63</v>
      </c>
      <c r="AV85" s="17">
        <v>5632.600000000013</v>
      </c>
      <c r="AW85" s="80">
        <v>5738.9</v>
      </c>
      <c r="AX85" s="19">
        <f t="shared" si="9"/>
        <v>61030.37</v>
      </c>
      <c r="AY85" s="10" t="str">
        <f t="shared" si="10"/>
        <v>OK</v>
      </c>
      <c r="AZ85" s="10">
        <f t="shared" si="7"/>
        <v>60207.43999999999</v>
      </c>
      <c r="BA85" s="10">
        <f t="shared" si="11"/>
        <v>822.9300000000139</v>
      </c>
      <c r="BB85" s="17">
        <f>38500-4738.2+27268.57</f>
        <v>61030.37</v>
      </c>
      <c r="BC85" s="113">
        <f t="shared" si="8"/>
        <v>0</v>
      </c>
    </row>
    <row r="86" spans="1:55" s="118" customFormat="1" ht="13.5" customHeight="1">
      <c r="A86" s="16" t="s">
        <v>48</v>
      </c>
      <c r="B86" s="16" t="s">
        <v>49</v>
      </c>
      <c r="C86" s="16" t="s">
        <v>50</v>
      </c>
      <c r="D86" s="16" t="s">
        <v>51</v>
      </c>
      <c r="E86" s="16" t="s">
        <v>52</v>
      </c>
      <c r="F86" s="16" t="s">
        <v>53</v>
      </c>
      <c r="G86" s="16" t="s">
        <v>54</v>
      </c>
      <c r="H86" s="22" t="s">
        <v>55</v>
      </c>
      <c r="I86" s="23" t="s">
        <v>64</v>
      </c>
      <c r="J86" s="11">
        <v>2</v>
      </c>
      <c r="K86" s="12" t="s">
        <v>2</v>
      </c>
      <c r="L86" s="13">
        <v>1</v>
      </c>
      <c r="M86" s="14">
        <v>0</v>
      </c>
      <c r="N86" s="14">
        <v>1</v>
      </c>
      <c r="O86" s="9">
        <v>801</v>
      </c>
      <c r="P86" s="9" t="s">
        <v>147</v>
      </c>
      <c r="Q86" s="14">
        <v>1</v>
      </c>
      <c r="R86" s="9">
        <v>0</v>
      </c>
      <c r="S86" s="9">
        <v>0</v>
      </c>
      <c r="T86" s="8" t="s">
        <v>58</v>
      </c>
      <c r="U86" s="85">
        <v>53</v>
      </c>
      <c r="V86" s="8">
        <v>530106</v>
      </c>
      <c r="W86" s="16" t="s">
        <v>65</v>
      </c>
      <c r="X86" s="18">
        <v>112</v>
      </c>
      <c r="Y86" s="65">
        <f>112-95.76-1.74</f>
        <v>14.499999999999995</v>
      </c>
      <c r="Z86" s="17">
        <v>14.499999999999995</v>
      </c>
      <c r="AA86" s="17">
        <v>14.499999999999995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0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0</v>
      </c>
      <c r="AX86" s="19">
        <f t="shared" si="9"/>
        <v>14.499999999999995</v>
      </c>
      <c r="AY86" s="10" t="str">
        <f t="shared" si="10"/>
        <v>OK</v>
      </c>
      <c r="AZ86" s="10">
        <f t="shared" si="7"/>
        <v>14.499999999999995</v>
      </c>
      <c r="BA86" s="10">
        <f t="shared" si="11"/>
        <v>0</v>
      </c>
      <c r="BB86" s="17">
        <v>14.5</v>
      </c>
      <c r="BC86" s="113">
        <f t="shared" si="8"/>
        <v>0</v>
      </c>
    </row>
    <row r="87" spans="1:55" s="118" customFormat="1" ht="13.5" customHeight="1">
      <c r="A87" s="16" t="s">
        <v>48</v>
      </c>
      <c r="B87" s="16" t="s">
        <v>49</v>
      </c>
      <c r="C87" s="16" t="s">
        <v>50</v>
      </c>
      <c r="D87" s="16" t="s">
        <v>51</v>
      </c>
      <c r="E87" s="16" t="s">
        <v>52</v>
      </c>
      <c r="F87" s="16" t="s">
        <v>53</v>
      </c>
      <c r="G87" s="16" t="s">
        <v>54</v>
      </c>
      <c r="H87" s="22" t="s">
        <v>55</v>
      </c>
      <c r="I87" s="134" t="s">
        <v>66</v>
      </c>
      <c r="J87" s="11">
        <v>1</v>
      </c>
      <c r="K87" s="12" t="s">
        <v>2</v>
      </c>
      <c r="L87" s="13">
        <v>1</v>
      </c>
      <c r="M87" s="14">
        <v>0</v>
      </c>
      <c r="N87" s="14">
        <v>1</v>
      </c>
      <c r="O87" s="9">
        <v>801</v>
      </c>
      <c r="P87" s="9" t="s">
        <v>147</v>
      </c>
      <c r="Q87" s="14">
        <v>1</v>
      </c>
      <c r="R87" s="9">
        <v>0</v>
      </c>
      <c r="S87" s="9">
        <v>0</v>
      </c>
      <c r="T87" s="8" t="s">
        <v>58</v>
      </c>
      <c r="U87" s="85">
        <v>53</v>
      </c>
      <c r="V87" s="8">
        <v>530106</v>
      </c>
      <c r="W87" s="16" t="s">
        <v>65</v>
      </c>
      <c r="X87" s="18">
        <v>517.44</v>
      </c>
      <c r="Y87" s="132">
        <f>517.44+95.76-300.7-24.4-72.3</f>
        <v>215.80000000000007</v>
      </c>
      <c r="Z87" s="17">
        <v>0</v>
      </c>
      <c r="AA87" s="17">
        <v>0</v>
      </c>
      <c r="AB87" s="17">
        <v>0</v>
      </c>
      <c r="AC87" s="17">
        <v>0</v>
      </c>
      <c r="AD87" s="17">
        <v>42</v>
      </c>
      <c r="AE87" s="17">
        <v>3</v>
      </c>
      <c r="AF87" s="17">
        <v>42</v>
      </c>
      <c r="AG87" s="17">
        <v>15</v>
      </c>
      <c r="AH87" s="17">
        <v>42</v>
      </c>
      <c r="AI87" s="17">
        <v>36.7</v>
      </c>
      <c r="AJ87" s="107">
        <v>42</v>
      </c>
      <c r="AK87" s="17">
        <v>33</v>
      </c>
      <c r="AL87" s="17">
        <v>42</v>
      </c>
      <c r="AM87" s="17">
        <v>9</v>
      </c>
      <c r="AN87" s="17">
        <v>5.8</v>
      </c>
      <c r="AO87" s="17">
        <v>37.4</v>
      </c>
      <c r="AP87" s="17">
        <v>0</v>
      </c>
      <c r="AQ87" s="17">
        <v>24</v>
      </c>
      <c r="AR87" s="17">
        <v>0</v>
      </c>
      <c r="AS87" s="17">
        <v>30.7</v>
      </c>
      <c r="AT87" s="17">
        <v>0</v>
      </c>
      <c r="AU87" s="17">
        <v>9</v>
      </c>
      <c r="AV87" s="17">
        <v>0</v>
      </c>
      <c r="AW87" s="80">
        <v>18</v>
      </c>
      <c r="AX87" s="19">
        <f t="shared" si="9"/>
        <v>215.8</v>
      </c>
      <c r="AY87" s="10" t="str">
        <f t="shared" si="10"/>
        <v>OK</v>
      </c>
      <c r="AZ87" s="10">
        <f t="shared" si="7"/>
        <v>215.79999999999998</v>
      </c>
      <c r="BA87" s="10">
        <f t="shared" si="11"/>
        <v>0</v>
      </c>
      <c r="BB87" s="17">
        <f>312.5-24.4</f>
        <v>288.1</v>
      </c>
      <c r="BC87" s="113">
        <f t="shared" si="8"/>
        <v>-72.29999999999995</v>
      </c>
    </row>
    <row r="88" spans="1:55" s="118" customFormat="1" ht="13.5" customHeight="1">
      <c r="A88" s="16" t="s">
        <v>48</v>
      </c>
      <c r="B88" s="16" t="s">
        <v>49</v>
      </c>
      <c r="C88" s="16" t="s">
        <v>50</v>
      </c>
      <c r="D88" s="16" t="s">
        <v>51</v>
      </c>
      <c r="E88" s="16" t="s">
        <v>52</v>
      </c>
      <c r="F88" s="16" t="s">
        <v>53</v>
      </c>
      <c r="G88" s="16" t="s">
        <v>54</v>
      </c>
      <c r="H88" s="22" t="s">
        <v>55</v>
      </c>
      <c r="I88" s="23" t="s">
        <v>67</v>
      </c>
      <c r="J88" s="11">
        <v>1</v>
      </c>
      <c r="K88" s="12" t="s">
        <v>2</v>
      </c>
      <c r="L88" s="13">
        <v>1</v>
      </c>
      <c r="M88" s="14">
        <v>0</v>
      </c>
      <c r="N88" s="14">
        <v>1</v>
      </c>
      <c r="O88" s="9">
        <v>801</v>
      </c>
      <c r="P88" s="9" t="s">
        <v>147</v>
      </c>
      <c r="Q88" s="14">
        <v>1</v>
      </c>
      <c r="R88" s="9">
        <v>0</v>
      </c>
      <c r="S88" s="9">
        <v>0</v>
      </c>
      <c r="T88" s="8" t="s">
        <v>58</v>
      </c>
      <c r="U88" s="85">
        <v>53</v>
      </c>
      <c r="V88" s="8">
        <v>530201</v>
      </c>
      <c r="W88" s="16" t="s">
        <v>148</v>
      </c>
      <c r="X88" s="18">
        <v>4592</v>
      </c>
      <c r="Y88" s="18">
        <f>4592+0.69</f>
        <v>4592.69</v>
      </c>
      <c r="Z88" s="17">
        <v>4592.69</v>
      </c>
      <c r="AA88" s="17">
        <v>4592.69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0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9">
        <f t="shared" si="9"/>
        <v>4592.69</v>
      </c>
      <c r="AY88" s="10" t="str">
        <f t="shared" si="10"/>
        <v>OK</v>
      </c>
      <c r="AZ88" s="10">
        <f t="shared" si="7"/>
        <v>4592.69</v>
      </c>
      <c r="BA88" s="10">
        <f t="shared" si="11"/>
        <v>0</v>
      </c>
      <c r="BB88" s="17">
        <v>4592.69</v>
      </c>
      <c r="BC88" s="113">
        <f t="shared" si="8"/>
        <v>0</v>
      </c>
    </row>
    <row r="89" spans="1:55" s="118" customFormat="1" ht="13.5" customHeight="1">
      <c r="A89" s="16" t="s">
        <v>48</v>
      </c>
      <c r="B89" s="16" t="s">
        <v>49</v>
      </c>
      <c r="C89" s="16" t="s">
        <v>50</v>
      </c>
      <c r="D89" s="16" t="s">
        <v>51</v>
      </c>
      <c r="E89" s="16" t="s">
        <v>52</v>
      </c>
      <c r="F89" s="16" t="s">
        <v>53</v>
      </c>
      <c r="G89" s="16" t="s">
        <v>54</v>
      </c>
      <c r="H89" s="22" t="s">
        <v>55</v>
      </c>
      <c r="I89" s="147" t="s">
        <v>69</v>
      </c>
      <c r="J89" s="11">
        <v>1</v>
      </c>
      <c r="K89" s="12" t="s">
        <v>2</v>
      </c>
      <c r="L89" s="13">
        <v>1</v>
      </c>
      <c r="M89" s="14">
        <v>0</v>
      </c>
      <c r="N89" s="14">
        <v>1</v>
      </c>
      <c r="O89" s="9">
        <v>801</v>
      </c>
      <c r="P89" s="9" t="s">
        <v>147</v>
      </c>
      <c r="Q89" s="14">
        <v>1</v>
      </c>
      <c r="R89" s="9">
        <v>0</v>
      </c>
      <c r="S89" s="9">
        <v>0</v>
      </c>
      <c r="T89" s="8" t="s">
        <v>58</v>
      </c>
      <c r="U89" s="85">
        <v>53</v>
      </c>
      <c r="V89" s="8">
        <v>530201</v>
      </c>
      <c r="W89" s="16" t="s">
        <v>148</v>
      </c>
      <c r="X89" s="18">
        <v>50523</v>
      </c>
      <c r="Y89" s="146">
        <f>50523+925.32+0.01-4266.5</f>
        <v>47181.83</v>
      </c>
      <c r="Z89" s="17">
        <v>0</v>
      </c>
      <c r="AA89" s="17">
        <v>2549.32</v>
      </c>
      <c r="AB89" s="17">
        <v>4593</v>
      </c>
      <c r="AC89" s="17">
        <v>1967.2</v>
      </c>
      <c r="AD89" s="17">
        <v>4593</v>
      </c>
      <c r="AE89" s="17">
        <v>4266.53</v>
      </c>
      <c r="AF89" s="17">
        <v>4593</v>
      </c>
      <c r="AG89" s="17">
        <v>4266.53</v>
      </c>
      <c r="AH89" s="17">
        <v>4593</v>
      </c>
      <c r="AI89" s="17">
        <v>4266.53</v>
      </c>
      <c r="AJ89" s="107">
        <v>4593</v>
      </c>
      <c r="AK89" s="17">
        <v>4266.53</v>
      </c>
      <c r="AL89" s="17">
        <v>4593</v>
      </c>
      <c r="AM89" s="17">
        <v>4266.53</v>
      </c>
      <c r="AN89" s="17">
        <v>4593</v>
      </c>
      <c r="AO89" s="17">
        <v>4266.53</v>
      </c>
      <c r="AP89" s="17">
        <v>4593</v>
      </c>
      <c r="AQ89" s="17">
        <v>0</v>
      </c>
      <c r="AR89" s="17">
        <v>4593</v>
      </c>
      <c r="AS89" s="17">
        <v>8533.06</v>
      </c>
      <c r="AT89" s="17">
        <v>5844.830000000002</v>
      </c>
      <c r="AU89" s="17">
        <v>4266.53</v>
      </c>
      <c r="AV89" s="17">
        <v>0</v>
      </c>
      <c r="AW89" s="80">
        <v>4266.53</v>
      </c>
      <c r="AX89" s="19">
        <f t="shared" si="9"/>
        <v>47181.83</v>
      </c>
      <c r="AY89" s="10" t="str">
        <f t="shared" si="10"/>
        <v>OK</v>
      </c>
      <c r="AZ89" s="10">
        <f t="shared" si="7"/>
        <v>47181.81999999999</v>
      </c>
      <c r="BA89" s="10">
        <f t="shared" si="11"/>
        <v>0.010000000003856258</v>
      </c>
      <c r="BB89" s="17">
        <f>2549.32+48899-4266.5</f>
        <v>47181.82</v>
      </c>
      <c r="BC89" s="113">
        <f t="shared" si="8"/>
        <v>0.010000000002037268</v>
      </c>
    </row>
    <row r="90" spans="1:55" s="118" customFormat="1" ht="13.5" customHeight="1">
      <c r="A90" s="16" t="s">
        <v>48</v>
      </c>
      <c r="B90" s="16" t="s">
        <v>49</v>
      </c>
      <c r="C90" s="16" t="s">
        <v>50</v>
      </c>
      <c r="D90" s="16" t="s">
        <v>51</v>
      </c>
      <c r="E90" s="16" t="s">
        <v>52</v>
      </c>
      <c r="F90" s="16" t="s">
        <v>53</v>
      </c>
      <c r="G90" s="16" t="s">
        <v>54</v>
      </c>
      <c r="H90" s="22" t="s">
        <v>55</v>
      </c>
      <c r="I90" s="134" t="s">
        <v>70</v>
      </c>
      <c r="J90" s="11">
        <v>1</v>
      </c>
      <c r="K90" s="12" t="s">
        <v>2</v>
      </c>
      <c r="L90" s="13">
        <v>1</v>
      </c>
      <c r="M90" s="14">
        <v>0</v>
      </c>
      <c r="N90" s="14">
        <v>1</v>
      </c>
      <c r="O90" s="9">
        <v>801</v>
      </c>
      <c r="P90" s="9" t="s">
        <v>147</v>
      </c>
      <c r="Q90" s="14">
        <v>1</v>
      </c>
      <c r="R90" s="9">
        <v>0</v>
      </c>
      <c r="S90" s="9">
        <v>0</v>
      </c>
      <c r="T90" s="8" t="s">
        <v>58</v>
      </c>
      <c r="U90" s="85">
        <v>53</v>
      </c>
      <c r="V90" s="8">
        <v>530203</v>
      </c>
      <c r="W90" s="16" t="s">
        <v>71</v>
      </c>
      <c r="X90" s="18">
        <v>500.6399999999998</v>
      </c>
      <c r="Y90" s="132">
        <f>500.64-129.72</f>
        <v>370.91999999999996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07">
        <v>0</v>
      </c>
      <c r="AK90" s="17">
        <v>0</v>
      </c>
      <c r="AL90" s="17">
        <v>0</v>
      </c>
      <c r="AM90" s="17">
        <v>0</v>
      </c>
      <c r="AN90" s="17">
        <v>370.91999999999996</v>
      </c>
      <c r="AO90" s="17">
        <v>370.91999999999996</v>
      </c>
      <c r="AP90" s="17">
        <v>0</v>
      </c>
      <c r="AQ90" s="17">
        <v>0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0</v>
      </c>
      <c r="AX90" s="19">
        <f t="shared" si="9"/>
        <v>370.91999999999996</v>
      </c>
      <c r="AY90" s="10" t="str">
        <f t="shared" si="10"/>
        <v>OK</v>
      </c>
      <c r="AZ90" s="10">
        <f t="shared" si="7"/>
        <v>370.91999999999996</v>
      </c>
      <c r="BA90" s="10">
        <f t="shared" si="11"/>
        <v>0</v>
      </c>
      <c r="BB90" s="17">
        <v>370.92</v>
      </c>
      <c r="BC90" s="113">
        <f t="shared" si="8"/>
        <v>0</v>
      </c>
    </row>
    <row r="91" spans="1:55" s="118" customFormat="1" ht="13.5" customHeight="1">
      <c r="A91" s="16" t="s">
        <v>48</v>
      </c>
      <c r="B91" s="16" t="s">
        <v>49</v>
      </c>
      <c r="C91" s="16" t="s">
        <v>74</v>
      </c>
      <c r="D91" s="16" t="s">
        <v>75</v>
      </c>
      <c r="E91" s="16" t="s">
        <v>52</v>
      </c>
      <c r="F91" s="16" t="s">
        <v>53</v>
      </c>
      <c r="G91" s="16" t="s">
        <v>306</v>
      </c>
      <c r="H91" s="22" t="s">
        <v>76</v>
      </c>
      <c r="I91" s="23" t="s">
        <v>149</v>
      </c>
      <c r="J91" s="11">
        <v>1</v>
      </c>
      <c r="K91" s="12" t="s">
        <v>2</v>
      </c>
      <c r="L91" s="13">
        <v>1</v>
      </c>
      <c r="M91" s="14">
        <v>0</v>
      </c>
      <c r="N91" s="14">
        <v>1</v>
      </c>
      <c r="O91" s="9">
        <v>801</v>
      </c>
      <c r="P91" s="9" t="s">
        <v>147</v>
      </c>
      <c r="Q91" s="14">
        <v>1</v>
      </c>
      <c r="R91" s="9">
        <v>0</v>
      </c>
      <c r="S91" s="9">
        <v>0</v>
      </c>
      <c r="T91" s="8" t="s">
        <v>58</v>
      </c>
      <c r="U91" s="85">
        <v>53</v>
      </c>
      <c r="V91" s="8">
        <v>530204</v>
      </c>
      <c r="W91" s="16" t="s">
        <v>73</v>
      </c>
      <c r="X91" s="18">
        <v>1882.7199999999998</v>
      </c>
      <c r="Y91" s="123">
        <f>1882.72+500.64-619.36</f>
        <v>1764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07">
        <v>0</v>
      </c>
      <c r="AK91" s="17">
        <v>0</v>
      </c>
      <c r="AL91" s="59">
        <v>1764</v>
      </c>
      <c r="AM91" s="17">
        <v>1764</v>
      </c>
      <c r="AN91" s="17">
        <v>0</v>
      </c>
      <c r="AO91" s="17">
        <v>0</v>
      </c>
      <c r="AP91" s="17">
        <v>0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9">
        <f t="shared" si="9"/>
        <v>1764</v>
      </c>
      <c r="AY91" s="10" t="str">
        <f t="shared" si="10"/>
        <v>OK</v>
      </c>
      <c r="AZ91" s="10">
        <f t="shared" si="7"/>
        <v>1764</v>
      </c>
      <c r="BA91" s="10">
        <f t="shared" si="11"/>
        <v>0</v>
      </c>
      <c r="BB91" s="17">
        <v>1764</v>
      </c>
      <c r="BC91" s="113">
        <f t="shared" si="8"/>
        <v>0</v>
      </c>
    </row>
    <row r="92" spans="1:55" s="118" customFormat="1" ht="13.5" customHeight="1">
      <c r="A92" s="16" t="s">
        <v>48</v>
      </c>
      <c r="B92" s="16" t="s">
        <v>49</v>
      </c>
      <c r="C92" s="16" t="s">
        <v>74</v>
      </c>
      <c r="D92" s="16" t="s">
        <v>75</v>
      </c>
      <c r="E92" s="16" t="s">
        <v>52</v>
      </c>
      <c r="F92" s="16" t="s">
        <v>53</v>
      </c>
      <c r="G92" s="16" t="s">
        <v>306</v>
      </c>
      <c r="H92" s="22" t="s">
        <v>76</v>
      </c>
      <c r="I92" s="134" t="s">
        <v>304</v>
      </c>
      <c r="J92" s="11">
        <v>1</v>
      </c>
      <c r="K92" s="12" t="s">
        <v>2</v>
      </c>
      <c r="L92" s="13">
        <v>1</v>
      </c>
      <c r="M92" s="14">
        <v>0</v>
      </c>
      <c r="N92" s="14">
        <v>1</v>
      </c>
      <c r="O92" s="9">
        <v>801</v>
      </c>
      <c r="P92" s="9" t="s">
        <v>147</v>
      </c>
      <c r="Q92" s="14">
        <v>1</v>
      </c>
      <c r="R92" s="9">
        <v>0</v>
      </c>
      <c r="S92" s="9">
        <v>0</v>
      </c>
      <c r="T92" s="8" t="s">
        <v>58</v>
      </c>
      <c r="U92" s="85">
        <v>53</v>
      </c>
      <c r="V92" s="8">
        <v>530204</v>
      </c>
      <c r="W92" s="16" t="s">
        <v>73</v>
      </c>
      <c r="X92" s="18">
        <v>1448.16</v>
      </c>
      <c r="Y92" s="132">
        <f>1448.16-1448.16</f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80">
        <v>0</v>
      </c>
      <c r="AG92" s="17">
        <v>0</v>
      </c>
      <c r="AH92" s="17">
        <v>0</v>
      </c>
      <c r="AI92" s="17">
        <v>0</v>
      </c>
      <c r="AJ92" s="107">
        <v>0</v>
      </c>
      <c r="AK92" s="17">
        <v>0</v>
      </c>
      <c r="AL92" s="17">
        <v>0</v>
      </c>
      <c r="AM92" s="17">
        <v>0</v>
      </c>
      <c r="AN92" s="59">
        <v>0</v>
      </c>
      <c r="AO92" s="17">
        <v>0</v>
      </c>
      <c r="AP92" s="59">
        <v>0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9">
        <f t="shared" si="9"/>
        <v>0</v>
      </c>
      <c r="AY92" s="10" t="str">
        <f t="shared" si="10"/>
        <v>OK</v>
      </c>
      <c r="AZ92" s="10">
        <f t="shared" si="7"/>
        <v>0</v>
      </c>
      <c r="BA92" s="10">
        <f t="shared" si="11"/>
        <v>0</v>
      </c>
      <c r="BB92" s="17">
        <v>0</v>
      </c>
      <c r="BC92" s="113">
        <f t="shared" si="8"/>
        <v>0</v>
      </c>
    </row>
    <row r="93" spans="1:55" s="118" customFormat="1" ht="13.5" customHeight="1">
      <c r="A93" s="16" t="s">
        <v>48</v>
      </c>
      <c r="B93" s="16" t="s">
        <v>49</v>
      </c>
      <c r="C93" s="16" t="s">
        <v>74</v>
      </c>
      <c r="D93" s="16" t="s">
        <v>75</v>
      </c>
      <c r="E93" s="16" t="s">
        <v>52</v>
      </c>
      <c r="F93" s="16" t="s">
        <v>53</v>
      </c>
      <c r="G93" s="16" t="s">
        <v>306</v>
      </c>
      <c r="H93" s="22" t="s">
        <v>76</v>
      </c>
      <c r="I93" s="63" t="s">
        <v>150</v>
      </c>
      <c r="J93" s="11">
        <v>1</v>
      </c>
      <c r="K93" s="12" t="s">
        <v>2</v>
      </c>
      <c r="L93" s="13">
        <v>1</v>
      </c>
      <c r="M93" s="14">
        <v>0</v>
      </c>
      <c r="N93" s="14">
        <v>1</v>
      </c>
      <c r="O93" s="9">
        <v>801</v>
      </c>
      <c r="P93" s="9" t="s">
        <v>147</v>
      </c>
      <c r="Q93" s="14">
        <v>1</v>
      </c>
      <c r="R93" s="9">
        <v>0</v>
      </c>
      <c r="S93" s="9">
        <v>0</v>
      </c>
      <c r="T93" s="8" t="s">
        <v>58</v>
      </c>
      <c r="U93" s="85">
        <v>53</v>
      </c>
      <c r="V93" s="8">
        <v>530207</v>
      </c>
      <c r="W93" s="16" t="s">
        <v>78</v>
      </c>
      <c r="X93" s="18">
        <v>500.6399999999998</v>
      </c>
      <c r="Y93" s="79">
        <f>500.64-500.64</f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0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17">
        <v>0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9">
        <f t="shared" si="9"/>
        <v>0</v>
      </c>
      <c r="AY93" s="10" t="str">
        <f t="shared" si="10"/>
        <v>OK</v>
      </c>
      <c r="AZ93" s="10">
        <f t="shared" si="7"/>
        <v>0</v>
      </c>
      <c r="BA93" s="10">
        <f t="shared" si="11"/>
        <v>0</v>
      </c>
      <c r="BB93" s="17">
        <v>0</v>
      </c>
      <c r="BC93" s="113">
        <f t="shared" si="8"/>
        <v>0</v>
      </c>
    </row>
    <row r="94" spans="1:55" s="118" customFormat="1" ht="13.5" customHeight="1">
      <c r="A94" s="16" t="s">
        <v>48</v>
      </c>
      <c r="B94" s="16" t="s">
        <v>49</v>
      </c>
      <c r="C94" s="16" t="s">
        <v>50</v>
      </c>
      <c r="D94" s="16" t="s">
        <v>51</v>
      </c>
      <c r="E94" s="16" t="s">
        <v>52</v>
      </c>
      <c r="F94" s="16" t="s">
        <v>53</v>
      </c>
      <c r="G94" s="16" t="s">
        <v>54</v>
      </c>
      <c r="H94" s="22" t="s">
        <v>55</v>
      </c>
      <c r="I94" s="23" t="s">
        <v>79</v>
      </c>
      <c r="J94" s="11">
        <v>1</v>
      </c>
      <c r="K94" s="12" t="s">
        <v>2</v>
      </c>
      <c r="L94" s="13">
        <v>1</v>
      </c>
      <c r="M94" s="14">
        <v>0</v>
      </c>
      <c r="N94" s="14">
        <v>1</v>
      </c>
      <c r="O94" s="9">
        <v>801</v>
      </c>
      <c r="P94" s="9" t="s">
        <v>147</v>
      </c>
      <c r="Q94" s="14">
        <v>1</v>
      </c>
      <c r="R94" s="9">
        <v>0</v>
      </c>
      <c r="S94" s="9">
        <v>0</v>
      </c>
      <c r="T94" s="8" t="s">
        <v>58</v>
      </c>
      <c r="U94" s="85">
        <v>53</v>
      </c>
      <c r="V94" s="8">
        <v>530209</v>
      </c>
      <c r="W94" s="16" t="s">
        <v>80</v>
      </c>
      <c r="X94" s="18">
        <v>3328.6399999999985</v>
      </c>
      <c r="Y94" s="123">
        <f>3328.64-1.27-356.5</f>
        <v>2970.87</v>
      </c>
      <c r="Z94" s="17">
        <v>2970.87</v>
      </c>
      <c r="AA94" s="17">
        <v>2970.87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0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>
        <v>0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9">
        <f t="shared" si="9"/>
        <v>2970.87</v>
      </c>
      <c r="AY94" s="10" t="str">
        <f t="shared" si="10"/>
        <v>OK</v>
      </c>
      <c r="AZ94" s="10">
        <f t="shared" si="7"/>
        <v>2970.87</v>
      </c>
      <c r="BA94" s="10">
        <f t="shared" si="11"/>
        <v>0</v>
      </c>
      <c r="BB94" s="17">
        <v>2970.87</v>
      </c>
      <c r="BC94" s="113">
        <f t="shared" si="8"/>
        <v>0</v>
      </c>
    </row>
    <row r="95" spans="1:55" s="118" customFormat="1" ht="13.5" customHeight="1">
      <c r="A95" s="16" t="s">
        <v>48</v>
      </c>
      <c r="B95" s="16" t="s">
        <v>49</v>
      </c>
      <c r="C95" s="16" t="s">
        <v>50</v>
      </c>
      <c r="D95" s="16" t="s">
        <v>51</v>
      </c>
      <c r="E95" s="16" t="s">
        <v>52</v>
      </c>
      <c r="F95" s="16" t="s">
        <v>53</v>
      </c>
      <c r="G95" s="16" t="s">
        <v>54</v>
      </c>
      <c r="H95" s="22" t="s">
        <v>55</v>
      </c>
      <c r="I95" s="139" t="s">
        <v>81</v>
      </c>
      <c r="J95" s="11">
        <v>1</v>
      </c>
      <c r="K95" s="12" t="s">
        <v>2</v>
      </c>
      <c r="L95" s="13">
        <v>1</v>
      </c>
      <c r="M95" s="14">
        <v>0</v>
      </c>
      <c r="N95" s="14">
        <v>1</v>
      </c>
      <c r="O95" s="9">
        <v>801</v>
      </c>
      <c r="P95" s="9" t="s">
        <v>147</v>
      </c>
      <c r="Q95" s="14">
        <v>1</v>
      </c>
      <c r="R95" s="9">
        <v>0</v>
      </c>
      <c r="S95" s="9">
        <v>0</v>
      </c>
      <c r="T95" s="8" t="s">
        <v>58</v>
      </c>
      <c r="U95" s="85">
        <v>53</v>
      </c>
      <c r="V95" s="8">
        <v>530209</v>
      </c>
      <c r="W95" s="16" t="s">
        <v>80</v>
      </c>
      <c r="X95" s="18">
        <v>19965.12</v>
      </c>
      <c r="Y95" s="55">
        <f>19965.12+19964.25-4278.93-2970.87</f>
        <v>32679.569999999996</v>
      </c>
      <c r="Z95" s="17">
        <v>0</v>
      </c>
      <c r="AA95" s="17">
        <v>0</v>
      </c>
      <c r="AB95" s="17">
        <v>2971</v>
      </c>
      <c r="AC95" s="17">
        <v>2970.87</v>
      </c>
      <c r="AD95" s="17">
        <v>2971</v>
      </c>
      <c r="AE95" s="17">
        <v>2970.87</v>
      </c>
      <c r="AF95" s="17">
        <v>2971</v>
      </c>
      <c r="AG95" s="17">
        <v>2970.87</v>
      </c>
      <c r="AH95" s="17">
        <v>2971</v>
      </c>
      <c r="AI95" s="17">
        <v>2970.87</v>
      </c>
      <c r="AJ95" s="107">
        <v>2971</v>
      </c>
      <c r="AK95" s="17">
        <v>2970.87</v>
      </c>
      <c r="AL95" s="17">
        <v>2971</v>
      </c>
      <c r="AM95" s="17">
        <v>2970.87</v>
      </c>
      <c r="AN95" s="17">
        <v>3565.04</v>
      </c>
      <c r="AO95" s="17">
        <v>2970.87</v>
      </c>
      <c r="AP95" s="17">
        <v>3565.04</v>
      </c>
      <c r="AQ95" s="17">
        <v>2970.87</v>
      </c>
      <c r="AR95" s="17">
        <v>3565.04</v>
      </c>
      <c r="AS95" s="17">
        <v>2970.87</v>
      </c>
      <c r="AT95" s="17">
        <v>3565.04</v>
      </c>
      <c r="AU95" s="17">
        <v>2970.87</v>
      </c>
      <c r="AV95" s="17">
        <v>593.4099999999926</v>
      </c>
      <c r="AW95" s="80">
        <v>2970.87</v>
      </c>
      <c r="AX95" s="19">
        <f t="shared" si="9"/>
        <v>32679.569999999996</v>
      </c>
      <c r="AY95" s="10" t="str">
        <f t="shared" si="10"/>
        <v>OK</v>
      </c>
      <c r="AZ95" s="10">
        <f t="shared" si="7"/>
        <v>32679.569999999992</v>
      </c>
      <c r="BA95" s="10">
        <f t="shared" si="11"/>
        <v>-6.366462912410498E-12</v>
      </c>
      <c r="BB95" s="17">
        <f>17825.22+17825.22-2970.87</f>
        <v>32679.570000000003</v>
      </c>
      <c r="BC95" s="113">
        <f t="shared" si="8"/>
        <v>0</v>
      </c>
    </row>
    <row r="96" spans="1:55" s="118" customFormat="1" ht="13.5" customHeight="1">
      <c r="A96" s="16" t="s">
        <v>48</v>
      </c>
      <c r="B96" s="16" t="s">
        <v>49</v>
      </c>
      <c r="C96" s="16" t="s">
        <v>50</v>
      </c>
      <c r="D96" s="16" t="s">
        <v>51</v>
      </c>
      <c r="E96" s="16" t="s">
        <v>52</v>
      </c>
      <c r="F96" s="16" t="s">
        <v>53</v>
      </c>
      <c r="G96" s="16" t="s">
        <v>54</v>
      </c>
      <c r="H96" s="22" t="s">
        <v>55</v>
      </c>
      <c r="I96" s="23" t="s">
        <v>84</v>
      </c>
      <c r="J96" s="11">
        <v>1</v>
      </c>
      <c r="K96" s="12" t="s">
        <v>2</v>
      </c>
      <c r="L96" s="13">
        <v>1</v>
      </c>
      <c r="M96" s="14">
        <v>0</v>
      </c>
      <c r="N96" s="14">
        <v>1</v>
      </c>
      <c r="O96" s="9">
        <v>801</v>
      </c>
      <c r="P96" s="9" t="s">
        <v>147</v>
      </c>
      <c r="Q96" s="14">
        <v>1</v>
      </c>
      <c r="R96" s="9">
        <v>0</v>
      </c>
      <c r="S96" s="9">
        <v>0</v>
      </c>
      <c r="T96" s="8" t="s">
        <v>58</v>
      </c>
      <c r="U96" s="85">
        <v>53</v>
      </c>
      <c r="V96" s="8">
        <v>530301</v>
      </c>
      <c r="W96" s="16" t="s">
        <v>83</v>
      </c>
      <c r="X96" s="18">
        <v>200</v>
      </c>
      <c r="Y96" s="18">
        <v>200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14</v>
      </c>
      <c r="AF96" s="17">
        <v>0</v>
      </c>
      <c r="AG96" s="17">
        <v>0</v>
      </c>
      <c r="AH96" s="17">
        <v>0</v>
      </c>
      <c r="AI96" s="17">
        <v>0</v>
      </c>
      <c r="AJ96" s="10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v>0</v>
      </c>
      <c r="AP96" s="17">
        <v>0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17">
        <v>200</v>
      </c>
      <c r="AW96" s="17">
        <v>0</v>
      </c>
      <c r="AX96" s="19">
        <f t="shared" si="9"/>
        <v>200</v>
      </c>
      <c r="AY96" s="10" t="str">
        <f t="shared" si="10"/>
        <v>OK</v>
      </c>
      <c r="AZ96" s="10">
        <f t="shared" si="7"/>
        <v>14</v>
      </c>
      <c r="BA96" s="10">
        <f t="shared" si="11"/>
        <v>186</v>
      </c>
      <c r="BB96" s="17">
        <f>200-186+186</f>
        <v>200</v>
      </c>
      <c r="BC96" s="113">
        <f t="shared" si="8"/>
        <v>0</v>
      </c>
    </row>
    <row r="97" spans="1:55" s="118" customFormat="1" ht="13.5" customHeight="1">
      <c r="A97" s="16" t="s">
        <v>48</v>
      </c>
      <c r="B97" s="16" t="s">
        <v>49</v>
      </c>
      <c r="C97" s="16" t="s">
        <v>50</v>
      </c>
      <c r="D97" s="16" t="s">
        <v>51</v>
      </c>
      <c r="E97" s="16" t="s">
        <v>52</v>
      </c>
      <c r="F97" s="16" t="s">
        <v>53</v>
      </c>
      <c r="G97" s="16" t="s">
        <v>54</v>
      </c>
      <c r="H97" s="22" t="s">
        <v>55</v>
      </c>
      <c r="I97" s="134" t="s">
        <v>85</v>
      </c>
      <c r="J97" s="11">
        <v>1</v>
      </c>
      <c r="K97" s="12" t="s">
        <v>2</v>
      </c>
      <c r="L97" s="13">
        <v>1</v>
      </c>
      <c r="M97" s="14">
        <v>0</v>
      </c>
      <c r="N97" s="14">
        <v>1</v>
      </c>
      <c r="O97" s="9">
        <v>801</v>
      </c>
      <c r="P97" s="9" t="s">
        <v>147</v>
      </c>
      <c r="Q97" s="14">
        <v>1</v>
      </c>
      <c r="R97" s="9">
        <v>0</v>
      </c>
      <c r="S97" s="9">
        <v>0</v>
      </c>
      <c r="T97" s="8" t="s">
        <v>58</v>
      </c>
      <c r="U97" s="85">
        <v>53</v>
      </c>
      <c r="V97" s="8">
        <v>530303</v>
      </c>
      <c r="W97" s="16" t="s">
        <v>86</v>
      </c>
      <c r="X97" s="18">
        <v>2001</v>
      </c>
      <c r="Y97" s="132">
        <f>2001+500.01</f>
        <v>2501.01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303.96</v>
      </c>
      <c r="AF97" s="17">
        <v>0</v>
      </c>
      <c r="AG97" s="17">
        <v>160</v>
      </c>
      <c r="AH97" s="17">
        <v>0</v>
      </c>
      <c r="AI97" s="17">
        <v>201</v>
      </c>
      <c r="AJ97" s="107">
        <v>0</v>
      </c>
      <c r="AK97" s="17">
        <v>0</v>
      </c>
      <c r="AL97" s="59">
        <v>0</v>
      </c>
      <c r="AM97" s="17">
        <v>0</v>
      </c>
      <c r="AN97" s="17">
        <v>0</v>
      </c>
      <c r="AO97" s="17">
        <v>244.75</v>
      </c>
      <c r="AP97" s="17">
        <v>0</v>
      </c>
      <c r="AQ97" s="17">
        <v>93.25</v>
      </c>
      <c r="AR97" s="17">
        <v>0</v>
      </c>
      <c r="AS97" s="17">
        <v>385.5</v>
      </c>
      <c r="AT97" s="17">
        <v>1000.5</v>
      </c>
      <c r="AU97" s="17">
        <v>238</v>
      </c>
      <c r="AV97" s="17">
        <v>1500.5100000000002</v>
      </c>
      <c r="AW97" s="80">
        <v>317.45</v>
      </c>
      <c r="AX97" s="19">
        <f t="shared" si="9"/>
        <v>2501.01</v>
      </c>
      <c r="AY97" s="10" t="str">
        <f t="shared" si="10"/>
        <v>OK</v>
      </c>
      <c r="AZ97" s="10">
        <f t="shared" si="7"/>
        <v>1943.91</v>
      </c>
      <c r="BA97" s="10">
        <f t="shared" si="11"/>
        <v>557.1000000000001</v>
      </c>
      <c r="BB97" s="17">
        <f>2001-374.54+874.55</f>
        <v>2501.01</v>
      </c>
      <c r="BC97" s="113">
        <f t="shared" si="8"/>
        <v>0</v>
      </c>
    </row>
    <row r="98" spans="1:55" s="118" customFormat="1" ht="13.5" customHeight="1">
      <c r="A98" s="16" t="s">
        <v>48</v>
      </c>
      <c r="B98" s="16" t="s">
        <v>49</v>
      </c>
      <c r="C98" s="16" t="s">
        <v>50</v>
      </c>
      <c r="D98" s="16" t="s">
        <v>51</v>
      </c>
      <c r="E98" s="16" t="s">
        <v>52</v>
      </c>
      <c r="F98" s="16" t="s">
        <v>53</v>
      </c>
      <c r="G98" s="16" t="s">
        <v>54</v>
      </c>
      <c r="H98" s="22" t="s">
        <v>55</v>
      </c>
      <c r="I98" s="134" t="s">
        <v>151</v>
      </c>
      <c r="J98" s="11">
        <v>1</v>
      </c>
      <c r="K98" s="12" t="s">
        <v>2</v>
      </c>
      <c r="L98" s="13">
        <v>1</v>
      </c>
      <c r="M98" s="14">
        <v>0</v>
      </c>
      <c r="N98" s="14">
        <v>1</v>
      </c>
      <c r="O98" s="9">
        <v>801</v>
      </c>
      <c r="P98" s="9" t="s">
        <v>147</v>
      </c>
      <c r="Q98" s="14">
        <v>1</v>
      </c>
      <c r="R98" s="9">
        <v>0</v>
      </c>
      <c r="S98" s="9">
        <v>0</v>
      </c>
      <c r="T98" s="8" t="s">
        <v>58</v>
      </c>
      <c r="U98" s="85">
        <v>53</v>
      </c>
      <c r="V98" s="8">
        <v>530402</v>
      </c>
      <c r="W98" s="16" t="s">
        <v>88</v>
      </c>
      <c r="X98" s="18">
        <v>5500.319999999997</v>
      </c>
      <c r="Y98" s="132">
        <f>5500.32-5500.32</f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08">
        <v>0</v>
      </c>
      <c r="AK98" s="17">
        <v>0</v>
      </c>
      <c r="AL98" s="17">
        <v>0</v>
      </c>
      <c r="AM98" s="17">
        <v>0</v>
      </c>
      <c r="AN98" s="80">
        <v>0</v>
      </c>
      <c r="AO98" s="17">
        <v>0</v>
      </c>
      <c r="AP98" s="80">
        <v>0</v>
      </c>
      <c r="AQ98" s="17">
        <v>0</v>
      </c>
      <c r="AR98" s="17">
        <v>0</v>
      </c>
      <c r="AS98" s="17">
        <v>0</v>
      </c>
      <c r="AT98" s="17">
        <v>0</v>
      </c>
      <c r="AU98" s="17">
        <v>0</v>
      </c>
      <c r="AV98" s="17">
        <v>0</v>
      </c>
      <c r="AW98" s="17">
        <v>0</v>
      </c>
      <c r="AX98" s="19">
        <f t="shared" si="9"/>
        <v>0</v>
      </c>
      <c r="AY98" s="10" t="str">
        <f t="shared" si="10"/>
        <v>OK</v>
      </c>
      <c r="AZ98" s="10">
        <f t="shared" si="7"/>
        <v>0</v>
      </c>
      <c r="BA98" s="10">
        <f t="shared" si="11"/>
        <v>0</v>
      </c>
      <c r="BB98" s="17">
        <v>0</v>
      </c>
      <c r="BC98" s="113">
        <f t="shared" si="8"/>
        <v>0</v>
      </c>
    </row>
    <row r="99" spans="1:55" s="118" customFormat="1" ht="13.5" customHeight="1">
      <c r="A99" s="16" t="s">
        <v>48</v>
      </c>
      <c r="B99" s="16" t="s">
        <v>49</v>
      </c>
      <c r="C99" s="16" t="s">
        <v>50</v>
      </c>
      <c r="D99" s="16" t="s">
        <v>51</v>
      </c>
      <c r="E99" s="16" t="s">
        <v>52</v>
      </c>
      <c r="F99" s="16" t="s">
        <v>53</v>
      </c>
      <c r="G99" s="16" t="s">
        <v>54</v>
      </c>
      <c r="H99" s="22" t="s">
        <v>55</v>
      </c>
      <c r="I99" s="23" t="s">
        <v>152</v>
      </c>
      <c r="J99" s="11">
        <v>1</v>
      </c>
      <c r="K99" s="12" t="s">
        <v>2</v>
      </c>
      <c r="L99" s="13">
        <v>1</v>
      </c>
      <c r="M99" s="14">
        <v>0</v>
      </c>
      <c r="N99" s="14">
        <v>1</v>
      </c>
      <c r="O99" s="9">
        <v>801</v>
      </c>
      <c r="P99" s="9" t="s">
        <v>147</v>
      </c>
      <c r="Q99" s="14">
        <v>1</v>
      </c>
      <c r="R99" s="9">
        <v>0</v>
      </c>
      <c r="S99" s="9">
        <v>0</v>
      </c>
      <c r="T99" s="8" t="s">
        <v>58</v>
      </c>
      <c r="U99" s="85">
        <v>53</v>
      </c>
      <c r="V99" s="8">
        <v>530402</v>
      </c>
      <c r="W99" s="16" t="s">
        <v>88</v>
      </c>
      <c r="X99" s="18">
        <v>2020.48</v>
      </c>
      <c r="Y99" s="123">
        <f>2020.48-216.48</f>
        <v>1804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08">
        <v>0</v>
      </c>
      <c r="AK99" s="17">
        <v>0</v>
      </c>
      <c r="AL99" s="17">
        <v>0</v>
      </c>
      <c r="AM99" s="17">
        <v>0</v>
      </c>
      <c r="AN99" s="80">
        <v>0</v>
      </c>
      <c r="AO99" s="17">
        <v>0</v>
      </c>
      <c r="AP99" s="80">
        <v>1804</v>
      </c>
      <c r="AQ99" s="17">
        <v>0</v>
      </c>
      <c r="AR99" s="17">
        <v>0</v>
      </c>
      <c r="AS99" s="17">
        <v>0</v>
      </c>
      <c r="AT99" s="17">
        <v>0</v>
      </c>
      <c r="AU99" s="17">
        <v>0</v>
      </c>
      <c r="AV99" s="17">
        <v>0</v>
      </c>
      <c r="AW99" s="17">
        <v>0</v>
      </c>
      <c r="AX99" s="19">
        <f t="shared" si="9"/>
        <v>1804</v>
      </c>
      <c r="AY99" s="10" t="str">
        <f t="shared" si="10"/>
        <v>OK</v>
      </c>
      <c r="AZ99" s="10">
        <f t="shared" si="7"/>
        <v>0</v>
      </c>
      <c r="BA99" s="10">
        <f t="shared" si="11"/>
        <v>1804</v>
      </c>
      <c r="BB99" s="17">
        <v>1804</v>
      </c>
      <c r="BC99" s="113">
        <f t="shared" si="8"/>
        <v>0</v>
      </c>
    </row>
    <row r="100" spans="1:55" s="118" customFormat="1" ht="13.5" customHeight="1">
      <c r="A100" s="16" t="s">
        <v>48</v>
      </c>
      <c r="B100" s="16" t="s">
        <v>49</v>
      </c>
      <c r="C100" s="16" t="s">
        <v>50</v>
      </c>
      <c r="D100" s="16" t="s">
        <v>51</v>
      </c>
      <c r="E100" s="16" t="s">
        <v>52</v>
      </c>
      <c r="F100" s="16" t="s">
        <v>53</v>
      </c>
      <c r="G100" s="16" t="s">
        <v>54</v>
      </c>
      <c r="H100" s="22" t="s">
        <v>55</v>
      </c>
      <c r="I100" s="23" t="s">
        <v>153</v>
      </c>
      <c r="J100" s="11">
        <v>1</v>
      </c>
      <c r="K100" s="12" t="s">
        <v>2</v>
      </c>
      <c r="L100" s="13">
        <v>1</v>
      </c>
      <c r="M100" s="14">
        <v>0</v>
      </c>
      <c r="N100" s="14">
        <v>1</v>
      </c>
      <c r="O100" s="9">
        <v>801</v>
      </c>
      <c r="P100" s="9" t="s">
        <v>147</v>
      </c>
      <c r="Q100" s="14">
        <v>1</v>
      </c>
      <c r="R100" s="9">
        <v>0</v>
      </c>
      <c r="S100" s="9">
        <v>0</v>
      </c>
      <c r="T100" s="8" t="s">
        <v>58</v>
      </c>
      <c r="U100" s="85">
        <v>53</v>
      </c>
      <c r="V100" s="8">
        <v>530404</v>
      </c>
      <c r="W100" s="16" t="s">
        <v>93</v>
      </c>
      <c r="X100" s="18">
        <v>1063.9999999999995</v>
      </c>
      <c r="Y100" s="123">
        <f>1064-546.84-55.41</f>
        <v>461.75</v>
      </c>
      <c r="Z100" s="17">
        <v>0</v>
      </c>
      <c r="AA100" s="17">
        <v>0</v>
      </c>
      <c r="AB100" s="17">
        <v>0</v>
      </c>
      <c r="AC100" s="17">
        <v>0</v>
      </c>
      <c r="AD100" s="17">
        <v>189.99999999999997</v>
      </c>
      <c r="AE100" s="17">
        <v>92.35</v>
      </c>
      <c r="AF100" s="17">
        <v>0</v>
      </c>
      <c r="AG100" s="17">
        <v>0</v>
      </c>
      <c r="AH100" s="17">
        <v>271.75</v>
      </c>
      <c r="AI100" s="17">
        <v>92.35</v>
      </c>
      <c r="AJ100" s="10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17">
        <v>0</v>
      </c>
      <c r="AQ100" s="17">
        <v>184.7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80">
        <v>92.35</v>
      </c>
      <c r="AX100" s="19">
        <f t="shared" si="9"/>
        <v>461.75</v>
      </c>
      <c r="AY100" s="10" t="str">
        <f t="shared" si="10"/>
        <v>OK</v>
      </c>
      <c r="AZ100" s="10">
        <f t="shared" si="7"/>
        <v>461.75</v>
      </c>
      <c r="BA100" s="10">
        <f t="shared" si="11"/>
        <v>0</v>
      </c>
      <c r="BB100" s="17">
        <v>461.75</v>
      </c>
      <c r="BC100" s="113">
        <f t="shared" si="8"/>
        <v>0</v>
      </c>
    </row>
    <row r="101" spans="1:55" s="118" customFormat="1" ht="13.5" customHeight="1">
      <c r="A101" s="16" t="s">
        <v>48</v>
      </c>
      <c r="B101" s="16" t="s">
        <v>49</v>
      </c>
      <c r="C101" s="16" t="s">
        <v>50</v>
      </c>
      <c r="D101" s="16" t="s">
        <v>51</v>
      </c>
      <c r="E101" s="16" t="s">
        <v>52</v>
      </c>
      <c r="F101" s="16" t="s">
        <v>53</v>
      </c>
      <c r="G101" s="16" t="s">
        <v>54</v>
      </c>
      <c r="H101" s="22" t="s">
        <v>55</v>
      </c>
      <c r="I101" s="23" t="s">
        <v>92</v>
      </c>
      <c r="J101" s="11">
        <v>1</v>
      </c>
      <c r="K101" s="12" t="s">
        <v>2</v>
      </c>
      <c r="L101" s="13">
        <v>1</v>
      </c>
      <c r="M101" s="14">
        <v>0</v>
      </c>
      <c r="N101" s="14">
        <v>1</v>
      </c>
      <c r="O101" s="9">
        <v>801</v>
      </c>
      <c r="P101" s="9" t="s">
        <v>147</v>
      </c>
      <c r="Q101" s="14">
        <v>1</v>
      </c>
      <c r="R101" s="9">
        <v>0</v>
      </c>
      <c r="S101" s="9">
        <v>0</v>
      </c>
      <c r="T101" s="8" t="s">
        <v>58</v>
      </c>
      <c r="U101" s="85">
        <v>53</v>
      </c>
      <c r="V101" s="8">
        <v>530404</v>
      </c>
      <c r="W101" s="16" t="s">
        <v>93</v>
      </c>
      <c r="X101" s="18">
        <v>269.92</v>
      </c>
      <c r="Y101" s="123">
        <f>269.92-6.72-28.2</f>
        <v>235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235</v>
      </c>
      <c r="AI101" s="17">
        <v>235</v>
      </c>
      <c r="AJ101" s="10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  <c r="AR101" s="17">
        <v>0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9">
        <f t="shared" si="9"/>
        <v>235</v>
      </c>
      <c r="AY101" s="10" t="str">
        <f t="shared" si="10"/>
        <v>OK</v>
      </c>
      <c r="AZ101" s="10">
        <f t="shared" si="7"/>
        <v>235</v>
      </c>
      <c r="BA101" s="10">
        <f t="shared" si="11"/>
        <v>0</v>
      </c>
      <c r="BB101" s="17">
        <v>235</v>
      </c>
      <c r="BC101" s="113">
        <f t="shared" si="8"/>
        <v>0</v>
      </c>
    </row>
    <row r="102" spans="1:55" s="118" customFormat="1" ht="13.5" customHeight="1">
      <c r="A102" s="16" t="s">
        <v>48</v>
      </c>
      <c r="B102" s="16" t="s">
        <v>49</v>
      </c>
      <c r="C102" s="16" t="s">
        <v>50</v>
      </c>
      <c r="D102" s="16" t="s">
        <v>51</v>
      </c>
      <c r="E102" s="16" t="s">
        <v>52</v>
      </c>
      <c r="F102" s="16" t="s">
        <v>53</v>
      </c>
      <c r="G102" s="16" t="s">
        <v>54</v>
      </c>
      <c r="H102" s="22" t="s">
        <v>55</v>
      </c>
      <c r="I102" s="147" t="s">
        <v>154</v>
      </c>
      <c r="J102" s="11">
        <v>1</v>
      </c>
      <c r="K102" s="12" t="s">
        <v>2</v>
      </c>
      <c r="L102" s="13">
        <v>1</v>
      </c>
      <c r="M102" s="14">
        <v>0</v>
      </c>
      <c r="N102" s="14">
        <v>1</v>
      </c>
      <c r="O102" s="9">
        <v>801</v>
      </c>
      <c r="P102" s="9" t="s">
        <v>147</v>
      </c>
      <c r="Q102" s="14">
        <v>1</v>
      </c>
      <c r="R102" s="9">
        <v>0</v>
      </c>
      <c r="S102" s="9">
        <v>0</v>
      </c>
      <c r="T102" s="8" t="s">
        <v>58</v>
      </c>
      <c r="U102" s="85">
        <v>53</v>
      </c>
      <c r="V102" s="8">
        <v>530405</v>
      </c>
      <c r="W102" s="16" t="s">
        <v>96</v>
      </c>
      <c r="X102" s="18">
        <v>300.1599999999998</v>
      </c>
      <c r="Y102" s="146">
        <f>300.16-32.16+80.64-80.64+68.5</f>
        <v>336.5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82">
        <v>0</v>
      </c>
      <c r="AI102" s="17">
        <v>0</v>
      </c>
      <c r="AJ102" s="107">
        <v>0</v>
      </c>
      <c r="AK102" s="17">
        <v>108.5</v>
      </c>
      <c r="AL102" s="59">
        <v>134</v>
      </c>
      <c r="AM102" s="17">
        <v>0</v>
      </c>
      <c r="AN102" s="17">
        <v>0</v>
      </c>
      <c r="AO102" s="17">
        <v>193</v>
      </c>
      <c r="AP102" s="17">
        <v>0</v>
      </c>
      <c r="AQ102" s="17">
        <v>0</v>
      </c>
      <c r="AR102" s="17">
        <v>202.5</v>
      </c>
      <c r="AS102" s="17">
        <v>35</v>
      </c>
      <c r="AT102" s="17">
        <v>0</v>
      </c>
      <c r="AU102" s="17">
        <v>0</v>
      </c>
      <c r="AV102" s="17">
        <v>0</v>
      </c>
      <c r="AW102" s="17">
        <v>0</v>
      </c>
      <c r="AX102" s="19">
        <f t="shared" si="9"/>
        <v>336.5</v>
      </c>
      <c r="AY102" s="10" t="str">
        <f t="shared" si="10"/>
        <v>OK</v>
      </c>
      <c r="AZ102" s="10">
        <f t="shared" si="7"/>
        <v>336.5</v>
      </c>
      <c r="BA102" s="10">
        <f t="shared" si="11"/>
        <v>0</v>
      </c>
      <c r="BB102" s="17">
        <v>268</v>
      </c>
      <c r="BC102" s="113">
        <f t="shared" si="8"/>
        <v>68.5</v>
      </c>
    </row>
    <row r="103" spans="1:55" s="118" customFormat="1" ht="13.5" customHeight="1">
      <c r="A103" s="16" t="s">
        <v>48</v>
      </c>
      <c r="B103" s="16" t="s">
        <v>49</v>
      </c>
      <c r="C103" s="16" t="s">
        <v>50</v>
      </c>
      <c r="D103" s="16" t="s">
        <v>51</v>
      </c>
      <c r="E103" s="16" t="s">
        <v>52</v>
      </c>
      <c r="F103" s="16" t="s">
        <v>53</v>
      </c>
      <c r="G103" s="16" t="s">
        <v>54</v>
      </c>
      <c r="H103" s="22" t="s">
        <v>55</v>
      </c>
      <c r="I103" s="23" t="s">
        <v>155</v>
      </c>
      <c r="J103" s="11">
        <v>1</v>
      </c>
      <c r="K103" s="12" t="s">
        <v>2</v>
      </c>
      <c r="L103" s="13">
        <v>1</v>
      </c>
      <c r="M103" s="14">
        <v>0</v>
      </c>
      <c r="N103" s="14">
        <v>1</v>
      </c>
      <c r="O103" s="9">
        <v>801</v>
      </c>
      <c r="P103" s="9" t="s">
        <v>147</v>
      </c>
      <c r="Q103" s="14">
        <v>1</v>
      </c>
      <c r="R103" s="9">
        <v>0</v>
      </c>
      <c r="S103" s="9">
        <v>0</v>
      </c>
      <c r="T103" s="8" t="s">
        <v>58</v>
      </c>
      <c r="U103" s="85">
        <v>53</v>
      </c>
      <c r="V103" s="8">
        <v>530405</v>
      </c>
      <c r="W103" s="16" t="s">
        <v>96</v>
      </c>
      <c r="X103" s="18">
        <v>2402.4</v>
      </c>
      <c r="Y103" s="123">
        <f>2402.4-573.9+80.64-80.64+3.5</f>
        <v>1832</v>
      </c>
      <c r="Z103" s="17">
        <v>0</v>
      </c>
      <c r="AA103" s="17">
        <v>0</v>
      </c>
      <c r="AB103" s="17">
        <v>0</v>
      </c>
      <c r="AC103" s="17">
        <v>0</v>
      </c>
      <c r="AD103" s="17">
        <v>429</v>
      </c>
      <c r="AE103" s="17">
        <v>394</v>
      </c>
      <c r="AF103" s="17">
        <v>0</v>
      </c>
      <c r="AG103" s="17">
        <v>0</v>
      </c>
      <c r="AH103" s="17">
        <v>429</v>
      </c>
      <c r="AI103" s="17">
        <v>416</v>
      </c>
      <c r="AJ103" s="107">
        <v>0</v>
      </c>
      <c r="AK103" s="17">
        <v>0</v>
      </c>
      <c r="AL103" s="17">
        <v>429</v>
      </c>
      <c r="AM103" s="17">
        <v>615</v>
      </c>
      <c r="AN103" s="17">
        <v>0</v>
      </c>
      <c r="AO103" s="17">
        <v>0</v>
      </c>
      <c r="AP103" s="17">
        <v>429</v>
      </c>
      <c r="AQ103" s="17">
        <v>85</v>
      </c>
      <c r="AR103" s="17">
        <v>0</v>
      </c>
      <c r="AS103" s="17">
        <v>0</v>
      </c>
      <c r="AT103" s="17">
        <v>116</v>
      </c>
      <c r="AU103" s="17">
        <v>0</v>
      </c>
      <c r="AV103" s="17">
        <v>0</v>
      </c>
      <c r="AW103" s="80">
        <v>310</v>
      </c>
      <c r="AX103" s="19">
        <f t="shared" si="9"/>
        <v>1832</v>
      </c>
      <c r="AY103" s="10" t="str">
        <f t="shared" si="10"/>
        <v>OK</v>
      </c>
      <c r="AZ103" s="10">
        <f t="shared" si="7"/>
        <v>1820</v>
      </c>
      <c r="BA103" s="10">
        <f t="shared" si="11"/>
        <v>12</v>
      </c>
      <c r="BB103" s="17">
        <f>1828.5-250+322</f>
        <v>1900.5</v>
      </c>
      <c r="BC103" s="113">
        <f t="shared" si="8"/>
        <v>-68.5</v>
      </c>
    </row>
    <row r="104" spans="1:55" s="118" customFormat="1" ht="13.5" customHeight="1">
      <c r="A104" s="16" t="s">
        <v>48</v>
      </c>
      <c r="B104" s="16" t="s">
        <v>49</v>
      </c>
      <c r="C104" s="16" t="s">
        <v>50</v>
      </c>
      <c r="D104" s="16" t="s">
        <v>51</v>
      </c>
      <c r="E104" s="16" t="s">
        <v>52</v>
      </c>
      <c r="F104" s="16" t="s">
        <v>53</v>
      </c>
      <c r="G104" s="16" t="s">
        <v>54</v>
      </c>
      <c r="H104" s="22" t="s">
        <v>55</v>
      </c>
      <c r="I104" s="134" t="s">
        <v>98</v>
      </c>
      <c r="J104" s="11">
        <v>1</v>
      </c>
      <c r="K104" s="12" t="s">
        <v>2</v>
      </c>
      <c r="L104" s="13">
        <v>1</v>
      </c>
      <c r="M104" s="14">
        <v>0</v>
      </c>
      <c r="N104" s="14">
        <v>1</v>
      </c>
      <c r="O104" s="9">
        <v>801</v>
      </c>
      <c r="P104" s="9" t="s">
        <v>147</v>
      </c>
      <c r="Q104" s="14">
        <v>1</v>
      </c>
      <c r="R104" s="9">
        <v>0</v>
      </c>
      <c r="S104" s="9">
        <v>0</v>
      </c>
      <c r="T104" s="8" t="s">
        <v>58</v>
      </c>
      <c r="U104" s="85">
        <v>53</v>
      </c>
      <c r="V104" s="8">
        <v>530802</v>
      </c>
      <c r="W104" s="16" t="s">
        <v>99</v>
      </c>
      <c r="X104" s="18">
        <v>1279.0399999999995</v>
      </c>
      <c r="Y104" s="132">
        <f>1279.04-128.95</f>
        <v>1150.09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83">
        <v>0</v>
      </c>
      <c r="AK104" s="17">
        <v>0</v>
      </c>
      <c r="AL104" s="17">
        <v>0</v>
      </c>
      <c r="AM104" s="17">
        <v>0</v>
      </c>
      <c r="AN104" s="59">
        <v>0</v>
      </c>
      <c r="AO104" s="17">
        <v>0</v>
      </c>
      <c r="AP104" s="59">
        <v>1150.09</v>
      </c>
      <c r="AQ104" s="17">
        <v>815.43</v>
      </c>
      <c r="AR104" s="17">
        <v>0</v>
      </c>
      <c r="AS104" s="17">
        <v>0</v>
      </c>
      <c r="AT104" s="17">
        <v>0</v>
      </c>
      <c r="AU104" s="17">
        <v>0</v>
      </c>
      <c r="AV104" s="17">
        <v>0</v>
      </c>
      <c r="AW104" s="80">
        <v>334.44</v>
      </c>
      <c r="AX104" s="19">
        <f t="shared" si="9"/>
        <v>1150.09</v>
      </c>
      <c r="AY104" s="10" t="str">
        <f t="shared" si="10"/>
        <v>OK</v>
      </c>
      <c r="AZ104" s="10">
        <f t="shared" si="7"/>
        <v>1149.87</v>
      </c>
      <c r="BA104" s="10">
        <f t="shared" si="11"/>
        <v>0.21999999999997044</v>
      </c>
      <c r="BB104" s="17">
        <f>969.84+180.25</f>
        <v>1150.0900000000001</v>
      </c>
      <c r="BC104" s="113">
        <f t="shared" si="8"/>
        <v>0</v>
      </c>
    </row>
    <row r="105" spans="1:55" s="118" customFormat="1" ht="13.5" customHeight="1">
      <c r="A105" s="16" t="s">
        <v>48</v>
      </c>
      <c r="B105" s="16" t="s">
        <v>49</v>
      </c>
      <c r="C105" s="16" t="s">
        <v>50</v>
      </c>
      <c r="D105" s="16" t="s">
        <v>51</v>
      </c>
      <c r="E105" s="16" t="s">
        <v>52</v>
      </c>
      <c r="F105" s="16" t="s">
        <v>53</v>
      </c>
      <c r="G105" s="16" t="s">
        <v>54</v>
      </c>
      <c r="H105" s="22" t="s">
        <v>55</v>
      </c>
      <c r="I105" s="23" t="s">
        <v>156</v>
      </c>
      <c r="J105" s="11">
        <v>1</v>
      </c>
      <c r="K105" s="12" t="s">
        <v>2</v>
      </c>
      <c r="L105" s="13">
        <v>1</v>
      </c>
      <c r="M105" s="14">
        <v>0</v>
      </c>
      <c r="N105" s="14">
        <v>1</v>
      </c>
      <c r="O105" s="9">
        <v>801</v>
      </c>
      <c r="P105" s="9" t="s">
        <v>147</v>
      </c>
      <c r="Q105" s="14">
        <v>1</v>
      </c>
      <c r="R105" s="9">
        <v>0</v>
      </c>
      <c r="S105" s="9">
        <v>0</v>
      </c>
      <c r="T105" s="8" t="s">
        <v>58</v>
      </c>
      <c r="U105" s="85">
        <v>53</v>
      </c>
      <c r="V105" s="8">
        <v>530803</v>
      </c>
      <c r="W105" s="16" t="s">
        <v>101</v>
      </c>
      <c r="X105" s="18">
        <v>100</v>
      </c>
      <c r="Y105" s="18">
        <f>100-20</f>
        <v>80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37</v>
      </c>
      <c r="AH105" s="17">
        <v>0</v>
      </c>
      <c r="AI105" s="17">
        <v>0</v>
      </c>
      <c r="AJ105" s="107">
        <v>0</v>
      </c>
      <c r="AK105" s="17">
        <v>0</v>
      </c>
      <c r="AL105" s="17">
        <v>0</v>
      </c>
      <c r="AM105" s="17">
        <v>0</v>
      </c>
      <c r="AN105" s="17">
        <v>0</v>
      </c>
      <c r="AO105" s="17">
        <v>0</v>
      </c>
      <c r="AP105" s="17">
        <v>0</v>
      </c>
      <c r="AQ105" s="17">
        <v>0</v>
      </c>
      <c r="AR105" s="17">
        <v>0</v>
      </c>
      <c r="AS105" s="17">
        <v>0</v>
      </c>
      <c r="AT105" s="17">
        <v>0</v>
      </c>
      <c r="AU105" s="17">
        <v>0</v>
      </c>
      <c r="AV105" s="17">
        <v>80</v>
      </c>
      <c r="AW105" s="17">
        <v>0</v>
      </c>
      <c r="AX105" s="19">
        <f t="shared" si="9"/>
        <v>80</v>
      </c>
      <c r="AY105" s="10" t="str">
        <f t="shared" si="10"/>
        <v>OK</v>
      </c>
      <c r="AZ105" s="10">
        <f t="shared" si="7"/>
        <v>37</v>
      </c>
      <c r="BA105" s="10">
        <f t="shared" si="11"/>
        <v>43</v>
      </c>
      <c r="BB105" s="17">
        <f>100-63</f>
        <v>37</v>
      </c>
      <c r="BC105" s="113">
        <f t="shared" si="8"/>
        <v>43</v>
      </c>
    </row>
    <row r="106" spans="1:55" s="118" customFormat="1" ht="13.5" customHeight="1">
      <c r="A106" s="16" t="s">
        <v>48</v>
      </c>
      <c r="B106" s="16" t="s">
        <v>49</v>
      </c>
      <c r="C106" s="16" t="s">
        <v>50</v>
      </c>
      <c r="D106" s="16" t="s">
        <v>51</v>
      </c>
      <c r="E106" s="16" t="s">
        <v>52</v>
      </c>
      <c r="F106" s="16" t="s">
        <v>53</v>
      </c>
      <c r="G106" s="16" t="s">
        <v>54</v>
      </c>
      <c r="H106" s="22" t="s">
        <v>55</v>
      </c>
      <c r="I106" s="134" t="s">
        <v>157</v>
      </c>
      <c r="J106" s="11">
        <v>1</v>
      </c>
      <c r="K106" s="12" t="s">
        <v>2</v>
      </c>
      <c r="L106" s="13">
        <v>1</v>
      </c>
      <c r="M106" s="14">
        <v>0</v>
      </c>
      <c r="N106" s="14">
        <v>1</v>
      </c>
      <c r="O106" s="9">
        <v>801</v>
      </c>
      <c r="P106" s="9" t="s">
        <v>147</v>
      </c>
      <c r="Q106" s="14">
        <v>1</v>
      </c>
      <c r="R106" s="9">
        <v>0</v>
      </c>
      <c r="S106" s="9">
        <v>0</v>
      </c>
      <c r="T106" s="8" t="s">
        <v>58</v>
      </c>
      <c r="U106" s="85">
        <v>53</v>
      </c>
      <c r="V106" s="8">
        <v>530803</v>
      </c>
      <c r="W106" s="16" t="s">
        <v>101</v>
      </c>
      <c r="X106" s="18">
        <v>111.99999999999997</v>
      </c>
      <c r="Y106" s="132">
        <f>112-12+112+8</f>
        <v>220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80">
        <v>0</v>
      </c>
      <c r="AI106" s="17">
        <v>0</v>
      </c>
      <c r="AJ106" s="107">
        <v>0</v>
      </c>
      <c r="AK106" s="17">
        <v>120</v>
      </c>
      <c r="AL106" s="59">
        <v>50</v>
      </c>
      <c r="AM106" s="17">
        <v>0</v>
      </c>
      <c r="AN106" s="17">
        <v>0</v>
      </c>
      <c r="AO106" s="17">
        <v>0</v>
      </c>
      <c r="AP106" s="17">
        <v>0</v>
      </c>
      <c r="AQ106" s="17">
        <v>0</v>
      </c>
      <c r="AR106" s="17">
        <v>170</v>
      </c>
      <c r="AS106" s="17">
        <v>100</v>
      </c>
      <c r="AT106" s="17">
        <v>0</v>
      </c>
      <c r="AU106" s="17">
        <v>0</v>
      </c>
      <c r="AV106" s="17">
        <v>0</v>
      </c>
      <c r="AW106" s="17">
        <v>0</v>
      </c>
      <c r="AX106" s="19">
        <f t="shared" si="9"/>
        <v>220</v>
      </c>
      <c r="AY106" s="10" t="str">
        <f t="shared" si="10"/>
        <v>OK</v>
      </c>
      <c r="AZ106" s="10">
        <f t="shared" si="7"/>
        <v>220</v>
      </c>
      <c r="BA106" s="10">
        <f t="shared" si="11"/>
        <v>0</v>
      </c>
      <c r="BB106" s="17">
        <v>100</v>
      </c>
      <c r="BC106" s="113">
        <f t="shared" si="8"/>
        <v>120</v>
      </c>
    </row>
    <row r="107" spans="1:55" s="118" customFormat="1" ht="13.5" customHeight="1">
      <c r="A107" s="16" t="s">
        <v>48</v>
      </c>
      <c r="B107" s="16" t="s">
        <v>49</v>
      </c>
      <c r="C107" s="16" t="s">
        <v>50</v>
      </c>
      <c r="D107" s="16" t="s">
        <v>51</v>
      </c>
      <c r="E107" s="16" t="s">
        <v>52</v>
      </c>
      <c r="F107" s="16" t="s">
        <v>53</v>
      </c>
      <c r="G107" s="16" t="s">
        <v>54</v>
      </c>
      <c r="H107" s="22" t="s">
        <v>55</v>
      </c>
      <c r="I107" s="23" t="s">
        <v>158</v>
      </c>
      <c r="J107" s="11">
        <v>1</v>
      </c>
      <c r="K107" s="12" t="s">
        <v>2</v>
      </c>
      <c r="L107" s="13">
        <v>1</v>
      </c>
      <c r="M107" s="14">
        <v>0</v>
      </c>
      <c r="N107" s="14">
        <v>1</v>
      </c>
      <c r="O107" s="9">
        <v>801</v>
      </c>
      <c r="P107" s="9" t="s">
        <v>147</v>
      </c>
      <c r="Q107" s="14">
        <v>1</v>
      </c>
      <c r="R107" s="9">
        <v>0</v>
      </c>
      <c r="S107" s="9">
        <v>0</v>
      </c>
      <c r="T107" s="8" t="s">
        <v>58</v>
      </c>
      <c r="U107" s="85">
        <v>53</v>
      </c>
      <c r="V107" s="8">
        <v>530803</v>
      </c>
      <c r="W107" s="16" t="s">
        <v>101</v>
      </c>
      <c r="X107" s="18">
        <v>380.8</v>
      </c>
      <c r="Y107" s="123">
        <f>380.8-106.3+112-112</f>
        <v>274.5</v>
      </c>
      <c r="Z107" s="17">
        <v>0</v>
      </c>
      <c r="AA107" s="17">
        <v>0</v>
      </c>
      <c r="AB107" s="17">
        <v>0</v>
      </c>
      <c r="AC107" s="17">
        <v>0</v>
      </c>
      <c r="AD107" s="17">
        <v>68</v>
      </c>
      <c r="AE107" s="17">
        <v>0</v>
      </c>
      <c r="AF107" s="17">
        <v>0</v>
      </c>
      <c r="AG107" s="17">
        <v>0</v>
      </c>
      <c r="AH107" s="17">
        <v>68</v>
      </c>
      <c r="AI107" s="17">
        <v>29.92</v>
      </c>
      <c r="AJ107" s="107">
        <v>0</v>
      </c>
      <c r="AK107" s="17">
        <v>0</v>
      </c>
      <c r="AL107" s="17">
        <v>68</v>
      </c>
      <c r="AM107" s="17">
        <v>34.92</v>
      </c>
      <c r="AN107" s="17">
        <v>0</v>
      </c>
      <c r="AO107" s="17">
        <v>0</v>
      </c>
      <c r="AP107" s="17">
        <v>70.5</v>
      </c>
      <c r="AQ107" s="17">
        <v>59.92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80">
        <v>84.82</v>
      </c>
      <c r="AX107" s="19">
        <f t="shared" si="9"/>
        <v>274.5</v>
      </c>
      <c r="AY107" s="10" t="str">
        <f t="shared" si="10"/>
        <v>OK</v>
      </c>
      <c r="AZ107" s="10">
        <f t="shared" si="7"/>
        <v>209.57999999999998</v>
      </c>
      <c r="BA107" s="10">
        <f t="shared" si="11"/>
        <v>64.91999999999996</v>
      </c>
      <c r="BB107" s="17">
        <f>274.5-29.74+129.74</f>
        <v>374.5</v>
      </c>
      <c r="BC107" s="113">
        <f t="shared" si="8"/>
        <v>-100</v>
      </c>
    </row>
    <row r="108" spans="1:55" s="118" customFormat="1" ht="13.5" customHeight="1">
      <c r="A108" s="16" t="s">
        <v>48</v>
      </c>
      <c r="B108" s="16" t="s">
        <v>49</v>
      </c>
      <c r="C108" s="16" t="s">
        <v>50</v>
      </c>
      <c r="D108" s="16" t="s">
        <v>51</v>
      </c>
      <c r="E108" s="16" t="s">
        <v>52</v>
      </c>
      <c r="F108" s="16" t="s">
        <v>53</v>
      </c>
      <c r="G108" s="16" t="s">
        <v>54</v>
      </c>
      <c r="H108" s="22" t="s">
        <v>55</v>
      </c>
      <c r="I108" s="23" t="s">
        <v>159</v>
      </c>
      <c r="J108" s="11">
        <v>1</v>
      </c>
      <c r="K108" s="12" t="s">
        <v>2</v>
      </c>
      <c r="L108" s="13">
        <v>1</v>
      </c>
      <c r="M108" s="14">
        <v>0</v>
      </c>
      <c r="N108" s="14">
        <v>1</v>
      </c>
      <c r="O108" s="9">
        <v>801</v>
      </c>
      <c r="P108" s="9" t="s">
        <v>147</v>
      </c>
      <c r="Q108" s="14">
        <v>1</v>
      </c>
      <c r="R108" s="9">
        <v>0</v>
      </c>
      <c r="S108" s="9">
        <v>0</v>
      </c>
      <c r="T108" s="8" t="s">
        <v>58</v>
      </c>
      <c r="U108" s="85">
        <v>53</v>
      </c>
      <c r="V108" s="8">
        <v>530803</v>
      </c>
      <c r="W108" s="16" t="s">
        <v>101</v>
      </c>
      <c r="X108" s="18">
        <v>3460.8</v>
      </c>
      <c r="Y108" s="123">
        <f>3460.8-0.02</f>
        <v>3460.78</v>
      </c>
      <c r="Z108" s="17">
        <v>0</v>
      </c>
      <c r="AA108" s="17">
        <v>0</v>
      </c>
      <c r="AB108" s="17">
        <v>0</v>
      </c>
      <c r="AC108" s="17">
        <v>500</v>
      </c>
      <c r="AD108" s="17">
        <v>309</v>
      </c>
      <c r="AE108" s="17">
        <v>363.25</v>
      </c>
      <c r="AF108" s="17">
        <v>309</v>
      </c>
      <c r="AG108" s="17">
        <v>411.38</v>
      </c>
      <c r="AH108" s="17">
        <v>309</v>
      </c>
      <c r="AI108" s="17">
        <v>343.56</v>
      </c>
      <c r="AJ108" s="107">
        <v>309</v>
      </c>
      <c r="AK108" s="17">
        <v>286.06</v>
      </c>
      <c r="AL108" s="17">
        <v>309</v>
      </c>
      <c r="AM108" s="17">
        <v>195.29</v>
      </c>
      <c r="AN108" s="17">
        <v>309</v>
      </c>
      <c r="AO108" s="17">
        <v>209.56</v>
      </c>
      <c r="AP108" s="17">
        <v>309</v>
      </c>
      <c r="AQ108" s="17">
        <v>298</v>
      </c>
      <c r="AR108" s="17">
        <v>309</v>
      </c>
      <c r="AS108" s="17">
        <v>316.69</v>
      </c>
      <c r="AT108" s="17">
        <v>309</v>
      </c>
      <c r="AU108" s="17">
        <v>368.86</v>
      </c>
      <c r="AV108" s="17">
        <v>679.7800000000002</v>
      </c>
      <c r="AW108" s="17">
        <v>0</v>
      </c>
      <c r="AX108" s="19">
        <f t="shared" si="9"/>
        <v>3460.78</v>
      </c>
      <c r="AY108" s="10" t="str">
        <f t="shared" si="10"/>
        <v>OK</v>
      </c>
      <c r="AZ108" s="10">
        <f t="shared" si="7"/>
        <v>3292.65</v>
      </c>
      <c r="BA108" s="10">
        <f t="shared" si="11"/>
        <v>168.13000000000022</v>
      </c>
      <c r="BB108" s="17">
        <v>3460.78</v>
      </c>
      <c r="BC108" s="113">
        <f t="shared" si="8"/>
        <v>0</v>
      </c>
    </row>
    <row r="109" spans="1:55" s="118" customFormat="1" ht="13.5" customHeight="1">
      <c r="A109" s="16" t="s">
        <v>48</v>
      </c>
      <c r="B109" s="16" t="s">
        <v>49</v>
      </c>
      <c r="C109" s="16" t="s">
        <v>50</v>
      </c>
      <c r="D109" s="16" t="s">
        <v>51</v>
      </c>
      <c r="E109" s="16" t="s">
        <v>52</v>
      </c>
      <c r="F109" s="16" t="s">
        <v>53</v>
      </c>
      <c r="G109" s="16" t="s">
        <v>54</v>
      </c>
      <c r="H109" s="22" t="s">
        <v>55</v>
      </c>
      <c r="I109" s="139" t="s">
        <v>160</v>
      </c>
      <c r="J109" s="11">
        <v>1</v>
      </c>
      <c r="K109" s="12" t="s">
        <v>2</v>
      </c>
      <c r="L109" s="13">
        <v>1</v>
      </c>
      <c r="M109" s="14">
        <v>0</v>
      </c>
      <c r="N109" s="14">
        <v>1</v>
      </c>
      <c r="O109" s="9">
        <v>801</v>
      </c>
      <c r="P109" s="9" t="s">
        <v>147</v>
      </c>
      <c r="Q109" s="14">
        <v>1</v>
      </c>
      <c r="R109" s="9">
        <v>0</v>
      </c>
      <c r="S109" s="9">
        <v>0</v>
      </c>
      <c r="T109" s="8" t="s">
        <v>58</v>
      </c>
      <c r="U109" s="85">
        <v>53</v>
      </c>
      <c r="V109" s="8">
        <v>530804</v>
      </c>
      <c r="W109" s="16" t="s">
        <v>105</v>
      </c>
      <c r="X109" s="18">
        <v>2000.3199999999993</v>
      </c>
      <c r="Y109" s="55">
        <f>2000.32-1314.62-179.32-19.29-107.93</f>
        <v>379.16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100</v>
      </c>
      <c r="AH109" s="59">
        <v>326.3800000000001</v>
      </c>
      <c r="AI109" s="17">
        <v>118.45</v>
      </c>
      <c r="AJ109" s="107">
        <v>0</v>
      </c>
      <c r="AK109" s="17">
        <v>0</v>
      </c>
      <c r="AL109" s="80">
        <v>52.779999999999916</v>
      </c>
      <c r="AM109" s="17">
        <v>0</v>
      </c>
      <c r="AN109" s="17">
        <v>0</v>
      </c>
      <c r="AO109" s="17">
        <v>160.71</v>
      </c>
      <c r="AP109" s="17">
        <v>0</v>
      </c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9">
        <f t="shared" si="9"/>
        <v>379.16</v>
      </c>
      <c r="AY109" s="10" t="str">
        <f t="shared" si="10"/>
        <v>OK</v>
      </c>
      <c r="AZ109" s="10">
        <f t="shared" si="7"/>
        <v>379.15999999999997</v>
      </c>
      <c r="BA109" s="10">
        <f t="shared" si="11"/>
        <v>2.842170943040401E-14</v>
      </c>
      <c r="BB109" s="17">
        <f>326.38+160.71-107.93</f>
        <v>379.16</v>
      </c>
      <c r="BC109" s="113">
        <f t="shared" si="8"/>
        <v>0</v>
      </c>
    </row>
    <row r="110" spans="1:55" s="118" customFormat="1" ht="13.5" customHeight="1">
      <c r="A110" s="16" t="s">
        <v>48</v>
      </c>
      <c r="B110" s="16" t="s">
        <v>49</v>
      </c>
      <c r="C110" s="16" t="s">
        <v>50</v>
      </c>
      <c r="D110" s="16" t="s">
        <v>51</v>
      </c>
      <c r="E110" s="16" t="s">
        <v>52</v>
      </c>
      <c r="F110" s="16" t="s">
        <v>53</v>
      </c>
      <c r="G110" s="16" t="s">
        <v>54</v>
      </c>
      <c r="H110" s="22" t="s">
        <v>55</v>
      </c>
      <c r="I110" s="23" t="s">
        <v>161</v>
      </c>
      <c r="J110" s="11">
        <v>1</v>
      </c>
      <c r="K110" s="12" t="s">
        <v>2</v>
      </c>
      <c r="L110" s="13">
        <v>1</v>
      </c>
      <c r="M110" s="14">
        <v>0</v>
      </c>
      <c r="N110" s="14">
        <v>1</v>
      </c>
      <c r="O110" s="9">
        <v>801</v>
      </c>
      <c r="P110" s="9" t="s">
        <v>147</v>
      </c>
      <c r="Q110" s="14">
        <v>1</v>
      </c>
      <c r="R110" s="9">
        <v>0</v>
      </c>
      <c r="S110" s="9">
        <v>0</v>
      </c>
      <c r="T110" s="8" t="s">
        <v>58</v>
      </c>
      <c r="U110" s="85">
        <v>53</v>
      </c>
      <c r="V110" s="8">
        <v>530804</v>
      </c>
      <c r="W110" s="16" t="s">
        <v>105</v>
      </c>
      <c r="X110" s="18">
        <v>500.6399999999998</v>
      </c>
      <c r="Y110" s="123">
        <f>500.64-240.64</f>
        <v>260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260</v>
      </c>
      <c r="AG110" s="17">
        <v>260</v>
      </c>
      <c r="AH110" s="17">
        <v>0</v>
      </c>
      <c r="AI110" s="17">
        <v>0</v>
      </c>
      <c r="AJ110" s="107">
        <v>0</v>
      </c>
      <c r="AK110" s="17">
        <v>0</v>
      </c>
      <c r="AL110" s="17">
        <v>0</v>
      </c>
      <c r="AM110" s="17">
        <v>0</v>
      </c>
      <c r="AN110" s="17">
        <v>0</v>
      </c>
      <c r="AO110" s="17">
        <v>0</v>
      </c>
      <c r="AP110" s="17">
        <v>0</v>
      </c>
      <c r="AQ110" s="17">
        <v>0</v>
      </c>
      <c r="AR110" s="17">
        <v>0</v>
      </c>
      <c r="AS110" s="17">
        <v>0</v>
      </c>
      <c r="AT110" s="17">
        <v>0</v>
      </c>
      <c r="AU110" s="17">
        <v>0</v>
      </c>
      <c r="AV110" s="17">
        <v>0</v>
      </c>
      <c r="AW110" s="17">
        <v>0</v>
      </c>
      <c r="AX110" s="19">
        <f t="shared" si="9"/>
        <v>260</v>
      </c>
      <c r="AY110" s="10" t="str">
        <f t="shared" si="10"/>
        <v>OK</v>
      </c>
      <c r="AZ110" s="10">
        <f t="shared" si="7"/>
        <v>260</v>
      </c>
      <c r="BA110" s="10">
        <f t="shared" si="11"/>
        <v>0</v>
      </c>
      <c r="BB110" s="17">
        <v>260</v>
      </c>
      <c r="BC110" s="113">
        <f t="shared" si="8"/>
        <v>0</v>
      </c>
    </row>
    <row r="111" spans="1:55" s="118" customFormat="1" ht="13.5" customHeight="1">
      <c r="A111" s="16" t="s">
        <v>48</v>
      </c>
      <c r="B111" s="16" t="s">
        <v>49</v>
      </c>
      <c r="C111" s="16" t="s">
        <v>50</v>
      </c>
      <c r="D111" s="16" t="s">
        <v>51</v>
      </c>
      <c r="E111" s="16" t="s">
        <v>52</v>
      </c>
      <c r="F111" s="16" t="s">
        <v>53</v>
      </c>
      <c r="G111" s="16" t="s">
        <v>54</v>
      </c>
      <c r="H111" s="22" t="s">
        <v>55</v>
      </c>
      <c r="I111" s="63" t="s">
        <v>162</v>
      </c>
      <c r="J111" s="11">
        <v>1</v>
      </c>
      <c r="K111" s="12" t="s">
        <v>2</v>
      </c>
      <c r="L111" s="13">
        <v>1</v>
      </c>
      <c r="M111" s="14">
        <v>0</v>
      </c>
      <c r="N111" s="14">
        <v>1</v>
      </c>
      <c r="O111" s="9">
        <v>801</v>
      </c>
      <c r="P111" s="9" t="s">
        <v>147</v>
      </c>
      <c r="Q111" s="14">
        <v>1</v>
      </c>
      <c r="R111" s="9">
        <v>0</v>
      </c>
      <c r="S111" s="9">
        <v>0</v>
      </c>
      <c r="T111" s="8" t="s">
        <v>58</v>
      </c>
      <c r="U111" s="85">
        <v>53</v>
      </c>
      <c r="V111" s="8">
        <v>530804</v>
      </c>
      <c r="W111" s="16" t="s">
        <v>105</v>
      </c>
      <c r="X111" s="18">
        <v>335.99999999999994</v>
      </c>
      <c r="Y111" s="79">
        <f>336-336</f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76">
        <v>0</v>
      </c>
      <c r="AI111" s="17">
        <v>0</v>
      </c>
      <c r="AJ111" s="107">
        <v>0</v>
      </c>
      <c r="AK111" s="17">
        <v>0</v>
      </c>
      <c r="AL111" s="17">
        <v>0</v>
      </c>
      <c r="AM111" s="17">
        <v>0</v>
      </c>
      <c r="AN111" s="17">
        <v>0</v>
      </c>
      <c r="AO111" s="17">
        <v>0</v>
      </c>
      <c r="AP111" s="17">
        <v>0</v>
      </c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0</v>
      </c>
      <c r="AX111" s="19">
        <f t="shared" si="9"/>
        <v>0</v>
      </c>
      <c r="AY111" s="10" t="str">
        <f t="shared" si="10"/>
        <v>OK</v>
      </c>
      <c r="AZ111" s="10">
        <f t="shared" si="7"/>
        <v>0</v>
      </c>
      <c r="BA111" s="10">
        <f t="shared" si="11"/>
        <v>0</v>
      </c>
      <c r="BB111" s="17">
        <v>0</v>
      </c>
      <c r="BC111" s="113">
        <f t="shared" si="8"/>
        <v>0</v>
      </c>
    </row>
    <row r="112" spans="1:55" s="118" customFormat="1" ht="13.5" customHeight="1">
      <c r="A112" s="16" t="s">
        <v>48</v>
      </c>
      <c r="B112" s="16" t="s">
        <v>49</v>
      </c>
      <c r="C112" s="16" t="s">
        <v>50</v>
      </c>
      <c r="D112" s="16" t="s">
        <v>51</v>
      </c>
      <c r="E112" s="16" t="s">
        <v>52</v>
      </c>
      <c r="F112" s="16" t="s">
        <v>53</v>
      </c>
      <c r="G112" s="16" t="s">
        <v>54</v>
      </c>
      <c r="H112" s="22" t="s">
        <v>55</v>
      </c>
      <c r="I112" s="122" t="s">
        <v>104</v>
      </c>
      <c r="J112" s="11">
        <v>1</v>
      </c>
      <c r="K112" s="12" t="s">
        <v>2</v>
      </c>
      <c r="L112" s="13">
        <v>1</v>
      </c>
      <c r="M112" s="14">
        <v>0</v>
      </c>
      <c r="N112" s="14">
        <v>1</v>
      </c>
      <c r="O112" s="9">
        <v>801</v>
      </c>
      <c r="P112" s="9" t="s">
        <v>147</v>
      </c>
      <c r="Q112" s="14">
        <v>1</v>
      </c>
      <c r="R112" s="9">
        <v>0</v>
      </c>
      <c r="S112" s="9">
        <v>0</v>
      </c>
      <c r="T112" s="8" t="s">
        <v>58</v>
      </c>
      <c r="U112" s="85">
        <v>53</v>
      </c>
      <c r="V112" s="8">
        <v>530804</v>
      </c>
      <c r="W112" s="16" t="s">
        <v>105</v>
      </c>
      <c r="X112" s="18">
        <v>112</v>
      </c>
      <c r="Y112" s="123">
        <f>112+250-200</f>
        <v>162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83">
        <v>0</v>
      </c>
      <c r="AK112" s="17">
        <v>162</v>
      </c>
      <c r="AL112" s="59">
        <v>162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0</v>
      </c>
      <c r="AX112" s="19">
        <f t="shared" si="9"/>
        <v>162</v>
      </c>
      <c r="AY112" s="10" t="str">
        <f t="shared" si="10"/>
        <v>OK</v>
      </c>
      <c r="AZ112" s="10">
        <f t="shared" si="7"/>
        <v>162</v>
      </c>
      <c r="BA112" s="10">
        <f t="shared" si="11"/>
        <v>0</v>
      </c>
      <c r="BB112" s="17">
        <v>162</v>
      </c>
      <c r="BC112" s="113">
        <f t="shared" si="8"/>
        <v>0</v>
      </c>
    </row>
    <row r="113" spans="1:55" s="118" customFormat="1" ht="13.5" customHeight="1">
      <c r="A113" s="16" t="s">
        <v>48</v>
      </c>
      <c r="B113" s="16" t="s">
        <v>49</v>
      </c>
      <c r="C113" s="16" t="s">
        <v>50</v>
      </c>
      <c r="D113" s="16" t="s">
        <v>51</v>
      </c>
      <c r="E113" s="16" t="s">
        <v>52</v>
      </c>
      <c r="F113" s="16" t="s">
        <v>53</v>
      </c>
      <c r="G113" s="16" t="s">
        <v>54</v>
      </c>
      <c r="H113" s="22" t="s">
        <v>55</v>
      </c>
      <c r="I113" s="139" t="s">
        <v>163</v>
      </c>
      <c r="J113" s="11">
        <v>1</v>
      </c>
      <c r="K113" s="12" t="s">
        <v>2</v>
      </c>
      <c r="L113" s="13">
        <v>1</v>
      </c>
      <c r="M113" s="14">
        <v>0</v>
      </c>
      <c r="N113" s="14">
        <v>1</v>
      </c>
      <c r="O113" s="9">
        <v>801</v>
      </c>
      <c r="P113" s="9" t="s">
        <v>147</v>
      </c>
      <c r="Q113" s="14">
        <v>1</v>
      </c>
      <c r="R113" s="9">
        <v>0</v>
      </c>
      <c r="S113" s="9">
        <v>0</v>
      </c>
      <c r="T113" s="8" t="s">
        <v>58</v>
      </c>
      <c r="U113" s="85">
        <v>53</v>
      </c>
      <c r="V113" s="8">
        <v>530805</v>
      </c>
      <c r="W113" s="16" t="s">
        <v>108</v>
      </c>
      <c r="X113" s="18">
        <v>1500.7999999999993</v>
      </c>
      <c r="Y113" s="55">
        <f>1500.8-1107.31-160.8-95.66</f>
        <v>137.03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59">
        <v>137.03</v>
      </c>
      <c r="AI113" s="17">
        <v>128.73</v>
      </c>
      <c r="AJ113" s="107">
        <v>0</v>
      </c>
      <c r="AK113" s="17">
        <v>8.3</v>
      </c>
      <c r="AL113" s="17">
        <v>0</v>
      </c>
      <c r="AM113" s="17">
        <v>0</v>
      </c>
      <c r="AN113" s="17">
        <v>0</v>
      </c>
      <c r="AO113" s="17">
        <v>0</v>
      </c>
      <c r="AP113" s="17">
        <v>0</v>
      </c>
      <c r="AQ113" s="17">
        <v>0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9">
        <f t="shared" si="9"/>
        <v>137.03</v>
      </c>
      <c r="AY113" s="10" t="str">
        <f t="shared" si="10"/>
        <v>OK</v>
      </c>
      <c r="AZ113" s="10">
        <f t="shared" si="7"/>
        <v>137.03</v>
      </c>
      <c r="BA113" s="10">
        <f t="shared" si="11"/>
        <v>1.0658141036401503E-14</v>
      </c>
      <c r="BB113" s="17">
        <f>232.69-95.66</f>
        <v>137.03</v>
      </c>
      <c r="BC113" s="113">
        <f t="shared" si="8"/>
        <v>0</v>
      </c>
    </row>
    <row r="114" spans="1:55" s="118" customFormat="1" ht="13.5" customHeight="1">
      <c r="A114" s="16" t="s">
        <v>48</v>
      </c>
      <c r="B114" s="16" t="s">
        <v>49</v>
      </c>
      <c r="C114" s="16" t="s">
        <v>50</v>
      </c>
      <c r="D114" s="16" t="s">
        <v>51</v>
      </c>
      <c r="E114" s="16" t="s">
        <v>52</v>
      </c>
      <c r="F114" s="16" t="s">
        <v>53</v>
      </c>
      <c r="G114" s="16" t="s">
        <v>54</v>
      </c>
      <c r="H114" s="22" t="s">
        <v>55</v>
      </c>
      <c r="I114" s="66" t="s">
        <v>111</v>
      </c>
      <c r="J114" s="11">
        <v>1</v>
      </c>
      <c r="K114" s="12" t="s">
        <v>2</v>
      </c>
      <c r="L114" s="67">
        <v>1</v>
      </c>
      <c r="M114" s="14">
        <v>0</v>
      </c>
      <c r="N114" s="68">
        <v>1</v>
      </c>
      <c r="O114" s="9">
        <v>801</v>
      </c>
      <c r="P114" s="69" t="s">
        <v>147</v>
      </c>
      <c r="Q114" s="14">
        <v>1</v>
      </c>
      <c r="R114" s="9">
        <v>0</v>
      </c>
      <c r="S114" s="9">
        <v>0</v>
      </c>
      <c r="T114" s="8" t="s">
        <v>58</v>
      </c>
      <c r="U114" s="85">
        <v>53</v>
      </c>
      <c r="V114" s="8">
        <v>530807</v>
      </c>
      <c r="W114" s="16" t="s">
        <v>110</v>
      </c>
      <c r="X114" s="18">
        <v>139.99999999999994</v>
      </c>
      <c r="Y114" s="73">
        <f>140-140</f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07">
        <v>0</v>
      </c>
      <c r="AK114" s="17">
        <v>0</v>
      </c>
      <c r="AL114" s="17">
        <v>0</v>
      </c>
      <c r="AM114" s="17">
        <v>0</v>
      </c>
      <c r="AN114" s="17">
        <v>0</v>
      </c>
      <c r="AO114" s="17">
        <v>0</v>
      </c>
      <c r="AP114" s="17">
        <v>0</v>
      </c>
      <c r="AQ114" s="17">
        <v>0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0</v>
      </c>
      <c r="AX114" s="19">
        <f t="shared" si="9"/>
        <v>0</v>
      </c>
      <c r="AY114" s="10" t="str">
        <f t="shared" si="10"/>
        <v>OK</v>
      </c>
      <c r="AZ114" s="10">
        <f t="shared" si="7"/>
        <v>0</v>
      </c>
      <c r="BA114" s="10">
        <f t="shared" si="11"/>
        <v>0</v>
      </c>
      <c r="BB114" s="17">
        <v>0</v>
      </c>
      <c r="BC114" s="113">
        <f t="shared" si="8"/>
        <v>0</v>
      </c>
    </row>
    <row r="115" spans="1:55" s="118" customFormat="1" ht="13.5" customHeight="1">
      <c r="A115" s="16" t="s">
        <v>48</v>
      </c>
      <c r="B115" s="16" t="s">
        <v>49</v>
      </c>
      <c r="C115" s="16" t="s">
        <v>50</v>
      </c>
      <c r="D115" s="16" t="s">
        <v>51</v>
      </c>
      <c r="E115" s="16" t="s">
        <v>52</v>
      </c>
      <c r="F115" s="16" t="s">
        <v>53</v>
      </c>
      <c r="G115" s="16" t="s">
        <v>54</v>
      </c>
      <c r="H115" s="22" t="s">
        <v>55</v>
      </c>
      <c r="I115" s="66" t="s">
        <v>164</v>
      </c>
      <c r="J115" s="11">
        <v>1</v>
      </c>
      <c r="K115" s="12" t="s">
        <v>2</v>
      </c>
      <c r="L115" s="67">
        <v>1</v>
      </c>
      <c r="M115" s="14">
        <v>0</v>
      </c>
      <c r="N115" s="68">
        <v>1</v>
      </c>
      <c r="O115" s="9">
        <v>801</v>
      </c>
      <c r="P115" s="69" t="s">
        <v>147</v>
      </c>
      <c r="Q115" s="14">
        <v>1</v>
      </c>
      <c r="R115" s="9">
        <v>0</v>
      </c>
      <c r="S115" s="9">
        <v>0</v>
      </c>
      <c r="T115" s="8" t="s">
        <v>58</v>
      </c>
      <c r="U115" s="85">
        <v>53</v>
      </c>
      <c r="V115" s="8">
        <v>530807</v>
      </c>
      <c r="W115" s="16" t="s">
        <v>110</v>
      </c>
      <c r="X115" s="18">
        <v>327.04</v>
      </c>
      <c r="Y115" s="70">
        <f>327.04-327.04</f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07"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9">
        <f t="shared" si="9"/>
        <v>0</v>
      </c>
      <c r="AY115" s="10" t="str">
        <f t="shared" si="10"/>
        <v>OK</v>
      </c>
      <c r="AZ115" s="10">
        <f t="shared" si="7"/>
        <v>0</v>
      </c>
      <c r="BA115" s="10">
        <f t="shared" si="11"/>
        <v>0</v>
      </c>
      <c r="BB115" s="17">
        <v>0</v>
      </c>
      <c r="BC115" s="113">
        <f t="shared" si="8"/>
        <v>0</v>
      </c>
    </row>
    <row r="116" spans="1:55" s="118" customFormat="1" ht="13.5" customHeight="1">
      <c r="A116" s="16" t="s">
        <v>48</v>
      </c>
      <c r="B116" s="16" t="s">
        <v>49</v>
      </c>
      <c r="C116" s="16" t="s">
        <v>50</v>
      </c>
      <c r="D116" s="16" t="s">
        <v>51</v>
      </c>
      <c r="E116" s="16" t="s">
        <v>52</v>
      </c>
      <c r="F116" s="16" t="s">
        <v>53</v>
      </c>
      <c r="G116" s="16" t="s">
        <v>54</v>
      </c>
      <c r="H116" s="22" t="s">
        <v>55</v>
      </c>
      <c r="I116" s="134" t="s">
        <v>165</v>
      </c>
      <c r="J116" s="11">
        <v>1</v>
      </c>
      <c r="K116" s="12" t="s">
        <v>2</v>
      </c>
      <c r="L116" s="13">
        <v>1</v>
      </c>
      <c r="M116" s="14">
        <v>0</v>
      </c>
      <c r="N116" s="14">
        <v>1</v>
      </c>
      <c r="O116" s="9">
        <v>801</v>
      </c>
      <c r="P116" s="9" t="s">
        <v>147</v>
      </c>
      <c r="Q116" s="14">
        <v>1</v>
      </c>
      <c r="R116" s="9">
        <v>0</v>
      </c>
      <c r="S116" s="9">
        <v>0</v>
      </c>
      <c r="T116" s="8" t="s">
        <v>58</v>
      </c>
      <c r="U116" s="85">
        <v>53</v>
      </c>
      <c r="V116" s="8">
        <v>530807</v>
      </c>
      <c r="W116" s="16" t="s">
        <v>110</v>
      </c>
      <c r="X116" s="18">
        <v>3000.4799999999996</v>
      </c>
      <c r="Y116" s="132">
        <f>3000.48-1454.12-198.3</f>
        <v>1348.0600000000002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83">
        <v>0</v>
      </c>
      <c r="AK116" s="17">
        <v>0</v>
      </c>
      <c r="AL116" s="59">
        <v>1348.0600000000002</v>
      </c>
      <c r="AM116" s="17">
        <v>1348.0600000000002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9">
        <f t="shared" si="9"/>
        <v>1348.0600000000002</v>
      </c>
      <c r="AY116" s="10" t="str">
        <f t="shared" si="10"/>
        <v>OK</v>
      </c>
      <c r="AZ116" s="10">
        <f t="shared" si="7"/>
        <v>1348.0600000000002</v>
      </c>
      <c r="BA116" s="10">
        <f t="shared" si="11"/>
        <v>0</v>
      </c>
      <c r="BB116" s="17">
        <f>1439.22+107.14-195.72-2.58</f>
        <v>1348.0600000000002</v>
      </c>
      <c r="BC116" s="113">
        <f t="shared" si="8"/>
        <v>0</v>
      </c>
    </row>
    <row r="117" spans="1:55" s="118" customFormat="1" ht="13.5" customHeight="1">
      <c r="A117" s="16" t="s">
        <v>48</v>
      </c>
      <c r="B117" s="16" t="s">
        <v>49</v>
      </c>
      <c r="C117" s="16" t="s">
        <v>50</v>
      </c>
      <c r="D117" s="16" t="s">
        <v>51</v>
      </c>
      <c r="E117" s="16" t="s">
        <v>52</v>
      </c>
      <c r="F117" s="16" t="s">
        <v>53</v>
      </c>
      <c r="G117" s="16" t="s">
        <v>54</v>
      </c>
      <c r="H117" s="22" t="s">
        <v>55</v>
      </c>
      <c r="I117" s="23" t="s">
        <v>166</v>
      </c>
      <c r="J117" s="11">
        <v>1</v>
      </c>
      <c r="K117" s="12" t="s">
        <v>2</v>
      </c>
      <c r="L117" s="13">
        <v>1</v>
      </c>
      <c r="M117" s="14">
        <v>0</v>
      </c>
      <c r="N117" s="14">
        <v>1</v>
      </c>
      <c r="O117" s="9">
        <v>801</v>
      </c>
      <c r="P117" s="9" t="s">
        <v>147</v>
      </c>
      <c r="Q117" s="14">
        <v>1</v>
      </c>
      <c r="R117" s="9">
        <v>0</v>
      </c>
      <c r="S117" s="9">
        <v>0</v>
      </c>
      <c r="T117" s="8" t="s">
        <v>58</v>
      </c>
      <c r="U117" s="85">
        <v>53</v>
      </c>
      <c r="V117" s="8">
        <v>530811</v>
      </c>
      <c r="W117" s="16" t="s">
        <v>254</v>
      </c>
      <c r="X117" s="18">
        <v>480</v>
      </c>
      <c r="Y117" s="18">
        <f>480-0.06</f>
        <v>479.94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19.25</v>
      </c>
      <c r="AF117" s="17">
        <v>96</v>
      </c>
      <c r="AG117" s="17">
        <v>115.32</v>
      </c>
      <c r="AH117" s="17">
        <v>0</v>
      </c>
      <c r="AI117" s="17">
        <v>48.39</v>
      </c>
      <c r="AJ117" s="107">
        <v>96</v>
      </c>
      <c r="AK117" s="17">
        <v>21.15</v>
      </c>
      <c r="AL117" s="17">
        <v>0</v>
      </c>
      <c r="AM117" s="17">
        <v>70.29</v>
      </c>
      <c r="AN117" s="17">
        <v>96</v>
      </c>
      <c r="AO117" s="17">
        <v>73.15</v>
      </c>
      <c r="AP117" s="17">
        <v>0</v>
      </c>
      <c r="AQ117" s="17">
        <v>0</v>
      </c>
      <c r="AR117" s="17">
        <v>96</v>
      </c>
      <c r="AS117" s="17">
        <v>64.19</v>
      </c>
      <c r="AT117" s="17">
        <v>0</v>
      </c>
      <c r="AU117" s="17">
        <v>0</v>
      </c>
      <c r="AV117" s="17">
        <v>95.94</v>
      </c>
      <c r="AW117" s="17">
        <v>68.2</v>
      </c>
      <c r="AX117" s="19">
        <f t="shared" si="9"/>
        <v>479.94</v>
      </c>
      <c r="AY117" s="10" t="str">
        <f t="shared" si="10"/>
        <v>OK</v>
      </c>
      <c r="AZ117" s="10">
        <f t="shared" si="7"/>
        <v>479.93999999999994</v>
      </c>
      <c r="BA117" s="10">
        <f t="shared" si="11"/>
        <v>0</v>
      </c>
      <c r="BB117" s="17">
        <v>204.11</v>
      </c>
      <c r="BC117" s="113">
        <f t="shared" si="8"/>
        <v>275.83</v>
      </c>
    </row>
    <row r="118" spans="1:55" s="118" customFormat="1" ht="13.5" customHeight="1">
      <c r="A118" s="16" t="s">
        <v>48</v>
      </c>
      <c r="B118" s="16" t="s">
        <v>49</v>
      </c>
      <c r="C118" s="16" t="s">
        <v>50</v>
      </c>
      <c r="D118" s="16" t="s">
        <v>51</v>
      </c>
      <c r="E118" s="16" t="s">
        <v>52</v>
      </c>
      <c r="F118" s="16" t="s">
        <v>53</v>
      </c>
      <c r="G118" s="16" t="s">
        <v>54</v>
      </c>
      <c r="H118" s="22" t="s">
        <v>55</v>
      </c>
      <c r="I118" s="23" t="s">
        <v>167</v>
      </c>
      <c r="J118" s="11">
        <v>1</v>
      </c>
      <c r="K118" s="12" t="s">
        <v>2</v>
      </c>
      <c r="L118" s="13">
        <v>1</v>
      </c>
      <c r="M118" s="14">
        <v>0</v>
      </c>
      <c r="N118" s="14">
        <v>1</v>
      </c>
      <c r="O118" s="9">
        <v>801</v>
      </c>
      <c r="P118" s="9" t="s">
        <v>147</v>
      </c>
      <c r="Q118" s="14">
        <v>1</v>
      </c>
      <c r="R118" s="9">
        <v>0</v>
      </c>
      <c r="S118" s="9">
        <v>0</v>
      </c>
      <c r="T118" s="8" t="s">
        <v>58</v>
      </c>
      <c r="U118" s="85">
        <v>53</v>
      </c>
      <c r="V118" s="8">
        <v>530811</v>
      </c>
      <c r="W118" s="16" t="s">
        <v>254</v>
      </c>
      <c r="X118" s="18">
        <v>3499.999999999999</v>
      </c>
      <c r="Y118" s="123">
        <f>3500-1154.63-649.77</f>
        <v>1695.6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07">
        <v>0</v>
      </c>
      <c r="AK118" s="17">
        <v>0</v>
      </c>
      <c r="AL118" s="17">
        <v>1695.6</v>
      </c>
      <c r="AM118" s="17">
        <v>1695.6</v>
      </c>
      <c r="AN118" s="17">
        <v>0</v>
      </c>
      <c r="AO118" s="17">
        <v>0</v>
      </c>
      <c r="AP118" s="17">
        <v>0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9">
        <f t="shared" si="9"/>
        <v>1695.6</v>
      </c>
      <c r="AY118" s="10" t="str">
        <f t="shared" si="10"/>
        <v>OK</v>
      </c>
      <c r="AZ118" s="10">
        <f t="shared" si="7"/>
        <v>1695.6</v>
      </c>
      <c r="BA118" s="10">
        <f t="shared" si="11"/>
        <v>0</v>
      </c>
      <c r="BB118" s="17">
        <v>1695.6</v>
      </c>
      <c r="BC118" s="113">
        <f t="shared" si="8"/>
        <v>0</v>
      </c>
    </row>
    <row r="119" spans="1:55" s="118" customFormat="1" ht="13.5" customHeight="1">
      <c r="A119" s="16" t="s">
        <v>48</v>
      </c>
      <c r="B119" s="16" t="s">
        <v>49</v>
      </c>
      <c r="C119" s="16" t="s">
        <v>50</v>
      </c>
      <c r="D119" s="16" t="s">
        <v>51</v>
      </c>
      <c r="E119" s="16" t="s">
        <v>52</v>
      </c>
      <c r="F119" s="16" t="s">
        <v>53</v>
      </c>
      <c r="G119" s="16" t="s">
        <v>54</v>
      </c>
      <c r="H119" s="22" t="s">
        <v>55</v>
      </c>
      <c r="I119" s="23" t="s">
        <v>168</v>
      </c>
      <c r="J119" s="11">
        <v>1</v>
      </c>
      <c r="K119" s="12" t="s">
        <v>2</v>
      </c>
      <c r="L119" s="13">
        <v>1</v>
      </c>
      <c r="M119" s="14">
        <v>0</v>
      </c>
      <c r="N119" s="14">
        <v>1</v>
      </c>
      <c r="O119" s="9">
        <v>801</v>
      </c>
      <c r="P119" s="9" t="s">
        <v>147</v>
      </c>
      <c r="Q119" s="14">
        <v>1</v>
      </c>
      <c r="R119" s="9">
        <v>0</v>
      </c>
      <c r="S119" s="9">
        <v>0</v>
      </c>
      <c r="T119" s="8" t="s">
        <v>58</v>
      </c>
      <c r="U119" s="85">
        <v>53</v>
      </c>
      <c r="V119" s="8">
        <v>530813</v>
      </c>
      <c r="W119" s="16" t="s">
        <v>119</v>
      </c>
      <c r="X119" s="18">
        <v>600.3199999999996</v>
      </c>
      <c r="Y119" s="18">
        <f>600.32-67.32-208</f>
        <v>325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80">
        <v>0</v>
      </c>
      <c r="AI119" s="17">
        <v>0</v>
      </c>
      <c r="AJ119" s="107">
        <v>0</v>
      </c>
      <c r="AK119" s="17">
        <v>122</v>
      </c>
      <c r="AL119" s="59">
        <v>325</v>
      </c>
      <c r="AM119" s="17">
        <v>0</v>
      </c>
      <c r="AN119" s="17">
        <v>0</v>
      </c>
      <c r="AO119" s="17">
        <v>60</v>
      </c>
      <c r="AP119" s="17">
        <v>0</v>
      </c>
      <c r="AQ119" s="17">
        <v>0</v>
      </c>
      <c r="AR119" s="17">
        <v>0</v>
      </c>
      <c r="AS119" s="17">
        <v>108</v>
      </c>
      <c r="AT119" s="17">
        <v>0</v>
      </c>
      <c r="AU119" s="17">
        <v>0</v>
      </c>
      <c r="AV119" s="17">
        <v>0</v>
      </c>
      <c r="AW119" s="17">
        <v>0</v>
      </c>
      <c r="AX119" s="19">
        <f t="shared" si="9"/>
        <v>325</v>
      </c>
      <c r="AY119" s="10" t="str">
        <f t="shared" si="10"/>
        <v>OK</v>
      </c>
      <c r="AZ119" s="10">
        <f t="shared" si="7"/>
        <v>290</v>
      </c>
      <c r="BA119" s="10">
        <f t="shared" si="11"/>
        <v>35</v>
      </c>
      <c r="BB119" s="17">
        <v>533</v>
      </c>
      <c r="BC119" s="113">
        <f t="shared" si="8"/>
        <v>-208</v>
      </c>
    </row>
    <row r="120" spans="1:55" s="118" customFormat="1" ht="13.5" customHeight="1">
      <c r="A120" s="16" t="s">
        <v>48</v>
      </c>
      <c r="B120" s="16" t="s">
        <v>49</v>
      </c>
      <c r="C120" s="16" t="s">
        <v>50</v>
      </c>
      <c r="D120" s="16" t="s">
        <v>51</v>
      </c>
      <c r="E120" s="16" t="s">
        <v>52</v>
      </c>
      <c r="F120" s="16" t="s">
        <v>53</v>
      </c>
      <c r="G120" s="16" t="s">
        <v>54</v>
      </c>
      <c r="H120" s="22" t="s">
        <v>55</v>
      </c>
      <c r="I120" s="23" t="s">
        <v>169</v>
      </c>
      <c r="J120" s="11">
        <v>1</v>
      </c>
      <c r="K120" s="12" t="s">
        <v>2</v>
      </c>
      <c r="L120" s="13">
        <v>1</v>
      </c>
      <c r="M120" s="14">
        <v>0</v>
      </c>
      <c r="N120" s="14">
        <v>1</v>
      </c>
      <c r="O120" s="9">
        <v>801</v>
      </c>
      <c r="P120" s="9" t="s">
        <v>147</v>
      </c>
      <c r="Q120" s="14">
        <v>1</v>
      </c>
      <c r="R120" s="9">
        <v>0</v>
      </c>
      <c r="S120" s="9">
        <v>0</v>
      </c>
      <c r="T120" s="8" t="s">
        <v>58</v>
      </c>
      <c r="U120" s="85">
        <v>53</v>
      </c>
      <c r="V120" s="8">
        <v>530813</v>
      </c>
      <c r="W120" s="16" t="s">
        <v>119</v>
      </c>
      <c r="X120" s="18">
        <v>1803.2</v>
      </c>
      <c r="Y120" s="18">
        <f>1803.2-223.2-132.65+132.65+36</f>
        <v>1616</v>
      </c>
      <c r="Z120" s="17">
        <v>0</v>
      </c>
      <c r="AA120" s="17">
        <v>0</v>
      </c>
      <c r="AB120" s="17">
        <v>0</v>
      </c>
      <c r="AC120" s="17">
        <v>0</v>
      </c>
      <c r="AD120" s="17">
        <v>322</v>
      </c>
      <c r="AE120" s="17">
        <v>388</v>
      </c>
      <c r="AF120" s="17">
        <v>0</v>
      </c>
      <c r="AG120" s="17">
        <v>0</v>
      </c>
      <c r="AH120" s="17">
        <v>322</v>
      </c>
      <c r="AI120" s="17">
        <v>834</v>
      </c>
      <c r="AJ120" s="107">
        <v>0</v>
      </c>
      <c r="AK120" s="17">
        <v>0</v>
      </c>
      <c r="AL120" s="17">
        <v>322</v>
      </c>
      <c r="AM120" s="17">
        <v>265</v>
      </c>
      <c r="AN120" s="17">
        <v>0</v>
      </c>
      <c r="AO120" s="17">
        <v>0</v>
      </c>
      <c r="AP120" s="17">
        <v>322</v>
      </c>
      <c r="AQ120" s="17">
        <v>29</v>
      </c>
      <c r="AR120" s="17">
        <v>0</v>
      </c>
      <c r="AS120" s="17">
        <v>0</v>
      </c>
      <c r="AT120" s="17">
        <v>328</v>
      </c>
      <c r="AU120" s="17">
        <v>0</v>
      </c>
      <c r="AV120" s="17">
        <v>0</v>
      </c>
      <c r="AW120" s="80">
        <v>100</v>
      </c>
      <c r="AX120" s="19">
        <f t="shared" si="9"/>
        <v>1616</v>
      </c>
      <c r="AY120" s="10" t="str">
        <f t="shared" si="10"/>
        <v>OK</v>
      </c>
      <c r="AZ120" s="10">
        <f t="shared" si="7"/>
        <v>1616</v>
      </c>
      <c r="BA120" s="10">
        <f t="shared" si="11"/>
        <v>0</v>
      </c>
      <c r="BB120" s="17">
        <f>1580-307+135</f>
        <v>1408</v>
      </c>
      <c r="BC120" s="113">
        <f t="shared" si="8"/>
        <v>208</v>
      </c>
    </row>
    <row r="121" spans="1:55" s="118" customFormat="1" ht="13.5" customHeight="1">
      <c r="A121" s="16" t="s">
        <v>48</v>
      </c>
      <c r="B121" s="16" t="s">
        <v>49</v>
      </c>
      <c r="C121" s="16" t="s">
        <v>50</v>
      </c>
      <c r="D121" s="16" t="s">
        <v>51</v>
      </c>
      <c r="E121" s="16" t="s">
        <v>52</v>
      </c>
      <c r="F121" s="16" t="s">
        <v>53</v>
      </c>
      <c r="G121" s="16" t="s">
        <v>54</v>
      </c>
      <c r="H121" s="22" t="s">
        <v>55</v>
      </c>
      <c r="I121" s="23" t="s">
        <v>113</v>
      </c>
      <c r="J121" s="11">
        <v>1</v>
      </c>
      <c r="K121" s="12" t="s">
        <v>2</v>
      </c>
      <c r="L121" s="13">
        <v>1</v>
      </c>
      <c r="M121" s="14">
        <v>0</v>
      </c>
      <c r="N121" s="14">
        <v>1</v>
      </c>
      <c r="O121" s="9">
        <v>801</v>
      </c>
      <c r="P121" s="9" t="s">
        <v>147</v>
      </c>
      <c r="Q121" s="14">
        <v>1</v>
      </c>
      <c r="R121" s="9">
        <v>0</v>
      </c>
      <c r="S121" s="9">
        <v>0</v>
      </c>
      <c r="T121" s="8" t="s">
        <v>58</v>
      </c>
      <c r="U121" s="85">
        <v>53</v>
      </c>
      <c r="V121" s="8">
        <v>530813</v>
      </c>
      <c r="W121" s="16" t="s">
        <v>119</v>
      </c>
      <c r="X121" s="18">
        <v>120</v>
      </c>
      <c r="Y121" s="18">
        <f>120-8.65</f>
        <v>111.35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95</v>
      </c>
      <c r="AF121" s="17">
        <v>24</v>
      </c>
      <c r="AG121" s="17">
        <v>12</v>
      </c>
      <c r="AH121" s="17">
        <v>0</v>
      </c>
      <c r="AI121" s="17">
        <v>0</v>
      </c>
      <c r="AJ121" s="107">
        <v>24</v>
      </c>
      <c r="AK121" s="17">
        <v>4.35</v>
      </c>
      <c r="AL121" s="17">
        <v>0</v>
      </c>
      <c r="AM121" s="17">
        <v>0</v>
      </c>
      <c r="AN121" s="17">
        <v>24</v>
      </c>
      <c r="AO121" s="17">
        <v>0</v>
      </c>
      <c r="AP121" s="17">
        <v>0</v>
      </c>
      <c r="AQ121" s="17">
        <v>0</v>
      </c>
      <c r="AR121" s="17">
        <v>24</v>
      </c>
      <c r="AS121" s="17">
        <v>0</v>
      </c>
      <c r="AT121" s="17">
        <v>0</v>
      </c>
      <c r="AU121" s="17">
        <v>0</v>
      </c>
      <c r="AV121" s="17">
        <v>15.349999999999994</v>
      </c>
      <c r="AW121" s="17">
        <v>0</v>
      </c>
      <c r="AX121" s="19">
        <f t="shared" si="9"/>
        <v>111.35</v>
      </c>
      <c r="AY121" s="10" t="str">
        <f t="shared" si="10"/>
        <v>OK</v>
      </c>
      <c r="AZ121" s="10">
        <f t="shared" si="7"/>
        <v>111.35</v>
      </c>
      <c r="BA121" s="10">
        <f t="shared" si="11"/>
        <v>-7.105427357601002E-15</v>
      </c>
      <c r="BB121" s="17">
        <v>111.35</v>
      </c>
      <c r="BC121" s="113">
        <f t="shared" si="8"/>
        <v>0</v>
      </c>
    </row>
    <row r="122" spans="1:55" s="118" customFormat="1" ht="13.5" customHeight="1">
      <c r="A122" s="16" t="s">
        <v>48</v>
      </c>
      <c r="B122" s="16" t="s">
        <v>49</v>
      </c>
      <c r="C122" s="16" t="s">
        <v>50</v>
      </c>
      <c r="D122" s="16" t="s">
        <v>51</v>
      </c>
      <c r="E122" s="16" t="s">
        <v>52</v>
      </c>
      <c r="F122" s="16" t="s">
        <v>53</v>
      </c>
      <c r="G122" s="16" t="s">
        <v>54</v>
      </c>
      <c r="H122" s="22" t="s">
        <v>55</v>
      </c>
      <c r="I122" s="87" t="s">
        <v>128</v>
      </c>
      <c r="J122" s="11">
        <v>1</v>
      </c>
      <c r="K122" s="12" t="s">
        <v>2</v>
      </c>
      <c r="L122" s="13">
        <v>1</v>
      </c>
      <c r="M122" s="14">
        <v>0</v>
      </c>
      <c r="N122" s="14">
        <v>1</v>
      </c>
      <c r="O122" s="9">
        <v>801</v>
      </c>
      <c r="P122" s="9" t="s">
        <v>147</v>
      </c>
      <c r="Q122" s="14">
        <v>1</v>
      </c>
      <c r="R122" s="9">
        <v>0</v>
      </c>
      <c r="S122" s="9">
        <v>0</v>
      </c>
      <c r="T122" s="8" t="s">
        <v>58</v>
      </c>
      <c r="U122" s="85">
        <v>53</v>
      </c>
      <c r="V122" s="8">
        <v>530826</v>
      </c>
      <c r="W122" s="16" t="s">
        <v>129</v>
      </c>
      <c r="X122" s="18">
        <v>1063.9999999999995</v>
      </c>
      <c r="Y122" s="86">
        <f>1064-423.49</f>
        <v>640.51</v>
      </c>
      <c r="Z122" s="17">
        <v>0</v>
      </c>
      <c r="AA122" s="17">
        <v>0</v>
      </c>
      <c r="AB122" s="17">
        <v>0</v>
      </c>
      <c r="AC122" s="17">
        <v>0</v>
      </c>
      <c r="AD122" s="17">
        <v>640.51</v>
      </c>
      <c r="AE122" s="17">
        <v>640.51</v>
      </c>
      <c r="AF122" s="17">
        <v>0</v>
      </c>
      <c r="AG122" s="17">
        <v>0</v>
      </c>
      <c r="AH122" s="17">
        <v>0</v>
      </c>
      <c r="AI122" s="17">
        <v>0</v>
      </c>
      <c r="AJ122" s="10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v>0</v>
      </c>
      <c r="AP122" s="17">
        <v>0</v>
      </c>
      <c r="AQ122" s="17">
        <v>0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9">
        <f t="shared" si="9"/>
        <v>640.51</v>
      </c>
      <c r="AY122" s="10" t="str">
        <f t="shared" si="10"/>
        <v>OK</v>
      </c>
      <c r="AZ122" s="10">
        <f t="shared" si="7"/>
        <v>640.51</v>
      </c>
      <c r="BA122" s="10">
        <f t="shared" si="11"/>
        <v>0</v>
      </c>
      <c r="BB122" s="17">
        <v>640.51</v>
      </c>
      <c r="BC122" s="113">
        <f t="shared" si="8"/>
        <v>0</v>
      </c>
    </row>
    <row r="123" spans="1:55" s="118" customFormat="1" ht="13.5" customHeight="1">
      <c r="A123" s="16" t="s">
        <v>48</v>
      </c>
      <c r="B123" s="16" t="s">
        <v>49</v>
      </c>
      <c r="C123" s="16" t="s">
        <v>50</v>
      </c>
      <c r="D123" s="16" t="s">
        <v>51</v>
      </c>
      <c r="E123" s="16" t="s">
        <v>52</v>
      </c>
      <c r="F123" s="16" t="s">
        <v>53</v>
      </c>
      <c r="G123" s="16" t="s">
        <v>54</v>
      </c>
      <c r="H123" s="22" t="s">
        <v>55</v>
      </c>
      <c r="I123" s="23" t="s">
        <v>136</v>
      </c>
      <c r="J123" s="11">
        <v>1</v>
      </c>
      <c r="K123" s="12" t="s">
        <v>2</v>
      </c>
      <c r="L123" s="13">
        <v>1</v>
      </c>
      <c r="M123" s="14">
        <v>0</v>
      </c>
      <c r="N123" s="14">
        <v>1</v>
      </c>
      <c r="O123" s="9">
        <v>801</v>
      </c>
      <c r="P123" s="9" t="s">
        <v>147</v>
      </c>
      <c r="Q123" s="14">
        <v>1</v>
      </c>
      <c r="R123" s="9">
        <v>0</v>
      </c>
      <c r="S123" s="9">
        <v>0</v>
      </c>
      <c r="T123" s="8" t="s">
        <v>58</v>
      </c>
      <c r="U123" s="85">
        <v>57</v>
      </c>
      <c r="V123" s="8">
        <v>570102</v>
      </c>
      <c r="W123" s="16" t="s">
        <v>135</v>
      </c>
      <c r="X123" s="18">
        <v>800</v>
      </c>
      <c r="Y123" s="18">
        <f>800+943.47</f>
        <v>1743.47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1743.47</v>
      </c>
      <c r="AF123" s="59">
        <v>1743.47</v>
      </c>
      <c r="AG123" s="17">
        <v>0</v>
      </c>
      <c r="AH123" s="17">
        <v>0</v>
      </c>
      <c r="AI123" s="17">
        <v>0</v>
      </c>
      <c r="AJ123" s="10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v>0</v>
      </c>
      <c r="AP123" s="17">
        <v>0</v>
      </c>
      <c r="AQ123" s="17">
        <v>0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0</v>
      </c>
      <c r="AX123" s="19">
        <f t="shared" si="9"/>
        <v>1743.47</v>
      </c>
      <c r="AY123" s="10" t="str">
        <f t="shared" si="10"/>
        <v>OK</v>
      </c>
      <c r="AZ123" s="10">
        <f t="shared" si="7"/>
        <v>1743.47</v>
      </c>
      <c r="BA123" s="10">
        <f t="shared" si="11"/>
        <v>0</v>
      </c>
      <c r="BB123" s="17">
        <v>1743.47</v>
      </c>
      <c r="BC123" s="113">
        <f t="shared" si="8"/>
        <v>0</v>
      </c>
    </row>
    <row r="124" spans="1:55" s="118" customFormat="1" ht="13.5" customHeight="1">
      <c r="A124" s="16" t="s">
        <v>48</v>
      </c>
      <c r="B124" s="16" t="s">
        <v>49</v>
      </c>
      <c r="C124" s="16" t="s">
        <v>50</v>
      </c>
      <c r="D124" s="16" t="s">
        <v>51</v>
      </c>
      <c r="E124" s="16" t="s">
        <v>52</v>
      </c>
      <c r="F124" s="16" t="s">
        <v>53</v>
      </c>
      <c r="G124" s="16" t="s">
        <v>54</v>
      </c>
      <c r="H124" s="22" t="s">
        <v>55</v>
      </c>
      <c r="I124" s="87" t="s">
        <v>170</v>
      </c>
      <c r="J124" s="11">
        <v>1</v>
      </c>
      <c r="K124" s="12" t="s">
        <v>2</v>
      </c>
      <c r="L124" s="13">
        <v>1</v>
      </c>
      <c r="M124" s="14">
        <v>0</v>
      </c>
      <c r="N124" s="14">
        <v>1</v>
      </c>
      <c r="O124" s="9">
        <v>801</v>
      </c>
      <c r="P124" s="9" t="s">
        <v>147</v>
      </c>
      <c r="Q124" s="14">
        <v>1</v>
      </c>
      <c r="R124" s="9">
        <v>0</v>
      </c>
      <c r="S124" s="9">
        <v>0</v>
      </c>
      <c r="T124" s="8" t="s">
        <v>58</v>
      </c>
      <c r="U124" s="85">
        <v>57</v>
      </c>
      <c r="V124" s="8">
        <v>570102</v>
      </c>
      <c r="W124" s="16" t="s">
        <v>135</v>
      </c>
      <c r="X124" s="18">
        <v>300</v>
      </c>
      <c r="Y124" s="86">
        <f>300+85.56-269.83</f>
        <v>115.73000000000002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59">
        <v>115.73000000000002</v>
      </c>
      <c r="AG124" s="17">
        <v>115.73</v>
      </c>
      <c r="AH124" s="17">
        <v>0</v>
      </c>
      <c r="AI124" s="17">
        <v>0</v>
      </c>
      <c r="AJ124" s="10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0</v>
      </c>
      <c r="AX124" s="19">
        <f t="shared" si="9"/>
        <v>115.73000000000002</v>
      </c>
      <c r="AY124" s="10" t="str">
        <f t="shared" si="10"/>
        <v>OK</v>
      </c>
      <c r="AZ124" s="10">
        <f t="shared" si="7"/>
        <v>115.73</v>
      </c>
      <c r="BA124" s="10">
        <f t="shared" si="11"/>
        <v>1.4210854715202004E-14</v>
      </c>
      <c r="BB124" s="17">
        <v>115.73</v>
      </c>
      <c r="BC124" s="113">
        <f t="shared" si="8"/>
        <v>0</v>
      </c>
    </row>
    <row r="125" spans="1:55" s="118" customFormat="1" ht="13.5" customHeight="1">
      <c r="A125" s="16" t="s">
        <v>48</v>
      </c>
      <c r="B125" s="16" t="s">
        <v>49</v>
      </c>
      <c r="C125" s="16" t="s">
        <v>50</v>
      </c>
      <c r="D125" s="16" t="s">
        <v>51</v>
      </c>
      <c r="E125" s="16" t="s">
        <v>52</v>
      </c>
      <c r="F125" s="16" t="s">
        <v>53</v>
      </c>
      <c r="G125" s="16" t="s">
        <v>54</v>
      </c>
      <c r="H125" s="22" t="s">
        <v>55</v>
      </c>
      <c r="I125" s="23" t="s">
        <v>137</v>
      </c>
      <c r="J125" s="11">
        <v>1</v>
      </c>
      <c r="K125" s="12" t="s">
        <v>2</v>
      </c>
      <c r="L125" s="13">
        <v>1</v>
      </c>
      <c r="M125" s="14">
        <v>0</v>
      </c>
      <c r="N125" s="14">
        <v>1</v>
      </c>
      <c r="O125" s="9">
        <v>801</v>
      </c>
      <c r="P125" s="9" t="s">
        <v>147</v>
      </c>
      <c r="Q125" s="14">
        <v>1</v>
      </c>
      <c r="R125" s="9">
        <v>0</v>
      </c>
      <c r="S125" s="9">
        <v>0</v>
      </c>
      <c r="T125" s="8" t="s">
        <v>58</v>
      </c>
      <c r="U125" s="85">
        <v>57</v>
      </c>
      <c r="V125" s="8">
        <v>570102</v>
      </c>
      <c r="W125" s="16" t="s">
        <v>135</v>
      </c>
      <c r="X125" s="18">
        <v>400</v>
      </c>
      <c r="Y125" s="71">
        <f>400+706.78</f>
        <v>1106.78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1106.78</v>
      </c>
      <c r="AF125" s="59">
        <v>1106.78</v>
      </c>
      <c r="AG125" s="17">
        <v>0</v>
      </c>
      <c r="AH125" s="17">
        <v>0</v>
      </c>
      <c r="AI125" s="17">
        <v>0</v>
      </c>
      <c r="AJ125" s="107">
        <v>0</v>
      </c>
      <c r="AK125" s="17">
        <v>0</v>
      </c>
      <c r="AL125" s="17">
        <v>0</v>
      </c>
      <c r="AM125" s="17">
        <v>0</v>
      </c>
      <c r="AN125" s="17">
        <v>0</v>
      </c>
      <c r="AO125" s="17">
        <v>0</v>
      </c>
      <c r="AP125" s="17">
        <v>0</v>
      </c>
      <c r="AQ125" s="17">
        <v>0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9">
        <f t="shared" si="9"/>
        <v>1106.78</v>
      </c>
      <c r="AY125" s="10" t="str">
        <f t="shared" si="10"/>
        <v>OK</v>
      </c>
      <c r="AZ125" s="10">
        <f t="shared" si="7"/>
        <v>1106.78</v>
      </c>
      <c r="BA125" s="10">
        <f t="shared" si="11"/>
        <v>0</v>
      </c>
      <c r="BB125" s="17">
        <v>1106.78</v>
      </c>
      <c r="BC125" s="113">
        <f t="shared" si="8"/>
        <v>0</v>
      </c>
    </row>
    <row r="126" spans="1:55" s="118" customFormat="1" ht="13.5" customHeight="1">
      <c r="A126" s="16" t="s">
        <v>138</v>
      </c>
      <c r="B126" s="16" t="s">
        <v>139</v>
      </c>
      <c r="C126" s="16" t="s">
        <v>140</v>
      </c>
      <c r="D126" s="16" t="s">
        <v>51</v>
      </c>
      <c r="E126" s="16" t="s">
        <v>52</v>
      </c>
      <c r="F126" s="16" t="s">
        <v>53</v>
      </c>
      <c r="G126" s="16" t="s">
        <v>141</v>
      </c>
      <c r="H126" s="22" t="s">
        <v>142</v>
      </c>
      <c r="I126" s="63" t="s">
        <v>143</v>
      </c>
      <c r="J126" s="11">
        <v>1</v>
      </c>
      <c r="K126" s="12" t="s">
        <v>2</v>
      </c>
      <c r="L126" s="13">
        <v>55</v>
      </c>
      <c r="M126" s="14">
        <v>0</v>
      </c>
      <c r="N126" s="14">
        <v>3</v>
      </c>
      <c r="O126" s="9">
        <v>801</v>
      </c>
      <c r="P126" s="9" t="s">
        <v>147</v>
      </c>
      <c r="Q126" s="14">
        <v>1</v>
      </c>
      <c r="R126" s="9">
        <v>0</v>
      </c>
      <c r="S126" s="9">
        <v>0</v>
      </c>
      <c r="T126" s="8" t="s">
        <v>58</v>
      </c>
      <c r="U126" s="85">
        <v>53</v>
      </c>
      <c r="V126" s="8">
        <v>530105</v>
      </c>
      <c r="W126" s="16" t="s">
        <v>144</v>
      </c>
      <c r="X126" s="18">
        <v>14761.599999999999</v>
      </c>
      <c r="Y126" s="79">
        <f>14761.6-1348.02-313.6-313.6</f>
        <v>12786.38</v>
      </c>
      <c r="Z126" s="17">
        <v>12786.38</v>
      </c>
      <c r="AA126" s="17">
        <v>13099.98</v>
      </c>
      <c r="AB126" s="17">
        <v>0</v>
      </c>
      <c r="AC126" s="17">
        <v>313.6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07">
        <v>0</v>
      </c>
      <c r="AK126" s="17">
        <v>0</v>
      </c>
      <c r="AL126" s="17">
        <v>0</v>
      </c>
      <c r="AM126" s="17">
        <v>0</v>
      </c>
      <c r="AN126" s="17">
        <v>0</v>
      </c>
      <c r="AO126" s="17"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9">
        <f t="shared" si="9"/>
        <v>12786.38</v>
      </c>
      <c r="AY126" s="10" t="str">
        <f t="shared" si="10"/>
        <v>OK</v>
      </c>
      <c r="AZ126" s="10">
        <f t="shared" si="7"/>
        <v>13413.58</v>
      </c>
      <c r="BA126" s="10">
        <f t="shared" si="11"/>
        <v>-627.2000000000004</v>
      </c>
      <c r="BB126" s="17">
        <v>13099.98</v>
      </c>
      <c r="BC126" s="113">
        <f t="shared" si="8"/>
        <v>-313.60000000000036</v>
      </c>
    </row>
    <row r="127" spans="1:55" s="118" customFormat="1" ht="13.5" customHeight="1">
      <c r="A127" s="16" t="s">
        <v>138</v>
      </c>
      <c r="B127" s="16" t="s">
        <v>139</v>
      </c>
      <c r="C127" s="16" t="s">
        <v>140</v>
      </c>
      <c r="D127" s="16" t="s">
        <v>51</v>
      </c>
      <c r="E127" s="16" t="s">
        <v>52</v>
      </c>
      <c r="F127" s="16" t="s">
        <v>53</v>
      </c>
      <c r="G127" s="16" t="s">
        <v>141</v>
      </c>
      <c r="H127" s="22" t="s">
        <v>142</v>
      </c>
      <c r="I127" s="147" t="s">
        <v>145</v>
      </c>
      <c r="J127" s="11">
        <v>1</v>
      </c>
      <c r="K127" s="12" t="s">
        <v>2</v>
      </c>
      <c r="L127" s="13">
        <v>55</v>
      </c>
      <c r="M127" s="14">
        <v>0</v>
      </c>
      <c r="N127" s="14">
        <v>3</v>
      </c>
      <c r="O127" s="9">
        <v>801</v>
      </c>
      <c r="P127" s="9" t="s">
        <v>147</v>
      </c>
      <c r="Q127" s="14">
        <v>1</v>
      </c>
      <c r="R127" s="9">
        <v>0</v>
      </c>
      <c r="S127" s="9">
        <v>0</v>
      </c>
      <c r="T127" s="8" t="s">
        <v>58</v>
      </c>
      <c r="U127" s="85">
        <v>53</v>
      </c>
      <c r="V127" s="8">
        <v>530105</v>
      </c>
      <c r="W127" s="16" t="s">
        <v>144</v>
      </c>
      <c r="X127" s="18">
        <v>177124.64</v>
      </c>
      <c r="Y127" s="146">
        <f>177124.64-1919.75-14547.2+313.6-9169.63-79.61</f>
        <v>151722.05000000002</v>
      </c>
      <c r="Z127" s="17">
        <v>0</v>
      </c>
      <c r="AA127" s="17">
        <v>0</v>
      </c>
      <c r="AB127" s="17">
        <v>14377</v>
      </c>
      <c r="AC127" s="17">
        <v>13231.119999999999</v>
      </c>
      <c r="AD127" s="17">
        <v>14377</v>
      </c>
      <c r="AE127" s="17">
        <v>13343.68</v>
      </c>
      <c r="AF127" s="17">
        <v>14377</v>
      </c>
      <c r="AG127" s="17">
        <v>13180.18</v>
      </c>
      <c r="AH127" s="17">
        <v>14377</v>
      </c>
      <c r="AI127" s="17">
        <v>13778.36</v>
      </c>
      <c r="AJ127" s="107">
        <v>14377</v>
      </c>
      <c r="AK127" s="17">
        <v>13015.21</v>
      </c>
      <c r="AL127" s="17">
        <v>14377</v>
      </c>
      <c r="AM127" s="17">
        <v>13178.53</v>
      </c>
      <c r="AN127" s="17">
        <v>14377</v>
      </c>
      <c r="AO127" s="17">
        <v>13187.36</v>
      </c>
      <c r="AP127" s="17">
        <v>14377</v>
      </c>
      <c r="AQ127" s="17">
        <v>13319.17</v>
      </c>
      <c r="AR127" s="17">
        <v>14377</v>
      </c>
      <c r="AS127" s="17">
        <v>13294.730000000001</v>
      </c>
      <c r="AT127" s="17">
        <v>22329.050000000017</v>
      </c>
      <c r="AU127" s="17">
        <v>13308.55</v>
      </c>
      <c r="AV127" s="17">
        <v>0</v>
      </c>
      <c r="AW127" s="80">
        <v>13732.82</v>
      </c>
      <c r="AX127" s="19">
        <f t="shared" si="9"/>
        <v>151722.05000000002</v>
      </c>
      <c r="AY127" s="10" t="str">
        <f t="shared" si="10"/>
        <v>OK</v>
      </c>
      <c r="AZ127" s="10">
        <f t="shared" si="7"/>
        <v>146569.71</v>
      </c>
      <c r="BA127" s="10">
        <f t="shared" si="11"/>
        <v>5152.340000000015</v>
      </c>
      <c r="BB127" s="17">
        <f>44280.12+313.6+116377.57-9169.63</f>
        <v>151801.66</v>
      </c>
      <c r="BC127" s="113">
        <f t="shared" si="8"/>
        <v>-79.60999999998603</v>
      </c>
    </row>
    <row r="128" spans="1:55" s="118" customFormat="1" ht="13.5" customHeight="1">
      <c r="A128" s="16" t="s">
        <v>138</v>
      </c>
      <c r="B128" s="16" t="s">
        <v>139</v>
      </c>
      <c r="C128" s="16" t="s">
        <v>140</v>
      </c>
      <c r="D128" s="16" t="s">
        <v>51</v>
      </c>
      <c r="E128" s="16" t="s">
        <v>52</v>
      </c>
      <c r="F128" s="16" t="s">
        <v>53</v>
      </c>
      <c r="G128" s="16" t="s">
        <v>141</v>
      </c>
      <c r="H128" s="22" t="s">
        <v>142</v>
      </c>
      <c r="I128" s="134" t="s">
        <v>146</v>
      </c>
      <c r="J128" s="11">
        <v>2</v>
      </c>
      <c r="K128" s="12" t="s">
        <v>2</v>
      </c>
      <c r="L128" s="13">
        <v>55</v>
      </c>
      <c r="M128" s="14">
        <v>0</v>
      </c>
      <c r="N128" s="14">
        <v>3</v>
      </c>
      <c r="O128" s="9">
        <v>801</v>
      </c>
      <c r="P128" s="9" t="s">
        <v>147</v>
      </c>
      <c r="Q128" s="14">
        <v>1</v>
      </c>
      <c r="R128" s="9">
        <v>0</v>
      </c>
      <c r="S128" s="9">
        <v>0</v>
      </c>
      <c r="T128" s="8" t="s">
        <v>58</v>
      </c>
      <c r="U128" s="85">
        <v>53</v>
      </c>
      <c r="V128" s="8">
        <v>530811</v>
      </c>
      <c r="W128" s="16" t="s">
        <v>254</v>
      </c>
      <c r="X128" s="18">
        <v>3000.4799999999996</v>
      </c>
      <c r="Y128" s="132">
        <f>3000.48-2106.81-95.75-244.38</f>
        <v>553.5400000000001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83">
        <v>0</v>
      </c>
      <c r="AK128" s="17">
        <v>0</v>
      </c>
      <c r="AL128" s="17">
        <v>0</v>
      </c>
      <c r="AM128" s="17">
        <v>0</v>
      </c>
      <c r="AN128" s="59">
        <v>0</v>
      </c>
      <c r="AO128" s="17">
        <v>0</v>
      </c>
      <c r="AP128" s="17">
        <v>0</v>
      </c>
      <c r="AQ128" s="17">
        <v>0</v>
      </c>
      <c r="AR128" s="59">
        <v>553.5400000000001</v>
      </c>
      <c r="AS128" s="17">
        <v>553.54</v>
      </c>
      <c r="AT128" s="17">
        <v>0</v>
      </c>
      <c r="AU128" s="17">
        <v>0</v>
      </c>
      <c r="AV128" s="17">
        <v>0</v>
      </c>
      <c r="AW128" s="17">
        <v>0</v>
      </c>
      <c r="AX128" s="19">
        <f t="shared" si="9"/>
        <v>553.5400000000001</v>
      </c>
      <c r="AY128" s="10" t="str">
        <f t="shared" si="10"/>
        <v>OK</v>
      </c>
      <c r="AZ128" s="10">
        <f t="shared" si="7"/>
        <v>553.54</v>
      </c>
      <c r="BA128" s="10">
        <f t="shared" si="11"/>
        <v>1.1368683772161603E-13</v>
      </c>
      <c r="BB128" s="17">
        <f>797.92-244.38</f>
        <v>553.54</v>
      </c>
      <c r="BC128" s="113">
        <f t="shared" si="8"/>
        <v>0</v>
      </c>
    </row>
    <row r="129" spans="1:55" s="118" customFormat="1" ht="13.5" customHeight="1">
      <c r="A129" s="16" t="s">
        <v>138</v>
      </c>
      <c r="B129" s="16" t="s">
        <v>139</v>
      </c>
      <c r="C129" s="16" t="s">
        <v>140</v>
      </c>
      <c r="D129" s="16" t="s">
        <v>51</v>
      </c>
      <c r="E129" s="16" t="s">
        <v>52</v>
      </c>
      <c r="F129" s="16" t="s">
        <v>53</v>
      </c>
      <c r="G129" s="16" t="s">
        <v>141</v>
      </c>
      <c r="H129" s="22" t="s">
        <v>142</v>
      </c>
      <c r="I129" s="23" t="s">
        <v>113</v>
      </c>
      <c r="J129" s="11">
        <v>2</v>
      </c>
      <c r="K129" s="12" t="s">
        <v>2</v>
      </c>
      <c r="L129" s="13">
        <v>55</v>
      </c>
      <c r="M129" s="14">
        <v>0</v>
      </c>
      <c r="N129" s="14">
        <v>3</v>
      </c>
      <c r="O129" s="9">
        <v>801</v>
      </c>
      <c r="P129" s="9" t="s">
        <v>147</v>
      </c>
      <c r="Q129" s="14">
        <v>1</v>
      </c>
      <c r="R129" s="9">
        <v>0</v>
      </c>
      <c r="S129" s="9">
        <v>0</v>
      </c>
      <c r="T129" s="8" t="s">
        <v>58</v>
      </c>
      <c r="U129" s="85">
        <v>53</v>
      </c>
      <c r="V129" s="8">
        <v>530811</v>
      </c>
      <c r="W129" s="16" t="s">
        <v>254</v>
      </c>
      <c r="X129" s="18">
        <v>500</v>
      </c>
      <c r="Y129" s="18">
        <f>500-12.88-23.99</f>
        <v>463.13</v>
      </c>
      <c r="Z129" s="17">
        <v>0</v>
      </c>
      <c r="AA129" s="17">
        <v>0</v>
      </c>
      <c r="AB129" s="17">
        <v>0</v>
      </c>
      <c r="AC129" s="17">
        <v>0</v>
      </c>
      <c r="AD129" s="17">
        <v>50</v>
      </c>
      <c r="AE129" s="17">
        <v>28</v>
      </c>
      <c r="AF129" s="17">
        <v>50</v>
      </c>
      <c r="AG129" s="17">
        <v>50.35</v>
      </c>
      <c r="AH129" s="17">
        <v>50</v>
      </c>
      <c r="AI129" s="17">
        <v>80.83</v>
      </c>
      <c r="AJ129" s="107">
        <v>50</v>
      </c>
      <c r="AK129" s="17">
        <v>59.6</v>
      </c>
      <c r="AL129" s="17">
        <v>50</v>
      </c>
      <c r="AM129" s="17">
        <v>45.01</v>
      </c>
      <c r="AN129" s="17">
        <v>50</v>
      </c>
      <c r="AO129" s="17">
        <v>67.6</v>
      </c>
      <c r="AP129" s="17">
        <v>50</v>
      </c>
      <c r="AQ129" s="17">
        <v>0</v>
      </c>
      <c r="AR129" s="17">
        <v>50</v>
      </c>
      <c r="AS129" s="17">
        <v>57.79</v>
      </c>
      <c r="AT129" s="17">
        <v>63.129999999999995</v>
      </c>
      <c r="AU129" s="17">
        <v>0</v>
      </c>
      <c r="AV129" s="17">
        <v>0</v>
      </c>
      <c r="AW129" s="17">
        <v>97.94</v>
      </c>
      <c r="AX129" s="19">
        <f t="shared" si="9"/>
        <v>463.13</v>
      </c>
      <c r="AY129" s="10" t="str">
        <f t="shared" si="10"/>
        <v>OK</v>
      </c>
      <c r="AZ129" s="10">
        <f t="shared" si="7"/>
        <v>487.12</v>
      </c>
      <c r="BA129" s="10">
        <f t="shared" si="11"/>
        <v>-23.98999999999998</v>
      </c>
      <c r="BB129" s="17">
        <v>194.79</v>
      </c>
      <c r="BC129" s="113">
        <f t="shared" si="8"/>
        <v>268.34000000000003</v>
      </c>
    </row>
    <row r="130" spans="1:55" s="118" customFormat="1" ht="13.5" customHeight="1">
      <c r="A130" s="16" t="s">
        <v>138</v>
      </c>
      <c r="B130" s="16" t="s">
        <v>139</v>
      </c>
      <c r="C130" s="16" t="s">
        <v>140</v>
      </c>
      <c r="D130" s="16" t="s">
        <v>51</v>
      </c>
      <c r="E130" s="16" t="s">
        <v>52</v>
      </c>
      <c r="F130" s="16" t="s">
        <v>53</v>
      </c>
      <c r="G130" s="16" t="s">
        <v>141</v>
      </c>
      <c r="H130" s="22" t="s">
        <v>142</v>
      </c>
      <c r="I130" s="147" t="s">
        <v>171</v>
      </c>
      <c r="J130" s="11">
        <v>2</v>
      </c>
      <c r="K130" s="12" t="s">
        <v>2</v>
      </c>
      <c r="L130" s="13">
        <v>55</v>
      </c>
      <c r="M130" s="14">
        <v>0</v>
      </c>
      <c r="N130" s="14">
        <v>3</v>
      </c>
      <c r="O130" s="9">
        <v>801</v>
      </c>
      <c r="P130" s="9" t="s">
        <v>147</v>
      </c>
      <c r="Q130" s="14">
        <v>1</v>
      </c>
      <c r="R130" s="9">
        <v>0</v>
      </c>
      <c r="S130" s="9">
        <v>0</v>
      </c>
      <c r="T130" s="8" t="s">
        <v>58</v>
      </c>
      <c r="U130" s="85">
        <v>53</v>
      </c>
      <c r="V130" s="8">
        <v>530813</v>
      </c>
      <c r="W130" s="16" t="s">
        <v>119</v>
      </c>
      <c r="X130" s="18">
        <v>6999.999999999998</v>
      </c>
      <c r="Y130" s="146">
        <f>7000-278.95-308.51-411.6-1853.47+14.01</f>
        <v>4161.48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80">
        <v>0</v>
      </c>
      <c r="AI130" s="17">
        <v>0</v>
      </c>
      <c r="AJ130" s="107">
        <v>0</v>
      </c>
      <c r="AK130" s="17">
        <v>0</v>
      </c>
      <c r="AL130" s="17">
        <v>0</v>
      </c>
      <c r="AM130" s="17">
        <v>0</v>
      </c>
      <c r="AN130" s="59">
        <v>0</v>
      </c>
      <c r="AO130" s="17">
        <v>0</v>
      </c>
      <c r="AP130" s="17">
        <v>0</v>
      </c>
      <c r="AQ130" s="17">
        <v>0</v>
      </c>
      <c r="AR130" s="59">
        <v>4161.48</v>
      </c>
      <c r="AS130" s="17">
        <v>4161.48</v>
      </c>
      <c r="AT130" s="17">
        <v>0</v>
      </c>
      <c r="AU130" s="17">
        <v>0</v>
      </c>
      <c r="AV130" s="17">
        <v>0</v>
      </c>
      <c r="AW130" s="17">
        <v>0</v>
      </c>
      <c r="AX130" s="19">
        <f t="shared" si="9"/>
        <v>4161.48</v>
      </c>
      <c r="AY130" s="10" t="str">
        <f t="shared" si="10"/>
        <v>OK</v>
      </c>
      <c r="AZ130" s="10">
        <f t="shared" si="7"/>
        <v>4161.48</v>
      </c>
      <c r="BA130" s="10">
        <f t="shared" si="11"/>
        <v>0</v>
      </c>
      <c r="BB130" s="17">
        <f>6000.94-1839.46</f>
        <v>4161.48</v>
      </c>
      <c r="BC130" s="113">
        <f t="shared" si="8"/>
        <v>0</v>
      </c>
    </row>
    <row r="131" spans="1:55" s="118" customFormat="1" ht="13.5" customHeight="1">
      <c r="A131" s="16" t="s">
        <v>138</v>
      </c>
      <c r="B131" s="16" t="s">
        <v>139</v>
      </c>
      <c r="C131" s="16" t="s">
        <v>140</v>
      </c>
      <c r="D131" s="16" t="s">
        <v>51</v>
      </c>
      <c r="E131" s="16" t="s">
        <v>52</v>
      </c>
      <c r="F131" s="16" t="s">
        <v>53</v>
      </c>
      <c r="G131" s="16" t="s">
        <v>141</v>
      </c>
      <c r="H131" s="22" t="s">
        <v>142</v>
      </c>
      <c r="I131" s="23" t="s">
        <v>113</v>
      </c>
      <c r="J131" s="11">
        <v>2</v>
      </c>
      <c r="K131" s="12" t="s">
        <v>2</v>
      </c>
      <c r="L131" s="13">
        <v>55</v>
      </c>
      <c r="M131" s="14">
        <v>0</v>
      </c>
      <c r="N131" s="14">
        <v>3</v>
      </c>
      <c r="O131" s="9">
        <v>801</v>
      </c>
      <c r="P131" s="9" t="s">
        <v>147</v>
      </c>
      <c r="Q131" s="14">
        <v>1</v>
      </c>
      <c r="R131" s="9">
        <v>0</v>
      </c>
      <c r="S131" s="9">
        <v>0</v>
      </c>
      <c r="T131" s="8" t="s">
        <v>58</v>
      </c>
      <c r="U131" s="85">
        <v>53</v>
      </c>
      <c r="V131" s="8">
        <v>530813</v>
      </c>
      <c r="W131" s="16" t="s">
        <v>119</v>
      </c>
      <c r="X131" s="18">
        <v>200</v>
      </c>
      <c r="Y131" s="18">
        <f>185.99-23.99+23.99</f>
        <v>185.99</v>
      </c>
      <c r="Z131" s="17">
        <v>0</v>
      </c>
      <c r="AA131" s="17">
        <v>0</v>
      </c>
      <c r="AB131" s="17">
        <v>0</v>
      </c>
      <c r="AC131" s="17">
        <v>0</v>
      </c>
      <c r="AD131" s="17">
        <v>20</v>
      </c>
      <c r="AE131" s="17">
        <v>57</v>
      </c>
      <c r="AF131" s="17">
        <v>20</v>
      </c>
      <c r="AG131" s="17">
        <v>20</v>
      </c>
      <c r="AH131" s="17">
        <v>20</v>
      </c>
      <c r="AI131" s="17">
        <v>0</v>
      </c>
      <c r="AJ131" s="107">
        <v>20</v>
      </c>
      <c r="AK131" s="17">
        <v>40</v>
      </c>
      <c r="AL131" s="17">
        <v>20</v>
      </c>
      <c r="AM131" s="17">
        <v>45</v>
      </c>
      <c r="AN131" s="17">
        <v>20</v>
      </c>
      <c r="AO131" s="17">
        <v>0</v>
      </c>
      <c r="AP131" s="17">
        <v>20</v>
      </c>
      <c r="AQ131" s="17">
        <v>0</v>
      </c>
      <c r="AR131" s="17">
        <v>20</v>
      </c>
      <c r="AS131" s="17">
        <v>0</v>
      </c>
      <c r="AT131" s="17">
        <v>25.99</v>
      </c>
      <c r="AU131" s="17">
        <v>0</v>
      </c>
      <c r="AV131" s="17">
        <v>0</v>
      </c>
      <c r="AW131" s="17">
        <v>0</v>
      </c>
      <c r="AX131" s="19">
        <f t="shared" si="9"/>
        <v>185.99</v>
      </c>
      <c r="AY131" s="10" t="str">
        <f t="shared" si="10"/>
        <v>OK</v>
      </c>
      <c r="AZ131" s="10">
        <f t="shared" si="7"/>
        <v>162</v>
      </c>
      <c r="BA131" s="10">
        <f t="shared" si="11"/>
        <v>23.99</v>
      </c>
      <c r="BB131" s="17">
        <v>140.99</v>
      </c>
      <c r="BC131" s="113">
        <f t="shared" si="8"/>
        <v>45</v>
      </c>
    </row>
    <row r="132" spans="1:55" s="118" customFormat="1" ht="13.5" customHeight="1">
      <c r="A132" s="16" t="s">
        <v>138</v>
      </c>
      <c r="B132" s="16" t="s">
        <v>139</v>
      </c>
      <c r="C132" s="16" t="s">
        <v>140</v>
      </c>
      <c r="D132" s="16" t="s">
        <v>51</v>
      </c>
      <c r="E132" s="16" t="s">
        <v>52</v>
      </c>
      <c r="F132" s="16" t="s">
        <v>53</v>
      </c>
      <c r="G132" s="16" t="s">
        <v>141</v>
      </c>
      <c r="H132" s="22" t="s">
        <v>142</v>
      </c>
      <c r="I132" s="23" t="s">
        <v>260</v>
      </c>
      <c r="J132" s="11">
        <v>1</v>
      </c>
      <c r="K132" s="12" t="s">
        <v>2</v>
      </c>
      <c r="L132" s="13">
        <v>55</v>
      </c>
      <c r="M132" s="14">
        <v>0</v>
      </c>
      <c r="N132" s="14">
        <v>3</v>
      </c>
      <c r="O132" s="9">
        <v>801</v>
      </c>
      <c r="P132" s="9" t="s">
        <v>147</v>
      </c>
      <c r="Q132" s="14">
        <v>1</v>
      </c>
      <c r="R132" s="9">
        <v>0</v>
      </c>
      <c r="S132" s="9">
        <v>0</v>
      </c>
      <c r="T132" s="8" t="s">
        <v>58</v>
      </c>
      <c r="U132" s="85">
        <v>53</v>
      </c>
      <c r="V132" s="8">
        <v>531404</v>
      </c>
      <c r="W132" s="16" t="s">
        <v>261</v>
      </c>
      <c r="X132" s="127">
        <v>0</v>
      </c>
      <c r="Y132" s="123">
        <f>3505.6-375.6</f>
        <v>3130</v>
      </c>
      <c r="Z132" s="17">
        <v>0</v>
      </c>
      <c r="AA132" s="17">
        <v>0</v>
      </c>
      <c r="AB132" s="17">
        <v>0</v>
      </c>
      <c r="AC132" s="17">
        <v>0</v>
      </c>
      <c r="AD132" s="17">
        <v>3130</v>
      </c>
      <c r="AE132" s="17">
        <v>3130</v>
      </c>
      <c r="AF132" s="17">
        <v>0</v>
      </c>
      <c r="AG132" s="17">
        <v>0</v>
      </c>
      <c r="AH132" s="17">
        <v>0</v>
      </c>
      <c r="AI132" s="17">
        <v>0</v>
      </c>
      <c r="AJ132" s="107">
        <v>0</v>
      </c>
      <c r="AK132" s="17">
        <v>0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9">
        <f t="shared" si="9"/>
        <v>3130</v>
      </c>
      <c r="AY132" s="10" t="str">
        <f t="shared" si="10"/>
        <v>OK</v>
      </c>
      <c r="AZ132" s="10">
        <f t="shared" si="7"/>
        <v>3130</v>
      </c>
      <c r="BA132" s="10">
        <f t="shared" si="11"/>
        <v>0</v>
      </c>
      <c r="BB132" s="17">
        <v>3130</v>
      </c>
      <c r="BC132" s="113">
        <f t="shared" si="8"/>
        <v>0</v>
      </c>
    </row>
    <row r="133" spans="1:55" s="118" customFormat="1" ht="13.5" customHeight="1">
      <c r="A133" s="16" t="s">
        <v>138</v>
      </c>
      <c r="B133" s="16" t="s">
        <v>139</v>
      </c>
      <c r="C133" s="16" t="s">
        <v>140</v>
      </c>
      <c r="D133" s="16" t="s">
        <v>51</v>
      </c>
      <c r="E133" s="16" t="s">
        <v>52</v>
      </c>
      <c r="F133" s="16" t="s">
        <v>53</v>
      </c>
      <c r="G133" s="16" t="s">
        <v>141</v>
      </c>
      <c r="H133" s="22" t="s">
        <v>142</v>
      </c>
      <c r="I133" s="23" t="s">
        <v>260</v>
      </c>
      <c r="J133" s="11">
        <v>1</v>
      </c>
      <c r="K133" s="12" t="s">
        <v>2</v>
      </c>
      <c r="L133" s="13">
        <v>55</v>
      </c>
      <c r="M133" s="14">
        <v>0</v>
      </c>
      <c r="N133" s="14">
        <v>3</v>
      </c>
      <c r="O133" s="9">
        <v>801</v>
      </c>
      <c r="P133" s="9" t="s">
        <v>147</v>
      </c>
      <c r="Q133" s="14">
        <v>1</v>
      </c>
      <c r="R133" s="9">
        <v>0</v>
      </c>
      <c r="S133" s="9">
        <v>0</v>
      </c>
      <c r="T133" s="8" t="s">
        <v>58</v>
      </c>
      <c r="U133" s="85">
        <v>53</v>
      </c>
      <c r="V133" s="8">
        <v>531407</v>
      </c>
      <c r="W133" s="16" t="s">
        <v>262</v>
      </c>
      <c r="X133" s="127">
        <v>0</v>
      </c>
      <c r="Y133" s="123">
        <f>691.6-74.1</f>
        <v>617.5</v>
      </c>
      <c r="Z133" s="17">
        <v>0</v>
      </c>
      <c r="AA133" s="17">
        <v>0</v>
      </c>
      <c r="AB133" s="17">
        <v>0</v>
      </c>
      <c r="AC133" s="17">
        <v>0</v>
      </c>
      <c r="AD133" s="17">
        <v>617.5</v>
      </c>
      <c r="AE133" s="17">
        <v>617.5</v>
      </c>
      <c r="AF133" s="17">
        <v>0</v>
      </c>
      <c r="AG133" s="17">
        <v>0</v>
      </c>
      <c r="AH133" s="17">
        <v>0</v>
      </c>
      <c r="AI133" s="17">
        <v>0</v>
      </c>
      <c r="AJ133" s="107">
        <v>0</v>
      </c>
      <c r="AK133" s="17">
        <v>0</v>
      </c>
      <c r="AL133" s="17">
        <v>0</v>
      </c>
      <c r="AM133" s="17">
        <v>0</v>
      </c>
      <c r="AN133" s="17">
        <v>0</v>
      </c>
      <c r="AO133" s="17">
        <v>0</v>
      </c>
      <c r="AP133" s="17">
        <v>0</v>
      </c>
      <c r="AQ133" s="17">
        <v>0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0</v>
      </c>
      <c r="AX133" s="19">
        <f t="shared" si="9"/>
        <v>617.5</v>
      </c>
      <c r="AY133" s="10" t="str">
        <f t="shared" si="10"/>
        <v>OK</v>
      </c>
      <c r="AZ133" s="10">
        <f t="shared" si="7"/>
        <v>617.5</v>
      </c>
      <c r="BA133" s="10">
        <f t="shared" si="11"/>
        <v>0</v>
      </c>
      <c r="BB133" s="17">
        <v>617.5</v>
      </c>
      <c r="BC133" s="113">
        <f t="shared" si="8"/>
        <v>0</v>
      </c>
    </row>
    <row r="134" spans="1:55" s="118" customFormat="1" ht="13.5" customHeight="1">
      <c r="A134" s="16" t="s">
        <v>48</v>
      </c>
      <c r="B134" s="16" t="s">
        <v>49</v>
      </c>
      <c r="C134" s="16" t="s">
        <v>50</v>
      </c>
      <c r="D134" s="16" t="s">
        <v>51</v>
      </c>
      <c r="E134" s="16" t="s">
        <v>52</v>
      </c>
      <c r="F134" s="16" t="s">
        <v>53</v>
      </c>
      <c r="G134" s="16" t="s">
        <v>54</v>
      </c>
      <c r="H134" s="22" t="s">
        <v>55</v>
      </c>
      <c r="I134" s="147" t="s">
        <v>266</v>
      </c>
      <c r="J134" s="11">
        <v>1</v>
      </c>
      <c r="K134" s="12" t="s">
        <v>2</v>
      </c>
      <c r="L134" s="13">
        <v>1</v>
      </c>
      <c r="M134" s="14">
        <v>0</v>
      </c>
      <c r="N134" s="14">
        <v>1</v>
      </c>
      <c r="O134" s="9">
        <v>801</v>
      </c>
      <c r="P134" s="9" t="s">
        <v>147</v>
      </c>
      <c r="Q134" s="14">
        <v>1</v>
      </c>
      <c r="R134" s="9">
        <v>0</v>
      </c>
      <c r="S134" s="9">
        <v>0</v>
      </c>
      <c r="T134" s="8" t="s">
        <v>58</v>
      </c>
      <c r="U134" s="85">
        <v>53</v>
      </c>
      <c r="V134" s="8">
        <v>530402</v>
      </c>
      <c r="W134" s="16" t="s">
        <v>88</v>
      </c>
      <c r="X134" s="127">
        <v>0</v>
      </c>
      <c r="Y134" s="146">
        <f>18000-4674.67-351-6265.33-513</f>
        <v>6196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07">
        <v>0</v>
      </c>
      <c r="AK134" s="17">
        <v>0</v>
      </c>
      <c r="AL134" s="59">
        <v>0</v>
      </c>
      <c r="AM134" s="17">
        <v>0</v>
      </c>
      <c r="AN134" s="80">
        <v>0</v>
      </c>
      <c r="AO134" s="17">
        <v>0</v>
      </c>
      <c r="AP134" s="80">
        <v>6196</v>
      </c>
      <c r="AQ134" s="17">
        <v>8000</v>
      </c>
      <c r="AR134" s="17">
        <v>0</v>
      </c>
      <c r="AS134" s="17">
        <v>0</v>
      </c>
      <c r="AT134" s="17">
        <v>0</v>
      </c>
      <c r="AU134" s="17">
        <v>0</v>
      </c>
      <c r="AV134" s="17">
        <v>0</v>
      </c>
      <c r="AW134" s="17">
        <v>0</v>
      </c>
      <c r="AX134" s="19">
        <f t="shared" si="9"/>
        <v>6196</v>
      </c>
      <c r="AY134" s="10" t="str">
        <f t="shared" si="10"/>
        <v>OK</v>
      </c>
      <c r="AZ134" s="10">
        <f aca="true" t="shared" si="12" ref="AZ134:AZ197">IF($AZ$4="Seleccione el mes",$AZ$4,IF($AZ$4="Enero",AA134,IF($AZ$4="Febrero",AA134+AC134,IF($AZ$4="Marzo",AA134+AC134+AE134,IF($AZ$4="Abril",AA134+AC134+AE134+AG134,IF($AZ$4="Mayo",AA134+AC134+AE134+AG134+AI134,IF($AZ$4="Junio",AA134+AC134+AE134+AG134+AI134+AK134,IF($AZ$4="Julio",AA134+AC134+AE134+AG134+AI134+AK134+AM134,IF($AZ$4="Agosto",AA134+AC134+AE134+AG134+AI134+AK134+AM134+AO134,IF($AZ$4="Septiembre",AA134++AE134++AI134+AK134+AM134+AO134+AQ134,IF($AZ$4="Octubre",AA134+AC134+AE134+AG134+AI134+AK134+AM134+AO134+AQ134+AS134,IF($AZ$4="Noviembre",AA134+AC134+AE134+AG134+AI134+AK134+AM134+AO134+AQ134+AS134+AU134,IF($AZ$4="Diciembre",AA134+AC134+AE134+AG134+AI134+AK134+AM134+AO134+AQ134+AS134+AU134+AW134)))))))))))))</f>
        <v>8000</v>
      </c>
      <c r="BA134" s="10">
        <f t="shared" si="11"/>
        <v>-1804</v>
      </c>
      <c r="BB134" s="17">
        <f>13325.33-7129.33</f>
        <v>6196</v>
      </c>
      <c r="BC134" s="113">
        <f t="shared" si="8"/>
        <v>0</v>
      </c>
    </row>
    <row r="135" spans="1:55" s="118" customFormat="1" ht="13.5" customHeight="1">
      <c r="A135" s="16" t="s">
        <v>48</v>
      </c>
      <c r="B135" s="16" t="s">
        <v>49</v>
      </c>
      <c r="C135" s="16" t="s">
        <v>50</v>
      </c>
      <c r="D135" s="16" t="s">
        <v>51</v>
      </c>
      <c r="E135" s="16" t="s">
        <v>52</v>
      </c>
      <c r="F135" s="16" t="s">
        <v>53</v>
      </c>
      <c r="G135" s="16" t="s">
        <v>54</v>
      </c>
      <c r="H135" s="22" t="s">
        <v>55</v>
      </c>
      <c r="I135" s="72" t="s">
        <v>164</v>
      </c>
      <c r="J135" s="11">
        <v>1</v>
      </c>
      <c r="K135" s="12" t="s">
        <v>2</v>
      </c>
      <c r="L135" s="13">
        <v>1</v>
      </c>
      <c r="M135" s="14">
        <v>0</v>
      </c>
      <c r="N135" s="14">
        <v>1</v>
      </c>
      <c r="O135" s="9">
        <v>801</v>
      </c>
      <c r="P135" s="9" t="s">
        <v>147</v>
      </c>
      <c r="Q135" s="14">
        <v>1</v>
      </c>
      <c r="R135" s="9">
        <v>0</v>
      </c>
      <c r="S135" s="9">
        <v>0</v>
      </c>
      <c r="T135" s="8" t="s">
        <v>58</v>
      </c>
      <c r="U135" s="85">
        <v>53</v>
      </c>
      <c r="V135" s="8">
        <v>530811</v>
      </c>
      <c r="W135" s="16" t="s">
        <v>254</v>
      </c>
      <c r="X135" s="127">
        <v>0</v>
      </c>
      <c r="Y135" s="71">
        <f>327.04-327.04</f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07">
        <v>0</v>
      </c>
      <c r="AK135" s="17">
        <v>0</v>
      </c>
      <c r="AL135" s="17">
        <v>0</v>
      </c>
      <c r="AM135" s="17">
        <v>0</v>
      </c>
      <c r="AN135" s="17">
        <v>0</v>
      </c>
      <c r="AO135" s="17">
        <v>0</v>
      </c>
      <c r="AP135" s="17">
        <v>0</v>
      </c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9">
        <f aca="true" t="shared" si="13" ref="AX135:AX198">SUM(Z135+AB135+AD135+AF135+AH135+AJ135+AL135+AN135+AP135+AR135+AT135+AV135)</f>
        <v>0</v>
      </c>
      <c r="AY135" s="10" t="str">
        <f aca="true" t="shared" si="14" ref="AY135:AY178">IF(AX135=Y135,"OK",Y135-AX135)</f>
        <v>OK</v>
      </c>
      <c r="AZ135" s="10">
        <f t="shared" si="12"/>
        <v>0</v>
      </c>
      <c r="BA135" s="10">
        <f aca="true" t="shared" si="15" ref="BA135:BA198">Z135-AA135+AB135-AC135+AD135-AE135+AF135-AG135+AH135-AI135+AJ135-AK135+AL135-AM135+AN135-AO135+AP135-AQ135+AR135-AS135+AT135-AU135+AV135-AW135</f>
        <v>0</v>
      </c>
      <c r="BB135" s="17">
        <v>0</v>
      </c>
      <c r="BC135" s="113">
        <f t="shared" si="8"/>
        <v>0</v>
      </c>
    </row>
    <row r="136" spans="1:55" s="118" customFormat="1" ht="13.5" customHeight="1">
      <c r="A136" s="16" t="s">
        <v>48</v>
      </c>
      <c r="B136" s="16" t="s">
        <v>49</v>
      </c>
      <c r="C136" s="16" t="s">
        <v>50</v>
      </c>
      <c r="D136" s="16" t="s">
        <v>51</v>
      </c>
      <c r="E136" s="16" t="s">
        <v>52</v>
      </c>
      <c r="F136" s="16" t="s">
        <v>53</v>
      </c>
      <c r="G136" s="16" t="s">
        <v>54</v>
      </c>
      <c r="H136" s="22" t="s">
        <v>55</v>
      </c>
      <c r="I136" s="63" t="s">
        <v>274</v>
      </c>
      <c r="J136" s="11">
        <v>1</v>
      </c>
      <c r="K136" s="12" t="s">
        <v>2</v>
      </c>
      <c r="L136" s="13">
        <v>1</v>
      </c>
      <c r="M136" s="14">
        <v>0</v>
      </c>
      <c r="N136" s="14">
        <v>1</v>
      </c>
      <c r="O136" s="9">
        <v>801</v>
      </c>
      <c r="P136" s="9" t="s">
        <v>147</v>
      </c>
      <c r="Q136" s="14">
        <v>1</v>
      </c>
      <c r="R136" s="9">
        <v>0</v>
      </c>
      <c r="S136" s="9">
        <v>0</v>
      </c>
      <c r="T136" s="8" t="s">
        <v>58</v>
      </c>
      <c r="U136" s="110">
        <v>53</v>
      </c>
      <c r="V136" s="8">
        <v>530204</v>
      </c>
      <c r="W136" s="16" t="s">
        <v>73</v>
      </c>
      <c r="X136" s="127">
        <v>0</v>
      </c>
      <c r="Y136" s="89">
        <f>300-158.1</f>
        <v>141.9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07">
        <v>141.9</v>
      </c>
      <c r="AK136" s="17">
        <v>0</v>
      </c>
      <c r="AL136" s="17">
        <v>0</v>
      </c>
      <c r="AM136" s="17">
        <v>141.9</v>
      </c>
      <c r="AN136" s="17">
        <v>0</v>
      </c>
      <c r="AO136" s="17">
        <v>0</v>
      </c>
      <c r="AP136" s="17">
        <v>0</v>
      </c>
      <c r="AQ136" s="17">
        <v>0</v>
      </c>
      <c r="AR136" s="17">
        <v>0</v>
      </c>
      <c r="AS136" s="17">
        <v>0</v>
      </c>
      <c r="AT136" s="17">
        <v>0</v>
      </c>
      <c r="AU136" s="17">
        <v>0</v>
      </c>
      <c r="AV136" s="17">
        <v>0</v>
      </c>
      <c r="AW136" s="17">
        <v>0</v>
      </c>
      <c r="AX136" s="19">
        <f t="shared" si="13"/>
        <v>141.9</v>
      </c>
      <c r="AY136" s="10" t="str">
        <f t="shared" si="14"/>
        <v>OK</v>
      </c>
      <c r="AZ136" s="10">
        <f t="shared" si="12"/>
        <v>141.9</v>
      </c>
      <c r="BA136" s="10">
        <f t="shared" si="15"/>
        <v>0</v>
      </c>
      <c r="BB136" s="17">
        <v>141.9</v>
      </c>
      <c r="BC136" s="113">
        <f aca="true" t="shared" si="16" ref="BC136:BC206">Y136-BB136</f>
        <v>0</v>
      </c>
    </row>
    <row r="137" spans="1:55" s="118" customFormat="1" ht="13.5" customHeight="1">
      <c r="A137" s="16" t="s">
        <v>48</v>
      </c>
      <c r="B137" s="16" t="s">
        <v>49</v>
      </c>
      <c r="C137" s="16" t="s">
        <v>50</v>
      </c>
      <c r="D137" s="16" t="s">
        <v>51</v>
      </c>
      <c r="E137" s="16" t="s">
        <v>52</v>
      </c>
      <c r="F137" s="16" t="s">
        <v>53</v>
      </c>
      <c r="G137" s="16" t="s">
        <v>54</v>
      </c>
      <c r="H137" s="22" t="s">
        <v>55</v>
      </c>
      <c r="I137" s="63" t="s">
        <v>278</v>
      </c>
      <c r="J137" s="11">
        <v>1</v>
      </c>
      <c r="K137" s="12" t="s">
        <v>2</v>
      </c>
      <c r="L137" s="13">
        <v>1</v>
      </c>
      <c r="M137" s="14">
        <v>0</v>
      </c>
      <c r="N137" s="14">
        <v>1</v>
      </c>
      <c r="O137" s="9">
        <v>801</v>
      </c>
      <c r="P137" s="9" t="s">
        <v>147</v>
      </c>
      <c r="Q137" s="14">
        <v>1</v>
      </c>
      <c r="R137" s="9">
        <v>0</v>
      </c>
      <c r="S137" s="9">
        <v>0</v>
      </c>
      <c r="T137" s="8" t="s">
        <v>58</v>
      </c>
      <c r="U137" s="110">
        <v>53</v>
      </c>
      <c r="V137" s="8">
        <v>530804</v>
      </c>
      <c r="W137" s="16" t="s">
        <v>105</v>
      </c>
      <c r="X137" s="127">
        <v>0</v>
      </c>
      <c r="Y137" s="89">
        <f>110+86.08</f>
        <v>196.07999999999998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07">
        <v>196.07999999999998</v>
      </c>
      <c r="AK137" s="17">
        <v>0</v>
      </c>
      <c r="AL137" s="17">
        <v>0</v>
      </c>
      <c r="AM137" s="17">
        <v>196.07999999999998</v>
      </c>
      <c r="AN137" s="17">
        <v>0</v>
      </c>
      <c r="AO137" s="17">
        <v>0</v>
      </c>
      <c r="AP137" s="17">
        <v>0</v>
      </c>
      <c r="AQ137" s="17">
        <v>0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0</v>
      </c>
      <c r="AX137" s="19">
        <f t="shared" si="13"/>
        <v>196.07999999999998</v>
      </c>
      <c r="AY137" s="10" t="str">
        <f t="shared" si="14"/>
        <v>OK</v>
      </c>
      <c r="AZ137" s="10">
        <f t="shared" si="12"/>
        <v>196.07999999999998</v>
      </c>
      <c r="BA137" s="10">
        <f t="shared" si="15"/>
        <v>0</v>
      </c>
      <c r="BB137" s="17">
        <v>196.08</v>
      </c>
      <c r="BC137" s="113">
        <f t="shared" si="16"/>
        <v>0</v>
      </c>
    </row>
    <row r="138" spans="1:55" s="118" customFormat="1" ht="13.5" customHeight="1">
      <c r="A138" s="16" t="s">
        <v>48</v>
      </c>
      <c r="B138" s="16" t="s">
        <v>49</v>
      </c>
      <c r="C138" s="16" t="s">
        <v>50</v>
      </c>
      <c r="D138" s="16" t="s">
        <v>51</v>
      </c>
      <c r="E138" s="16" t="s">
        <v>52</v>
      </c>
      <c r="F138" s="16" t="s">
        <v>53</v>
      </c>
      <c r="G138" s="16" t="s">
        <v>54</v>
      </c>
      <c r="H138" s="22" t="s">
        <v>55</v>
      </c>
      <c r="I138" s="87" t="s">
        <v>284</v>
      </c>
      <c r="J138" s="11">
        <v>1</v>
      </c>
      <c r="K138" s="12" t="s">
        <v>2</v>
      </c>
      <c r="L138" s="13">
        <v>1</v>
      </c>
      <c r="M138" s="14">
        <v>0</v>
      </c>
      <c r="N138" s="14">
        <v>1</v>
      </c>
      <c r="O138" s="9">
        <v>801</v>
      </c>
      <c r="P138" s="9" t="s">
        <v>147</v>
      </c>
      <c r="Q138" s="14">
        <v>1</v>
      </c>
      <c r="R138" s="9">
        <v>0</v>
      </c>
      <c r="S138" s="9">
        <v>0</v>
      </c>
      <c r="T138" s="8" t="s">
        <v>58</v>
      </c>
      <c r="U138" s="110">
        <v>53</v>
      </c>
      <c r="V138" s="8">
        <v>530301</v>
      </c>
      <c r="W138" s="16" t="s">
        <v>83</v>
      </c>
      <c r="X138" s="127">
        <v>0</v>
      </c>
      <c r="Y138" s="86">
        <f>1000-1000</f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0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7">
        <v>0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9">
        <f t="shared" si="13"/>
        <v>0</v>
      </c>
      <c r="AY138" s="10" t="str">
        <f t="shared" si="14"/>
        <v>OK</v>
      </c>
      <c r="AZ138" s="10">
        <f t="shared" si="12"/>
        <v>0</v>
      </c>
      <c r="BA138" s="10">
        <f t="shared" si="15"/>
        <v>0</v>
      </c>
      <c r="BB138" s="17">
        <v>0</v>
      </c>
      <c r="BC138" s="113">
        <f t="shared" si="16"/>
        <v>0</v>
      </c>
    </row>
    <row r="139" spans="1:55" s="118" customFormat="1" ht="13.5" customHeight="1">
      <c r="A139" s="16" t="s">
        <v>138</v>
      </c>
      <c r="B139" s="16" t="s">
        <v>139</v>
      </c>
      <c r="C139" s="16" t="s">
        <v>140</v>
      </c>
      <c r="D139" s="16" t="s">
        <v>51</v>
      </c>
      <c r="E139" s="16" t="s">
        <v>52</v>
      </c>
      <c r="F139" s="16" t="s">
        <v>53</v>
      </c>
      <c r="G139" s="16" t="s">
        <v>141</v>
      </c>
      <c r="H139" s="22" t="s">
        <v>142</v>
      </c>
      <c r="I139" s="23" t="s">
        <v>297</v>
      </c>
      <c r="J139" s="11">
        <v>1</v>
      </c>
      <c r="K139" s="12" t="s">
        <v>2</v>
      </c>
      <c r="L139" s="13">
        <v>55</v>
      </c>
      <c r="M139" s="14">
        <v>0</v>
      </c>
      <c r="N139" s="14">
        <v>3</v>
      </c>
      <c r="O139" s="9">
        <v>801</v>
      </c>
      <c r="P139" s="9" t="s">
        <v>147</v>
      </c>
      <c r="Q139" s="14">
        <v>1</v>
      </c>
      <c r="R139" s="9">
        <v>0</v>
      </c>
      <c r="S139" s="9">
        <v>0</v>
      </c>
      <c r="T139" s="8" t="s">
        <v>58</v>
      </c>
      <c r="U139" s="110">
        <v>53</v>
      </c>
      <c r="V139" s="8">
        <v>530704</v>
      </c>
      <c r="W139" s="16" t="s">
        <v>227</v>
      </c>
      <c r="X139" s="127">
        <v>0</v>
      </c>
      <c r="Y139" s="123">
        <v>3510.96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0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7">
        <v>0</v>
      </c>
      <c r="AR139" s="17">
        <v>0</v>
      </c>
      <c r="AS139" s="17">
        <v>0</v>
      </c>
      <c r="AT139" s="17">
        <v>3510.96</v>
      </c>
      <c r="AU139" s="17">
        <v>0</v>
      </c>
      <c r="AV139" s="17">
        <v>0</v>
      </c>
      <c r="AW139" s="80">
        <v>3510.96</v>
      </c>
      <c r="AX139" s="19">
        <f t="shared" si="13"/>
        <v>3510.96</v>
      </c>
      <c r="AY139" s="10" t="str">
        <f t="shared" si="14"/>
        <v>OK</v>
      </c>
      <c r="AZ139" s="10">
        <f t="shared" si="12"/>
        <v>3510.96</v>
      </c>
      <c r="BA139" s="10">
        <f t="shared" si="15"/>
        <v>0</v>
      </c>
      <c r="BB139" s="17">
        <v>3510.96</v>
      </c>
      <c r="BC139" s="113">
        <f t="shared" si="16"/>
        <v>0</v>
      </c>
    </row>
    <row r="140" spans="1:55" s="118" customFormat="1" ht="13.5" customHeight="1">
      <c r="A140" s="16" t="s">
        <v>138</v>
      </c>
      <c r="B140" s="16" t="s">
        <v>139</v>
      </c>
      <c r="C140" s="16" t="s">
        <v>140</v>
      </c>
      <c r="D140" s="16" t="s">
        <v>51</v>
      </c>
      <c r="E140" s="16" t="s">
        <v>52</v>
      </c>
      <c r="F140" s="16" t="s">
        <v>53</v>
      </c>
      <c r="G140" s="16" t="s">
        <v>141</v>
      </c>
      <c r="H140" s="22" t="s">
        <v>142</v>
      </c>
      <c r="I140" s="23" t="s">
        <v>297</v>
      </c>
      <c r="J140" s="11">
        <v>1</v>
      </c>
      <c r="K140" s="12" t="s">
        <v>2</v>
      </c>
      <c r="L140" s="13">
        <v>55</v>
      </c>
      <c r="M140" s="14">
        <v>0</v>
      </c>
      <c r="N140" s="14">
        <v>3</v>
      </c>
      <c r="O140" s="9">
        <v>801</v>
      </c>
      <c r="P140" s="9" t="s">
        <v>147</v>
      </c>
      <c r="Q140" s="14">
        <v>1</v>
      </c>
      <c r="R140" s="9">
        <v>0</v>
      </c>
      <c r="S140" s="9">
        <v>0</v>
      </c>
      <c r="T140" s="8" t="s">
        <v>58</v>
      </c>
      <c r="U140" s="110">
        <v>53</v>
      </c>
      <c r="V140" s="8">
        <v>530813</v>
      </c>
      <c r="W140" s="16" t="s">
        <v>119</v>
      </c>
      <c r="X140" s="127">
        <v>0</v>
      </c>
      <c r="Y140" s="18">
        <v>1693.77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07">
        <v>0</v>
      </c>
      <c r="AK140" s="17">
        <v>0</v>
      </c>
      <c r="AL140" s="17">
        <v>0</v>
      </c>
      <c r="AM140" s="17">
        <v>0</v>
      </c>
      <c r="AN140" s="17">
        <v>0</v>
      </c>
      <c r="AO140" s="17">
        <v>0</v>
      </c>
      <c r="AP140" s="17">
        <v>0</v>
      </c>
      <c r="AQ140" s="17">
        <v>0</v>
      </c>
      <c r="AR140" s="17">
        <v>0</v>
      </c>
      <c r="AS140" s="17">
        <v>0</v>
      </c>
      <c r="AT140" s="17">
        <v>1693.77</v>
      </c>
      <c r="AU140" s="17">
        <v>0</v>
      </c>
      <c r="AV140" s="17">
        <v>0</v>
      </c>
      <c r="AW140" s="80">
        <v>1693.77</v>
      </c>
      <c r="AX140" s="19">
        <f t="shared" si="13"/>
        <v>1693.77</v>
      </c>
      <c r="AY140" s="10" t="str">
        <f t="shared" si="14"/>
        <v>OK</v>
      </c>
      <c r="AZ140" s="10">
        <f t="shared" si="12"/>
        <v>1693.77</v>
      </c>
      <c r="BA140" s="10">
        <f t="shared" si="15"/>
        <v>0</v>
      </c>
      <c r="BB140" s="17">
        <v>1693.77</v>
      </c>
      <c r="BC140" s="113">
        <f t="shared" si="16"/>
        <v>0</v>
      </c>
    </row>
    <row r="141" spans="1:55" s="118" customFormat="1" ht="13.5" customHeight="1">
      <c r="A141" s="16" t="s">
        <v>48</v>
      </c>
      <c r="B141" s="16" t="s">
        <v>49</v>
      </c>
      <c r="C141" s="16" t="s">
        <v>74</v>
      </c>
      <c r="D141" s="16" t="s">
        <v>75</v>
      </c>
      <c r="E141" s="16" t="s">
        <v>52</v>
      </c>
      <c r="F141" s="16" t="s">
        <v>53</v>
      </c>
      <c r="G141" s="16" t="s">
        <v>306</v>
      </c>
      <c r="H141" s="22" t="s">
        <v>76</v>
      </c>
      <c r="I141" s="125" t="s">
        <v>301</v>
      </c>
      <c r="J141" s="11">
        <v>1</v>
      </c>
      <c r="K141" s="12" t="s">
        <v>2</v>
      </c>
      <c r="L141" s="13">
        <v>1</v>
      </c>
      <c r="M141" s="14">
        <v>0</v>
      </c>
      <c r="N141" s="14">
        <v>1</v>
      </c>
      <c r="O141" s="9">
        <v>801</v>
      </c>
      <c r="P141" s="9" t="s">
        <v>147</v>
      </c>
      <c r="Q141" s="14">
        <v>1</v>
      </c>
      <c r="R141" s="9">
        <v>0</v>
      </c>
      <c r="S141" s="9">
        <v>0</v>
      </c>
      <c r="T141" s="8" t="s">
        <v>58</v>
      </c>
      <c r="U141" s="110">
        <v>53</v>
      </c>
      <c r="V141" s="8">
        <v>531403</v>
      </c>
      <c r="W141" s="16" t="s">
        <v>302</v>
      </c>
      <c r="X141" s="127">
        <v>0</v>
      </c>
      <c r="Y141" s="124">
        <f>230-80</f>
        <v>150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</v>
      </c>
      <c r="AI141" s="17">
        <v>0</v>
      </c>
      <c r="AJ141" s="107">
        <v>0</v>
      </c>
      <c r="AK141" s="17">
        <v>0</v>
      </c>
      <c r="AL141" s="17">
        <v>0</v>
      </c>
      <c r="AM141" s="17">
        <v>0</v>
      </c>
      <c r="AN141" s="17">
        <v>0</v>
      </c>
      <c r="AO141" s="17">
        <v>0</v>
      </c>
      <c r="AP141" s="17">
        <v>0</v>
      </c>
      <c r="AQ141" s="17">
        <v>0</v>
      </c>
      <c r="AR141" s="17">
        <v>0</v>
      </c>
      <c r="AS141" s="17">
        <v>0</v>
      </c>
      <c r="AT141" s="17">
        <v>0</v>
      </c>
      <c r="AU141" s="17">
        <v>0</v>
      </c>
      <c r="AV141" s="17">
        <v>150</v>
      </c>
      <c r="AW141" s="17">
        <v>0</v>
      </c>
      <c r="AX141" s="19">
        <f t="shared" si="13"/>
        <v>150</v>
      </c>
      <c r="AY141" s="10" t="str">
        <f t="shared" si="14"/>
        <v>OK</v>
      </c>
      <c r="AZ141" s="10">
        <f t="shared" si="12"/>
        <v>0</v>
      </c>
      <c r="BA141" s="10">
        <f t="shared" si="15"/>
        <v>150</v>
      </c>
      <c r="BB141" s="17">
        <v>150</v>
      </c>
      <c r="BC141" s="113">
        <f t="shared" si="16"/>
        <v>0</v>
      </c>
    </row>
    <row r="142" spans="1:55" s="118" customFormat="1" ht="13.5" customHeight="1">
      <c r="A142" s="16" t="s">
        <v>48</v>
      </c>
      <c r="B142" s="16" t="s">
        <v>49</v>
      </c>
      <c r="C142" s="16" t="s">
        <v>50</v>
      </c>
      <c r="D142" s="16" t="s">
        <v>51</v>
      </c>
      <c r="E142" s="16" t="s">
        <v>52</v>
      </c>
      <c r="F142" s="16" t="s">
        <v>53</v>
      </c>
      <c r="G142" s="16" t="s">
        <v>54</v>
      </c>
      <c r="H142" s="22" t="s">
        <v>55</v>
      </c>
      <c r="I142" s="133" t="s">
        <v>98</v>
      </c>
      <c r="J142" s="11">
        <v>1</v>
      </c>
      <c r="K142" s="12" t="s">
        <v>2</v>
      </c>
      <c r="L142" s="13">
        <v>1</v>
      </c>
      <c r="M142" s="14">
        <v>0</v>
      </c>
      <c r="N142" s="14">
        <v>1</v>
      </c>
      <c r="O142" s="9">
        <v>801</v>
      </c>
      <c r="P142" s="9" t="s">
        <v>147</v>
      </c>
      <c r="Q142" s="14">
        <v>1</v>
      </c>
      <c r="R142" s="9">
        <v>0</v>
      </c>
      <c r="S142" s="9">
        <v>0</v>
      </c>
      <c r="T142" s="8" t="s">
        <v>58</v>
      </c>
      <c r="U142" s="110">
        <v>53</v>
      </c>
      <c r="V142" s="8">
        <v>530813</v>
      </c>
      <c r="W142" s="16" t="s">
        <v>119</v>
      </c>
      <c r="X142" s="127">
        <v>0</v>
      </c>
      <c r="Y142" s="132">
        <f>80-80</f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07">
        <v>0</v>
      </c>
      <c r="AK142" s="17">
        <v>0</v>
      </c>
      <c r="AL142" s="17">
        <v>0</v>
      </c>
      <c r="AM142" s="17">
        <v>0</v>
      </c>
      <c r="AN142" s="17">
        <v>0</v>
      </c>
      <c r="AO142" s="17">
        <v>0</v>
      </c>
      <c r="AP142" s="17">
        <v>0</v>
      </c>
      <c r="AQ142" s="17">
        <v>0</v>
      </c>
      <c r="AR142" s="17">
        <v>0</v>
      </c>
      <c r="AS142" s="17">
        <v>0</v>
      </c>
      <c r="AT142" s="17">
        <v>0</v>
      </c>
      <c r="AU142" s="17">
        <v>0</v>
      </c>
      <c r="AV142" s="17">
        <v>0</v>
      </c>
      <c r="AW142" s="17">
        <v>0</v>
      </c>
      <c r="AX142" s="19">
        <f t="shared" si="13"/>
        <v>0</v>
      </c>
      <c r="AY142" s="10" t="str">
        <f t="shared" si="14"/>
        <v>OK</v>
      </c>
      <c r="AZ142" s="10">
        <f t="shared" si="12"/>
        <v>0</v>
      </c>
      <c r="BA142" s="10">
        <f t="shared" si="15"/>
        <v>0</v>
      </c>
      <c r="BB142" s="17">
        <v>0</v>
      </c>
      <c r="BC142" s="113">
        <f t="shared" si="16"/>
        <v>0</v>
      </c>
    </row>
    <row r="143" spans="1:55" s="118" customFormat="1" ht="13.5" customHeight="1">
      <c r="A143" s="16" t="s">
        <v>48</v>
      </c>
      <c r="B143" s="16" t="s">
        <v>49</v>
      </c>
      <c r="C143" s="16" t="s">
        <v>50</v>
      </c>
      <c r="D143" s="16" t="s">
        <v>51</v>
      </c>
      <c r="E143" s="16" t="s">
        <v>52</v>
      </c>
      <c r="F143" s="16" t="s">
        <v>53</v>
      </c>
      <c r="G143" s="16" t="s">
        <v>54</v>
      </c>
      <c r="H143" s="22" t="s">
        <v>55</v>
      </c>
      <c r="I143" s="148" t="s">
        <v>308</v>
      </c>
      <c r="J143" s="11">
        <v>1</v>
      </c>
      <c r="K143" s="12" t="s">
        <v>2</v>
      </c>
      <c r="L143" s="13">
        <v>1</v>
      </c>
      <c r="M143" s="14">
        <v>0</v>
      </c>
      <c r="N143" s="14">
        <v>1</v>
      </c>
      <c r="O143" s="9">
        <v>801</v>
      </c>
      <c r="P143" s="9" t="s">
        <v>147</v>
      </c>
      <c r="Q143" s="14">
        <v>1</v>
      </c>
      <c r="R143" s="9">
        <v>0</v>
      </c>
      <c r="S143" s="9">
        <v>0</v>
      </c>
      <c r="T143" s="8" t="s">
        <v>58</v>
      </c>
      <c r="U143" s="110">
        <v>53</v>
      </c>
      <c r="V143" s="8">
        <v>530402</v>
      </c>
      <c r="W143" s="16" t="s">
        <v>88</v>
      </c>
      <c r="X143" s="127">
        <v>0</v>
      </c>
      <c r="Y143" s="146">
        <f>41000-36513</f>
        <v>4487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07">
        <v>0</v>
      </c>
      <c r="AK143" s="17">
        <v>0</v>
      </c>
      <c r="AL143" s="17">
        <v>0</v>
      </c>
      <c r="AM143" s="17">
        <v>0</v>
      </c>
      <c r="AN143" s="17">
        <v>0</v>
      </c>
      <c r="AO143" s="17">
        <v>0</v>
      </c>
      <c r="AP143" s="17">
        <v>0</v>
      </c>
      <c r="AQ143" s="17">
        <v>0</v>
      </c>
      <c r="AR143" s="17">
        <v>0</v>
      </c>
      <c r="AS143" s="17">
        <v>0</v>
      </c>
      <c r="AT143" s="17">
        <v>0</v>
      </c>
      <c r="AU143" s="17">
        <v>0</v>
      </c>
      <c r="AV143" s="17">
        <v>4487</v>
      </c>
      <c r="AW143" s="80">
        <v>4487</v>
      </c>
      <c r="AX143" s="19">
        <f t="shared" si="13"/>
        <v>4487</v>
      </c>
      <c r="AY143" s="10" t="str">
        <f t="shared" si="14"/>
        <v>OK</v>
      </c>
      <c r="AZ143" s="10">
        <f t="shared" si="12"/>
        <v>4487</v>
      </c>
      <c r="BA143" s="10">
        <f t="shared" si="15"/>
        <v>0</v>
      </c>
      <c r="BB143" s="17">
        <v>4487</v>
      </c>
      <c r="BC143" s="113">
        <f t="shared" si="16"/>
        <v>0</v>
      </c>
    </row>
    <row r="144" spans="1:55" s="118" customFormat="1" ht="13.5" customHeight="1">
      <c r="A144" s="16" t="s">
        <v>48</v>
      </c>
      <c r="B144" s="16" t="s">
        <v>49</v>
      </c>
      <c r="C144" s="16" t="s">
        <v>74</v>
      </c>
      <c r="D144" s="16" t="s">
        <v>75</v>
      </c>
      <c r="E144" s="16" t="s">
        <v>52</v>
      </c>
      <c r="F144" s="16" t="s">
        <v>53</v>
      </c>
      <c r="G144" s="16" t="s">
        <v>306</v>
      </c>
      <c r="H144" s="22" t="s">
        <v>76</v>
      </c>
      <c r="I144" s="133" t="s">
        <v>311</v>
      </c>
      <c r="J144" s="11">
        <v>1</v>
      </c>
      <c r="K144" s="12" t="s">
        <v>2</v>
      </c>
      <c r="L144" s="13">
        <v>1</v>
      </c>
      <c r="M144" s="14">
        <v>0</v>
      </c>
      <c r="N144" s="14">
        <v>1</v>
      </c>
      <c r="O144" s="9">
        <v>801</v>
      </c>
      <c r="P144" s="9" t="s">
        <v>147</v>
      </c>
      <c r="Q144" s="14">
        <v>1</v>
      </c>
      <c r="R144" s="9">
        <v>0</v>
      </c>
      <c r="S144" s="9">
        <v>0</v>
      </c>
      <c r="T144" s="8" t="s">
        <v>58</v>
      </c>
      <c r="U144" s="110">
        <v>53</v>
      </c>
      <c r="V144" s="8">
        <v>530811</v>
      </c>
      <c r="W144" s="16" t="s">
        <v>254</v>
      </c>
      <c r="X144" s="127">
        <v>0</v>
      </c>
      <c r="Y144" s="132">
        <v>1039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07">
        <v>0</v>
      </c>
      <c r="AK144" s="17">
        <v>0</v>
      </c>
      <c r="AL144" s="17">
        <v>0</v>
      </c>
      <c r="AM144" s="17">
        <v>0</v>
      </c>
      <c r="AN144" s="17">
        <v>0</v>
      </c>
      <c r="AO144" s="17">
        <v>0</v>
      </c>
      <c r="AP144" s="17">
        <v>0</v>
      </c>
      <c r="AQ144" s="17">
        <v>0</v>
      </c>
      <c r="AR144" s="17">
        <v>1039</v>
      </c>
      <c r="AS144" s="17">
        <v>1039</v>
      </c>
      <c r="AT144" s="17">
        <v>0</v>
      </c>
      <c r="AU144" s="17">
        <v>0</v>
      </c>
      <c r="AV144" s="17">
        <v>0</v>
      </c>
      <c r="AW144" s="17">
        <v>0</v>
      </c>
      <c r="AX144" s="19">
        <f t="shared" si="13"/>
        <v>1039</v>
      </c>
      <c r="AY144" s="10" t="str">
        <f t="shared" si="14"/>
        <v>OK</v>
      </c>
      <c r="AZ144" s="10">
        <f t="shared" si="12"/>
        <v>1039</v>
      </c>
      <c r="BA144" s="10">
        <f t="shared" si="15"/>
        <v>0</v>
      </c>
      <c r="BB144" s="17">
        <v>1039</v>
      </c>
      <c r="BC144" s="113">
        <f t="shared" si="16"/>
        <v>0</v>
      </c>
    </row>
    <row r="145" spans="1:55" s="118" customFormat="1" ht="13.5" customHeight="1">
      <c r="A145" s="16" t="s">
        <v>48</v>
      </c>
      <c r="B145" s="16" t="s">
        <v>49</v>
      </c>
      <c r="C145" s="16" t="s">
        <v>74</v>
      </c>
      <c r="D145" s="16" t="s">
        <v>75</v>
      </c>
      <c r="E145" s="16" t="s">
        <v>52</v>
      </c>
      <c r="F145" s="16" t="s">
        <v>53</v>
      </c>
      <c r="G145" s="16" t="s">
        <v>306</v>
      </c>
      <c r="H145" s="22" t="s">
        <v>76</v>
      </c>
      <c r="I145" s="133" t="s">
        <v>311</v>
      </c>
      <c r="J145" s="11">
        <v>1</v>
      </c>
      <c r="K145" s="12" t="s">
        <v>2</v>
      </c>
      <c r="L145" s="13">
        <v>1</v>
      </c>
      <c r="M145" s="14">
        <v>0</v>
      </c>
      <c r="N145" s="14">
        <v>1</v>
      </c>
      <c r="O145" s="9">
        <v>801</v>
      </c>
      <c r="P145" s="9" t="s">
        <v>147</v>
      </c>
      <c r="Q145" s="14">
        <v>1</v>
      </c>
      <c r="R145" s="9">
        <v>0</v>
      </c>
      <c r="S145" s="9">
        <v>0</v>
      </c>
      <c r="T145" s="8" t="s">
        <v>58</v>
      </c>
      <c r="U145" s="110">
        <v>53</v>
      </c>
      <c r="V145" s="8">
        <v>530804</v>
      </c>
      <c r="W145" s="16" t="s">
        <v>105</v>
      </c>
      <c r="X145" s="127">
        <v>0</v>
      </c>
      <c r="Y145" s="132">
        <v>699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07">
        <v>0</v>
      </c>
      <c r="AK145" s="17">
        <v>0</v>
      </c>
      <c r="AL145" s="17">
        <v>0</v>
      </c>
      <c r="AM145" s="17">
        <v>0</v>
      </c>
      <c r="AN145" s="17">
        <v>0</v>
      </c>
      <c r="AO145" s="17">
        <v>0</v>
      </c>
      <c r="AP145" s="17">
        <v>0</v>
      </c>
      <c r="AQ145" s="17">
        <v>0</v>
      </c>
      <c r="AR145" s="17">
        <v>699</v>
      </c>
      <c r="AS145" s="17">
        <v>699</v>
      </c>
      <c r="AT145" s="17">
        <v>0</v>
      </c>
      <c r="AU145" s="17">
        <v>0</v>
      </c>
      <c r="AV145" s="17">
        <v>0</v>
      </c>
      <c r="AW145" s="17">
        <v>0</v>
      </c>
      <c r="AX145" s="19">
        <f t="shared" si="13"/>
        <v>699</v>
      </c>
      <c r="AY145" s="10" t="str">
        <f t="shared" si="14"/>
        <v>OK</v>
      </c>
      <c r="AZ145" s="10">
        <f t="shared" si="12"/>
        <v>699</v>
      </c>
      <c r="BA145" s="10">
        <f t="shared" si="15"/>
        <v>0</v>
      </c>
      <c r="BB145" s="17">
        <v>699</v>
      </c>
      <c r="BC145" s="113">
        <f t="shared" si="16"/>
        <v>0</v>
      </c>
    </row>
    <row r="146" spans="1:55" s="118" customFormat="1" ht="13.5" customHeight="1">
      <c r="A146" s="16" t="s">
        <v>48</v>
      </c>
      <c r="B146" s="16" t="s">
        <v>49</v>
      </c>
      <c r="C146" s="16" t="s">
        <v>50</v>
      </c>
      <c r="D146" s="16" t="s">
        <v>51</v>
      </c>
      <c r="E146" s="16" t="s">
        <v>52</v>
      </c>
      <c r="F146" s="16" t="s">
        <v>53</v>
      </c>
      <c r="G146" s="16" t="s">
        <v>54</v>
      </c>
      <c r="H146" s="22" t="s">
        <v>55</v>
      </c>
      <c r="I146" s="133" t="s">
        <v>314</v>
      </c>
      <c r="J146" s="11">
        <v>1</v>
      </c>
      <c r="K146" s="12" t="s">
        <v>2</v>
      </c>
      <c r="L146" s="13">
        <v>1</v>
      </c>
      <c r="M146" s="14">
        <v>0</v>
      </c>
      <c r="N146" s="14">
        <v>1</v>
      </c>
      <c r="O146" s="9">
        <v>801</v>
      </c>
      <c r="P146" s="9" t="s">
        <v>147</v>
      </c>
      <c r="Q146" s="14">
        <v>1</v>
      </c>
      <c r="R146" s="9">
        <v>0</v>
      </c>
      <c r="S146" s="9">
        <v>0</v>
      </c>
      <c r="T146" s="8" t="s">
        <v>58</v>
      </c>
      <c r="U146" s="110">
        <v>53</v>
      </c>
      <c r="V146" s="8">
        <v>530804</v>
      </c>
      <c r="W146" s="16" t="s">
        <v>105</v>
      </c>
      <c r="X146" s="127">
        <v>0</v>
      </c>
      <c r="Y146" s="132">
        <f>50-50</f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0</v>
      </c>
      <c r="AJ146" s="107">
        <v>0</v>
      </c>
      <c r="AK146" s="17">
        <v>0</v>
      </c>
      <c r="AL146" s="17">
        <v>0</v>
      </c>
      <c r="AM146" s="17">
        <v>0</v>
      </c>
      <c r="AN146" s="17">
        <v>0</v>
      </c>
      <c r="AO146" s="17">
        <v>0</v>
      </c>
      <c r="AP146" s="17">
        <v>0</v>
      </c>
      <c r="AQ146" s="17">
        <v>0</v>
      </c>
      <c r="AR146" s="17">
        <v>0</v>
      </c>
      <c r="AS146" s="17">
        <v>0</v>
      </c>
      <c r="AT146" s="17">
        <v>0</v>
      </c>
      <c r="AU146" s="17">
        <v>0</v>
      </c>
      <c r="AV146" s="17">
        <v>0</v>
      </c>
      <c r="AW146" s="17">
        <v>0</v>
      </c>
      <c r="AX146" s="19">
        <f t="shared" si="13"/>
        <v>0</v>
      </c>
      <c r="AY146" s="10" t="str">
        <f t="shared" si="14"/>
        <v>OK</v>
      </c>
      <c r="AZ146" s="10">
        <f t="shared" si="12"/>
        <v>0</v>
      </c>
      <c r="BA146" s="10">
        <f t="shared" si="15"/>
        <v>0</v>
      </c>
      <c r="BB146" s="17">
        <v>0</v>
      </c>
      <c r="BC146" s="113">
        <f t="shared" si="16"/>
        <v>0</v>
      </c>
    </row>
    <row r="147" spans="1:55" s="118" customFormat="1" ht="13.5" customHeight="1">
      <c r="A147" s="16" t="s">
        <v>48</v>
      </c>
      <c r="B147" s="16" t="s">
        <v>49</v>
      </c>
      <c r="C147" s="16" t="s">
        <v>50</v>
      </c>
      <c r="D147" s="16" t="s">
        <v>51</v>
      </c>
      <c r="E147" s="16" t="s">
        <v>52</v>
      </c>
      <c r="F147" s="16" t="s">
        <v>53</v>
      </c>
      <c r="G147" s="16" t="s">
        <v>54</v>
      </c>
      <c r="H147" s="22" t="s">
        <v>55</v>
      </c>
      <c r="I147" s="133" t="s">
        <v>318</v>
      </c>
      <c r="J147" s="11">
        <v>1</v>
      </c>
      <c r="K147" s="12" t="s">
        <v>2</v>
      </c>
      <c r="L147" s="13">
        <v>1</v>
      </c>
      <c r="M147" s="14">
        <v>0</v>
      </c>
      <c r="N147" s="14">
        <v>1</v>
      </c>
      <c r="O147" s="9">
        <v>801</v>
      </c>
      <c r="P147" s="9" t="s">
        <v>147</v>
      </c>
      <c r="Q147" s="14">
        <v>1</v>
      </c>
      <c r="R147" s="9">
        <v>0</v>
      </c>
      <c r="S147" s="9">
        <v>0</v>
      </c>
      <c r="T147" s="8" t="s">
        <v>58</v>
      </c>
      <c r="U147" s="110">
        <v>53</v>
      </c>
      <c r="V147" s="8">
        <v>531406</v>
      </c>
      <c r="W147" s="16" t="s">
        <v>133</v>
      </c>
      <c r="X147" s="127">
        <v>0</v>
      </c>
      <c r="Y147" s="132">
        <f>100-100</f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07">
        <v>0</v>
      </c>
      <c r="AK147" s="17">
        <v>0</v>
      </c>
      <c r="AL147" s="17">
        <v>0</v>
      </c>
      <c r="AM147" s="17">
        <v>0</v>
      </c>
      <c r="AN147" s="17">
        <v>0</v>
      </c>
      <c r="AO147" s="17">
        <v>0</v>
      </c>
      <c r="AP147" s="17">
        <v>0</v>
      </c>
      <c r="AQ147" s="17">
        <v>0</v>
      </c>
      <c r="AR147" s="17">
        <v>0</v>
      </c>
      <c r="AS147" s="17">
        <v>0</v>
      </c>
      <c r="AT147" s="17">
        <v>0</v>
      </c>
      <c r="AU147" s="17">
        <v>0</v>
      </c>
      <c r="AV147" s="17"/>
      <c r="AW147" s="17">
        <v>0</v>
      </c>
      <c r="AX147" s="19">
        <f t="shared" si="13"/>
        <v>0</v>
      </c>
      <c r="AY147" s="10" t="str">
        <f t="shared" si="14"/>
        <v>OK</v>
      </c>
      <c r="AZ147" s="10">
        <f t="shared" si="12"/>
        <v>0</v>
      </c>
      <c r="BA147" s="10">
        <f t="shared" si="15"/>
        <v>0</v>
      </c>
      <c r="BB147" s="17">
        <v>0</v>
      </c>
      <c r="BC147" s="113">
        <f t="shared" si="16"/>
        <v>0</v>
      </c>
    </row>
    <row r="148" spans="1:55" s="118" customFormat="1" ht="13.5" customHeight="1">
      <c r="A148" s="16" t="s">
        <v>48</v>
      </c>
      <c r="B148" s="16" t="s">
        <v>49</v>
      </c>
      <c r="C148" s="16" t="s">
        <v>74</v>
      </c>
      <c r="D148" s="16" t="s">
        <v>75</v>
      </c>
      <c r="E148" s="16" t="s">
        <v>52</v>
      </c>
      <c r="F148" s="16" t="s">
        <v>53</v>
      </c>
      <c r="G148" s="16" t="s">
        <v>306</v>
      </c>
      <c r="H148" s="22" t="s">
        <v>76</v>
      </c>
      <c r="I148" s="148" t="s">
        <v>321</v>
      </c>
      <c r="J148" s="11">
        <v>1</v>
      </c>
      <c r="K148" s="12" t="s">
        <v>2</v>
      </c>
      <c r="L148" s="13">
        <v>1</v>
      </c>
      <c r="M148" s="14">
        <v>0</v>
      </c>
      <c r="N148" s="14">
        <v>1</v>
      </c>
      <c r="O148" s="9">
        <v>801</v>
      </c>
      <c r="P148" s="9" t="s">
        <v>147</v>
      </c>
      <c r="Q148" s="14">
        <v>1</v>
      </c>
      <c r="R148" s="9">
        <v>0</v>
      </c>
      <c r="S148" s="9">
        <v>0</v>
      </c>
      <c r="T148" s="8" t="s">
        <v>58</v>
      </c>
      <c r="U148" s="110">
        <v>53</v>
      </c>
      <c r="V148" s="8">
        <v>530812</v>
      </c>
      <c r="W148" s="16" t="s">
        <v>116</v>
      </c>
      <c r="X148" s="127">
        <v>0</v>
      </c>
      <c r="Y148" s="146">
        <f>1495-603</f>
        <v>892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07">
        <v>0</v>
      </c>
      <c r="AK148" s="17">
        <v>0</v>
      </c>
      <c r="AL148" s="17">
        <v>0</v>
      </c>
      <c r="AM148" s="17">
        <v>0</v>
      </c>
      <c r="AN148" s="17">
        <v>0</v>
      </c>
      <c r="AO148" s="17">
        <v>0</v>
      </c>
      <c r="AP148" s="17">
        <v>0</v>
      </c>
      <c r="AQ148" s="17">
        <v>0</v>
      </c>
      <c r="AR148" s="17">
        <v>0</v>
      </c>
      <c r="AS148" s="17"/>
      <c r="AT148" s="17">
        <v>892</v>
      </c>
      <c r="AU148" s="17">
        <v>0</v>
      </c>
      <c r="AV148" s="17">
        <v>0</v>
      </c>
      <c r="AW148" s="80">
        <v>892</v>
      </c>
      <c r="AX148" s="19">
        <f t="shared" si="13"/>
        <v>892</v>
      </c>
      <c r="AY148" s="10" t="str">
        <f t="shared" si="14"/>
        <v>OK</v>
      </c>
      <c r="AZ148" s="10">
        <f t="shared" si="12"/>
        <v>892</v>
      </c>
      <c r="BA148" s="10">
        <f t="shared" si="15"/>
        <v>0</v>
      </c>
      <c r="BB148" s="17">
        <v>892</v>
      </c>
      <c r="BC148" s="113">
        <f t="shared" si="16"/>
        <v>0</v>
      </c>
    </row>
    <row r="149" spans="1:55" s="118" customFormat="1" ht="13.5" customHeight="1">
      <c r="A149" s="16" t="s">
        <v>48</v>
      </c>
      <c r="B149" s="16" t="s">
        <v>49</v>
      </c>
      <c r="C149" s="16" t="s">
        <v>50</v>
      </c>
      <c r="D149" s="23" t="s">
        <v>172</v>
      </c>
      <c r="E149" s="16" t="s">
        <v>52</v>
      </c>
      <c r="F149" s="16" t="s">
        <v>53</v>
      </c>
      <c r="G149" s="16" t="s">
        <v>173</v>
      </c>
      <c r="H149" s="22" t="s">
        <v>55</v>
      </c>
      <c r="I149" s="16" t="s">
        <v>174</v>
      </c>
      <c r="J149" s="11">
        <v>1</v>
      </c>
      <c r="K149" s="21" t="s">
        <v>2</v>
      </c>
      <c r="L149" s="13">
        <v>1</v>
      </c>
      <c r="M149" s="14">
        <v>0</v>
      </c>
      <c r="N149" s="14">
        <v>1</v>
      </c>
      <c r="O149" s="9">
        <v>1000</v>
      </c>
      <c r="P149" s="9" t="s">
        <v>175</v>
      </c>
      <c r="Q149" s="14">
        <v>1</v>
      </c>
      <c r="R149" s="9">
        <v>0</v>
      </c>
      <c r="S149" s="9">
        <v>0</v>
      </c>
      <c r="T149" s="8" t="s">
        <v>58</v>
      </c>
      <c r="U149" s="85">
        <v>51</v>
      </c>
      <c r="V149" s="8">
        <v>510105</v>
      </c>
      <c r="W149" s="16" t="s">
        <v>176</v>
      </c>
      <c r="X149" s="18">
        <v>769920</v>
      </c>
      <c r="Y149" s="18">
        <v>749851.45</v>
      </c>
      <c r="Z149" s="17">
        <v>64160</v>
      </c>
      <c r="AA149" s="17">
        <v>61792</v>
      </c>
      <c r="AB149" s="17">
        <v>64160</v>
      </c>
      <c r="AC149" s="17">
        <v>61792</v>
      </c>
      <c r="AD149" s="17">
        <v>64160</v>
      </c>
      <c r="AE149" s="17">
        <v>61792</v>
      </c>
      <c r="AF149" s="17">
        <v>64160</v>
      </c>
      <c r="AG149" s="17">
        <v>63133.87</v>
      </c>
      <c r="AH149" s="17">
        <v>64160</v>
      </c>
      <c r="AI149" s="17">
        <v>64160</v>
      </c>
      <c r="AJ149" s="107">
        <v>64160</v>
      </c>
      <c r="AK149" s="17">
        <v>64160</v>
      </c>
      <c r="AL149" s="17">
        <v>64160</v>
      </c>
      <c r="AM149" s="17">
        <v>63174</v>
      </c>
      <c r="AN149" s="17">
        <v>64160</v>
      </c>
      <c r="AO149" s="17">
        <v>63308.38</v>
      </c>
      <c r="AP149" s="17">
        <v>64160</v>
      </c>
      <c r="AQ149" s="17">
        <v>63174</v>
      </c>
      <c r="AR149" s="17">
        <v>64160</v>
      </c>
      <c r="AS149" s="17">
        <v>61753.2</v>
      </c>
      <c r="AT149" s="17">
        <v>108251.44999999995</v>
      </c>
      <c r="AU149" s="17">
        <v>60806</v>
      </c>
      <c r="AV149" s="17">
        <v>0</v>
      </c>
      <c r="AW149" s="17">
        <v>60806</v>
      </c>
      <c r="AX149" s="19">
        <f t="shared" si="13"/>
        <v>749851.45</v>
      </c>
      <c r="AY149" s="10" t="str">
        <f t="shared" si="14"/>
        <v>OK</v>
      </c>
      <c r="AZ149" s="10">
        <f t="shared" si="12"/>
        <v>749851.45</v>
      </c>
      <c r="BA149" s="10">
        <f t="shared" si="15"/>
        <v>0</v>
      </c>
      <c r="BB149" s="17">
        <v>0</v>
      </c>
      <c r="BC149" s="113">
        <f t="shared" si="16"/>
        <v>749851.45</v>
      </c>
    </row>
    <row r="150" spans="1:55" s="118" customFormat="1" ht="13.5" customHeight="1">
      <c r="A150" s="16" t="s">
        <v>48</v>
      </c>
      <c r="B150" s="16" t="s">
        <v>49</v>
      </c>
      <c r="C150" s="16" t="s">
        <v>50</v>
      </c>
      <c r="D150" s="23" t="s">
        <v>172</v>
      </c>
      <c r="E150" s="16" t="s">
        <v>52</v>
      </c>
      <c r="F150" s="16" t="s">
        <v>53</v>
      </c>
      <c r="G150" s="16" t="s">
        <v>173</v>
      </c>
      <c r="H150" s="22" t="s">
        <v>55</v>
      </c>
      <c r="I150" s="16" t="s">
        <v>174</v>
      </c>
      <c r="J150" s="11">
        <v>1</v>
      </c>
      <c r="K150" s="21" t="s">
        <v>2</v>
      </c>
      <c r="L150" s="13">
        <v>1</v>
      </c>
      <c r="M150" s="14">
        <v>0</v>
      </c>
      <c r="N150" s="14">
        <v>1</v>
      </c>
      <c r="O150" s="9">
        <v>1000</v>
      </c>
      <c r="P150" s="9" t="s">
        <v>175</v>
      </c>
      <c r="Q150" s="14">
        <v>1</v>
      </c>
      <c r="R150" s="9">
        <v>0</v>
      </c>
      <c r="S150" s="9">
        <v>0</v>
      </c>
      <c r="T150" s="8" t="s">
        <v>58</v>
      </c>
      <c r="U150" s="85">
        <v>51</v>
      </c>
      <c r="V150" s="8">
        <v>510106</v>
      </c>
      <c r="W150" s="16" t="s">
        <v>177</v>
      </c>
      <c r="X150" s="18">
        <v>67272</v>
      </c>
      <c r="Y150" s="18">
        <v>97476</v>
      </c>
      <c r="Z150" s="17">
        <v>4500</v>
      </c>
      <c r="AA150" s="17">
        <v>7974</v>
      </c>
      <c r="AB150" s="17">
        <v>4500</v>
      </c>
      <c r="AC150" s="17">
        <v>7974</v>
      </c>
      <c r="AD150" s="17">
        <v>4500</v>
      </c>
      <c r="AE150" s="17">
        <v>7974</v>
      </c>
      <c r="AF150" s="17">
        <v>4500</v>
      </c>
      <c r="AG150" s="17">
        <v>7974</v>
      </c>
      <c r="AH150" s="17">
        <v>4500</v>
      </c>
      <c r="AI150" s="17">
        <v>7974</v>
      </c>
      <c r="AJ150" s="107">
        <v>4500</v>
      </c>
      <c r="AK150" s="17">
        <v>7974</v>
      </c>
      <c r="AL150" s="17">
        <v>4500</v>
      </c>
      <c r="AM150" s="17">
        <v>7974</v>
      </c>
      <c r="AN150" s="17">
        <v>4500</v>
      </c>
      <c r="AO150" s="17">
        <v>7974</v>
      </c>
      <c r="AP150" s="17">
        <v>4500</v>
      </c>
      <c r="AQ150" s="17">
        <v>7974</v>
      </c>
      <c r="AR150" s="17">
        <v>4500</v>
      </c>
      <c r="AS150" s="17">
        <v>8570</v>
      </c>
      <c r="AT150" s="17">
        <v>4500</v>
      </c>
      <c r="AU150" s="17">
        <v>8570</v>
      </c>
      <c r="AV150" s="17">
        <v>47976</v>
      </c>
      <c r="AW150" s="17">
        <v>8570</v>
      </c>
      <c r="AX150" s="19">
        <f t="shared" si="13"/>
        <v>97476</v>
      </c>
      <c r="AY150" s="10" t="str">
        <f t="shared" si="14"/>
        <v>OK</v>
      </c>
      <c r="AZ150" s="10">
        <f t="shared" si="12"/>
        <v>97476</v>
      </c>
      <c r="BA150" s="10">
        <f t="shared" si="15"/>
        <v>0</v>
      </c>
      <c r="BB150" s="17">
        <v>0</v>
      </c>
      <c r="BC150" s="113">
        <f t="shared" si="16"/>
        <v>97476</v>
      </c>
    </row>
    <row r="151" spans="1:55" s="118" customFormat="1" ht="13.5" customHeight="1">
      <c r="A151" s="16" t="s">
        <v>48</v>
      </c>
      <c r="B151" s="16" t="s">
        <v>49</v>
      </c>
      <c r="C151" s="16" t="s">
        <v>50</v>
      </c>
      <c r="D151" s="23" t="s">
        <v>172</v>
      </c>
      <c r="E151" s="16" t="s">
        <v>52</v>
      </c>
      <c r="F151" s="16" t="s">
        <v>53</v>
      </c>
      <c r="G151" s="16" t="s">
        <v>173</v>
      </c>
      <c r="H151" s="22" t="s">
        <v>55</v>
      </c>
      <c r="I151" s="16" t="s">
        <v>174</v>
      </c>
      <c r="J151" s="11">
        <v>1</v>
      </c>
      <c r="K151" s="21" t="s">
        <v>2</v>
      </c>
      <c r="L151" s="13">
        <v>1</v>
      </c>
      <c r="M151" s="14">
        <v>0</v>
      </c>
      <c r="N151" s="14">
        <v>1</v>
      </c>
      <c r="O151" s="9">
        <v>1000</v>
      </c>
      <c r="P151" s="9" t="s">
        <v>175</v>
      </c>
      <c r="Q151" s="14">
        <v>1</v>
      </c>
      <c r="R151" s="9">
        <v>0</v>
      </c>
      <c r="S151" s="9">
        <v>0</v>
      </c>
      <c r="T151" s="8" t="s">
        <v>58</v>
      </c>
      <c r="U151" s="85">
        <v>51</v>
      </c>
      <c r="V151" s="8">
        <v>510203</v>
      </c>
      <c r="W151" s="16" t="s">
        <v>178</v>
      </c>
      <c r="X151" s="18">
        <v>72134</v>
      </c>
      <c r="Y151" s="18">
        <v>71096.26</v>
      </c>
      <c r="Z151" s="17">
        <v>1125</v>
      </c>
      <c r="AA151" s="17">
        <v>0</v>
      </c>
      <c r="AB151" s="17">
        <v>1125</v>
      </c>
      <c r="AC151" s="17">
        <v>2602.12</v>
      </c>
      <c r="AD151" s="17">
        <v>1125</v>
      </c>
      <c r="AE151" s="17">
        <v>1246.67</v>
      </c>
      <c r="AF151" s="17">
        <v>1125</v>
      </c>
      <c r="AG151" s="17">
        <v>1252.75</v>
      </c>
      <c r="AH151" s="17">
        <v>1125</v>
      </c>
      <c r="AI151" s="17">
        <v>1247.6</v>
      </c>
      <c r="AJ151" s="107">
        <v>1125</v>
      </c>
      <c r="AK151" s="17">
        <v>1129</v>
      </c>
      <c r="AL151" s="17">
        <v>1125</v>
      </c>
      <c r="AM151" s="17">
        <v>1622.02</v>
      </c>
      <c r="AN151" s="17">
        <v>1125</v>
      </c>
      <c r="AO151" s="17">
        <v>1129.7</v>
      </c>
      <c r="AP151" s="17">
        <v>1125</v>
      </c>
      <c r="AQ151" s="17">
        <v>1134.04</v>
      </c>
      <c r="AR151" s="17">
        <v>1125</v>
      </c>
      <c r="AS151" s="17">
        <v>931.67</v>
      </c>
      <c r="AT151" s="17">
        <v>1125</v>
      </c>
      <c r="AU151" s="17">
        <v>1011.78</v>
      </c>
      <c r="AV151" s="17">
        <v>58721.259999999995</v>
      </c>
      <c r="AW151" s="17">
        <v>57788.91</v>
      </c>
      <c r="AX151" s="19">
        <f t="shared" si="13"/>
        <v>71096.26</v>
      </c>
      <c r="AY151" s="10" t="str">
        <f t="shared" si="14"/>
        <v>OK</v>
      </c>
      <c r="AZ151" s="10">
        <f t="shared" si="12"/>
        <v>71096.26000000001</v>
      </c>
      <c r="BA151" s="10">
        <f t="shared" si="15"/>
        <v>0</v>
      </c>
      <c r="BB151" s="17">
        <v>0</v>
      </c>
      <c r="BC151" s="113">
        <f t="shared" si="16"/>
        <v>71096.26</v>
      </c>
    </row>
    <row r="152" spans="1:55" s="118" customFormat="1" ht="13.5" customHeight="1">
      <c r="A152" s="16" t="s">
        <v>48</v>
      </c>
      <c r="B152" s="16" t="s">
        <v>49</v>
      </c>
      <c r="C152" s="16" t="s">
        <v>50</v>
      </c>
      <c r="D152" s="23" t="s">
        <v>172</v>
      </c>
      <c r="E152" s="16" t="s">
        <v>52</v>
      </c>
      <c r="F152" s="16" t="s">
        <v>53</v>
      </c>
      <c r="G152" s="16" t="s">
        <v>173</v>
      </c>
      <c r="H152" s="22" t="s">
        <v>55</v>
      </c>
      <c r="I152" s="16" t="s">
        <v>174</v>
      </c>
      <c r="J152" s="11">
        <v>1</v>
      </c>
      <c r="K152" s="21" t="s">
        <v>2</v>
      </c>
      <c r="L152" s="13">
        <v>1</v>
      </c>
      <c r="M152" s="14">
        <v>0</v>
      </c>
      <c r="N152" s="14">
        <v>1</v>
      </c>
      <c r="O152" s="9">
        <v>1000</v>
      </c>
      <c r="P152" s="9" t="s">
        <v>175</v>
      </c>
      <c r="Q152" s="14">
        <v>1</v>
      </c>
      <c r="R152" s="9">
        <v>0</v>
      </c>
      <c r="S152" s="9">
        <v>0</v>
      </c>
      <c r="T152" s="8" t="s">
        <v>58</v>
      </c>
      <c r="U152" s="85">
        <v>51</v>
      </c>
      <c r="V152" s="8">
        <v>510204</v>
      </c>
      <c r="W152" s="16" t="s">
        <v>179</v>
      </c>
      <c r="X152" s="18">
        <v>26000</v>
      </c>
      <c r="Y152" s="18">
        <v>27661.8</v>
      </c>
      <c r="Z152" s="17">
        <v>430</v>
      </c>
      <c r="AA152" s="17">
        <v>0</v>
      </c>
      <c r="AB152" s="17">
        <v>430</v>
      </c>
      <c r="AC152" s="17">
        <v>1027.18</v>
      </c>
      <c r="AD152" s="17">
        <v>5200</v>
      </c>
      <c r="AE152" s="17">
        <v>5970.9</v>
      </c>
      <c r="AF152" s="17">
        <v>430</v>
      </c>
      <c r="AG152" s="17">
        <v>495.88</v>
      </c>
      <c r="AH152" s="17">
        <v>430</v>
      </c>
      <c r="AI152" s="17">
        <v>495.88</v>
      </c>
      <c r="AJ152" s="107">
        <v>430</v>
      </c>
      <c r="AK152" s="17">
        <v>460.46</v>
      </c>
      <c r="AL152" s="17">
        <v>430</v>
      </c>
      <c r="AM152" s="17">
        <v>602.14</v>
      </c>
      <c r="AN152" s="17">
        <v>16500</v>
      </c>
      <c r="AO152" s="17">
        <v>16859.61</v>
      </c>
      <c r="AP152" s="17">
        <v>3381.7999999999993</v>
      </c>
      <c r="AQ152" s="17">
        <v>460.46</v>
      </c>
      <c r="AR152" s="17">
        <v>0</v>
      </c>
      <c r="AS152" s="17">
        <v>425.04</v>
      </c>
      <c r="AT152" s="17">
        <v>0</v>
      </c>
      <c r="AU152" s="17">
        <v>439.21</v>
      </c>
      <c r="AV152" s="17">
        <v>0</v>
      </c>
      <c r="AW152" s="17">
        <v>425.04</v>
      </c>
      <c r="AX152" s="19">
        <f t="shared" si="13"/>
        <v>27661.8</v>
      </c>
      <c r="AY152" s="10" t="str">
        <f t="shared" si="14"/>
        <v>OK</v>
      </c>
      <c r="AZ152" s="10">
        <f t="shared" si="12"/>
        <v>27661.8</v>
      </c>
      <c r="BA152" s="10">
        <f t="shared" si="15"/>
        <v>-1.8189894035458565E-12</v>
      </c>
      <c r="BB152" s="17">
        <v>0</v>
      </c>
      <c r="BC152" s="113">
        <f t="shared" si="16"/>
        <v>27661.8</v>
      </c>
    </row>
    <row r="153" spans="1:55" s="118" customFormat="1" ht="13.5" customHeight="1">
      <c r="A153" s="16" t="s">
        <v>48</v>
      </c>
      <c r="B153" s="16" t="s">
        <v>49</v>
      </c>
      <c r="C153" s="16" t="s">
        <v>50</v>
      </c>
      <c r="D153" s="23" t="s">
        <v>172</v>
      </c>
      <c r="E153" s="16" t="s">
        <v>52</v>
      </c>
      <c r="F153" s="16" t="s">
        <v>53</v>
      </c>
      <c r="G153" s="16" t="s">
        <v>173</v>
      </c>
      <c r="H153" s="22" t="s">
        <v>55</v>
      </c>
      <c r="I153" s="16" t="s">
        <v>174</v>
      </c>
      <c r="J153" s="11">
        <v>1</v>
      </c>
      <c r="K153" s="21" t="s">
        <v>2</v>
      </c>
      <c r="L153" s="13">
        <v>1</v>
      </c>
      <c r="M153" s="14">
        <v>0</v>
      </c>
      <c r="N153" s="14">
        <v>1</v>
      </c>
      <c r="O153" s="9">
        <v>1000</v>
      </c>
      <c r="P153" s="9" t="s">
        <v>175</v>
      </c>
      <c r="Q153" s="14">
        <v>1</v>
      </c>
      <c r="R153" s="9">
        <v>0</v>
      </c>
      <c r="S153" s="9">
        <v>0</v>
      </c>
      <c r="T153" s="8" t="s">
        <v>58</v>
      </c>
      <c r="U153" s="85">
        <v>51</v>
      </c>
      <c r="V153" s="8">
        <v>510509</v>
      </c>
      <c r="W153" s="16" t="s">
        <v>180</v>
      </c>
      <c r="X153" s="18">
        <v>3000</v>
      </c>
      <c r="Y153" s="18">
        <v>6190.96</v>
      </c>
      <c r="Z153" s="17">
        <v>250</v>
      </c>
      <c r="AA153" s="17">
        <v>0</v>
      </c>
      <c r="AB153" s="17">
        <v>250</v>
      </c>
      <c r="AC153" s="17">
        <v>717.98</v>
      </c>
      <c r="AD153" s="17">
        <v>250</v>
      </c>
      <c r="AE153" s="17">
        <v>364.18</v>
      </c>
      <c r="AF153" s="17">
        <v>250</v>
      </c>
      <c r="AG153" s="17">
        <v>546.41</v>
      </c>
      <c r="AH153" s="17">
        <v>250</v>
      </c>
      <c r="AI153" s="17">
        <v>950.51</v>
      </c>
      <c r="AJ153" s="107">
        <v>250</v>
      </c>
      <c r="AK153" s="17">
        <v>294.46</v>
      </c>
      <c r="AL153" s="17">
        <v>250</v>
      </c>
      <c r="AM153" s="17">
        <v>269.19</v>
      </c>
      <c r="AN153" s="17">
        <v>250</v>
      </c>
      <c r="AO153" s="17">
        <v>262.84</v>
      </c>
      <c r="AP153" s="17">
        <v>250</v>
      </c>
      <c r="AQ153" s="17">
        <v>516.18</v>
      </c>
      <c r="AR153" s="17">
        <v>250</v>
      </c>
      <c r="AS153" s="17">
        <v>306.24</v>
      </c>
      <c r="AT153" s="17">
        <v>250</v>
      </c>
      <c r="AU153" s="17">
        <v>686.36</v>
      </c>
      <c r="AV153" s="17">
        <v>3440.96</v>
      </c>
      <c r="AW153" s="17">
        <v>1276.61</v>
      </c>
      <c r="AX153" s="19">
        <f t="shared" si="13"/>
        <v>6190.96</v>
      </c>
      <c r="AY153" s="10" t="str">
        <f t="shared" si="14"/>
        <v>OK</v>
      </c>
      <c r="AZ153" s="10">
        <f t="shared" si="12"/>
        <v>6190.959999999999</v>
      </c>
      <c r="BA153" s="10">
        <f t="shared" si="15"/>
        <v>0</v>
      </c>
      <c r="BB153" s="17">
        <v>0</v>
      </c>
      <c r="BC153" s="113">
        <f t="shared" si="16"/>
        <v>6190.96</v>
      </c>
    </row>
    <row r="154" spans="1:55" s="118" customFormat="1" ht="13.5" customHeight="1">
      <c r="A154" s="16" t="s">
        <v>48</v>
      </c>
      <c r="B154" s="16" t="s">
        <v>49</v>
      </c>
      <c r="C154" s="16" t="s">
        <v>50</v>
      </c>
      <c r="D154" s="23" t="s">
        <v>172</v>
      </c>
      <c r="E154" s="16" t="s">
        <v>52</v>
      </c>
      <c r="F154" s="16" t="s">
        <v>53</v>
      </c>
      <c r="G154" s="16" t="s">
        <v>173</v>
      </c>
      <c r="H154" s="22" t="s">
        <v>55</v>
      </c>
      <c r="I154" s="16" t="s">
        <v>174</v>
      </c>
      <c r="J154" s="11">
        <v>1</v>
      </c>
      <c r="K154" s="21" t="s">
        <v>2</v>
      </c>
      <c r="L154" s="13">
        <v>1</v>
      </c>
      <c r="M154" s="14">
        <v>0</v>
      </c>
      <c r="N154" s="14">
        <v>1</v>
      </c>
      <c r="O154" s="9">
        <v>1000</v>
      </c>
      <c r="P154" s="9" t="s">
        <v>175</v>
      </c>
      <c r="Q154" s="14">
        <v>1</v>
      </c>
      <c r="R154" s="9">
        <v>0</v>
      </c>
      <c r="S154" s="9">
        <v>0</v>
      </c>
      <c r="T154" s="8" t="s">
        <v>58</v>
      </c>
      <c r="U154" s="85">
        <v>51</v>
      </c>
      <c r="V154" s="8">
        <v>510601</v>
      </c>
      <c r="W154" s="16" t="s">
        <v>181</v>
      </c>
      <c r="X154" s="18">
        <v>85924</v>
      </c>
      <c r="Y154" s="18">
        <v>84952.25</v>
      </c>
      <c r="Z154" s="17">
        <v>7160</v>
      </c>
      <c r="AA154" s="17">
        <v>6931.89</v>
      </c>
      <c r="AB154" s="17">
        <v>7160</v>
      </c>
      <c r="AC154" s="17">
        <v>7019.13</v>
      </c>
      <c r="AD154" s="17">
        <v>7160</v>
      </c>
      <c r="AE154" s="17">
        <v>6976.13</v>
      </c>
      <c r="AF154" s="17">
        <v>7160</v>
      </c>
      <c r="AG154" s="17">
        <v>7127.76</v>
      </c>
      <c r="AH154" s="17">
        <v>7160</v>
      </c>
      <c r="AI154" s="17">
        <v>7275.93</v>
      </c>
      <c r="AJ154" s="107">
        <v>7160</v>
      </c>
      <c r="AK154" s="17">
        <v>7196.17</v>
      </c>
      <c r="AL154" s="17">
        <v>7160</v>
      </c>
      <c r="AM154" s="17">
        <v>7097.96</v>
      </c>
      <c r="AN154" s="17">
        <v>7160</v>
      </c>
      <c r="AO154" s="17">
        <v>7097.21</v>
      </c>
      <c r="AP154" s="17">
        <v>7160</v>
      </c>
      <c r="AQ154" s="17">
        <v>7127.97</v>
      </c>
      <c r="AR154" s="17">
        <v>7160</v>
      </c>
      <c r="AS154" s="17">
        <v>7037.77</v>
      </c>
      <c r="AT154" s="17">
        <v>13352.25</v>
      </c>
      <c r="AU154" s="17">
        <v>6992.55</v>
      </c>
      <c r="AV154" s="17">
        <v>0</v>
      </c>
      <c r="AW154" s="17">
        <v>7071.78</v>
      </c>
      <c r="AX154" s="19">
        <f t="shared" si="13"/>
        <v>84952.25</v>
      </c>
      <c r="AY154" s="10" t="str">
        <f t="shared" si="14"/>
        <v>OK</v>
      </c>
      <c r="AZ154" s="10">
        <f t="shared" si="12"/>
        <v>84952.25</v>
      </c>
      <c r="BA154" s="10">
        <f t="shared" si="15"/>
        <v>0</v>
      </c>
      <c r="BB154" s="17">
        <v>0</v>
      </c>
      <c r="BC154" s="113">
        <f t="shared" si="16"/>
        <v>84952.25</v>
      </c>
    </row>
    <row r="155" spans="1:55" s="118" customFormat="1" ht="13.5" customHeight="1">
      <c r="A155" s="16" t="s">
        <v>48</v>
      </c>
      <c r="B155" s="16" t="s">
        <v>49</v>
      </c>
      <c r="C155" s="16" t="s">
        <v>50</v>
      </c>
      <c r="D155" s="23" t="s">
        <v>172</v>
      </c>
      <c r="E155" s="16" t="s">
        <v>52</v>
      </c>
      <c r="F155" s="16" t="s">
        <v>53</v>
      </c>
      <c r="G155" s="16" t="s">
        <v>173</v>
      </c>
      <c r="H155" s="22" t="s">
        <v>55</v>
      </c>
      <c r="I155" s="16" t="s">
        <v>174</v>
      </c>
      <c r="J155" s="11">
        <v>1</v>
      </c>
      <c r="K155" s="21" t="s">
        <v>2</v>
      </c>
      <c r="L155" s="13">
        <v>1</v>
      </c>
      <c r="M155" s="14">
        <v>0</v>
      </c>
      <c r="N155" s="14">
        <v>1</v>
      </c>
      <c r="O155" s="9">
        <v>1000</v>
      </c>
      <c r="P155" s="9" t="s">
        <v>175</v>
      </c>
      <c r="Q155" s="14">
        <v>1</v>
      </c>
      <c r="R155" s="9">
        <v>0</v>
      </c>
      <c r="S155" s="9">
        <v>0</v>
      </c>
      <c r="T155" s="8" t="s">
        <v>58</v>
      </c>
      <c r="U155" s="85">
        <v>51</v>
      </c>
      <c r="V155" s="8">
        <v>510602</v>
      </c>
      <c r="W155" s="16" t="s">
        <v>182</v>
      </c>
      <c r="X155" s="18">
        <v>72134</v>
      </c>
      <c r="Y155" s="18">
        <v>68756.96</v>
      </c>
      <c r="Z155" s="17">
        <v>6011</v>
      </c>
      <c r="AA155" s="17">
        <v>0</v>
      </c>
      <c r="AB155" s="17">
        <v>6011</v>
      </c>
      <c r="AC155" s="17">
        <v>5810.2</v>
      </c>
      <c r="AD155" s="17">
        <v>6011</v>
      </c>
      <c r="AE155" s="17">
        <v>5780.72</v>
      </c>
      <c r="AF155" s="17">
        <v>6011</v>
      </c>
      <c r="AG155" s="17">
        <v>5795.9</v>
      </c>
      <c r="AH155" s="17">
        <v>6011</v>
      </c>
      <c r="AI155" s="17">
        <v>5829.58</v>
      </c>
      <c r="AJ155" s="107">
        <v>6011</v>
      </c>
      <c r="AK155" s="17">
        <v>5774.91</v>
      </c>
      <c r="AL155" s="17">
        <v>6011</v>
      </c>
      <c r="AM155" s="17">
        <v>5772.81</v>
      </c>
      <c r="AN155" s="17">
        <v>6011</v>
      </c>
      <c r="AO155" s="17">
        <v>5690.15</v>
      </c>
      <c r="AP155" s="17">
        <v>6011</v>
      </c>
      <c r="AQ155" s="17">
        <v>5711.24</v>
      </c>
      <c r="AR155" s="17">
        <v>6011</v>
      </c>
      <c r="AS155" s="17">
        <v>5754.82</v>
      </c>
      <c r="AT155" s="17">
        <v>8646.960000000006</v>
      </c>
      <c r="AU155" s="17">
        <v>5663.18</v>
      </c>
      <c r="AV155" s="17">
        <v>0</v>
      </c>
      <c r="AW155" s="17">
        <v>11173.45</v>
      </c>
      <c r="AX155" s="19">
        <f t="shared" si="13"/>
        <v>68756.96</v>
      </c>
      <c r="AY155" s="10" t="str">
        <f t="shared" si="14"/>
        <v>OK</v>
      </c>
      <c r="AZ155" s="10">
        <f t="shared" si="12"/>
        <v>68756.96</v>
      </c>
      <c r="BA155" s="10">
        <f t="shared" si="15"/>
        <v>0</v>
      </c>
      <c r="BB155" s="17">
        <v>0</v>
      </c>
      <c r="BC155" s="113">
        <f t="shared" si="16"/>
        <v>68756.96</v>
      </c>
    </row>
    <row r="156" spans="1:55" s="118" customFormat="1" ht="13.5" customHeight="1">
      <c r="A156" s="16" t="s">
        <v>48</v>
      </c>
      <c r="B156" s="16" t="s">
        <v>49</v>
      </c>
      <c r="C156" s="16" t="s">
        <v>50</v>
      </c>
      <c r="D156" s="23" t="s">
        <v>172</v>
      </c>
      <c r="E156" s="16" t="s">
        <v>52</v>
      </c>
      <c r="F156" s="16" t="s">
        <v>53</v>
      </c>
      <c r="G156" s="16" t="s">
        <v>173</v>
      </c>
      <c r="H156" s="22" t="s">
        <v>55</v>
      </c>
      <c r="I156" s="16" t="s">
        <v>174</v>
      </c>
      <c r="J156" s="11">
        <v>1</v>
      </c>
      <c r="K156" s="21" t="s">
        <v>2</v>
      </c>
      <c r="L156" s="13">
        <v>1</v>
      </c>
      <c r="M156" s="14">
        <v>0</v>
      </c>
      <c r="N156" s="14">
        <v>2</v>
      </c>
      <c r="O156" s="9">
        <v>1000</v>
      </c>
      <c r="P156" s="9" t="s">
        <v>175</v>
      </c>
      <c r="Q156" s="14">
        <v>1</v>
      </c>
      <c r="R156" s="9">
        <v>0</v>
      </c>
      <c r="S156" s="9">
        <v>0</v>
      </c>
      <c r="T156" s="8" t="s">
        <v>58</v>
      </c>
      <c r="U156" s="85">
        <v>51</v>
      </c>
      <c r="V156" s="8">
        <v>510203</v>
      </c>
      <c r="W156" s="16" t="s">
        <v>178</v>
      </c>
      <c r="X156" s="18">
        <v>4398</v>
      </c>
      <c r="Y156" s="18">
        <v>1710.28</v>
      </c>
      <c r="Z156" s="17">
        <v>306</v>
      </c>
      <c r="AA156" s="17">
        <v>0</v>
      </c>
      <c r="AB156" s="17">
        <v>306</v>
      </c>
      <c r="AC156" s="17">
        <v>122.16</v>
      </c>
      <c r="AD156" s="17">
        <v>306</v>
      </c>
      <c r="AE156" s="17">
        <v>61.08</v>
      </c>
      <c r="AF156" s="17">
        <v>306</v>
      </c>
      <c r="AG156" s="17">
        <v>61.08</v>
      </c>
      <c r="AH156" s="17">
        <v>306</v>
      </c>
      <c r="AI156" s="17">
        <v>732.96</v>
      </c>
      <c r="AJ156" s="107">
        <v>180.28</v>
      </c>
      <c r="AK156" s="17">
        <v>0</v>
      </c>
      <c r="AL156" s="17">
        <v>0</v>
      </c>
      <c r="AM156" s="17">
        <v>0</v>
      </c>
      <c r="AN156" s="17">
        <v>0</v>
      </c>
      <c r="AO156" s="17">
        <v>0</v>
      </c>
      <c r="AP156" s="17">
        <v>0</v>
      </c>
      <c r="AQ156" s="17">
        <v>0</v>
      </c>
      <c r="AR156" s="17">
        <v>0</v>
      </c>
      <c r="AS156" s="17">
        <v>0</v>
      </c>
      <c r="AT156" s="17">
        <v>0</v>
      </c>
      <c r="AU156" s="17">
        <v>0</v>
      </c>
      <c r="AV156" s="17">
        <v>0</v>
      </c>
      <c r="AW156" s="17">
        <v>733</v>
      </c>
      <c r="AX156" s="19">
        <f t="shared" si="13"/>
        <v>1710.28</v>
      </c>
      <c r="AY156" s="10" t="str">
        <f t="shared" si="14"/>
        <v>OK</v>
      </c>
      <c r="AZ156" s="10">
        <f t="shared" si="12"/>
        <v>1710.28</v>
      </c>
      <c r="BA156" s="10">
        <f t="shared" si="15"/>
        <v>0</v>
      </c>
      <c r="BB156" s="17">
        <v>0</v>
      </c>
      <c r="BC156" s="113">
        <f t="shared" si="16"/>
        <v>1710.28</v>
      </c>
    </row>
    <row r="157" spans="1:55" s="118" customFormat="1" ht="13.5" customHeight="1">
      <c r="A157" s="16" t="s">
        <v>48</v>
      </c>
      <c r="B157" s="16" t="s">
        <v>49</v>
      </c>
      <c r="C157" s="16" t="s">
        <v>50</v>
      </c>
      <c r="D157" s="23" t="s">
        <v>172</v>
      </c>
      <c r="E157" s="16" t="s">
        <v>52</v>
      </c>
      <c r="F157" s="16" t="s">
        <v>53</v>
      </c>
      <c r="G157" s="16" t="s">
        <v>173</v>
      </c>
      <c r="H157" s="22" t="s">
        <v>55</v>
      </c>
      <c r="I157" s="16" t="s">
        <v>174</v>
      </c>
      <c r="J157" s="11">
        <v>1</v>
      </c>
      <c r="K157" s="21" t="s">
        <v>2</v>
      </c>
      <c r="L157" s="13">
        <v>1</v>
      </c>
      <c r="M157" s="14">
        <v>0</v>
      </c>
      <c r="N157" s="14">
        <v>2</v>
      </c>
      <c r="O157" s="9">
        <v>1000</v>
      </c>
      <c r="P157" s="9" t="s">
        <v>175</v>
      </c>
      <c r="Q157" s="14">
        <v>1</v>
      </c>
      <c r="R157" s="9">
        <v>0</v>
      </c>
      <c r="S157" s="9">
        <v>0</v>
      </c>
      <c r="T157" s="8" t="s">
        <v>58</v>
      </c>
      <c r="U157" s="85">
        <v>51</v>
      </c>
      <c r="V157" s="8">
        <v>510204</v>
      </c>
      <c r="W157" s="16" t="s">
        <v>179</v>
      </c>
      <c r="X157" s="18">
        <v>2400</v>
      </c>
      <c r="Y157" s="18">
        <v>650.16</v>
      </c>
      <c r="Z157" s="17">
        <v>120</v>
      </c>
      <c r="AA157" s="17">
        <v>0</v>
      </c>
      <c r="AB157" s="17">
        <v>120</v>
      </c>
      <c r="AC157" s="17">
        <v>70.84</v>
      </c>
      <c r="AD157" s="17">
        <v>410.15999999999997</v>
      </c>
      <c r="AE157" s="17">
        <v>331.38</v>
      </c>
      <c r="AF157" s="17">
        <v>0</v>
      </c>
      <c r="AG157" s="17">
        <v>35.42</v>
      </c>
      <c r="AH157" s="17">
        <v>0</v>
      </c>
      <c r="AI157" s="17">
        <v>212.52</v>
      </c>
      <c r="AJ157" s="107">
        <v>0</v>
      </c>
      <c r="AK157" s="17">
        <v>0</v>
      </c>
      <c r="AL157" s="17">
        <v>0</v>
      </c>
      <c r="AM157" s="17">
        <v>0</v>
      </c>
      <c r="AN157" s="17">
        <v>0</v>
      </c>
      <c r="AO157" s="17">
        <v>0</v>
      </c>
      <c r="AP157" s="17">
        <v>0</v>
      </c>
      <c r="AQ157" s="17">
        <v>0</v>
      </c>
      <c r="AR157" s="17">
        <v>0</v>
      </c>
      <c r="AS157" s="17">
        <v>0</v>
      </c>
      <c r="AT157" s="17">
        <v>0</v>
      </c>
      <c r="AU157" s="17">
        <v>0</v>
      </c>
      <c r="AV157" s="17">
        <v>0</v>
      </c>
      <c r="AW157" s="17">
        <v>0</v>
      </c>
      <c r="AX157" s="19">
        <f t="shared" si="13"/>
        <v>650.16</v>
      </c>
      <c r="AY157" s="10" t="str">
        <f t="shared" si="14"/>
        <v>OK</v>
      </c>
      <c r="AZ157" s="10">
        <f t="shared" si="12"/>
        <v>650.1600000000001</v>
      </c>
      <c r="BA157" s="10">
        <f t="shared" si="15"/>
        <v>-8.526512829121202E-14</v>
      </c>
      <c r="BB157" s="17">
        <v>0</v>
      </c>
      <c r="BC157" s="113">
        <f t="shared" si="16"/>
        <v>650.16</v>
      </c>
    </row>
    <row r="158" spans="1:55" s="118" customFormat="1" ht="13.5" customHeight="1">
      <c r="A158" s="16" t="s">
        <v>48</v>
      </c>
      <c r="B158" s="16" t="s">
        <v>49</v>
      </c>
      <c r="C158" s="16" t="s">
        <v>50</v>
      </c>
      <c r="D158" s="23" t="s">
        <v>172</v>
      </c>
      <c r="E158" s="16" t="s">
        <v>52</v>
      </c>
      <c r="F158" s="16" t="s">
        <v>53</v>
      </c>
      <c r="G158" s="16" t="s">
        <v>173</v>
      </c>
      <c r="H158" s="22" t="s">
        <v>55</v>
      </c>
      <c r="I158" s="16" t="s">
        <v>174</v>
      </c>
      <c r="J158" s="11">
        <v>1</v>
      </c>
      <c r="K158" s="21" t="s">
        <v>2</v>
      </c>
      <c r="L158" s="13">
        <v>1</v>
      </c>
      <c r="M158" s="14">
        <v>0</v>
      </c>
      <c r="N158" s="14">
        <v>2</v>
      </c>
      <c r="O158" s="9">
        <v>1000</v>
      </c>
      <c r="P158" s="9" t="s">
        <v>175</v>
      </c>
      <c r="Q158" s="14">
        <v>1</v>
      </c>
      <c r="R158" s="9">
        <v>0</v>
      </c>
      <c r="S158" s="9">
        <v>0</v>
      </c>
      <c r="T158" s="8" t="s">
        <v>58</v>
      </c>
      <c r="U158" s="85">
        <v>51</v>
      </c>
      <c r="V158" s="8">
        <v>510510</v>
      </c>
      <c r="W158" s="16" t="s">
        <v>183</v>
      </c>
      <c r="X158" s="18">
        <v>52776</v>
      </c>
      <c r="Y158" s="18">
        <v>23456</v>
      </c>
      <c r="Z158" s="17">
        <v>4398</v>
      </c>
      <c r="AA158" s="17">
        <v>4398</v>
      </c>
      <c r="AB158" s="17">
        <v>4398</v>
      </c>
      <c r="AC158" s="17">
        <v>4398</v>
      </c>
      <c r="AD158" s="17">
        <v>4398</v>
      </c>
      <c r="AE158" s="17">
        <v>4398</v>
      </c>
      <c r="AF158" s="17">
        <v>4398</v>
      </c>
      <c r="AG158" s="17">
        <v>4398</v>
      </c>
      <c r="AH158" s="17">
        <v>4398</v>
      </c>
      <c r="AI158" s="17">
        <v>733</v>
      </c>
      <c r="AJ158" s="107">
        <v>1466</v>
      </c>
      <c r="AK158" s="17">
        <v>733</v>
      </c>
      <c r="AL158" s="17">
        <v>0</v>
      </c>
      <c r="AM158" s="17">
        <v>733</v>
      </c>
      <c r="AN158" s="17">
        <v>0</v>
      </c>
      <c r="AO158" s="17">
        <v>733</v>
      </c>
      <c r="AP158" s="17">
        <v>0</v>
      </c>
      <c r="AQ158" s="17">
        <v>733</v>
      </c>
      <c r="AR158" s="17">
        <v>0</v>
      </c>
      <c r="AS158" s="17">
        <v>733</v>
      </c>
      <c r="AT158" s="17">
        <v>0</v>
      </c>
      <c r="AU158" s="17">
        <v>733</v>
      </c>
      <c r="AV158" s="17">
        <v>0</v>
      </c>
      <c r="AW158" s="17">
        <v>733</v>
      </c>
      <c r="AX158" s="19">
        <f t="shared" si="13"/>
        <v>23456</v>
      </c>
      <c r="AY158" s="10" t="str">
        <f t="shared" si="14"/>
        <v>OK</v>
      </c>
      <c r="AZ158" s="10">
        <f t="shared" si="12"/>
        <v>23456</v>
      </c>
      <c r="BA158" s="10">
        <f t="shared" si="15"/>
        <v>0</v>
      </c>
      <c r="BB158" s="17">
        <v>0</v>
      </c>
      <c r="BC158" s="113">
        <f t="shared" si="16"/>
        <v>23456</v>
      </c>
    </row>
    <row r="159" spans="1:55" s="118" customFormat="1" ht="13.5" customHeight="1">
      <c r="A159" s="16" t="s">
        <v>48</v>
      </c>
      <c r="B159" s="16" t="s">
        <v>49</v>
      </c>
      <c r="C159" s="16" t="s">
        <v>50</v>
      </c>
      <c r="D159" s="23" t="s">
        <v>172</v>
      </c>
      <c r="E159" s="16" t="s">
        <v>52</v>
      </c>
      <c r="F159" s="16" t="s">
        <v>53</v>
      </c>
      <c r="G159" s="16" t="s">
        <v>173</v>
      </c>
      <c r="H159" s="22" t="s">
        <v>55</v>
      </c>
      <c r="I159" s="16" t="s">
        <v>174</v>
      </c>
      <c r="J159" s="11">
        <v>1</v>
      </c>
      <c r="K159" s="21" t="s">
        <v>2</v>
      </c>
      <c r="L159" s="13">
        <v>1</v>
      </c>
      <c r="M159" s="14">
        <v>0</v>
      </c>
      <c r="N159" s="14">
        <v>2</v>
      </c>
      <c r="O159" s="9">
        <v>1000</v>
      </c>
      <c r="P159" s="9" t="s">
        <v>175</v>
      </c>
      <c r="Q159" s="14">
        <v>1</v>
      </c>
      <c r="R159" s="9">
        <v>0</v>
      </c>
      <c r="S159" s="9">
        <v>0</v>
      </c>
      <c r="T159" s="8" t="s">
        <v>58</v>
      </c>
      <c r="U159" s="85">
        <v>51</v>
      </c>
      <c r="V159" s="8">
        <v>510601</v>
      </c>
      <c r="W159" s="16" t="s">
        <v>181</v>
      </c>
      <c r="X159" s="18">
        <v>5093</v>
      </c>
      <c r="Y159" s="18">
        <v>2263.68</v>
      </c>
      <c r="Z159" s="17">
        <v>424</v>
      </c>
      <c r="AA159" s="17">
        <v>424.44</v>
      </c>
      <c r="AB159" s="17">
        <v>424</v>
      </c>
      <c r="AC159" s="17">
        <v>424.44</v>
      </c>
      <c r="AD159" s="17">
        <v>424</v>
      </c>
      <c r="AE159" s="17">
        <v>424.44</v>
      </c>
      <c r="AF159" s="17">
        <v>424</v>
      </c>
      <c r="AG159" s="17">
        <v>424.44</v>
      </c>
      <c r="AH159" s="17">
        <v>424</v>
      </c>
      <c r="AI159" s="17">
        <v>70.74</v>
      </c>
      <c r="AJ159" s="107">
        <v>143.67999999999984</v>
      </c>
      <c r="AK159" s="17">
        <v>70.74</v>
      </c>
      <c r="AL159" s="17">
        <v>0</v>
      </c>
      <c r="AM159" s="17">
        <v>70.74</v>
      </c>
      <c r="AN159" s="17">
        <v>0</v>
      </c>
      <c r="AO159" s="17">
        <v>70.74</v>
      </c>
      <c r="AP159" s="17">
        <v>0</v>
      </c>
      <c r="AQ159" s="17">
        <v>70.74</v>
      </c>
      <c r="AR159" s="17">
        <v>0</v>
      </c>
      <c r="AS159" s="17">
        <v>70.74</v>
      </c>
      <c r="AT159" s="17">
        <v>0</v>
      </c>
      <c r="AU159" s="17">
        <v>70.74</v>
      </c>
      <c r="AV159" s="17">
        <v>0</v>
      </c>
      <c r="AW159" s="17">
        <v>70.74</v>
      </c>
      <c r="AX159" s="19">
        <f t="shared" si="13"/>
        <v>2263.68</v>
      </c>
      <c r="AY159" s="10" t="str">
        <f t="shared" si="14"/>
        <v>OK</v>
      </c>
      <c r="AZ159" s="10">
        <f t="shared" si="12"/>
        <v>2263.6799999999994</v>
      </c>
      <c r="BA159" s="10">
        <f t="shared" si="15"/>
        <v>-1.9895196601282805E-13</v>
      </c>
      <c r="BB159" s="17">
        <v>0</v>
      </c>
      <c r="BC159" s="113">
        <f t="shared" si="16"/>
        <v>2263.68</v>
      </c>
    </row>
    <row r="160" spans="1:55" s="118" customFormat="1" ht="13.5" customHeight="1">
      <c r="A160" s="16" t="s">
        <v>48</v>
      </c>
      <c r="B160" s="16" t="s">
        <v>49</v>
      </c>
      <c r="C160" s="16" t="s">
        <v>50</v>
      </c>
      <c r="D160" s="23" t="s">
        <v>172</v>
      </c>
      <c r="E160" s="16" t="s">
        <v>52</v>
      </c>
      <c r="F160" s="16" t="s">
        <v>53</v>
      </c>
      <c r="G160" s="16" t="s">
        <v>173</v>
      </c>
      <c r="H160" s="22" t="s">
        <v>55</v>
      </c>
      <c r="I160" s="16" t="s">
        <v>174</v>
      </c>
      <c r="J160" s="11">
        <v>1</v>
      </c>
      <c r="K160" s="21" t="s">
        <v>2</v>
      </c>
      <c r="L160" s="13">
        <v>1</v>
      </c>
      <c r="M160" s="14">
        <v>0</v>
      </c>
      <c r="N160" s="14">
        <v>2</v>
      </c>
      <c r="O160" s="9">
        <v>1000</v>
      </c>
      <c r="P160" s="9" t="s">
        <v>175</v>
      </c>
      <c r="Q160" s="14">
        <v>1</v>
      </c>
      <c r="R160" s="9">
        <v>0</v>
      </c>
      <c r="S160" s="9">
        <v>0</v>
      </c>
      <c r="T160" s="8" t="s">
        <v>58</v>
      </c>
      <c r="U160" s="85">
        <v>51</v>
      </c>
      <c r="V160" s="8">
        <v>510602</v>
      </c>
      <c r="W160" s="16" t="s">
        <v>182</v>
      </c>
      <c r="X160" s="18">
        <v>4398</v>
      </c>
      <c r="Y160" s="18">
        <v>1892.86</v>
      </c>
      <c r="Z160" s="17">
        <v>366</v>
      </c>
      <c r="AA160" s="17">
        <v>0</v>
      </c>
      <c r="AB160" s="17">
        <v>366</v>
      </c>
      <c r="AC160" s="17">
        <v>366.36</v>
      </c>
      <c r="AD160" s="17">
        <v>366</v>
      </c>
      <c r="AE160" s="17">
        <v>366.36</v>
      </c>
      <c r="AF160" s="17">
        <v>366</v>
      </c>
      <c r="AG160" s="17">
        <v>366.36</v>
      </c>
      <c r="AH160" s="17">
        <v>366</v>
      </c>
      <c r="AI160" s="17">
        <v>305.3</v>
      </c>
      <c r="AJ160" s="107">
        <v>62.8599999999999</v>
      </c>
      <c r="AK160" s="17">
        <v>61.06</v>
      </c>
      <c r="AL160" s="17">
        <v>0</v>
      </c>
      <c r="AM160" s="17">
        <v>61.06</v>
      </c>
      <c r="AN160" s="17">
        <v>0</v>
      </c>
      <c r="AO160" s="17">
        <v>61.06</v>
      </c>
      <c r="AP160" s="17">
        <v>0</v>
      </c>
      <c r="AQ160" s="17">
        <v>61.06</v>
      </c>
      <c r="AR160" s="17">
        <v>0</v>
      </c>
      <c r="AS160" s="17">
        <v>61.06</v>
      </c>
      <c r="AT160" s="17">
        <v>0</v>
      </c>
      <c r="AU160" s="17">
        <v>61.06</v>
      </c>
      <c r="AV160" s="17">
        <v>0</v>
      </c>
      <c r="AW160" s="17">
        <v>122.12</v>
      </c>
      <c r="AX160" s="19">
        <f t="shared" si="13"/>
        <v>1892.86</v>
      </c>
      <c r="AY160" s="10" t="str">
        <f t="shared" si="14"/>
        <v>OK</v>
      </c>
      <c r="AZ160" s="10">
        <f t="shared" si="12"/>
        <v>1892.8599999999997</v>
      </c>
      <c r="BA160" s="10">
        <f t="shared" si="15"/>
        <v>-1.7053025658242404E-13</v>
      </c>
      <c r="BB160" s="17">
        <v>0</v>
      </c>
      <c r="BC160" s="113">
        <f t="shared" si="16"/>
        <v>1892.86</v>
      </c>
    </row>
    <row r="161" spans="1:55" s="118" customFormat="1" ht="13.5" customHeight="1">
      <c r="A161" s="16" t="s">
        <v>138</v>
      </c>
      <c r="B161" s="16" t="s">
        <v>139</v>
      </c>
      <c r="C161" s="16" t="s">
        <v>50</v>
      </c>
      <c r="D161" s="23" t="s">
        <v>172</v>
      </c>
      <c r="E161" s="16" t="s">
        <v>52</v>
      </c>
      <c r="F161" s="16" t="s">
        <v>53</v>
      </c>
      <c r="G161" s="16" t="s">
        <v>184</v>
      </c>
      <c r="H161" s="22" t="s">
        <v>185</v>
      </c>
      <c r="I161" s="16" t="s">
        <v>174</v>
      </c>
      <c r="J161" s="11">
        <v>1</v>
      </c>
      <c r="K161" s="21" t="s">
        <v>2</v>
      </c>
      <c r="L161" s="13">
        <v>55</v>
      </c>
      <c r="M161" s="14">
        <v>0</v>
      </c>
      <c r="N161" s="14">
        <v>2</v>
      </c>
      <c r="O161" s="9">
        <v>1000</v>
      </c>
      <c r="P161" s="9" t="s">
        <v>175</v>
      </c>
      <c r="Q161" s="14">
        <v>1</v>
      </c>
      <c r="R161" s="9">
        <v>0</v>
      </c>
      <c r="S161" s="9">
        <v>0</v>
      </c>
      <c r="T161" s="8" t="s">
        <v>58</v>
      </c>
      <c r="U161" s="85">
        <v>51</v>
      </c>
      <c r="V161" s="8">
        <v>510105</v>
      </c>
      <c r="W161" s="16" t="s">
        <v>176</v>
      </c>
      <c r="X161" s="18">
        <v>1649652</v>
      </c>
      <c r="Y161" s="18">
        <v>1642127.18</v>
      </c>
      <c r="Z161" s="17">
        <v>137471</v>
      </c>
      <c r="AA161" s="17">
        <v>136200.47</v>
      </c>
      <c r="AB161" s="17">
        <v>137471</v>
      </c>
      <c r="AC161" s="17">
        <v>136005</v>
      </c>
      <c r="AD161" s="17">
        <v>137471</v>
      </c>
      <c r="AE161" s="17">
        <v>137471</v>
      </c>
      <c r="AF161" s="17">
        <v>137471</v>
      </c>
      <c r="AG161" s="17">
        <v>136884.6</v>
      </c>
      <c r="AH161" s="17">
        <v>137471</v>
      </c>
      <c r="AI161" s="17">
        <v>136005</v>
      </c>
      <c r="AJ161" s="107">
        <v>137471</v>
      </c>
      <c r="AK161" s="17">
        <v>136322.63</v>
      </c>
      <c r="AL161" s="17">
        <v>137471</v>
      </c>
      <c r="AM161" s="17">
        <v>136738</v>
      </c>
      <c r="AN161" s="17">
        <v>137471</v>
      </c>
      <c r="AO161" s="17">
        <v>137471</v>
      </c>
      <c r="AP161" s="17">
        <v>137471</v>
      </c>
      <c r="AQ161" s="17">
        <v>137471</v>
      </c>
      <c r="AR161" s="17">
        <v>137471</v>
      </c>
      <c r="AS161" s="17">
        <v>136485</v>
      </c>
      <c r="AT161" s="17">
        <v>267417.17999999993</v>
      </c>
      <c r="AU161" s="17">
        <v>137602.47</v>
      </c>
      <c r="AV161" s="17">
        <v>0</v>
      </c>
      <c r="AW161" s="17">
        <v>137471.01</v>
      </c>
      <c r="AX161" s="19">
        <f t="shared" si="13"/>
        <v>1642127.18</v>
      </c>
      <c r="AY161" s="10" t="str">
        <f t="shared" si="14"/>
        <v>OK</v>
      </c>
      <c r="AZ161" s="10">
        <f t="shared" si="12"/>
        <v>1642127.18</v>
      </c>
      <c r="BA161" s="10">
        <f t="shared" si="15"/>
        <v>0</v>
      </c>
      <c r="BB161" s="17">
        <v>0</v>
      </c>
      <c r="BC161" s="113">
        <f t="shared" si="16"/>
        <v>1642127.18</v>
      </c>
    </row>
    <row r="162" spans="1:55" s="118" customFormat="1" ht="13.5" customHeight="1">
      <c r="A162" s="16" t="s">
        <v>138</v>
      </c>
      <c r="B162" s="16" t="s">
        <v>139</v>
      </c>
      <c r="C162" s="16" t="s">
        <v>50</v>
      </c>
      <c r="D162" s="23" t="s">
        <v>172</v>
      </c>
      <c r="E162" s="16" t="s">
        <v>52</v>
      </c>
      <c r="F162" s="16" t="s">
        <v>53</v>
      </c>
      <c r="G162" s="16" t="s">
        <v>184</v>
      </c>
      <c r="H162" s="22" t="s">
        <v>185</v>
      </c>
      <c r="I162" s="16" t="s">
        <v>174</v>
      </c>
      <c r="J162" s="11">
        <v>1</v>
      </c>
      <c r="K162" s="21" t="s">
        <v>2</v>
      </c>
      <c r="L162" s="13">
        <v>55</v>
      </c>
      <c r="M162" s="14">
        <v>0</v>
      </c>
      <c r="N162" s="14">
        <v>2</v>
      </c>
      <c r="O162" s="9">
        <v>1000</v>
      </c>
      <c r="P162" s="9" t="s">
        <v>175</v>
      </c>
      <c r="Q162" s="14">
        <v>1</v>
      </c>
      <c r="R162" s="9">
        <v>0</v>
      </c>
      <c r="S162" s="9">
        <v>0</v>
      </c>
      <c r="T162" s="8" t="s">
        <v>58</v>
      </c>
      <c r="U162" s="85">
        <v>51</v>
      </c>
      <c r="V162" s="8">
        <v>510203</v>
      </c>
      <c r="W162" s="16" t="s">
        <v>178</v>
      </c>
      <c r="X162" s="18">
        <v>89656</v>
      </c>
      <c r="Y162" s="18">
        <v>141812.2</v>
      </c>
      <c r="Z162" s="17">
        <v>2800</v>
      </c>
      <c r="AA162" s="17">
        <v>0</v>
      </c>
      <c r="AB162" s="17">
        <v>2800</v>
      </c>
      <c r="AC162" s="17">
        <v>5827.49</v>
      </c>
      <c r="AD162" s="17">
        <v>2800</v>
      </c>
      <c r="AE162" s="17">
        <v>2978.9</v>
      </c>
      <c r="AF162" s="17">
        <v>2800</v>
      </c>
      <c r="AG162" s="17">
        <v>3180.61</v>
      </c>
      <c r="AH162" s="17">
        <v>2800</v>
      </c>
      <c r="AI162" s="17">
        <v>3101.05</v>
      </c>
      <c r="AJ162" s="107">
        <v>2800</v>
      </c>
      <c r="AK162" s="17">
        <v>2854.7</v>
      </c>
      <c r="AL162" s="17">
        <v>2800</v>
      </c>
      <c r="AM162" s="17">
        <v>2828.23</v>
      </c>
      <c r="AN162" s="17">
        <v>2800</v>
      </c>
      <c r="AO162" s="17">
        <v>2828.23</v>
      </c>
      <c r="AP162" s="17">
        <v>2800</v>
      </c>
      <c r="AQ162" s="17">
        <v>2950.39</v>
      </c>
      <c r="AR162" s="17">
        <v>2800</v>
      </c>
      <c r="AS162" s="17">
        <v>2889.31</v>
      </c>
      <c r="AT162" s="17">
        <v>2800</v>
      </c>
      <c r="AU162" s="17">
        <v>3578.72</v>
      </c>
      <c r="AV162" s="17">
        <v>111012.20000000001</v>
      </c>
      <c r="AW162" s="17">
        <v>108794.57</v>
      </c>
      <c r="AX162" s="19">
        <f t="shared" si="13"/>
        <v>141812.2</v>
      </c>
      <c r="AY162" s="10" t="str">
        <f t="shared" si="14"/>
        <v>OK</v>
      </c>
      <c r="AZ162" s="10">
        <f t="shared" si="12"/>
        <v>141812.2</v>
      </c>
      <c r="BA162" s="10">
        <f t="shared" si="15"/>
        <v>0</v>
      </c>
      <c r="BB162" s="17">
        <v>0</v>
      </c>
      <c r="BC162" s="113">
        <f t="shared" si="16"/>
        <v>141812.2</v>
      </c>
    </row>
    <row r="163" spans="1:55" s="118" customFormat="1" ht="13.5" customHeight="1">
      <c r="A163" s="16" t="s">
        <v>138</v>
      </c>
      <c r="B163" s="16" t="s">
        <v>139</v>
      </c>
      <c r="C163" s="16" t="s">
        <v>50</v>
      </c>
      <c r="D163" s="23" t="s">
        <v>172</v>
      </c>
      <c r="E163" s="16" t="s">
        <v>52</v>
      </c>
      <c r="F163" s="16" t="s">
        <v>53</v>
      </c>
      <c r="G163" s="16" t="s">
        <v>184</v>
      </c>
      <c r="H163" s="22" t="s">
        <v>185</v>
      </c>
      <c r="I163" s="16" t="s">
        <v>174</v>
      </c>
      <c r="J163" s="11">
        <v>1</v>
      </c>
      <c r="K163" s="21" t="s">
        <v>2</v>
      </c>
      <c r="L163" s="13">
        <v>55</v>
      </c>
      <c r="M163" s="14">
        <v>0</v>
      </c>
      <c r="N163" s="14">
        <v>2</v>
      </c>
      <c r="O163" s="9">
        <v>1000</v>
      </c>
      <c r="P163" s="9" t="s">
        <v>175</v>
      </c>
      <c r="Q163" s="14">
        <v>1</v>
      </c>
      <c r="R163" s="9">
        <v>0</v>
      </c>
      <c r="S163" s="9">
        <v>0</v>
      </c>
      <c r="T163" s="8" t="s">
        <v>58</v>
      </c>
      <c r="U163" s="85">
        <v>51</v>
      </c>
      <c r="V163" s="8">
        <v>510204</v>
      </c>
      <c r="W163" s="16" t="s">
        <v>179</v>
      </c>
      <c r="X163" s="18">
        <v>68400</v>
      </c>
      <c r="Y163" s="18">
        <v>64149.67</v>
      </c>
      <c r="Z163" s="17">
        <v>3000</v>
      </c>
      <c r="AA163" s="17">
        <v>0</v>
      </c>
      <c r="AB163" s="17">
        <v>3000</v>
      </c>
      <c r="AC163" s="17">
        <v>3074.45</v>
      </c>
      <c r="AD163" s="17">
        <v>19000</v>
      </c>
      <c r="AE163" s="17">
        <v>16740.75</v>
      </c>
      <c r="AF163" s="17">
        <v>3000</v>
      </c>
      <c r="AG163" s="17">
        <v>1584.45</v>
      </c>
      <c r="AH163" s="17">
        <v>3000</v>
      </c>
      <c r="AI163" s="17">
        <v>1575.01</v>
      </c>
      <c r="AJ163" s="107">
        <v>3000</v>
      </c>
      <c r="AK163" s="17">
        <v>1502.99</v>
      </c>
      <c r="AL163" s="17">
        <v>3000</v>
      </c>
      <c r="AM163" s="17">
        <v>1487.64</v>
      </c>
      <c r="AN163" s="17">
        <v>19400</v>
      </c>
      <c r="AO163" s="17">
        <v>31874.9</v>
      </c>
      <c r="AP163" s="17">
        <v>3000</v>
      </c>
      <c r="AQ163" s="17">
        <v>1558.48</v>
      </c>
      <c r="AR163" s="17">
        <v>3000</v>
      </c>
      <c r="AS163" s="17">
        <v>1523.06</v>
      </c>
      <c r="AT163" s="17">
        <v>1749.6699999999983</v>
      </c>
      <c r="AU163" s="17">
        <v>1740.3</v>
      </c>
      <c r="AV163" s="10">
        <v>0</v>
      </c>
      <c r="AW163" s="17">
        <v>1487.64</v>
      </c>
      <c r="AX163" s="19">
        <f t="shared" si="13"/>
        <v>64149.67</v>
      </c>
      <c r="AY163" s="10" t="str">
        <f t="shared" si="14"/>
        <v>OK</v>
      </c>
      <c r="AZ163" s="10">
        <f t="shared" si="12"/>
        <v>64149.670000000006</v>
      </c>
      <c r="BA163" s="10">
        <f t="shared" si="15"/>
        <v>-4.092726157978177E-12</v>
      </c>
      <c r="BB163" s="17">
        <v>0</v>
      </c>
      <c r="BC163" s="113">
        <f t="shared" si="16"/>
        <v>64149.67</v>
      </c>
    </row>
    <row r="164" spans="1:55" s="118" customFormat="1" ht="13.5" customHeight="1">
      <c r="A164" s="16" t="s">
        <v>138</v>
      </c>
      <c r="B164" s="16" t="s">
        <v>139</v>
      </c>
      <c r="C164" s="16" t="s">
        <v>50</v>
      </c>
      <c r="D164" s="23" t="s">
        <v>172</v>
      </c>
      <c r="E164" s="16" t="s">
        <v>52</v>
      </c>
      <c r="F164" s="16" t="s">
        <v>53</v>
      </c>
      <c r="G164" s="16" t="s">
        <v>184</v>
      </c>
      <c r="H164" s="22" t="s">
        <v>185</v>
      </c>
      <c r="I164" s="16" t="s">
        <v>174</v>
      </c>
      <c r="J164" s="11">
        <v>1</v>
      </c>
      <c r="K164" s="21" t="s">
        <v>2</v>
      </c>
      <c r="L164" s="13">
        <v>55</v>
      </c>
      <c r="M164" s="14">
        <v>0</v>
      </c>
      <c r="N164" s="14">
        <v>2</v>
      </c>
      <c r="O164" s="9">
        <v>1000</v>
      </c>
      <c r="P164" s="9" t="s">
        <v>175</v>
      </c>
      <c r="Q164" s="14">
        <v>1</v>
      </c>
      <c r="R164" s="9">
        <v>0</v>
      </c>
      <c r="S164" s="9">
        <v>0</v>
      </c>
      <c r="T164" s="8" t="s">
        <v>58</v>
      </c>
      <c r="U164" s="85">
        <v>51</v>
      </c>
      <c r="V164" s="8">
        <v>510510</v>
      </c>
      <c r="W164" s="16" t="s">
        <v>183</v>
      </c>
      <c r="X164" s="18">
        <v>29424</v>
      </c>
      <c r="Y164" s="18">
        <v>54341.3</v>
      </c>
      <c r="Z164" s="17">
        <v>2452</v>
      </c>
      <c r="AA164" s="17">
        <v>2452</v>
      </c>
      <c r="AB164" s="17">
        <v>2452</v>
      </c>
      <c r="AC164" s="17">
        <v>2452</v>
      </c>
      <c r="AD164" s="17">
        <v>2452</v>
      </c>
      <c r="AE164" s="17">
        <v>2452</v>
      </c>
      <c r="AF164" s="17">
        <v>2452</v>
      </c>
      <c r="AG164" s="17">
        <v>1466</v>
      </c>
      <c r="AH164" s="17">
        <v>2452</v>
      </c>
      <c r="AI164" s="17">
        <v>1466</v>
      </c>
      <c r="AJ164" s="107">
        <v>2452</v>
      </c>
      <c r="AK164" s="17">
        <v>5864</v>
      </c>
      <c r="AL164" s="17">
        <v>2452</v>
      </c>
      <c r="AM164" s="17">
        <v>5864</v>
      </c>
      <c r="AN164" s="17">
        <v>2452</v>
      </c>
      <c r="AO164" s="17">
        <v>5937.3</v>
      </c>
      <c r="AP164" s="17">
        <v>2452</v>
      </c>
      <c r="AQ164" s="17">
        <v>6597</v>
      </c>
      <c r="AR164" s="17">
        <v>2452</v>
      </c>
      <c r="AS164" s="17">
        <v>6597</v>
      </c>
      <c r="AT164" s="17">
        <v>4904</v>
      </c>
      <c r="AU164" s="17">
        <v>6597</v>
      </c>
      <c r="AV164" s="17">
        <v>24917.300000000003</v>
      </c>
      <c r="AW164" s="17">
        <v>6597</v>
      </c>
      <c r="AX164" s="19">
        <f t="shared" si="13"/>
        <v>54341.3</v>
      </c>
      <c r="AY164" s="10" t="str">
        <f t="shared" si="14"/>
        <v>OK</v>
      </c>
      <c r="AZ164" s="10">
        <f t="shared" si="12"/>
        <v>54341.3</v>
      </c>
      <c r="BA164" s="10">
        <f t="shared" si="15"/>
        <v>0</v>
      </c>
      <c r="BB164" s="17">
        <v>0</v>
      </c>
      <c r="BC164" s="113">
        <f t="shared" si="16"/>
        <v>54341.3</v>
      </c>
    </row>
    <row r="165" spans="1:55" s="118" customFormat="1" ht="13.5" customHeight="1">
      <c r="A165" s="16" t="s">
        <v>48</v>
      </c>
      <c r="B165" s="16" t="s">
        <v>49</v>
      </c>
      <c r="C165" s="16" t="s">
        <v>50</v>
      </c>
      <c r="D165" s="23" t="s">
        <v>172</v>
      </c>
      <c r="E165" s="16" t="s">
        <v>52</v>
      </c>
      <c r="F165" s="16" t="s">
        <v>53</v>
      </c>
      <c r="G165" s="16" t="s">
        <v>173</v>
      </c>
      <c r="H165" s="22" t="s">
        <v>55</v>
      </c>
      <c r="I165" s="16" t="s">
        <v>174</v>
      </c>
      <c r="J165" s="11">
        <v>1</v>
      </c>
      <c r="K165" s="21" t="s">
        <v>2</v>
      </c>
      <c r="L165" s="13">
        <v>1</v>
      </c>
      <c r="M165" s="14">
        <v>0</v>
      </c>
      <c r="N165" s="14">
        <v>1</v>
      </c>
      <c r="O165" s="9">
        <v>1000</v>
      </c>
      <c r="P165" s="9" t="s">
        <v>175</v>
      </c>
      <c r="Q165" s="14">
        <v>1</v>
      </c>
      <c r="R165" s="9">
        <v>0</v>
      </c>
      <c r="S165" s="9">
        <v>0</v>
      </c>
      <c r="T165" s="8" t="s">
        <v>58</v>
      </c>
      <c r="U165" s="85">
        <v>51</v>
      </c>
      <c r="V165" s="8">
        <v>510512</v>
      </c>
      <c r="W165" s="16" t="s">
        <v>186</v>
      </c>
      <c r="X165" s="127">
        <v>0</v>
      </c>
      <c r="Y165" s="18">
        <v>78.34</v>
      </c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78.34</v>
      </c>
      <c r="AI165" s="17">
        <v>0</v>
      </c>
      <c r="AJ165" s="107"/>
      <c r="AK165" s="17">
        <v>0</v>
      </c>
      <c r="AL165" s="17">
        <v>0</v>
      </c>
      <c r="AM165" s="17">
        <v>0</v>
      </c>
      <c r="AN165" s="17">
        <v>0</v>
      </c>
      <c r="AO165" s="17">
        <v>0</v>
      </c>
      <c r="AP165" s="17">
        <v>0</v>
      </c>
      <c r="AQ165" s="17">
        <v>0</v>
      </c>
      <c r="AR165" s="17">
        <v>0</v>
      </c>
      <c r="AS165" s="17">
        <v>0</v>
      </c>
      <c r="AT165" s="17">
        <v>0</v>
      </c>
      <c r="AU165" s="17">
        <v>0</v>
      </c>
      <c r="AV165" s="17">
        <v>0</v>
      </c>
      <c r="AW165" s="17">
        <v>78.34</v>
      </c>
      <c r="AX165" s="19">
        <f t="shared" si="13"/>
        <v>78.34</v>
      </c>
      <c r="AY165" s="10" t="str">
        <f t="shared" si="14"/>
        <v>OK</v>
      </c>
      <c r="AZ165" s="10">
        <f t="shared" si="12"/>
        <v>78.34</v>
      </c>
      <c r="BA165" s="10">
        <f t="shared" si="15"/>
        <v>0</v>
      </c>
      <c r="BB165" s="17">
        <v>0</v>
      </c>
      <c r="BC165" s="113">
        <f t="shared" si="16"/>
        <v>78.34</v>
      </c>
    </row>
    <row r="166" spans="1:55" s="118" customFormat="1" ht="13.5" customHeight="1">
      <c r="A166" s="16" t="s">
        <v>138</v>
      </c>
      <c r="B166" s="16" t="s">
        <v>139</v>
      </c>
      <c r="C166" s="16" t="s">
        <v>50</v>
      </c>
      <c r="D166" s="23" t="s">
        <v>172</v>
      </c>
      <c r="E166" s="16" t="s">
        <v>52</v>
      </c>
      <c r="F166" s="16" t="s">
        <v>53</v>
      </c>
      <c r="G166" s="16" t="s">
        <v>187</v>
      </c>
      <c r="H166" s="22" t="s">
        <v>142</v>
      </c>
      <c r="I166" s="16" t="s">
        <v>174</v>
      </c>
      <c r="J166" s="11">
        <v>1</v>
      </c>
      <c r="K166" s="21" t="s">
        <v>2</v>
      </c>
      <c r="L166" s="13">
        <v>55</v>
      </c>
      <c r="M166" s="14">
        <v>0</v>
      </c>
      <c r="N166" s="14">
        <v>3</v>
      </c>
      <c r="O166" s="9">
        <v>1000</v>
      </c>
      <c r="P166" s="9" t="s">
        <v>175</v>
      </c>
      <c r="Q166" s="14">
        <v>1</v>
      </c>
      <c r="R166" s="9">
        <v>0</v>
      </c>
      <c r="S166" s="9">
        <v>0</v>
      </c>
      <c r="T166" s="8" t="s">
        <v>58</v>
      </c>
      <c r="U166" s="85">
        <v>51</v>
      </c>
      <c r="V166" s="8">
        <v>510512</v>
      </c>
      <c r="W166" s="16" t="s">
        <v>186</v>
      </c>
      <c r="X166" s="127">
        <v>0</v>
      </c>
      <c r="Y166" s="18">
        <v>553.6</v>
      </c>
      <c r="Z166" s="17">
        <v>0</v>
      </c>
      <c r="AA166" s="17">
        <v>0</v>
      </c>
      <c r="AB166" s="17">
        <v>0</v>
      </c>
      <c r="AC166" s="17">
        <v>230.67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07">
        <v>553.6</v>
      </c>
      <c r="AK166" s="17">
        <v>0</v>
      </c>
      <c r="AL166" s="17">
        <v>0</v>
      </c>
      <c r="AM166" s="17">
        <v>0</v>
      </c>
      <c r="AN166" s="17">
        <v>0</v>
      </c>
      <c r="AO166" s="17">
        <v>0</v>
      </c>
      <c r="AP166" s="17">
        <v>0</v>
      </c>
      <c r="AQ166" s="17">
        <v>322.93</v>
      </c>
      <c r="AR166" s="17">
        <v>0</v>
      </c>
      <c r="AS166" s="17">
        <v>0</v>
      </c>
      <c r="AT166" s="17">
        <v>0</v>
      </c>
      <c r="AU166" s="17">
        <v>0</v>
      </c>
      <c r="AV166" s="17">
        <v>0</v>
      </c>
      <c r="AW166" s="17">
        <v>0</v>
      </c>
      <c r="AX166" s="19">
        <f t="shared" si="13"/>
        <v>553.6</v>
      </c>
      <c r="AY166" s="10" t="str">
        <f t="shared" si="14"/>
        <v>OK</v>
      </c>
      <c r="AZ166" s="10">
        <f t="shared" si="12"/>
        <v>553.6</v>
      </c>
      <c r="BA166" s="10">
        <f t="shared" si="15"/>
        <v>5.684341886080802E-14</v>
      </c>
      <c r="BB166" s="17">
        <v>0</v>
      </c>
      <c r="BC166" s="113">
        <f t="shared" si="16"/>
        <v>553.6</v>
      </c>
    </row>
    <row r="167" spans="1:55" s="118" customFormat="1" ht="13.5" customHeight="1">
      <c r="A167" s="16" t="s">
        <v>138</v>
      </c>
      <c r="B167" s="16" t="s">
        <v>139</v>
      </c>
      <c r="C167" s="16" t="s">
        <v>50</v>
      </c>
      <c r="D167" s="23" t="s">
        <v>172</v>
      </c>
      <c r="E167" s="16" t="s">
        <v>52</v>
      </c>
      <c r="F167" s="16" t="s">
        <v>53</v>
      </c>
      <c r="G167" s="16" t="s">
        <v>184</v>
      </c>
      <c r="H167" s="22" t="s">
        <v>185</v>
      </c>
      <c r="I167" s="16" t="s">
        <v>174</v>
      </c>
      <c r="J167" s="11">
        <v>1</v>
      </c>
      <c r="K167" s="21" t="s">
        <v>2</v>
      </c>
      <c r="L167" s="13">
        <v>55</v>
      </c>
      <c r="M167" s="14">
        <v>0</v>
      </c>
      <c r="N167" s="14">
        <v>2</v>
      </c>
      <c r="O167" s="9">
        <v>1000</v>
      </c>
      <c r="P167" s="9" t="s">
        <v>175</v>
      </c>
      <c r="Q167" s="14">
        <v>1</v>
      </c>
      <c r="R167" s="9">
        <v>0</v>
      </c>
      <c r="S167" s="9">
        <v>0</v>
      </c>
      <c r="T167" s="8" t="s">
        <v>58</v>
      </c>
      <c r="U167" s="85">
        <v>51</v>
      </c>
      <c r="V167" s="8">
        <v>510512</v>
      </c>
      <c r="W167" s="16" t="s">
        <v>186</v>
      </c>
      <c r="X167" s="18">
        <v>1384</v>
      </c>
      <c r="Y167" s="18">
        <v>1868.41</v>
      </c>
      <c r="Z167" s="17">
        <v>0</v>
      </c>
      <c r="AA167" s="17">
        <v>0</v>
      </c>
      <c r="AB167" s="17">
        <v>0</v>
      </c>
      <c r="AC167" s="17">
        <v>576.67</v>
      </c>
      <c r="AD167" s="17">
        <v>346</v>
      </c>
      <c r="AE167" s="17">
        <v>0</v>
      </c>
      <c r="AF167" s="17">
        <v>346</v>
      </c>
      <c r="AG167" s="17">
        <v>0</v>
      </c>
      <c r="AH167" s="17">
        <v>0</v>
      </c>
      <c r="AI167" s="17">
        <v>0</v>
      </c>
      <c r="AJ167" s="107">
        <v>346</v>
      </c>
      <c r="AK167" s="17">
        <v>0</v>
      </c>
      <c r="AL167" s="17">
        <v>0</v>
      </c>
      <c r="AM167" s="17">
        <v>715.07</v>
      </c>
      <c r="AN167" s="17">
        <v>830.4100000000001</v>
      </c>
      <c r="AO167" s="17">
        <v>0</v>
      </c>
      <c r="AP167" s="17">
        <v>0</v>
      </c>
      <c r="AQ167" s="17">
        <v>346</v>
      </c>
      <c r="AR167" s="17">
        <v>0</v>
      </c>
      <c r="AS167" s="17">
        <v>0</v>
      </c>
      <c r="AT167" s="17">
        <v>0</v>
      </c>
      <c r="AU167" s="17">
        <v>0</v>
      </c>
      <c r="AV167" s="17">
        <v>0</v>
      </c>
      <c r="AW167" s="17">
        <v>230.67</v>
      </c>
      <c r="AX167" s="19">
        <f t="shared" si="13"/>
        <v>1868.41</v>
      </c>
      <c r="AY167" s="10" t="str">
        <f t="shared" si="14"/>
        <v>OK</v>
      </c>
      <c r="AZ167" s="10">
        <f t="shared" si="12"/>
        <v>1868.41</v>
      </c>
      <c r="BA167" s="10">
        <f t="shared" si="15"/>
        <v>0</v>
      </c>
      <c r="BB167" s="17">
        <v>0</v>
      </c>
      <c r="BC167" s="113">
        <f t="shared" si="16"/>
        <v>1868.41</v>
      </c>
    </row>
    <row r="168" spans="1:55" s="118" customFormat="1" ht="13.5" customHeight="1">
      <c r="A168" s="16" t="s">
        <v>138</v>
      </c>
      <c r="B168" s="16" t="s">
        <v>139</v>
      </c>
      <c r="C168" s="16" t="s">
        <v>50</v>
      </c>
      <c r="D168" s="23" t="s">
        <v>172</v>
      </c>
      <c r="E168" s="16" t="s">
        <v>52</v>
      </c>
      <c r="F168" s="16" t="s">
        <v>53</v>
      </c>
      <c r="G168" s="16" t="s">
        <v>184</v>
      </c>
      <c r="H168" s="22" t="s">
        <v>185</v>
      </c>
      <c r="I168" s="16" t="s">
        <v>174</v>
      </c>
      <c r="J168" s="11">
        <v>1</v>
      </c>
      <c r="K168" s="21" t="s">
        <v>2</v>
      </c>
      <c r="L168" s="13">
        <v>55</v>
      </c>
      <c r="M168" s="14">
        <v>0</v>
      </c>
      <c r="N168" s="14">
        <v>2</v>
      </c>
      <c r="O168" s="9">
        <v>1000</v>
      </c>
      <c r="P168" s="9" t="s">
        <v>175</v>
      </c>
      <c r="Q168" s="14">
        <v>1</v>
      </c>
      <c r="R168" s="9">
        <v>0</v>
      </c>
      <c r="S168" s="9">
        <v>0</v>
      </c>
      <c r="T168" s="8" t="s">
        <v>58</v>
      </c>
      <c r="U168" s="85">
        <v>51</v>
      </c>
      <c r="V168" s="8">
        <v>510601</v>
      </c>
      <c r="W168" s="16" t="s">
        <v>181</v>
      </c>
      <c r="X168" s="18">
        <v>162031</v>
      </c>
      <c r="Y168" s="18">
        <v>164235.08</v>
      </c>
      <c r="Z168" s="17">
        <v>13502</v>
      </c>
      <c r="AA168" s="17">
        <v>13380.72</v>
      </c>
      <c r="AB168" s="17">
        <v>13502</v>
      </c>
      <c r="AC168" s="17">
        <v>13484.29</v>
      </c>
      <c r="AD168" s="17">
        <v>13502</v>
      </c>
      <c r="AE168" s="17">
        <v>13570.12</v>
      </c>
      <c r="AF168" s="17">
        <v>13502</v>
      </c>
      <c r="AG168" s="17">
        <v>13418.37</v>
      </c>
      <c r="AH168" s="17">
        <v>13502</v>
      </c>
      <c r="AI168" s="17">
        <v>13295.65</v>
      </c>
      <c r="AJ168" s="107">
        <v>13502</v>
      </c>
      <c r="AK168" s="17">
        <v>13721.8</v>
      </c>
      <c r="AL168" s="17">
        <v>13502</v>
      </c>
      <c r="AM168" s="17">
        <v>13830.9</v>
      </c>
      <c r="AN168" s="17">
        <v>13502</v>
      </c>
      <c r="AO168" s="17">
        <v>13839.71</v>
      </c>
      <c r="AP168" s="17">
        <v>13502</v>
      </c>
      <c r="AQ168" s="17">
        <v>13936.76</v>
      </c>
      <c r="AR168" s="17">
        <v>13502</v>
      </c>
      <c r="AS168" s="17">
        <v>13808.22</v>
      </c>
      <c r="AT168" s="17">
        <v>26939.660000000003</v>
      </c>
      <c r="AU168" s="17">
        <v>13916.06</v>
      </c>
      <c r="AV168" s="17">
        <v>2275.4199999999837</v>
      </c>
      <c r="AW168" s="17">
        <v>14032.48</v>
      </c>
      <c r="AX168" s="19">
        <f t="shared" si="13"/>
        <v>164235.08</v>
      </c>
      <c r="AY168" s="10" t="str">
        <f t="shared" si="14"/>
        <v>OK</v>
      </c>
      <c r="AZ168" s="10">
        <f t="shared" si="12"/>
        <v>164235.08</v>
      </c>
      <c r="BA168" s="10">
        <f t="shared" si="15"/>
        <v>0</v>
      </c>
      <c r="BB168" s="17">
        <v>0</v>
      </c>
      <c r="BC168" s="113">
        <f t="shared" si="16"/>
        <v>164235.08</v>
      </c>
    </row>
    <row r="169" spans="1:55" s="118" customFormat="1" ht="13.5" customHeight="1">
      <c r="A169" s="16" t="s">
        <v>138</v>
      </c>
      <c r="B169" s="16" t="s">
        <v>139</v>
      </c>
      <c r="C169" s="16" t="s">
        <v>50</v>
      </c>
      <c r="D169" s="23" t="s">
        <v>172</v>
      </c>
      <c r="E169" s="16" t="s">
        <v>52</v>
      </c>
      <c r="F169" s="16" t="s">
        <v>53</v>
      </c>
      <c r="G169" s="16" t="s">
        <v>184</v>
      </c>
      <c r="H169" s="22" t="s">
        <v>185</v>
      </c>
      <c r="I169" s="16" t="s">
        <v>174</v>
      </c>
      <c r="J169" s="11">
        <v>1</v>
      </c>
      <c r="K169" s="21" t="s">
        <v>2</v>
      </c>
      <c r="L169" s="13">
        <v>55</v>
      </c>
      <c r="M169" s="14">
        <v>0</v>
      </c>
      <c r="N169" s="14">
        <v>2</v>
      </c>
      <c r="O169" s="9">
        <v>1000</v>
      </c>
      <c r="P169" s="9" t="s">
        <v>175</v>
      </c>
      <c r="Q169" s="14">
        <v>1</v>
      </c>
      <c r="R169" s="9">
        <v>0</v>
      </c>
      <c r="S169" s="9">
        <v>0</v>
      </c>
      <c r="T169" s="8" t="s">
        <v>58</v>
      </c>
      <c r="U169" s="85">
        <v>51</v>
      </c>
      <c r="V169" s="8">
        <v>510602</v>
      </c>
      <c r="W169" s="16" t="s">
        <v>182</v>
      </c>
      <c r="X169" s="18">
        <v>139923</v>
      </c>
      <c r="Y169" s="18">
        <v>134813.92</v>
      </c>
      <c r="Z169" s="17">
        <v>11660</v>
      </c>
      <c r="AA169" s="17">
        <v>0</v>
      </c>
      <c r="AB169" s="17">
        <v>11660</v>
      </c>
      <c r="AC169" s="17">
        <v>11211.79</v>
      </c>
      <c r="AD169" s="17">
        <v>11660</v>
      </c>
      <c r="AE169" s="17">
        <v>11192.25</v>
      </c>
      <c r="AF169" s="17">
        <v>11660</v>
      </c>
      <c r="AG169" s="17">
        <v>11285.88</v>
      </c>
      <c r="AH169" s="17">
        <v>11660</v>
      </c>
      <c r="AI169" s="17">
        <v>11154.81</v>
      </c>
      <c r="AJ169" s="107">
        <v>11660</v>
      </c>
      <c r="AK169" s="17">
        <v>11085.05</v>
      </c>
      <c r="AL169" s="17">
        <v>11660</v>
      </c>
      <c r="AM169" s="17">
        <v>11144.62</v>
      </c>
      <c r="AN169" s="17">
        <v>11660</v>
      </c>
      <c r="AO169" s="17">
        <v>11146.11</v>
      </c>
      <c r="AP169" s="17">
        <v>11660</v>
      </c>
      <c r="AQ169" s="17">
        <v>11358.11</v>
      </c>
      <c r="AR169" s="17">
        <v>11660</v>
      </c>
      <c r="AS169" s="17">
        <v>11329.29</v>
      </c>
      <c r="AT169" s="17">
        <v>18213.920000000013</v>
      </c>
      <c r="AU169" s="17">
        <v>11197.05</v>
      </c>
      <c r="AV169" s="17">
        <v>0</v>
      </c>
      <c r="AW169" s="17">
        <v>22708.96</v>
      </c>
      <c r="AX169" s="19">
        <f t="shared" si="13"/>
        <v>134813.92</v>
      </c>
      <c r="AY169" s="10" t="str">
        <f t="shared" si="14"/>
        <v>OK</v>
      </c>
      <c r="AZ169" s="10">
        <f t="shared" si="12"/>
        <v>134813.92</v>
      </c>
      <c r="BA169" s="10">
        <f t="shared" si="15"/>
        <v>0</v>
      </c>
      <c r="BB169" s="17">
        <v>0</v>
      </c>
      <c r="BC169" s="113">
        <f t="shared" si="16"/>
        <v>134813.92</v>
      </c>
    </row>
    <row r="170" spans="1:55" s="118" customFormat="1" ht="13.5" customHeight="1">
      <c r="A170" s="16" t="s">
        <v>138</v>
      </c>
      <c r="B170" s="16" t="s">
        <v>139</v>
      </c>
      <c r="C170" s="16" t="s">
        <v>50</v>
      </c>
      <c r="D170" s="23" t="s">
        <v>172</v>
      </c>
      <c r="E170" s="16" t="s">
        <v>52</v>
      </c>
      <c r="F170" s="16" t="s">
        <v>53</v>
      </c>
      <c r="G170" s="16" t="s">
        <v>187</v>
      </c>
      <c r="H170" s="22" t="s">
        <v>142</v>
      </c>
      <c r="I170" s="16" t="s">
        <v>174</v>
      </c>
      <c r="J170" s="11">
        <v>1</v>
      </c>
      <c r="K170" s="21" t="s">
        <v>2</v>
      </c>
      <c r="L170" s="13">
        <v>55</v>
      </c>
      <c r="M170" s="14">
        <v>0</v>
      </c>
      <c r="N170" s="14">
        <v>3</v>
      </c>
      <c r="O170" s="9">
        <v>1000</v>
      </c>
      <c r="P170" s="9" t="s">
        <v>175</v>
      </c>
      <c r="Q170" s="14">
        <v>1</v>
      </c>
      <c r="R170" s="9">
        <v>0</v>
      </c>
      <c r="S170" s="9">
        <v>0</v>
      </c>
      <c r="T170" s="8" t="s">
        <v>58</v>
      </c>
      <c r="U170" s="85">
        <v>51</v>
      </c>
      <c r="V170" s="8">
        <v>510105</v>
      </c>
      <c r="W170" s="16" t="s">
        <v>176</v>
      </c>
      <c r="X170" s="18">
        <v>225888</v>
      </c>
      <c r="Y170" s="18">
        <v>225888</v>
      </c>
      <c r="Z170" s="17">
        <v>18824</v>
      </c>
      <c r="AA170" s="17">
        <v>18824</v>
      </c>
      <c r="AB170" s="17">
        <v>18824</v>
      </c>
      <c r="AC170" s="17">
        <v>18824</v>
      </c>
      <c r="AD170" s="17">
        <v>18824</v>
      </c>
      <c r="AE170" s="17">
        <v>18824</v>
      </c>
      <c r="AF170" s="17">
        <v>18824</v>
      </c>
      <c r="AG170" s="17">
        <v>18824</v>
      </c>
      <c r="AH170" s="17">
        <v>18824</v>
      </c>
      <c r="AI170" s="17">
        <v>18824</v>
      </c>
      <c r="AJ170" s="107">
        <v>18824</v>
      </c>
      <c r="AK170" s="17">
        <v>18824</v>
      </c>
      <c r="AL170" s="17">
        <v>18824</v>
      </c>
      <c r="AM170" s="17">
        <v>18824</v>
      </c>
      <c r="AN170" s="17">
        <v>18824</v>
      </c>
      <c r="AO170" s="17">
        <v>18824</v>
      </c>
      <c r="AP170" s="17">
        <v>18824</v>
      </c>
      <c r="AQ170" s="17">
        <v>18824</v>
      </c>
      <c r="AR170" s="17">
        <v>18824</v>
      </c>
      <c r="AS170" s="17">
        <v>18824</v>
      </c>
      <c r="AT170" s="17">
        <v>37648</v>
      </c>
      <c r="AU170" s="17">
        <v>18824</v>
      </c>
      <c r="AV170" s="17">
        <v>0</v>
      </c>
      <c r="AW170" s="17">
        <v>18824</v>
      </c>
      <c r="AX170" s="19">
        <f t="shared" si="13"/>
        <v>225888</v>
      </c>
      <c r="AY170" s="10" t="str">
        <f t="shared" si="14"/>
        <v>OK</v>
      </c>
      <c r="AZ170" s="10">
        <f t="shared" si="12"/>
        <v>225888</v>
      </c>
      <c r="BA170" s="10">
        <f t="shared" si="15"/>
        <v>0</v>
      </c>
      <c r="BB170" s="17">
        <v>0</v>
      </c>
      <c r="BC170" s="113">
        <f t="shared" si="16"/>
        <v>225888</v>
      </c>
    </row>
    <row r="171" spans="1:55" s="118" customFormat="1" ht="13.5" customHeight="1">
      <c r="A171" s="16" t="s">
        <v>138</v>
      </c>
      <c r="B171" s="16" t="s">
        <v>139</v>
      </c>
      <c r="C171" s="16" t="s">
        <v>50</v>
      </c>
      <c r="D171" s="23" t="s">
        <v>172</v>
      </c>
      <c r="E171" s="16" t="s">
        <v>52</v>
      </c>
      <c r="F171" s="16" t="s">
        <v>53</v>
      </c>
      <c r="G171" s="16" t="s">
        <v>187</v>
      </c>
      <c r="H171" s="22" t="s">
        <v>142</v>
      </c>
      <c r="I171" s="16" t="s">
        <v>174</v>
      </c>
      <c r="J171" s="11">
        <v>1</v>
      </c>
      <c r="K171" s="21" t="s">
        <v>2</v>
      </c>
      <c r="L171" s="13">
        <v>55</v>
      </c>
      <c r="M171" s="14">
        <v>0</v>
      </c>
      <c r="N171" s="14">
        <v>3</v>
      </c>
      <c r="O171" s="9">
        <v>1000</v>
      </c>
      <c r="P171" s="9" t="s">
        <v>175</v>
      </c>
      <c r="Q171" s="14">
        <v>1</v>
      </c>
      <c r="R171" s="9">
        <v>0</v>
      </c>
      <c r="S171" s="9">
        <v>0</v>
      </c>
      <c r="T171" s="8" t="s">
        <v>58</v>
      </c>
      <c r="U171" s="85">
        <v>51</v>
      </c>
      <c r="V171" s="8">
        <v>510203</v>
      </c>
      <c r="W171" s="16" t="s">
        <v>178</v>
      </c>
      <c r="X171" s="18">
        <v>22460</v>
      </c>
      <c r="Y171" s="18">
        <v>22506.13</v>
      </c>
      <c r="Z171" s="17">
        <v>202</v>
      </c>
      <c r="AA171" s="17">
        <v>0</v>
      </c>
      <c r="AB171" s="17">
        <v>202</v>
      </c>
      <c r="AC171" s="17">
        <v>404</v>
      </c>
      <c r="AD171" s="17">
        <v>202</v>
      </c>
      <c r="AE171" s="17">
        <v>202</v>
      </c>
      <c r="AF171" s="17">
        <v>202</v>
      </c>
      <c r="AG171" s="17">
        <v>202</v>
      </c>
      <c r="AH171" s="17">
        <v>202</v>
      </c>
      <c r="AI171" s="17">
        <v>202</v>
      </c>
      <c r="AJ171" s="107">
        <v>202</v>
      </c>
      <c r="AK171" s="17">
        <v>202</v>
      </c>
      <c r="AL171" s="17">
        <v>202</v>
      </c>
      <c r="AM171" s="17">
        <v>202</v>
      </c>
      <c r="AN171" s="17">
        <v>202</v>
      </c>
      <c r="AO171" s="17">
        <v>202</v>
      </c>
      <c r="AP171" s="17">
        <v>202</v>
      </c>
      <c r="AQ171" s="17">
        <v>202</v>
      </c>
      <c r="AR171" s="17">
        <v>202</v>
      </c>
      <c r="AS171" s="17">
        <v>202</v>
      </c>
      <c r="AT171" s="17">
        <v>202</v>
      </c>
      <c r="AU171" s="17">
        <v>202</v>
      </c>
      <c r="AV171" s="17">
        <v>20284.13</v>
      </c>
      <c r="AW171" s="17">
        <v>20284.13</v>
      </c>
      <c r="AX171" s="19">
        <f t="shared" si="13"/>
        <v>22506.13</v>
      </c>
      <c r="AY171" s="10" t="str">
        <f t="shared" si="14"/>
        <v>OK</v>
      </c>
      <c r="AZ171" s="10">
        <f t="shared" si="12"/>
        <v>22506.13</v>
      </c>
      <c r="BA171" s="10">
        <f t="shared" si="15"/>
        <v>0</v>
      </c>
      <c r="BB171" s="17">
        <v>0</v>
      </c>
      <c r="BC171" s="113">
        <f t="shared" si="16"/>
        <v>22506.13</v>
      </c>
    </row>
    <row r="172" spans="1:55" s="118" customFormat="1" ht="13.5" customHeight="1">
      <c r="A172" s="16" t="s">
        <v>138</v>
      </c>
      <c r="B172" s="16" t="s">
        <v>139</v>
      </c>
      <c r="C172" s="16" t="s">
        <v>50</v>
      </c>
      <c r="D172" s="23" t="s">
        <v>172</v>
      </c>
      <c r="E172" s="16" t="s">
        <v>52</v>
      </c>
      <c r="F172" s="16" t="s">
        <v>53</v>
      </c>
      <c r="G172" s="16" t="s">
        <v>187</v>
      </c>
      <c r="H172" s="22" t="s">
        <v>142</v>
      </c>
      <c r="I172" s="16" t="s">
        <v>174</v>
      </c>
      <c r="J172" s="11">
        <v>1</v>
      </c>
      <c r="K172" s="21" t="s">
        <v>2</v>
      </c>
      <c r="L172" s="13">
        <v>55</v>
      </c>
      <c r="M172" s="14">
        <v>0</v>
      </c>
      <c r="N172" s="14">
        <v>3</v>
      </c>
      <c r="O172" s="9">
        <v>1000</v>
      </c>
      <c r="P172" s="9" t="s">
        <v>175</v>
      </c>
      <c r="Q172" s="14">
        <v>1</v>
      </c>
      <c r="R172" s="9">
        <v>0</v>
      </c>
      <c r="S172" s="9">
        <v>0</v>
      </c>
      <c r="T172" s="8" t="s">
        <v>58</v>
      </c>
      <c r="U172" s="85">
        <v>51</v>
      </c>
      <c r="V172" s="8">
        <v>510204</v>
      </c>
      <c r="W172" s="16" t="s">
        <v>179</v>
      </c>
      <c r="X172" s="18">
        <v>6800</v>
      </c>
      <c r="Y172" s="18">
        <v>7245.9</v>
      </c>
      <c r="Z172" s="17">
        <v>100</v>
      </c>
      <c r="AA172" s="17">
        <v>0</v>
      </c>
      <c r="AB172" s="17">
        <v>100</v>
      </c>
      <c r="AC172" s="17">
        <v>141.68</v>
      </c>
      <c r="AD172" s="17">
        <v>1600</v>
      </c>
      <c r="AE172" s="17">
        <v>1770.84</v>
      </c>
      <c r="AF172" s="17">
        <v>100</v>
      </c>
      <c r="AG172" s="17">
        <v>70.84</v>
      </c>
      <c r="AH172" s="17">
        <v>100</v>
      </c>
      <c r="AI172" s="17">
        <v>70.84</v>
      </c>
      <c r="AJ172" s="107">
        <v>100</v>
      </c>
      <c r="AK172" s="17">
        <v>70.84</v>
      </c>
      <c r="AL172" s="17">
        <v>100</v>
      </c>
      <c r="AM172" s="17">
        <v>70.84</v>
      </c>
      <c r="AN172" s="17">
        <v>4200</v>
      </c>
      <c r="AO172" s="17">
        <v>4766.66</v>
      </c>
      <c r="AP172" s="17">
        <v>845.8999999999996</v>
      </c>
      <c r="AQ172" s="17">
        <v>70.84</v>
      </c>
      <c r="AR172" s="17">
        <v>0</v>
      </c>
      <c r="AS172" s="17">
        <v>70.84</v>
      </c>
      <c r="AT172" s="17">
        <v>0</v>
      </c>
      <c r="AU172" s="17">
        <v>70.84</v>
      </c>
      <c r="AV172" s="17">
        <v>0</v>
      </c>
      <c r="AW172" s="17">
        <v>70.84</v>
      </c>
      <c r="AX172" s="19">
        <f t="shared" si="13"/>
        <v>7245.9</v>
      </c>
      <c r="AY172" s="10" t="str">
        <f t="shared" si="14"/>
        <v>OK</v>
      </c>
      <c r="AZ172" s="10">
        <f t="shared" si="12"/>
        <v>7245.900000000001</v>
      </c>
      <c r="BA172" s="10">
        <f t="shared" si="15"/>
        <v>-3.410605131648481E-13</v>
      </c>
      <c r="BB172" s="17">
        <v>0</v>
      </c>
      <c r="BC172" s="113">
        <f t="shared" si="16"/>
        <v>7245.9</v>
      </c>
    </row>
    <row r="173" spans="1:55" s="118" customFormat="1" ht="13.5" customHeight="1">
      <c r="A173" s="16" t="s">
        <v>138</v>
      </c>
      <c r="B173" s="16" t="s">
        <v>139</v>
      </c>
      <c r="C173" s="16" t="s">
        <v>50</v>
      </c>
      <c r="D173" s="23" t="s">
        <v>172</v>
      </c>
      <c r="E173" s="16" t="s">
        <v>52</v>
      </c>
      <c r="F173" s="16" t="s">
        <v>53</v>
      </c>
      <c r="G173" s="16" t="s">
        <v>187</v>
      </c>
      <c r="H173" s="22" t="s">
        <v>142</v>
      </c>
      <c r="I173" s="16" t="s">
        <v>174</v>
      </c>
      <c r="J173" s="11">
        <v>1</v>
      </c>
      <c r="K173" s="21" t="s">
        <v>2</v>
      </c>
      <c r="L173" s="13">
        <v>55</v>
      </c>
      <c r="M173" s="14">
        <v>0</v>
      </c>
      <c r="N173" s="14">
        <v>3</v>
      </c>
      <c r="O173" s="9">
        <v>1000</v>
      </c>
      <c r="P173" s="9" t="s">
        <v>175</v>
      </c>
      <c r="Q173" s="14">
        <v>1</v>
      </c>
      <c r="R173" s="9">
        <v>0</v>
      </c>
      <c r="S173" s="9">
        <v>0</v>
      </c>
      <c r="T173" s="8" t="s">
        <v>58</v>
      </c>
      <c r="U173" s="85">
        <v>51</v>
      </c>
      <c r="V173" s="8">
        <v>510510</v>
      </c>
      <c r="W173" s="16" t="s">
        <v>183</v>
      </c>
      <c r="X173" s="18">
        <v>43632</v>
      </c>
      <c r="Y173" s="18">
        <v>43632</v>
      </c>
      <c r="Z173" s="17">
        <v>3636</v>
      </c>
      <c r="AA173" s="17">
        <v>3636</v>
      </c>
      <c r="AB173" s="17">
        <v>3636</v>
      </c>
      <c r="AC173" s="17">
        <v>3636</v>
      </c>
      <c r="AD173" s="17">
        <v>3636</v>
      </c>
      <c r="AE173" s="17">
        <v>3636</v>
      </c>
      <c r="AF173" s="17">
        <v>3636</v>
      </c>
      <c r="AG173" s="17">
        <v>3636</v>
      </c>
      <c r="AH173" s="17">
        <v>3636</v>
      </c>
      <c r="AI173" s="17">
        <v>3636</v>
      </c>
      <c r="AJ173" s="107">
        <v>3636</v>
      </c>
      <c r="AK173" s="17">
        <v>3636</v>
      </c>
      <c r="AL173" s="17">
        <v>3636</v>
      </c>
      <c r="AM173" s="17">
        <v>3636</v>
      </c>
      <c r="AN173" s="17">
        <v>3636</v>
      </c>
      <c r="AO173" s="17">
        <v>3636</v>
      </c>
      <c r="AP173" s="17">
        <v>3636</v>
      </c>
      <c r="AQ173" s="17">
        <v>3636</v>
      </c>
      <c r="AR173" s="17">
        <v>3636</v>
      </c>
      <c r="AS173" s="17">
        <v>3636</v>
      </c>
      <c r="AT173" s="17">
        <v>7272</v>
      </c>
      <c r="AU173" s="17">
        <v>3636</v>
      </c>
      <c r="AV173" s="17">
        <v>0</v>
      </c>
      <c r="AW173" s="17">
        <v>3636</v>
      </c>
      <c r="AX173" s="19">
        <f t="shared" si="13"/>
        <v>43632</v>
      </c>
      <c r="AY173" s="10" t="str">
        <f t="shared" si="14"/>
        <v>OK</v>
      </c>
      <c r="AZ173" s="10">
        <f t="shared" si="12"/>
        <v>43632</v>
      </c>
      <c r="BA173" s="10">
        <f t="shared" si="15"/>
        <v>0</v>
      </c>
      <c r="BB173" s="17">
        <v>0</v>
      </c>
      <c r="BC173" s="113">
        <f t="shared" si="16"/>
        <v>43632</v>
      </c>
    </row>
    <row r="174" spans="1:55" s="118" customFormat="1" ht="13.5" customHeight="1">
      <c r="A174" s="16" t="s">
        <v>138</v>
      </c>
      <c r="B174" s="16" t="s">
        <v>139</v>
      </c>
      <c r="C174" s="16" t="s">
        <v>50</v>
      </c>
      <c r="D174" s="23" t="s">
        <v>172</v>
      </c>
      <c r="E174" s="16" t="s">
        <v>52</v>
      </c>
      <c r="F174" s="16" t="s">
        <v>53</v>
      </c>
      <c r="G174" s="16" t="s">
        <v>187</v>
      </c>
      <c r="H174" s="22" t="s">
        <v>142</v>
      </c>
      <c r="I174" s="16" t="s">
        <v>174</v>
      </c>
      <c r="J174" s="11">
        <v>1</v>
      </c>
      <c r="K174" s="21" t="s">
        <v>2</v>
      </c>
      <c r="L174" s="13">
        <v>55</v>
      </c>
      <c r="M174" s="14">
        <v>0</v>
      </c>
      <c r="N174" s="14">
        <v>3</v>
      </c>
      <c r="O174" s="9">
        <v>1000</v>
      </c>
      <c r="P174" s="9" t="s">
        <v>175</v>
      </c>
      <c r="Q174" s="14">
        <v>1</v>
      </c>
      <c r="R174" s="9">
        <v>0</v>
      </c>
      <c r="S174" s="9">
        <v>0</v>
      </c>
      <c r="T174" s="8" t="s">
        <v>58</v>
      </c>
      <c r="U174" s="85">
        <v>51</v>
      </c>
      <c r="V174" s="8">
        <v>510601</v>
      </c>
      <c r="W174" s="16" t="s">
        <v>181</v>
      </c>
      <c r="X174" s="18">
        <v>26009</v>
      </c>
      <c r="Y174" s="18">
        <v>26062.22</v>
      </c>
      <c r="Z174" s="17">
        <v>2167</v>
      </c>
      <c r="AA174" s="17">
        <v>2167.4</v>
      </c>
      <c r="AB174" s="17">
        <v>2167</v>
      </c>
      <c r="AC174" s="17">
        <v>2189.66</v>
      </c>
      <c r="AD174" s="17">
        <v>2167</v>
      </c>
      <c r="AE174" s="17">
        <v>2167.4</v>
      </c>
      <c r="AF174" s="17">
        <v>2167</v>
      </c>
      <c r="AG174" s="17">
        <v>2167.4</v>
      </c>
      <c r="AH174" s="17">
        <v>2167</v>
      </c>
      <c r="AI174" s="17">
        <v>2167.4</v>
      </c>
      <c r="AJ174" s="107">
        <v>2167</v>
      </c>
      <c r="AK174" s="17">
        <v>2167.4</v>
      </c>
      <c r="AL174" s="17">
        <v>2167</v>
      </c>
      <c r="AM174" s="17">
        <v>2167.4</v>
      </c>
      <c r="AN174" s="17">
        <v>2167</v>
      </c>
      <c r="AO174" s="17">
        <v>2167.4</v>
      </c>
      <c r="AP174" s="17">
        <v>2167</v>
      </c>
      <c r="AQ174" s="17">
        <v>2198.56</v>
      </c>
      <c r="AR174" s="17">
        <v>2167</v>
      </c>
      <c r="AS174" s="17">
        <v>2167.4</v>
      </c>
      <c r="AT174" s="17">
        <v>4392.220000000001</v>
      </c>
      <c r="AU174" s="17">
        <v>2167.4</v>
      </c>
      <c r="AV174" s="17">
        <v>0</v>
      </c>
      <c r="AW174" s="17">
        <v>2167.4</v>
      </c>
      <c r="AX174" s="19">
        <f t="shared" si="13"/>
        <v>26062.22</v>
      </c>
      <c r="AY174" s="10" t="str">
        <f t="shared" si="14"/>
        <v>OK</v>
      </c>
      <c r="AZ174" s="10">
        <f t="shared" si="12"/>
        <v>26062.220000000005</v>
      </c>
      <c r="BA174" s="10">
        <f t="shared" si="15"/>
        <v>0</v>
      </c>
      <c r="BB174" s="17">
        <v>0</v>
      </c>
      <c r="BC174" s="113">
        <f t="shared" si="16"/>
        <v>26062.22</v>
      </c>
    </row>
    <row r="175" spans="1:55" s="118" customFormat="1" ht="13.5" customHeight="1">
      <c r="A175" s="16" t="s">
        <v>138</v>
      </c>
      <c r="B175" s="16" t="s">
        <v>139</v>
      </c>
      <c r="C175" s="16" t="s">
        <v>50</v>
      </c>
      <c r="D175" s="23" t="s">
        <v>172</v>
      </c>
      <c r="E175" s="16" t="s">
        <v>52</v>
      </c>
      <c r="F175" s="16" t="s">
        <v>53</v>
      </c>
      <c r="G175" s="16" t="s">
        <v>187</v>
      </c>
      <c r="H175" s="22" t="s">
        <v>142</v>
      </c>
      <c r="I175" s="16" t="s">
        <v>174</v>
      </c>
      <c r="J175" s="11">
        <v>1</v>
      </c>
      <c r="K175" s="21" t="s">
        <v>2</v>
      </c>
      <c r="L175" s="13">
        <v>55</v>
      </c>
      <c r="M175" s="14">
        <v>0</v>
      </c>
      <c r="N175" s="14">
        <v>3</v>
      </c>
      <c r="O175" s="9">
        <v>1000</v>
      </c>
      <c r="P175" s="9" t="s">
        <v>175</v>
      </c>
      <c r="Q175" s="14">
        <v>1</v>
      </c>
      <c r="R175" s="9">
        <v>0</v>
      </c>
      <c r="S175" s="9">
        <v>0</v>
      </c>
      <c r="T175" s="8" t="s">
        <v>58</v>
      </c>
      <c r="U175" s="85">
        <v>51</v>
      </c>
      <c r="V175" s="8">
        <v>510602</v>
      </c>
      <c r="W175" s="16" t="s">
        <v>182</v>
      </c>
      <c r="X175" s="18">
        <v>22460</v>
      </c>
      <c r="Y175" s="18">
        <v>22497.16</v>
      </c>
      <c r="Z175" s="17">
        <v>1871</v>
      </c>
      <c r="AA175" s="17">
        <v>0</v>
      </c>
      <c r="AB175" s="17">
        <v>1871</v>
      </c>
      <c r="AC175" s="17">
        <v>1890.13</v>
      </c>
      <c r="AD175" s="17">
        <v>1871</v>
      </c>
      <c r="AE175" s="17">
        <v>1870.92</v>
      </c>
      <c r="AF175" s="17">
        <v>1871</v>
      </c>
      <c r="AG175" s="17">
        <v>1870.92</v>
      </c>
      <c r="AH175" s="17">
        <v>1871</v>
      </c>
      <c r="AI175" s="17">
        <v>1870.92</v>
      </c>
      <c r="AJ175" s="107">
        <v>1871</v>
      </c>
      <c r="AK175" s="17">
        <v>1870.92</v>
      </c>
      <c r="AL175" s="17">
        <v>1871</v>
      </c>
      <c r="AM175" s="17">
        <v>1870.92</v>
      </c>
      <c r="AN175" s="17">
        <v>1871</v>
      </c>
      <c r="AO175" s="17">
        <v>1870.92</v>
      </c>
      <c r="AP175" s="17">
        <v>1871</v>
      </c>
      <c r="AQ175" s="17">
        <v>1897.83</v>
      </c>
      <c r="AR175" s="17">
        <v>1871</v>
      </c>
      <c r="AS175" s="17">
        <v>1870.92</v>
      </c>
      <c r="AT175" s="17">
        <v>3787.16</v>
      </c>
      <c r="AU175" s="17">
        <v>1870.92</v>
      </c>
      <c r="AV175" s="17">
        <v>0</v>
      </c>
      <c r="AW175" s="17">
        <v>3741.84</v>
      </c>
      <c r="AX175" s="19">
        <f t="shared" si="13"/>
        <v>22497.16</v>
      </c>
      <c r="AY175" s="10" t="str">
        <f t="shared" si="14"/>
        <v>OK</v>
      </c>
      <c r="AZ175" s="10">
        <f t="shared" si="12"/>
        <v>22497.16</v>
      </c>
      <c r="BA175" s="10">
        <f t="shared" si="15"/>
        <v>0</v>
      </c>
      <c r="BB175" s="17">
        <v>0</v>
      </c>
      <c r="BC175" s="113">
        <f t="shared" si="16"/>
        <v>22497.16</v>
      </c>
    </row>
    <row r="176" spans="1:55" s="118" customFormat="1" ht="13.5" customHeight="1">
      <c r="A176" s="16" t="s">
        <v>138</v>
      </c>
      <c r="B176" s="16" t="s">
        <v>139</v>
      </c>
      <c r="C176" s="16" t="s">
        <v>50</v>
      </c>
      <c r="D176" s="23" t="s">
        <v>172</v>
      </c>
      <c r="E176" s="16" t="s">
        <v>52</v>
      </c>
      <c r="F176" s="16" t="s">
        <v>53</v>
      </c>
      <c r="G176" s="16" t="s">
        <v>184</v>
      </c>
      <c r="H176" s="22" t="s">
        <v>185</v>
      </c>
      <c r="I176" s="16" t="s">
        <v>174</v>
      </c>
      <c r="J176" s="11">
        <v>1</v>
      </c>
      <c r="K176" s="21" t="s">
        <v>2</v>
      </c>
      <c r="L176" s="13">
        <v>55</v>
      </c>
      <c r="M176" s="14">
        <v>0</v>
      </c>
      <c r="N176" s="14">
        <v>2</v>
      </c>
      <c r="O176" s="9">
        <v>1000</v>
      </c>
      <c r="P176" s="9" t="s">
        <v>175</v>
      </c>
      <c r="Q176" s="14">
        <v>1</v>
      </c>
      <c r="R176" s="9">
        <v>0</v>
      </c>
      <c r="S176" s="9">
        <v>0</v>
      </c>
      <c r="T176" s="8" t="s">
        <v>58</v>
      </c>
      <c r="U176" s="85">
        <v>51</v>
      </c>
      <c r="V176" s="8">
        <v>510513</v>
      </c>
      <c r="W176" s="16" t="s">
        <v>258</v>
      </c>
      <c r="X176" s="127">
        <v>0</v>
      </c>
      <c r="Y176" s="18">
        <v>3483.07</v>
      </c>
      <c r="Z176" s="17">
        <v>0</v>
      </c>
      <c r="AA176" s="17">
        <v>0</v>
      </c>
      <c r="AB176" s="17">
        <v>0</v>
      </c>
      <c r="AC176" s="17">
        <v>692</v>
      </c>
      <c r="AD176" s="17">
        <v>0</v>
      </c>
      <c r="AE176" s="17">
        <v>692</v>
      </c>
      <c r="AF176" s="17">
        <v>0</v>
      </c>
      <c r="AG176" s="17">
        <v>692</v>
      </c>
      <c r="AH176" s="17">
        <v>0</v>
      </c>
      <c r="AI176" s="17">
        <v>299.87</v>
      </c>
      <c r="AJ176" s="107">
        <v>3483.07</v>
      </c>
      <c r="AK176" s="17">
        <v>0</v>
      </c>
      <c r="AL176" s="17">
        <v>0</v>
      </c>
      <c r="AM176" s="17">
        <v>0</v>
      </c>
      <c r="AN176" s="17">
        <v>0</v>
      </c>
      <c r="AO176" s="17">
        <v>0</v>
      </c>
      <c r="AP176" s="17">
        <v>0</v>
      </c>
      <c r="AQ176" s="17">
        <v>0</v>
      </c>
      <c r="AR176" s="17">
        <v>0</v>
      </c>
      <c r="AS176" s="17">
        <v>0</v>
      </c>
      <c r="AT176" s="17">
        <v>0</v>
      </c>
      <c r="AU176" s="17">
        <v>0</v>
      </c>
      <c r="AV176" s="17">
        <v>0</v>
      </c>
      <c r="AW176" s="17">
        <v>1107.2</v>
      </c>
      <c r="AX176" s="19">
        <f t="shared" si="13"/>
        <v>3483.07</v>
      </c>
      <c r="AY176" s="10" t="str">
        <f t="shared" si="14"/>
        <v>OK</v>
      </c>
      <c r="AZ176" s="10">
        <f t="shared" si="12"/>
        <v>3483.0699999999997</v>
      </c>
      <c r="BA176" s="10">
        <f t="shared" si="15"/>
        <v>0</v>
      </c>
      <c r="BB176" s="17">
        <v>0</v>
      </c>
      <c r="BC176" s="113">
        <f t="shared" si="16"/>
        <v>3483.07</v>
      </c>
    </row>
    <row r="177" spans="1:55" s="118" customFormat="1" ht="13.5" customHeight="1">
      <c r="A177" s="16" t="s">
        <v>138</v>
      </c>
      <c r="B177" s="16" t="s">
        <v>139</v>
      </c>
      <c r="C177" s="16" t="s">
        <v>50</v>
      </c>
      <c r="D177" s="23" t="s">
        <v>172</v>
      </c>
      <c r="E177" s="16" t="s">
        <v>52</v>
      </c>
      <c r="F177" s="16" t="s">
        <v>53</v>
      </c>
      <c r="G177" s="16" t="s">
        <v>184</v>
      </c>
      <c r="H177" s="22" t="s">
        <v>185</v>
      </c>
      <c r="I177" s="16" t="s">
        <v>174</v>
      </c>
      <c r="J177" s="11">
        <v>1</v>
      </c>
      <c r="K177" s="21" t="s">
        <v>2</v>
      </c>
      <c r="L177" s="13">
        <v>55</v>
      </c>
      <c r="M177" s="14">
        <v>0</v>
      </c>
      <c r="N177" s="14">
        <v>2</v>
      </c>
      <c r="O177" s="9">
        <v>1000</v>
      </c>
      <c r="P177" s="9" t="s">
        <v>175</v>
      </c>
      <c r="Q177" s="14">
        <v>1</v>
      </c>
      <c r="R177" s="9">
        <v>0</v>
      </c>
      <c r="S177" s="9">
        <v>0</v>
      </c>
      <c r="T177" s="8" t="s">
        <v>58</v>
      </c>
      <c r="U177" s="85">
        <v>51</v>
      </c>
      <c r="V177" s="8">
        <v>510707</v>
      </c>
      <c r="W177" s="16" t="s">
        <v>288</v>
      </c>
      <c r="X177" s="127">
        <v>0</v>
      </c>
      <c r="Y177" s="18">
        <v>662.31</v>
      </c>
      <c r="Z177" s="17">
        <v>0</v>
      </c>
      <c r="AA177" s="17">
        <v>0</v>
      </c>
      <c r="AB177" s="17">
        <v>0</v>
      </c>
      <c r="AC177" s="17">
        <v>0</v>
      </c>
      <c r="AD177" s="17">
        <v>0</v>
      </c>
      <c r="AE177" s="17">
        <v>142.45</v>
      </c>
      <c r="AF177" s="17">
        <v>0</v>
      </c>
      <c r="AG177" s="17">
        <v>0</v>
      </c>
      <c r="AH177" s="17">
        <v>0</v>
      </c>
      <c r="AI177" s="17">
        <v>224.06</v>
      </c>
      <c r="AJ177" s="107">
        <v>0</v>
      </c>
      <c r="AK177" s="17">
        <v>0</v>
      </c>
      <c r="AL177" s="17">
        <v>0</v>
      </c>
      <c r="AM177" s="17">
        <v>0</v>
      </c>
      <c r="AN177" s="17">
        <v>0</v>
      </c>
      <c r="AO177" s="17">
        <v>0</v>
      </c>
      <c r="AP177" s="17">
        <v>0</v>
      </c>
      <c r="AQ177" s="17">
        <v>0</v>
      </c>
      <c r="AR177" s="17">
        <v>0</v>
      </c>
      <c r="AS177" s="17">
        <v>0</v>
      </c>
      <c r="AT177" s="17">
        <v>0</v>
      </c>
      <c r="AU177" s="17">
        <v>295.8</v>
      </c>
      <c r="AV177" s="17">
        <v>662.31</v>
      </c>
      <c r="AW177" s="17">
        <v>0</v>
      </c>
      <c r="AX177" s="19">
        <f t="shared" si="13"/>
        <v>662.31</v>
      </c>
      <c r="AY177" s="10" t="str">
        <f t="shared" si="14"/>
        <v>OK</v>
      </c>
      <c r="AZ177" s="10">
        <f t="shared" si="12"/>
        <v>662.31</v>
      </c>
      <c r="BA177" s="10">
        <f t="shared" si="15"/>
        <v>0</v>
      </c>
      <c r="BB177" s="17">
        <v>0</v>
      </c>
      <c r="BC177" s="113">
        <f t="shared" si="16"/>
        <v>662.31</v>
      </c>
    </row>
    <row r="178" spans="1:55" s="118" customFormat="1" ht="13.5" customHeight="1">
      <c r="A178" s="16" t="s">
        <v>48</v>
      </c>
      <c r="B178" s="16" t="s">
        <v>49</v>
      </c>
      <c r="C178" s="16" t="s">
        <v>50</v>
      </c>
      <c r="D178" s="23" t="s">
        <v>172</v>
      </c>
      <c r="E178" s="16" t="s">
        <v>52</v>
      </c>
      <c r="F178" s="16" t="s">
        <v>53</v>
      </c>
      <c r="G178" s="16" t="s">
        <v>173</v>
      </c>
      <c r="H178" s="22" t="s">
        <v>55</v>
      </c>
      <c r="I178" s="16" t="s">
        <v>174</v>
      </c>
      <c r="J178" s="11">
        <v>1</v>
      </c>
      <c r="K178" s="21" t="s">
        <v>2</v>
      </c>
      <c r="L178" s="13">
        <v>1</v>
      </c>
      <c r="M178" s="14">
        <v>0</v>
      </c>
      <c r="N178" s="14">
        <v>1</v>
      </c>
      <c r="O178" s="9">
        <v>1000</v>
      </c>
      <c r="P178" s="9" t="s">
        <v>175</v>
      </c>
      <c r="Q178" s="14">
        <v>1</v>
      </c>
      <c r="R178" s="9">
        <v>0</v>
      </c>
      <c r="S178" s="9">
        <v>0</v>
      </c>
      <c r="T178" s="8" t="s">
        <v>58</v>
      </c>
      <c r="U178" s="85">
        <v>99</v>
      </c>
      <c r="V178" s="8">
        <v>990101</v>
      </c>
      <c r="W178" s="16" t="s">
        <v>305</v>
      </c>
      <c r="X178" s="127">
        <v>0</v>
      </c>
      <c r="Y178" s="18">
        <v>1312.34</v>
      </c>
      <c r="Z178" s="17">
        <v>0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07">
        <v>0</v>
      </c>
      <c r="AK178" s="17">
        <v>0</v>
      </c>
      <c r="AL178" s="17">
        <v>0</v>
      </c>
      <c r="AM178" s="17">
        <v>0</v>
      </c>
      <c r="AN178" s="17">
        <v>1312.34</v>
      </c>
      <c r="AO178" s="17">
        <v>1312.34</v>
      </c>
      <c r="AP178" s="17">
        <v>0</v>
      </c>
      <c r="AQ178" s="17">
        <v>0</v>
      </c>
      <c r="AR178" s="17">
        <v>0</v>
      </c>
      <c r="AS178" s="17">
        <v>0</v>
      </c>
      <c r="AT178" s="17">
        <v>0</v>
      </c>
      <c r="AU178" s="17">
        <v>0</v>
      </c>
      <c r="AV178" s="17">
        <v>0</v>
      </c>
      <c r="AW178" s="17">
        <v>0</v>
      </c>
      <c r="AX178" s="19">
        <f t="shared" si="13"/>
        <v>1312.34</v>
      </c>
      <c r="AY178" s="10" t="str">
        <f t="shared" si="14"/>
        <v>OK</v>
      </c>
      <c r="AZ178" s="10">
        <f t="shared" si="12"/>
        <v>1312.34</v>
      </c>
      <c r="BA178" s="10">
        <f t="shared" si="15"/>
        <v>0</v>
      </c>
      <c r="BB178" s="17">
        <v>0</v>
      </c>
      <c r="BC178" s="113">
        <f t="shared" si="16"/>
        <v>1312.34</v>
      </c>
    </row>
    <row r="179" spans="1:55" s="118" customFormat="1" ht="13.5" customHeight="1">
      <c r="A179" s="16" t="s">
        <v>48</v>
      </c>
      <c r="B179" s="16" t="s">
        <v>49</v>
      </c>
      <c r="C179" s="16" t="s">
        <v>50</v>
      </c>
      <c r="D179" s="23" t="s">
        <v>172</v>
      </c>
      <c r="E179" s="16" t="s">
        <v>52</v>
      </c>
      <c r="F179" s="16" t="s">
        <v>53</v>
      </c>
      <c r="G179" s="16" t="s">
        <v>173</v>
      </c>
      <c r="H179" s="22" t="s">
        <v>55</v>
      </c>
      <c r="I179" s="16" t="s">
        <v>174</v>
      </c>
      <c r="J179" s="11">
        <v>1</v>
      </c>
      <c r="K179" s="21" t="s">
        <v>2</v>
      </c>
      <c r="L179" s="13">
        <v>1</v>
      </c>
      <c r="M179" s="14">
        <v>0</v>
      </c>
      <c r="N179" s="14">
        <v>1</v>
      </c>
      <c r="O179" s="9">
        <v>1000</v>
      </c>
      <c r="P179" s="9" t="s">
        <v>175</v>
      </c>
      <c r="Q179" s="14">
        <v>1</v>
      </c>
      <c r="R179" s="9">
        <v>0</v>
      </c>
      <c r="S179" s="9">
        <v>0</v>
      </c>
      <c r="T179" s="8" t="s">
        <v>58</v>
      </c>
      <c r="U179" s="85">
        <v>51</v>
      </c>
      <c r="V179" s="8">
        <v>510304</v>
      </c>
      <c r="W179" s="16" t="s">
        <v>322</v>
      </c>
      <c r="X179" s="127">
        <v>0</v>
      </c>
      <c r="Y179" s="18">
        <v>0</v>
      </c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07">
        <v>0</v>
      </c>
      <c r="AK179" s="17">
        <v>0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  <c r="AR179" s="17">
        <v>0</v>
      </c>
      <c r="AS179" s="17">
        <v>0</v>
      </c>
      <c r="AT179" s="17">
        <v>0</v>
      </c>
      <c r="AU179" s="17">
        <v>0</v>
      </c>
      <c r="AV179" s="17">
        <v>0</v>
      </c>
      <c r="AW179" s="17">
        <v>0</v>
      </c>
      <c r="AX179" s="19">
        <f t="shared" si="13"/>
        <v>0</v>
      </c>
      <c r="AY179" s="10" t="str">
        <f>IF(AX179=Y179,"OK",Y179-AX179)</f>
        <v>OK</v>
      </c>
      <c r="AZ179" s="10">
        <f t="shared" si="12"/>
        <v>0</v>
      </c>
      <c r="BA179" s="10">
        <f t="shared" si="15"/>
        <v>0</v>
      </c>
      <c r="BB179" s="17"/>
      <c r="BC179" s="113"/>
    </row>
    <row r="180" spans="1:55" s="118" customFormat="1" ht="13.5" customHeight="1">
      <c r="A180" s="16" t="s">
        <v>48</v>
      </c>
      <c r="B180" s="16" t="s">
        <v>49</v>
      </c>
      <c r="C180" s="16" t="s">
        <v>50</v>
      </c>
      <c r="D180" s="23" t="s">
        <v>172</v>
      </c>
      <c r="E180" s="16" t="s">
        <v>52</v>
      </c>
      <c r="F180" s="16" t="s">
        <v>53</v>
      </c>
      <c r="G180" s="16" t="s">
        <v>173</v>
      </c>
      <c r="H180" s="22" t="s">
        <v>55</v>
      </c>
      <c r="I180" s="16" t="s">
        <v>174</v>
      </c>
      <c r="J180" s="11">
        <v>1</v>
      </c>
      <c r="K180" s="21" t="s">
        <v>2</v>
      </c>
      <c r="L180" s="13">
        <v>1</v>
      </c>
      <c r="M180" s="14">
        <v>0</v>
      </c>
      <c r="N180" s="14">
        <v>1</v>
      </c>
      <c r="O180" s="9">
        <v>1000</v>
      </c>
      <c r="P180" s="9" t="s">
        <v>175</v>
      </c>
      <c r="Q180" s="14">
        <v>1</v>
      </c>
      <c r="R180" s="9">
        <v>0</v>
      </c>
      <c r="S180" s="9">
        <v>0</v>
      </c>
      <c r="T180" s="8" t="s">
        <v>58</v>
      </c>
      <c r="U180" s="85">
        <v>51</v>
      </c>
      <c r="V180" s="8">
        <v>510306</v>
      </c>
      <c r="W180" s="16" t="s">
        <v>323</v>
      </c>
      <c r="X180" s="127">
        <v>0</v>
      </c>
      <c r="Y180" s="18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07">
        <v>0</v>
      </c>
      <c r="AK180" s="17">
        <v>0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0</v>
      </c>
      <c r="AR180" s="17">
        <v>0</v>
      </c>
      <c r="AS180" s="17">
        <v>0</v>
      </c>
      <c r="AT180" s="17">
        <v>0</v>
      </c>
      <c r="AU180" s="17">
        <v>0</v>
      </c>
      <c r="AV180" s="17">
        <v>0</v>
      </c>
      <c r="AW180" s="17">
        <v>0</v>
      </c>
      <c r="AX180" s="19">
        <f t="shared" si="13"/>
        <v>0</v>
      </c>
      <c r="AY180" s="10" t="str">
        <f aca="true" t="shared" si="17" ref="AY180:AY183">IF(AX180=Y180,"OK",Y180-AX180)</f>
        <v>OK</v>
      </c>
      <c r="AZ180" s="10">
        <f t="shared" si="12"/>
        <v>0</v>
      </c>
      <c r="BA180" s="10">
        <f t="shared" si="15"/>
        <v>0</v>
      </c>
      <c r="BB180" s="17"/>
      <c r="BC180" s="113"/>
    </row>
    <row r="181" spans="1:55" s="118" customFormat="1" ht="13.5" customHeight="1">
      <c r="A181" s="16" t="s">
        <v>48</v>
      </c>
      <c r="B181" s="16" t="s">
        <v>49</v>
      </c>
      <c r="C181" s="16" t="s">
        <v>50</v>
      </c>
      <c r="D181" s="23" t="s">
        <v>172</v>
      </c>
      <c r="E181" s="16" t="s">
        <v>52</v>
      </c>
      <c r="F181" s="16" t="s">
        <v>53</v>
      </c>
      <c r="G181" s="16" t="s">
        <v>173</v>
      </c>
      <c r="H181" s="22" t="s">
        <v>55</v>
      </c>
      <c r="I181" s="16" t="s">
        <v>174</v>
      </c>
      <c r="J181" s="11">
        <v>1</v>
      </c>
      <c r="K181" s="21" t="s">
        <v>2</v>
      </c>
      <c r="L181" s="13">
        <v>1</v>
      </c>
      <c r="M181" s="14">
        <v>0</v>
      </c>
      <c r="N181" s="14">
        <v>1</v>
      </c>
      <c r="O181" s="9">
        <v>1000</v>
      </c>
      <c r="P181" s="9" t="s">
        <v>175</v>
      </c>
      <c r="Q181" s="14">
        <v>1</v>
      </c>
      <c r="R181" s="9">
        <v>0</v>
      </c>
      <c r="S181" s="9">
        <v>0</v>
      </c>
      <c r="T181" s="8" t="s">
        <v>58</v>
      </c>
      <c r="U181" s="85">
        <v>51</v>
      </c>
      <c r="V181" s="8">
        <v>510401</v>
      </c>
      <c r="W181" s="16" t="s">
        <v>324</v>
      </c>
      <c r="X181" s="127">
        <v>0</v>
      </c>
      <c r="Y181" s="18">
        <v>0</v>
      </c>
      <c r="Z181" s="17">
        <v>0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07">
        <v>0</v>
      </c>
      <c r="AK181" s="17">
        <v>0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0</v>
      </c>
      <c r="AS181" s="17">
        <v>0</v>
      </c>
      <c r="AT181" s="17">
        <v>0</v>
      </c>
      <c r="AU181" s="17">
        <v>0</v>
      </c>
      <c r="AV181" s="17">
        <v>0</v>
      </c>
      <c r="AW181" s="17">
        <v>0</v>
      </c>
      <c r="AX181" s="19">
        <f t="shared" si="13"/>
        <v>0</v>
      </c>
      <c r="AY181" s="10" t="str">
        <f t="shared" si="17"/>
        <v>OK</v>
      </c>
      <c r="AZ181" s="10">
        <f t="shared" si="12"/>
        <v>0</v>
      </c>
      <c r="BA181" s="10">
        <f t="shared" si="15"/>
        <v>0</v>
      </c>
      <c r="BB181" s="17"/>
      <c r="BC181" s="113"/>
    </row>
    <row r="182" spans="1:55" s="118" customFormat="1" ht="13.5" customHeight="1">
      <c r="A182" s="16" t="s">
        <v>48</v>
      </c>
      <c r="B182" s="16" t="s">
        <v>49</v>
      </c>
      <c r="C182" s="16" t="s">
        <v>50</v>
      </c>
      <c r="D182" s="23" t="s">
        <v>172</v>
      </c>
      <c r="E182" s="16" t="s">
        <v>52</v>
      </c>
      <c r="F182" s="16" t="s">
        <v>53</v>
      </c>
      <c r="G182" s="16" t="s">
        <v>173</v>
      </c>
      <c r="H182" s="22" t="s">
        <v>55</v>
      </c>
      <c r="I182" s="16" t="s">
        <v>174</v>
      </c>
      <c r="J182" s="11">
        <v>1</v>
      </c>
      <c r="K182" s="21" t="s">
        <v>2</v>
      </c>
      <c r="L182" s="13">
        <v>1</v>
      </c>
      <c r="M182" s="14">
        <v>0</v>
      </c>
      <c r="N182" s="14">
        <v>1</v>
      </c>
      <c r="O182" s="9">
        <v>1000</v>
      </c>
      <c r="P182" s="9" t="s">
        <v>175</v>
      </c>
      <c r="Q182" s="14">
        <v>1</v>
      </c>
      <c r="R182" s="9">
        <v>0</v>
      </c>
      <c r="S182" s="9">
        <v>0</v>
      </c>
      <c r="T182" s="8" t="s">
        <v>58</v>
      </c>
      <c r="U182" s="85">
        <v>51</v>
      </c>
      <c r="V182" s="8">
        <v>510408</v>
      </c>
      <c r="W182" s="16" t="s">
        <v>325</v>
      </c>
      <c r="X182" s="127">
        <v>0</v>
      </c>
      <c r="Y182" s="18">
        <v>0</v>
      </c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07">
        <v>0</v>
      </c>
      <c r="AK182" s="17">
        <v>0</v>
      </c>
      <c r="AL182" s="17">
        <v>0</v>
      </c>
      <c r="AM182" s="17">
        <v>0</v>
      </c>
      <c r="AN182" s="17">
        <v>0</v>
      </c>
      <c r="AO182" s="17">
        <v>0</v>
      </c>
      <c r="AP182" s="17">
        <v>0</v>
      </c>
      <c r="AQ182" s="17">
        <v>0</v>
      </c>
      <c r="AR182" s="17">
        <v>0</v>
      </c>
      <c r="AS182" s="17">
        <v>0</v>
      </c>
      <c r="AT182" s="17">
        <v>0</v>
      </c>
      <c r="AU182" s="17">
        <v>0</v>
      </c>
      <c r="AV182" s="17">
        <v>0</v>
      </c>
      <c r="AW182" s="17">
        <v>0</v>
      </c>
      <c r="AX182" s="19">
        <f t="shared" si="13"/>
        <v>0</v>
      </c>
      <c r="AY182" s="10" t="str">
        <f t="shared" si="17"/>
        <v>OK</v>
      </c>
      <c r="AZ182" s="10">
        <f t="shared" si="12"/>
        <v>0</v>
      </c>
      <c r="BA182" s="10">
        <f t="shared" si="15"/>
        <v>0</v>
      </c>
      <c r="BB182" s="17"/>
      <c r="BC182" s="113"/>
    </row>
    <row r="183" spans="1:55" s="118" customFormat="1" ht="13.5" customHeight="1">
      <c r="A183" s="16" t="s">
        <v>48</v>
      </c>
      <c r="B183" s="16" t="s">
        <v>49</v>
      </c>
      <c r="C183" s="16" t="s">
        <v>50</v>
      </c>
      <c r="D183" s="23" t="s">
        <v>172</v>
      </c>
      <c r="E183" s="16" t="s">
        <v>52</v>
      </c>
      <c r="F183" s="16" t="s">
        <v>53</v>
      </c>
      <c r="G183" s="16" t="s">
        <v>173</v>
      </c>
      <c r="H183" s="22" t="s">
        <v>55</v>
      </c>
      <c r="I183" s="16" t="s">
        <v>174</v>
      </c>
      <c r="J183" s="11">
        <v>1</v>
      </c>
      <c r="K183" s="21" t="s">
        <v>2</v>
      </c>
      <c r="L183" s="13">
        <v>1</v>
      </c>
      <c r="M183" s="14">
        <v>0</v>
      </c>
      <c r="N183" s="14">
        <v>1</v>
      </c>
      <c r="O183" s="9">
        <v>1000</v>
      </c>
      <c r="P183" s="9" t="s">
        <v>175</v>
      </c>
      <c r="Q183" s="14">
        <v>1</v>
      </c>
      <c r="R183" s="9">
        <v>0</v>
      </c>
      <c r="S183" s="9">
        <v>0</v>
      </c>
      <c r="T183" s="8" t="s">
        <v>58</v>
      </c>
      <c r="U183" s="85">
        <v>51</v>
      </c>
      <c r="V183" s="8">
        <v>510707</v>
      </c>
      <c r="W183" s="16" t="s">
        <v>288</v>
      </c>
      <c r="X183" s="127">
        <v>0</v>
      </c>
      <c r="Y183" s="18">
        <v>3986.13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07">
        <v>0</v>
      </c>
      <c r="AK183" s="17">
        <v>0</v>
      </c>
      <c r="AL183" s="17">
        <v>0</v>
      </c>
      <c r="AM183" s="17">
        <v>0</v>
      </c>
      <c r="AN183" s="17">
        <v>0</v>
      </c>
      <c r="AO183" s="17">
        <v>0</v>
      </c>
      <c r="AP183" s="17">
        <v>0</v>
      </c>
      <c r="AQ183" s="17">
        <v>0</v>
      </c>
      <c r="AR183" s="17">
        <v>0</v>
      </c>
      <c r="AS183" s="17">
        <v>0</v>
      </c>
      <c r="AT183" s="17">
        <v>3986.13</v>
      </c>
      <c r="AU183" s="17">
        <v>3986.13</v>
      </c>
      <c r="AV183" s="17">
        <v>0</v>
      </c>
      <c r="AW183" s="17">
        <v>0</v>
      </c>
      <c r="AX183" s="19">
        <f t="shared" si="13"/>
        <v>3986.13</v>
      </c>
      <c r="AY183" s="10" t="str">
        <f t="shared" si="17"/>
        <v>OK</v>
      </c>
      <c r="AZ183" s="10">
        <f t="shared" si="12"/>
        <v>3986.13</v>
      </c>
      <c r="BA183" s="10">
        <f t="shared" si="15"/>
        <v>0</v>
      </c>
      <c r="BB183" s="17"/>
      <c r="BC183" s="113"/>
    </row>
    <row r="184" spans="1:55" s="118" customFormat="1" ht="13.5" customHeight="1">
      <c r="A184" s="16" t="s">
        <v>48</v>
      </c>
      <c r="B184" s="16" t="s">
        <v>49</v>
      </c>
      <c r="C184" s="16" t="s">
        <v>50</v>
      </c>
      <c r="D184" s="16" t="s">
        <v>51</v>
      </c>
      <c r="E184" s="16" t="s">
        <v>52</v>
      </c>
      <c r="F184" s="16" t="s">
        <v>53</v>
      </c>
      <c r="G184" s="16" t="s">
        <v>173</v>
      </c>
      <c r="H184" s="22" t="s">
        <v>55</v>
      </c>
      <c r="I184" s="23" t="s">
        <v>56</v>
      </c>
      <c r="J184" s="11">
        <v>2</v>
      </c>
      <c r="K184" s="12" t="s">
        <v>2</v>
      </c>
      <c r="L184" s="13">
        <v>1</v>
      </c>
      <c r="M184" s="14">
        <v>0</v>
      </c>
      <c r="N184" s="14">
        <v>1</v>
      </c>
      <c r="O184" s="9">
        <v>1001</v>
      </c>
      <c r="P184" s="9" t="s">
        <v>188</v>
      </c>
      <c r="Q184" s="14">
        <v>1</v>
      </c>
      <c r="R184" s="9">
        <v>0</v>
      </c>
      <c r="S184" s="9">
        <v>0</v>
      </c>
      <c r="T184" s="8" t="s">
        <v>58</v>
      </c>
      <c r="U184" s="85">
        <v>53</v>
      </c>
      <c r="V184" s="8">
        <v>530101</v>
      </c>
      <c r="W184" s="16" t="s">
        <v>59</v>
      </c>
      <c r="X184" s="18">
        <v>125</v>
      </c>
      <c r="Y184" s="18">
        <f>125-42.25</f>
        <v>82.75</v>
      </c>
      <c r="Z184" s="17">
        <v>82.75</v>
      </c>
      <c r="AA184" s="17">
        <v>82.75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07">
        <v>0</v>
      </c>
      <c r="AK184" s="17">
        <v>0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  <c r="AS184" s="17">
        <v>0</v>
      </c>
      <c r="AT184" s="17">
        <v>0</v>
      </c>
      <c r="AU184" s="17">
        <v>0</v>
      </c>
      <c r="AV184" s="17">
        <v>0</v>
      </c>
      <c r="AW184" s="17">
        <v>0</v>
      </c>
      <c r="AX184" s="19">
        <f t="shared" si="13"/>
        <v>82.75</v>
      </c>
      <c r="AY184" s="10" t="str">
        <f>IF(AX184=Y184,"OK",Y184-AX184)</f>
        <v>OK</v>
      </c>
      <c r="AZ184" s="10">
        <f t="shared" si="12"/>
        <v>82.75</v>
      </c>
      <c r="BA184" s="10">
        <f t="shared" si="15"/>
        <v>0</v>
      </c>
      <c r="BB184" s="17">
        <v>82.75</v>
      </c>
      <c r="BC184" s="113">
        <f t="shared" si="16"/>
        <v>0</v>
      </c>
    </row>
    <row r="185" spans="1:55" s="118" customFormat="1" ht="13.5" customHeight="1">
      <c r="A185" s="16" t="s">
        <v>48</v>
      </c>
      <c r="B185" s="16" t="s">
        <v>49</v>
      </c>
      <c r="C185" s="16" t="s">
        <v>50</v>
      </c>
      <c r="D185" s="16" t="s">
        <v>51</v>
      </c>
      <c r="E185" s="16" t="s">
        <v>52</v>
      </c>
      <c r="F185" s="16" t="s">
        <v>53</v>
      </c>
      <c r="G185" s="16" t="s">
        <v>173</v>
      </c>
      <c r="H185" s="22" t="s">
        <v>55</v>
      </c>
      <c r="I185" s="134" t="s">
        <v>60</v>
      </c>
      <c r="J185" s="11">
        <v>1</v>
      </c>
      <c r="K185" s="12" t="s">
        <v>2</v>
      </c>
      <c r="L185" s="13">
        <v>1</v>
      </c>
      <c r="M185" s="14">
        <v>0</v>
      </c>
      <c r="N185" s="14">
        <v>1</v>
      </c>
      <c r="O185" s="9">
        <v>1001</v>
      </c>
      <c r="P185" s="9" t="s">
        <v>188</v>
      </c>
      <c r="Q185" s="14">
        <v>1</v>
      </c>
      <c r="R185" s="9">
        <v>0</v>
      </c>
      <c r="S185" s="9">
        <v>0</v>
      </c>
      <c r="T185" s="8" t="s">
        <v>58</v>
      </c>
      <c r="U185" s="85">
        <v>53</v>
      </c>
      <c r="V185" s="8">
        <v>530101</v>
      </c>
      <c r="W185" s="16" t="s">
        <v>59</v>
      </c>
      <c r="X185" s="18">
        <v>1056</v>
      </c>
      <c r="Y185" s="132">
        <f>1056+42.25+200</f>
        <v>1298.25</v>
      </c>
      <c r="Z185" s="17">
        <v>0</v>
      </c>
      <c r="AA185" s="17">
        <v>0</v>
      </c>
      <c r="AB185" s="17">
        <v>96</v>
      </c>
      <c r="AC185" s="17">
        <v>72.21</v>
      </c>
      <c r="AD185" s="17">
        <v>96</v>
      </c>
      <c r="AE185" s="17">
        <v>83.8</v>
      </c>
      <c r="AF185" s="17">
        <v>96</v>
      </c>
      <c r="AG185" s="17">
        <v>58.49</v>
      </c>
      <c r="AH185" s="17">
        <v>96</v>
      </c>
      <c r="AI185" s="17">
        <v>79.6</v>
      </c>
      <c r="AJ185" s="107">
        <v>96</v>
      </c>
      <c r="AK185" s="17">
        <v>163.36</v>
      </c>
      <c r="AL185" s="17">
        <v>96</v>
      </c>
      <c r="AM185" s="17">
        <v>76.42</v>
      </c>
      <c r="AN185" s="17">
        <v>96</v>
      </c>
      <c r="AO185" s="17">
        <v>79.6</v>
      </c>
      <c r="AP185" s="17">
        <v>96</v>
      </c>
      <c r="AQ185" s="17">
        <v>154.79</v>
      </c>
      <c r="AR185" s="17">
        <v>96</v>
      </c>
      <c r="AS185" s="17">
        <v>86.96</v>
      </c>
      <c r="AT185" s="17">
        <v>96</v>
      </c>
      <c r="AU185" s="17">
        <v>55.34</v>
      </c>
      <c r="AV185" s="17">
        <v>338.25</v>
      </c>
      <c r="AW185" s="17">
        <v>180.5</v>
      </c>
      <c r="AX185" s="19">
        <f t="shared" si="13"/>
        <v>1298.25</v>
      </c>
      <c r="AY185" s="10" t="str">
        <f aca="true" t="shared" si="18" ref="AY185:AY201">IF(AX185=Y185,"OK",Y185-AX185)</f>
        <v>OK</v>
      </c>
      <c r="AZ185" s="10">
        <f t="shared" si="12"/>
        <v>1091.0700000000002</v>
      </c>
      <c r="BA185" s="10">
        <f t="shared" si="15"/>
        <v>207.18</v>
      </c>
      <c r="BB185" s="17">
        <f>1098.25-329.98+529.98</f>
        <v>1298.25</v>
      </c>
      <c r="BC185" s="113">
        <f t="shared" si="16"/>
        <v>0</v>
      </c>
    </row>
    <row r="186" spans="1:55" s="118" customFormat="1" ht="13.5" customHeight="1">
      <c r="A186" s="16" t="s">
        <v>48</v>
      </c>
      <c r="B186" s="16" t="s">
        <v>49</v>
      </c>
      <c r="C186" s="16" t="s">
        <v>50</v>
      </c>
      <c r="D186" s="16" t="s">
        <v>51</v>
      </c>
      <c r="E186" s="16" t="s">
        <v>52</v>
      </c>
      <c r="F186" s="16" t="s">
        <v>53</v>
      </c>
      <c r="G186" s="16" t="s">
        <v>173</v>
      </c>
      <c r="H186" s="22" t="s">
        <v>55</v>
      </c>
      <c r="I186" s="23" t="s">
        <v>61</v>
      </c>
      <c r="J186" s="11">
        <v>2</v>
      </c>
      <c r="K186" s="12" t="s">
        <v>2</v>
      </c>
      <c r="L186" s="13">
        <v>1</v>
      </c>
      <c r="M186" s="14">
        <v>0</v>
      </c>
      <c r="N186" s="14">
        <v>1</v>
      </c>
      <c r="O186" s="9">
        <v>1001</v>
      </c>
      <c r="P186" s="9" t="s">
        <v>188</v>
      </c>
      <c r="Q186" s="14">
        <v>1</v>
      </c>
      <c r="R186" s="9">
        <v>0</v>
      </c>
      <c r="S186" s="9">
        <v>0</v>
      </c>
      <c r="T186" s="8" t="s">
        <v>58</v>
      </c>
      <c r="U186" s="85">
        <v>53</v>
      </c>
      <c r="V186" s="8">
        <v>530104</v>
      </c>
      <c r="W186" s="16" t="s">
        <v>62</v>
      </c>
      <c r="X186" s="18">
        <v>1200</v>
      </c>
      <c r="Y186" s="18">
        <f>1200-110.96</f>
        <v>1089.04</v>
      </c>
      <c r="Z186" s="17">
        <v>1089.04</v>
      </c>
      <c r="AA186" s="17">
        <v>1089.04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07">
        <v>0</v>
      </c>
      <c r="AK186" s="17">
        <v>0</v>
      </c>
      <c r="AL186" s="17">
        <v>0</v>
      </c>
      <c r="AM186" s="17">
        <v>0</v>
      </c>
      <c r="AN186" s="17">
        <v>0</v>
      </c>
      <c r="AO186" s="17">
        <v>0</v>
      </c>
      <c r="AP186" s="17">
        <v>0</v>
      </c>
      <c r="AQ186" s="17">
        <v>0</v>
      </c>
      <c r="AR186" s="17">
        <v>0</v>
      </c>
      <c r="AS186" s="17">
        <v>0</v>
      </c>
      <c r="AT186" s="17">
        <v>0</v>
      </c>
      <c r="AU186" s="17">
        <v>0</v>
      </c>
      <c r="AV186" s="17">
        <v>0</v>
      </c>
      <c r="AW186" s="17">
        <v>0</v>
      </c>
      <c r="AX186" s="19">
        <f t="shared" si="13"/>
        <v>1089.04</v>
      </c>
      <c r="AY186" s="10" t="str">
        <f t="shared" si="18"/>
        <v>OK</v>
      </c>
      <c r="AZ186" s="10">
        <f t="shared" si="12"/>
        <v>1089.04</v>
      </c>
      <c r="BA186" s="10">
        <f t="shared" si="15"/>
        <v>0</v>
      </c>
      <c r="BB186" s="17">
        <v>1089.04</v>
      </c>
      <c r="BC186" s="113">
        <f t="shared" si="16"/>
        <v>0</v>
      </c>
    </row>
    <row r="187" spans="1:55" s="118" customFormat="1" ht="13.5" customHeight="1">
      <c r="A187" s="16" t="s">
        <v>48</v>
      </c>
      <c r="B187" s="16" t="s">
        <v>49</v>
      </c>
      <c r="C187" s="16" t="s">
        <v>50</v>
      </c>
      <c r="D187" s="16" t="s">
        <v>51</v>
      </c>
      <c r="E187" s="16" t="s">
        <v>52</v>
      </c>
      <c r="F187" s="16" t="s">
        <v>53</v>
      </c>
      <c r="G187" s="16" t="s">
        <v>173</v>
      </c>
      <c r="H187" s="22" t="s">
        <v>55</v>
      </c>
      <c r="I187" s="134" t="s">
        <v>63</v>
      </c>
      <c r="J187" s="11">
        <v>1</v>
      </c>
      <c r="K187" s="12" t="s">
        <v>2</v>
      </c>
      <c r="L187" s="13">
        <v>1</v>
      </c>
      <c r="M187" s="14">
        <v>0</v>
      </c>
      <c r="N187" s="14">
        <v>1</v>
      </c>
      <c r="O187" s="9">
        <v>1001</v>
      </c>
      <c r="P187" s="9" t="s">
        <v>188</v>
      </c>
      <c r="Q187" s="14">
        <v>1</v>
      </c>
      <c r="R187" s="9">
        <v>0</v>
      </c>
      <c r="S187" s="9">
        <v>0</v>
      </c>
      <c r="T187" s="8" t="s">
        <v>58</v>
      </c>
      <c r="U187" s="85">
        <v>53</v>
      </c>
      <c r="V187" s="8">
        <v>530104</v>
      </c>
      <c r="W187" s="16" t="s">
        <v>62</v>
      </c>
      <c r="X187" s="18">
        <v>7000</v>
      </c>
      <c r="Y187" s="132">
        <f>7000+6200-1409.01-1059.44</f>
        <v>10731.55</v>
      </c>
      <c r="Z187" s="17">
        <v>0</v>
      </c>
      <c r="AA187" s="17">
        <v>1177.36</v>
      </c>
      <c r="AB187" s="17">
        <v>2200</v>
      </c>
      <c r="AC187" s="17">
        <v>1082.79</v>
      </c>
      <c r="AD187" s="17">
        <v>2200</v>
      </c>
      <c r="AE187" s="17">
        <v>985.84</v>
      </c>
      <c r="AF187" s="17">
        <v>2200</v>
      </c>
      <c r="AG187" s="17">
        <v>1187.18</v>
      </c>
      <c r="AH187" s="17">
        <v>2200</v>
      </c>
      <c r="AI187" s="17">
        <v>890.01</v>
      </c>
      <c r="AJ187" s="107">
        <v>1931.5499999999993</v>
      </c>
      <c r="AK187" s="17">
        <v>723.94</v>
      </c>
      <c r="AL187" s="17">
        <v>0</v>
      </c>
      <c r="AM187" s="17">
        <v>866.95</v>
      </c>
      <c r="AN187" s="17">
        <v>0</v>
      </c>
      <c r="AO187" s="17">
        <v>965.37</v>
      </c>
      <c r="AP187" s="17">
        <v>0</v>
      </c>
      <c r="AQ187" s="17">
        <v>911.55</v>
      </c>
      <c r="AR187" s="17">
        <v>0</v>
      </c>
      <c r="AS187" s="17">
        <v>990.82</v>
      </c>
      <c r="AT187" s="17">
        <v>0</v>
      </c>
      <c r="AU187" s="17">
        <v>949.74</v>
      </c>
      <c r="AV187" s="17">
        <v>0</v>
      </c>
      <c r="AW187" s="17">
        <v>0</v>
      </c>
      <c r="AX187" s="19">
        <f t="shared" si="13"/>
        <v>10731.55</v>
      </c>
      <c r="AY187" s="10" t="str">
        <f t="shared" si="18"/>
        <v>OK</v>
      </c>
      <c r="AZ187" s="10">
        <f t="shared" si="12"/>
        <v>10731.55</v>
      </c>
      <c r="BA187" s="10">
        <f t="shared" si="15"/>
        <v>-1.2505552149377763E-12</v>
      </c>
      <c r="BB187" s="17">
        <f>13200-1409.01</f>
        <v>11790.99</v>
      </c>
      <c r="BC187" s="113">
        <f t="shared" si="16"/>
        <v>-1059.4400000000005</v>
      </c>
    </row>
    <row r="188" spans="1:55" s="118" customFormat="1" ht="13.5" customHeight="1">
      <c r="A188" s="16" t="s">
        <v>48</v>
      </c>
      <c r="B188" s="16" t="s">
        <v>49</v>
      </c>
      <c r="C188" s="16" t="s">
        <v>50</v>
      </c>
      <c r="D188" s="16" t="s">
        <v>51</v>
      </c>
      <c r="E188" s="16" t="s">
        <v>52</v>
      </c>
      <c r="F188" s="16" t="s">
        <v>53</v>
      </c>
      <c r="G188" s="16" t="s">
        <v>173</v>
      </c>
      <c r="H188" s="22" t="s">
        <v>55</v>
      </c>
      <c r="I188" s="23" t="s">
        <v>64</v>
      </c>
      <c r="J188" s="11">
        <v>2</v>
      </c>
      <c r="K188" s="12" t="s">
        <v>2</v>
      </c>
      <c r="L188" s="13">
        <v>1</v>
      </c>
      <c r="M188" s="14">
        <v>0</v>
      </c>
      <c r="N188" s="14">
        <v>1</v>
      </c>
      <c r="O188" s="9">
        <v>1001</v>
      </c>
      <c r="P188" s="9" t="s">
        <v>188</v>
      </c>
      <c r="Q188" s="14">
        <v>1</v>
      </c>
      <c r="R188" s="9">
        <v>0</v>
      </c>
      <c r="S188" s="9">
        <v>0</v>
      </c>
      <c r="T188" s="8" t="s">
        <v>58</v>
      </c>
      <c r="U188" s="85">
        <v>53</v>
      </c>
      <c r="V188" s="8">
        <v>530106</v>
      </c>
      <c r="W188" s="16" t="s">
        <v>65</v>
      </c>
      <c r="X188" s="18">
        <v>112</v>
      </c>
      <c r="Y188" s="65">
        <f>112-100.57-1.23</f>
        <v>10.200000000000006</v>
      </c>
      <c r="Z188" s="17">
        <v>10.200000000000006</v>
      </c>
      <c r="AA188" s="17">
        <v>10.2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07">
        <v>0</v>
      </c>
      <c r="AK188" s="17">
        <v>0</v>
      </c>
      <c r="AL188" s="17">
        <v>0</v>
      </c>
      <c r="AM188" s="17">
        <v>0</v>
      </c>
      <c r="AN188" s="17">
        <v>0</v>
      </c>
      <c r="AO188" s="17">
        <v>0</v>
      </c>
      <c r="AP188" s="17">
        <v>0</v>
      </c>
      <c r="AQ188" s="17">
        <v>0</v>
      </c>
      <c r="AR188" s="17">
        <v>0</v>
      </c>
      <c r="AS188" s="17">
        <v>0</v>
      </c>
      <c r="AT188" s="17">
        <v>0</v>
      </c>
      <c r="AU188" s="17">
        <v>0</v>
      </c>
      <c r="AV188" s="17">
        <v>0</v>
      </c>
      <c r="AW188" s="17">
        <v>0</v>
      </c>
      <c r="AX188" s="19">
        <f t="shared" si="13"/>
        <v>10.200000000000006</v>
      </c>
      <c r="AY188" s="10" t="str">
        <f t="shared" si="18"/>
        <v>OK</v>
      </c>
      <c r="AZ188" s="10">
        <f t="shared" si="12"/>
        <v>10.2</v>
      </c>
      <c r="BA188" s="10">
        <f t="shared" si="15"/>
        <v>7.105427357601002E-15</v>
      </c>
      <c r="BB188" s="17">
        <v>10.2</v>
      </c>
      <c r="BC188" s="113">
        <f t="shared" si="16"/>
        <v>0</v>
      </c>
    </row>
    <row r="189" spans="1:55" s="118" customFormat="1" ht="13.5" customHeight="1">
      <c r="A189" s="16" t="s">
        <v>48</v>
      </c>
      <c r="B189" s="16" t="s">
        <v>49</v>
      </c>
      <c r="C189" s="16" t="s">
        <v>50</v>
      </c>
      <c r="D189" s="16" t="s">
        <v>51</v>
      </c>
      <c r="E189" s="16" t="s">
        <v>52</v>
      </c>
      <c r="F189" s="16" t="s">
        <v>53</v>
      </c>
      <c r="G189" s="16" t="s">
        <v>173</v>
      </c>
      <c r="H189" s="22" t="s">
        <v>55</v>
      </c>
      <c r="I189" s="134" t="s">
        <v>66</v>
      </c>
      <c r="J189" s="11">
        <v>1</v>
      </c>
      <c r="K189" s="12" t="s">
        <v>2</v>
      </c>
      <c r="L189" s="13">
        <v>1</v>
      </c>
      <c r="M189" s="14">
        <v>0</v>
      </c>
      <c r="N189" s="14">
        <v>1</v>
      </c>
      <c r="O189" s="9">
        <v>1001</v>
      </c>
      <c r="P189" s="9" t="s">
        <v>188</v>
      </c>
      <c r="Q189" s="14">
        <v>1</v>
      </c>
      <c r="R189" s="9">
        <v>0</v>
      </c>
      <c r="S189" s="9">
        <v>0</v>
      </c>
      <c r="T189" s="8" t="s">
        <v>58</v>
      </c>
      <c r="U189" s="85">
        <v>53</v>
      </c>
      <c r="V189" s="8">
        <v>530106</v>
      </c>
      <c r="W189" s="16" t="s">
        <v>65</v>
      </c>
      <c r="X189" s="18">
        <v>542.08</v>
      </c>
      <c r="Y189" s="132">
        <f>542.08+100.57-330.15-120.9-79</f>
        <v>112.60000000000011</v>
      </c>
      <c r="Z189" s="17">
        <v>0</v>
      </c>
      <c r="AA189" s="17">
        <v>0</v>
      </c>
      <c r="AB189" s="17">
        <v>0</v>
      </c>
      <c r="AC189" s="17">
        <v>0</v>
      </c>
      <c r="AD189" s="17">
        <v>44</v>
      </c>
      <c r="AE189" s="17">
        <v>0</v>
      </c>
      <c r="AF189" s="17">
        <v>44</v>
      </c>
      <c r="AG189" s="17">
        <v>9</v>
      </c>
      <c r="AH189" s="17">
        <v>24.6</v>
      </c>
      <c r="AI189" s="17">
        <v>12</v>
      </c>
      <c r="AJ189" s="107">
        <v>0</v>
      </c>
      <c r="AK189" s="17">
        <v>15</v>
      </c>
      <c r="AL189" s="17">
        <v>0</v>
      </c>
      <c r="AM189" s="17">
        <v>0</v>
      </c>
      <c r="AN189" s="17">
        <v>0</v>
      </c>
      <c r="AO189" s="17">
        <v>29.4</v>
      </c>
      <c r="AP189" s="17">
        <v>0</v>
      </c>
      <c r="AQ189" s="17">
        <v>26.2</v>
      </c>
      <c r="AR189" s="17">
        <v>0</v>
      </c>
      <c r="AS189" s="17">
        <v>6</v>
      </c>
      <c r="AT189" s="17">
        <v>0</v>
      </c>
      <c r="AU189" s="17">
        <v>9</v>
      </c>
      <c r="AV189" s="17">
        <v>0</v>
      </c>
      <c r="AW189" s="17">
        <v>6</v>
      </c>
      <c r="AX189" s="19">
        <f t="shared" si="13"/>
        <v>112.6</v>
      </c>
      <c r="AY189" s="10" t="str">
        <f t="shared" si="18"/>
        <v>OK</v>
      </c>
      <c r="AZ189" s="10">
        <f t="shared" si="12"/>
        <v>112.60000000000001</v>
      </c>
      <c r="BA189" s="10">
        <f t="shared" si="15"/>
        <v>0</v>
      </c>
      <c r="BB189" s="17">
        <f>312.5-120.9</f>
        <v>191.6</v>
      </c>
      <c r="BC189" s="113">
        <f t="shared" si="16"/>
        <v>-78.99999999999989</v>
      </c>
    </row>
    <row r="190" spans="1:55" s="118" customFormat="1" ht="13.5" customHeight="1">
      <c r="A190" s="16" t="s">
        <v>48</v>
      </c>
      <c r="B190" s="16" t="s">
        <v>49</v>
      </c>
      <c r="C190" s="16" t="s">
        <v>50</v>
      </c>
      <c r="D190" s="16" t="s">
        <v>51</v>
      </c>
      <c r="E190" s="16" t="s">
        <v>52</v>
      </c>
      <c r="F190" s="16" t="s">
        <v>53</v>
      </c>
      <c r="G190" s="16" t="s">
        <v>173</v>
      </c>
      <c r="H190" s="22" t="s">
        <v>55</v>
      </c>
      <c r="I190" s="23" t="s">
        <v>67</v>
      </c>
      <c r="J190" s="11">
        <v>2</v>
      </c>
      <c r="K190" s="12" t="s">
        <v>2</v>
      </c>
      <c r="L190" s="13">
        <v>1</v>
      </c>
      <c r="M190" s="14">
        <v>0</v>
      </c>
      <c r="N190" s="14">
        <v>1</v>
      </c>
      <c r="O190" s="9">
        <v>1001</v>
      </c>
      <c r="P190" s="9" t="s">
        <v>188</v>
      </c>
      <c r="Q190" s="14">
        <v>1</v>
      </c>
      <c r="R190" s="9">
        <v>0</v>
      </c>
      <c r="S190" s="9">
        <v>0</v>
      </c>
      <c r="T190" s="8" t="s">
        <v>58</v>
      </c>
      <c r="U190" s="85">
        <v>53</v>
      </c>
      <c r="V190" s="8">
        <v>530201</v>
      </c>
      <c r="W190" s="16" t="s">
        <v>68</v>
      </c>
      <c r="X190" s="18">
        <v>5118</v>
      </c>
      <c r="Y190" s="18">
        <f>5118-0.5</f>
        <v>5117.5</v>
      </c>
      <c r="Z190" s="17">
        <v>5117.5</v>
      </c>
      <c r="AA190" s="17">
        <v>5117.5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0</v>
      </c>
      <c r="AJ190" s="107">
        <v>0</v>
      </c>
      <c r="AK190" s="17">
        <v>0</v>
      </c>
      <c r="AL190" s="17">
        <v>0</v>
      </c>
      <c r="AM190" s="17">
        <v>0</v>
      </c>
      <c r="AN190" s="17">
        <v>0</v>
      </c>
      <c r="AO190" s="17">
        <v>0</v>
      </c>
      <c r="AP190" s="17">
        <v>0</v>
      </c>
      <c r="AQ190" s="17">
        <v>0</v>
      </c>
      <c r="AR190" s="17">
        <v>0</v>
      </c>
      <c r="AS190" s="17">
        <v>0</v>
      </c>
      <c r="AT190" s="17">
        <v>0</v>
      </c>
      <c r="AU190" s="17">
        <v>0</v>
      </c>
      <c r="AV190" s="17">
        <v>0</v>
      </c>
      <c r="AW190" s="17">
        <v>0</v>
      </c>
      <c r="AX190" s="19">
        <f t="shared" si="13"/>
        <v>5117.5</v>
      </c>
      <c r="AY190" s="10" t="str">
        <f t="shared" si="18"/>
        <v>OK</v>
      </c>
      <c r="AZ190" s="10">
        <f t="shared" si="12"/>
        <v>5117.5</v>
      </c>
      <c r="BA190" s="10">
        <f t="shared" si="15"/>
        <v>0</v>
      </c>
      <c r="BB190" s="17">
        <v>5117.5</v>
      </c>
      <c r="BC190" s="113">
        <f t="shared" si="16"/>
        <v>0</v>
      </c>
    </row>
    <row r="191" spans="1:55" s="118" customFormat="1" ht="13.5" customHeight="1">
      <c r="A191" s="16" t="s">
        <v>48</v>
      </c>
      <c r="B191" s="16" t="s">
        <v>49</v>
      </c>
      <c r="C191" s="16" t="s">
        <v>50</v>
      </c>
      <c r="D191" s="16" t="s">
        <v>51</v>
      </c>
      <c r="E191" s="16" t="s">
        <v>52</v>
      </c>
      <c r="F191" s="16" t="s">
        <v>53</v>
      </c>
      <c r="G191" s="16" t="s">
        <v>173</v>
      </c>
      <c r="H191" s="22" t="s">
        <v>55</v>
      </c>
      <c r="I191" s="147" t="s">
        <v>189</v>
      </c>
      <c r="J191" s="11">
        <v>1</v>
      </c>
      <c r="K191" s="12" t="s">
        <v>2</v>
      </c>
      <c r="L191" s="13">
        <v>1</v>
      </c>
      <c r="M191" s="14">
        <v>0</v>
      </c>
      <c r="N191" s="14">
        <v>1</v>
      </c>
      <c r="O191" s="9">
        <v>1001</v>
      </c>
      <c r="P191" s="9" t="s">
        <v>188</v>
      </c>
      <c r="Q191" s="14">
        <v>1</v>
      </c>
      <c r="R191" s="9">
        <v>0</v>
      </c>
      <c r="S191" s="9">
        <v>0</v>
      </c>
      <c r="T191" s="8" t="s">
        <v>58</v>
      </c>
      <c r="U191" s="85">
        <v>53</v>
      </c>
      <c r="V191" s="8">
        <v>530201</v>
      </c>
      <c r="W191" s="16" t="s">
        <v>68</v>
      </c>
      <c r="X191" s="18">
        <v>72006</v>
      </c>
      <c r="Y191" s="146">
        <f>72006-1737.67+0.01-6820.37-1893.61</f>
        <v>61554.35999999999</v>
      </c>
      <c r="Z191" s="17">
        <v>0</v>
      </c>
      <c r="AA191" s="17">
        <v>837.3999999999996</v>
      </c>
      <c r="AB191" s="17">
        <v>6546</v>
      </c>
      <c r="AC191" s="17">
        <v>4050.06</v>
      </c>
      <c r="AD191" s="17">
        <v>6546</v>
      </c>
      <c r="AE191" s="17">
        <v>5856.05</v>
      </c>
      <c r="AF191" s="17">
        <v>6546</v>
      </c>
      <c r="AG191" s="17">
        <v>5856.05</v>
      </c>
      <c r="AH191" s="17">
        <v>6546</v>
      </c>
      <c r="AI191" s="17">
        <v>5856.05</v>
      </c>
      <c r="AJ191" s="107">
        <v>6546</v>
      </c>
      <c r="AK191" s="17">
        <v>5856.05</v>
      </c>
      <c r="AL191" s="17">
        <v>6546</v>
      </c>
      <c r="AM191" s="17">
        <v>3962.44</v>
      </c>
      <c r="AN191" s="17">
        <v>6546</v>
      </c>
      <c r="AO191" s="17">
        <v>5856.05</v>
      </c>
      <c r="AP191" s="17">
        <v>6546</v>
      </c>
      <c r="AQ191" s="17">
        <v>5856.05</v>
      </c>
      <c r="AR191" s="17">
        <v>6546</v>
      </c>
      <c r="AS191" s="17">
        <v>5856.05</v>
      </c>
      <c r="AT191" s="17">
        <v>2640.3599999999933</v>
      </c>
      <c r="AU191" s="17">
        <v>5856.05</v>
      </c>
      <c r="AV191" s="17">
        <v>0</v>
      </c>
      <c r="AW191" s="17">
        <v>5856.05</v>
      </c>
      <c r="AX191" s="19">
        <f t="shared" si="13"/>
        <v>61554.35999999999</v>
      </c>
      <c r="AY191" s="10" t="str">
        <f t="shared" si="18"/>
        <v>OK</v>
      </c>
      <c r="AZ191" s="10">
        <f t="shared" si="12"/>
        <v>61554.350000000006</v>
      </c>
      <c r="BA191" s="10">
        <f t="shared" si="15"/>
        <v>0.0099999999965803</v>
      </c>
      <c r="BB191" s="17">
        <f>837.4+69430.93-6820.37</f>
        <v>63447.959999999985</v>
      </c>
      <c r="BC191" s="113">
        <f t="shared" si="16"/>
        <v>-1893.5999999999913</v>
      </c>
    </row>
    <row r="192" spans="1:55" s="118" customFormat="1" ht="13.5" customHeight="1">
      <c r="A192" s="16" t="s">
        <v>48</v>
      </c>
      <c r="B192" s="16" t="s">
        <v>49</v>
      </c>
      <c r="C192" s="16" t="s">
        <v>50</v>
      </c>
      <c r="D192" s="16" t="s">
        <v>51</v>
      </c>
      <c r="E192" s="16" t="s">
        <v>52</v>
      </c>
      <c r="F192" s="16" t="s">
        <v>53</v>
      </c>
      <c r="G192" s="16" t="s">
        <v>173</v>
      </c>
      <c r="H192" s="22" t="s">
        <v>55</v>
      </c>
      <c r="I192" s="134" t="s">
        <v>72</v>
      </c>
      <c r="J192" s="11">
        <v>2</v>
      </c>
      <c r="K192" s="12" t="s">
        <v>2</v>
      </c>
      <c r="L192" s="13">
        <v>1</v>
      </c>
      <c r="M192" s="14">
        <v>0</v>
      </c>
      <c r="N192" s="14">
        <v>1</v>
      </c>
      <c r="O192" s="9">
        <v>1001</v>
      </c>
      <c r="P192" s="9" t="s">
        <v>188</v>
      </c>
      <c r="Q192" s="14">
        <v>1</v>
      </c>
      <c r="R192" s="9">
        <v>0</v>
      </c>
      <c r="S192" s="9">
        <v>0</v>
      </c>
      <c r="T192" s="8" t="s">
        <v>58</v>
      </c>
      <c r="U192" s="85">
        <v>53</v>
      </c>
      <c r="V192" s="8">
        <v>530202</v>
      </c>
      <c r="W192" s="16" t="s">
        <v>190</v>
      </c>
      <c r="X192" s="18">
        <v>100</v>
      </c>
      <c r="Y192" s="132">
        <f>100-50-50</f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07">
        <v>0</v>
      </c>
      <c r="AK192" s="17">
        <v>0</v>
      </c>
      <c r="AL192" s="17">
        <v>0</v>
      </c>
      <c r="AM192" s="17">
        <v>0</v>
      </c>
      <c r="AN192" s="17">
        <v>0</v>
      </c>
      <c r="AO192" s="17">
        <v>0</v>
      </c>
      <c r="AP192" s="17">
        <v>0</v>
      </c>
      <c r="AQ192" s="17">
        <v>0</v>
      </c>
      <c r="AR192" s="17">
        <v>0</v>
      </c>
      <c r="AS192" s="17">
        <v>0</v>
      </c>
      <c r="AT192" s="17">
        <v>0</v>
      </c>
      <c r="AU192" s="17">
        <v>0</v>
      </c>
      <c r="AV192" s="17">
        <v>0</v>
      </c>
      <c r="AW192" s="17">
        <v>0</v>
      </c>
      <c r="AX192" s="19">
        <f t="shared" si="13"/>
        <v>0</v>
      </c>
      <c r="AY192" s="10" t="str">
        <f t="shared" si="18"/>
        <v>OK</v>
      </c>
      <c r="AZ192" s="10">
        <f t="shared" si="12"/>
        <v>0</v>
      </c>
      <c r="BA192" s="10">
        <f t="shared" si="15"/>
        <v>0</v>
      </c>
      <c r="BB192" s="17">
        <v>0</v>
      </c>
      <c r="BC192" s="113">
        <f t="shared" si="16"/>
        <v>0</v>
      </c>
    </row>
    <row r="193" spans="1:55" s="118" customFormat="1" ht="13.5" customHeight="1">
      <c r="A193" s="16" t="s">
        <v>48</v>
      </c>
      <c r="B193" s="16" t="s">
        <v>49</v>
      </c>
      <c r="C193" s="16" t="s">
        <v>50</v>
      </c>
      <c r="D193" s="16" t="s">
        <v>51</v>
      </c>
      <c r="E193" s="16" t="s">
        <v>52</v>
      </c>
      <c r="F193" s="16" t="s">
        <v>53</v>
      </c>
      <c r="G193" s="16" t="s">
        <v>173</v>
      </c>
      <c r="H193" s="22" t="s">
        <v>55</v>
      </c>
      <c r="I193" s="134" t="s">
        <v>70</v>
      </c>
      <c r="J193" s="11">
        <v>1</v>
      </c>
      <c r="K193" s="12" t="s">
        <v>2</v>
      </c>
      <c r="L193" s="13">
        <v>1</v>
      </c>
      <c r="M193" s="14">
        <v>0</v>
      </c>
      <c r="N193" s="14">
        <v>1</v>
      </c>
      <c r="O193" s="9">
        <v>1001</v>
      </c>
      <c r="P193" s="9" t="s">
        <v>188</v>
      </c>
      <c r="Q193" s="14">
        <v>1</v>
      </c>
      <c r="R193" s="9">
        <v>0</v>
      </c>
      <c r="S193" s="9">
        <v>0</v>
      </c>
      <c r="T193" s="8" t="s">
        <v>58</v>
      </c>
      <c r="U193" s="85">
        <v>53</v>
      </c>
      <c r="V193" s="8">
        <v>530203</v>
      </c>
      <c r="W193" s="16" t="s">
        <v>71</v>
      </c>
      <c r="X193" s="18">
        <v>300.15999999999985</v>
      </c>
      <c r="Y193" s="132">
        <f>300.16-55.08</f>
        <v>245.08000000000004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07">
        <v>0</v>
      </c>
      <c r="AK193" s="17">
        <v>0</v>
      </c>
      <c r="AL193" s="59">
        <v>0</v>
      </c>
      <c r="AM193" s="17">
        <v>0</v>
      </c>
      <c r="AN193" s="80">
        <v>245.08</v>
      </c>
      <c r="AO193" s="17">
        <v>245.08</v>
      </c>
      <c r="AP193" s="17">
        <v>0</v>
      </c>
      <c r="AQ193" s="17">
        <v>0</v>
      </c>
      <c r="AR193" s="17">
        <v>0</v>
      </c>
      <c r="AS193" s="17">
        <v>0</v>
      </c>
      <c r="AT193" s="17">
        <v>0</v>
      </c>
      <c r="AU193" s="17">
        <v>0</v>
      </c>
      <c r="AV193" s="17">
        <v>0</v>
      </c>
      <c r="AW193" s="17">
        <v>0</v>
      </c>
      <c r="AX193" s="19">
        <f t="shared" si="13"/>
        <v>245.08</v>
      </c>
      <c r="AY193" s="10" t="str">
        <f t="shared" si="18"/>
        <v>OK</v>
      </c>
      <c r="AZ193" s="10">
        <f t="shared" si="12"/>
        <v>245.08</v>
      </c>
      <c r="BA193" s="10">
        <f t="shared" si="15"/>
        <v>0</v>
      </c>
      <c r="BB193" s="17">
        <v>245.08</v>
      </c>
      <c r="BC193" s="113">
        <f t="shared" si="16"/>
        <v>0</v>
      </c>
    </row>
    <row r="194" spans="1:55" s="118" customFormat="1" ht="13.5" customHeight="1">
      <c r="A194" s="16" t="s">
        <v>48</v>
      </c>
      <c r="B194" s="16" t="s">
        <v>49</v>
      </c>
      <c r="C194" s="16" t="s">
        <v>50</v>
      </c>
      <c r="D194" s="16" t="s">
        <v>51</v>
      </c>
      <c r="E194" s="16" t="s">
        <v>52</v>
      </c>
      <c r="F194" s="16" t="s">
        <v>53</v>
      </c>
      <c r="G194" s="16" t="s">
        <v>173</v>
      </c>
      <c r="H194" s="22" t="s">
        <v>55</v>
      </c>
      <c r="I194" s="23" t="s">
        <v>72</v>
      </c>
      <c r="J194" s="11">
        <v>2</v>
      </c>
      <c r="K194" s="12" t="s">
        <v>2</v>
      </c>
      <c r="L194" s="13">
        <v>1</v>
      </c>
      <c r="M194" s="14">
        <v>0</v>
      </c>
      <c r="N194" s="14">
        <v>1</v>
      </c>
      <c r="O194" s="9">
        <v>1001</v>
      </c>
      <c r="P194" s="9" t="s">
        <v>188</v>
      </c>
      <c r="Q194" s="14">
        <v>1</v>
      </c>
      <c r="R194" s="9">
        <v>0</v>
      </c>
      <c r="S194" s="9">
        <v>0</v>
      </c>
      <c r="T194" s="8" t="s">
        <v>58</v>
      </c>
      <c r="U194" s="85">
        <v>53</v>
      </c>
      <c r="V194" s="8">
        <v>530204</v>
      </c>
      <c r="W194" s="16" t="s">
        <v>73</v>
      </c>
      <c r="X194" s="18">
        <v>102</v>
      </c>
      <c r="Y194" s="71">
        <f>102-30-62.75</f>
        <v>9.25</v>
      </c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74">
        <v>0</v>
      </c>
      <c r="AI194" s="17">
        <v>0</v>
      </c>
      <c r="AJ194" s="108">
        <v>9.25</v>
      </c>
      <c r="AK194" s="17">
        <v>8</v>
      </c>
      <c r="AL194" s="17">
        <v>0</v>
      </c>
      <c r="AM194" s="17">
        <v>0</v>
      </c>
      <c r="AN194" s="17">
        <v>0</v>
      </c>
      <c r="AO194" s="17">
        <v>0</v>
      </c>
      <c r="AP194" s="17">
        <v>0</v>
      </c>
      <c r="AQ194" s="17">
        <v>0</v>
      </c>
      <c r="AR194" s="17">
        <v>0</v>
      </c>
      <c r="AS194" s="17">
        <v>0</v>
      </c>
      <c r="AT194" s="17">
        <v>0</v>
      </c>
      <c r="AU194" s="17">
        <v>0</v>
      </c>
      <c r="AV194" s="17">
        <v>0</v>
      </c>
      <c r="AW194" s="17">
        <v>1.25</v>
      </c>
      <c r="AX194" s="19">
        <f t="shared" si="13"/>
        <v>9.25</v>
      </c>
      <c r="AY194" s="10" t="str">
        <f t="shared" si="18"/>
        <v>OK</v>
      </c>
      <c r="AZ194" s="10">
        <f t="shared" si="12"/>
        <v>9.25</v>
      </c>
      <c r="BA194" s="10">
        <f t="shared" si="15"/>
        <v>0</v>
      </c>
      <c r="BB194" s="17">
        <v>8</v>
      </c>
      <c r="BC194" s="113">
        <f t="shared" si="16"/>
        <v>1.25</v>
      </c>
    </row>
    <row r="195" spans="1:55" s="118" customFormat="1" ht="13.5" customHeight="1">
      <c r="A195" s="16" t="s">
        <v>48</v>
      </c>
      <c r="B195" s="16" t="s">
        <v>49</v>
      </c>
      <c r="C195" s="16" t="s">
        <v>74</v>
      </c>
      <c r="D195" s="16" t="s">
        <v>75</v>
      </c>
      <c r="E195" s="16" t="s">
        <v>52</v>
      </c>
      <c r="F195" s="16" t="s">
        <v>53</v>
      </c>
      <c r="G195" s="16" t="s">
        <v>191</v>
      </c>
      <c r="H195" s="22" t="s">
        <v>76</v>
      </c>
      <c r="I195" s="147" t="s">
        <v>265</v>
      </c>
      <c r="J195" s="11">
        <v>2</v>
      </c>
      <c r="K195" s="12" t="s">
        <v>2</v>
      </c>
      <c r="L195" s="13">
        <v>1</v>
      </c>
      <c r="M195" s="14">
        <v>0</v>
      </c>
      <c r="N195" s="14">
        <v>1</v>
      </c>
      <c r="O195" s="9">
        <v>1001</v>
      </c>
      <c r="P195" s="9" t="s">
        <v>188</v>
      </c>
      <c r="Q195" s="14">
        <v>1</v>
      </c>
      <c r="R195" s="9">
        <v>0</v>
      </c>
      <c r="S195" s="9">
        <v>0</v>
      </c>
      <c r="T195" s="8" t="s">
        <v>58</v>
      </c>
      <c r="U195" s="85">
        <v>53</v>
      </c>
      <c r="V195" s="8">
        <v>530204</v>
      </c>
      <c r="W195" s="16" t="s">
        <v>73</v>
      </c>
      <c r="X195" s="18">
        <v>112</v>
      </c>
      <c r="Y195" s="146">
        <f>112+20-20.33-84.88</f>
        <v>26.790000000000006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>
        <v>0</v>
      </c>
      <c r="AF195" s="17">
        <v>26.790000000000006</v>
      </c>
      <c r="AG195" s="17">
        <v>26.79</v>
      </c>
      <c r="AH195" s="17">
        <v>0</v>
      </c>
      <c r="AI195" s="17">
        <v>0</v>
      </c>
      <c r="AJ195" s="107">
        <v>0</v>
      </c>
      <c r="AK195" s="17">
        <v>0</v>
      </c>
      <c r="AL195" s="17">
        <v>0</v>
      </c>
      <c r="AM195" s="17">
        <v>0</v>
      </c>
      <c r="AN195" s="17">
        <v>0</v>
      </c>
      <c r="AO195" s="17">
        <v>0</v>
      </c>
      <c r="AP195" s="17">
        <v>0</v>
      </c>
      <c r="AQ195" s="17">
        <v>0</v>
      </c>
      <c r="AR195" s="17">
        <v>0</v>
      </c>
      <c r="AS195" s="17">
        <v>0</v>
      </c>
      <c r="AT195" s="17">
        <v>0</v>
      </c>
      <c r="AU195" s="17">
        <v>0</v>
      </c>
      <c r="AV195" s="17">
        <v>0</v>
      </c>
      <c r="AW195" s="17">
        <v>0</v>
      </c>
      <c r="AX195" s="19">
        <f t="shared" si="13"/>
        <v>26.790000000000006</v>
      </c>
      <c r="AY195" s="10" t="str">
        <f t="shared" si="18"/>
        <v>OK</v>
      </c>
      <c r="AZ195" s="10">
        <f t="shared" si="12"/>
        <v>26.79</v>
      </c>
      <c r="BA195" s="10">
        <f t="shared" si="15"/>
        <v>7.105427357601002E-15</v>
      </c>
      <c r="BB195" s="17">
        <v>26.79</v>
      </c>
      <c r="BC195" s="113">
        <f t="shared" si="16"/>
        <v>0</v>
      </c>
    </row>
    <row r="196" spans="1:55" s="118" customFormat="1" ht="13.5" customHeight="1">
      <c r="A196" s="16" t="s">
        <v>48</v>
      </c>
      <c r="B196" s="16" t="s">
        <v>49</v>
      </c>
      <c r="C196" s="16" t="s">
        <v>74</v>
      </c>
      <c r="D196" s="16" t="s">
        <v>75</v>
      </c>
      <c r="E196" s="16" t="s">
        <v>52</v>
      </c>
      <c r="F196" s="16" t="s">
        <v>53</v>
      </c>
      <c r="G196" s="16" t="s">
        <v>191</v>
      </c>
      <c r="H196" s="22" t="s">
        <v>76</v>
      </c>
      <c r="I196" s="134" t="s">
        <v>192</v>
      </c>
      <c r="J196" s="11">
        <v>1</v>
      </c>
      <c r="K196" s="12" t="s">
        <v>2</v>
      </c>
      <c r="L196" s="13">
        <v>1</v>
      </c>
      <c r="M196" s="14">
        <v>0</v>
      </c>
      <c r="N196" s="14">
        <v>1</v>
      </c>
      <c r="O196" s="9">
        <v>1001</v>
      </c>
      <c r="P196" s="9" t="s">
        <v>188</v>
      </c>
      <c r="Q196" s="14">
        <v>1</v>
      </c>
      <c r="R196" s="9">
        <v>0</v>
      </c>
      <c r="S196" s="9">
        <v>0</v>
      </c>
      <c r="T196" s="8" t="s">
        <v>58</v>
      </c>
      <c r="U196" s="85">
        <v>53</v>
      </c>
      <c r="V196" s="8">
        <v>530204</v>
      </c>
      <c r="W196" s="16" t="s">
        <v>73</v>
      </c>
      <c r="X196" s="18">
        <v>2200.8</v>
      </c>
      <c r="Y196" s="132">
        <f>2200.8+23951.96-23951.96-2200.8</f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  <c r="AE196" s="17">
        <v>0</v>
      </c>
      <c r="AF196" s="82">
        <v>0</v>
      </c>
      <c r="AG196" s="17">
        <v>0</v>
      </c>
      <c r="AH196" s="17">
        <v>0</v>
      </c>
      <c r="AI196" s="17">
        <v>0</v>
      </c>
      <c r="AJ196" s="107">
        <v>0</v>
      </c>
      <c r="AK196" s="17">
        <v>0</v>
      </c>
      <c r="AL196" s="17">
        <v>0</v>
      </c>
      <c r="AM196" s="17">
        <v>0</v>
      </c>
      <c r="AN196" s="59">
        <v>0</v>
      </c>
      <c r="AO196" s="17">
        <v>0</v>
      </c>
      <c r="AP196" s="59">
        <v>0</v>
      </c>
      <c r="AQ196" s="17">
        <v>0</v>
      </c>
      <c r="AR196" s="17">
        <v>0</v>
      </c>
      <c r="AS196" s="17">
        <v>0</v>
      </c>
      <c r="AT196" s="17">
        <v>0</v>
      </c>
      <c r="AU196" s="17">
        <v>0</v>
      </c>
      <c r="AV196" s="17">
        <v>0</v>
      </c>
      <c r="AW196" s="17">
        <v>0</v>
      </c>
      <c r="AX196" s="19">
        <f t="shared" si="13"/>
        <v>0</v>
      </c>
      <c r="AY196" s="10" t="str">
        <f t="shared" si="18"/>
        <v>OK</v>
      </c>
      <c r="AZ196" s="10">
        <f t="shared" si="12"/>
        <v>0</v>
      </c>
      <c r="BA196" s="10">
        <f t="shared" si="15"/>
        <v>0</v>
      </c>
      <c r="BB196" s="17">
        <v>0</v>
      </c>
      <c r="BC196" s="113">
        <f t="shared" si="16"/>
        <v>0</v>
      </c>
    </row>
    <row r="197" spans="1:55" s="118" customFormat="1" ht="13.5" customHeight="1">
      <c r="A197" s="16" t="s">
        <v>48</v>
      </c>
      <c r="B197" s="16" t="s">
        <v>49</v>
      </c>
      <c r="C197" s="16" t="s">
        <v>50</v>
      </c>
      <c r="D197" s="16" t="s">
        <v>51</v>
      </c>
      <c r="E197" s="16" t="s">
        <v>52</v>
      </c>
      <c r="F197" s="16" t="s">
        <v>53</v>
      </c>
      <c r="G197" s="16" t="s">
        <v>173</v>
      </c>
      <c r="H197" s="22" t="s">
        <v>55</v>
      </c>
      <c r="I197" s="63" t="s">
        <v>273</v>
      </c>
      <c r="J197" s="11">
        <v>1</v>
      </c>
      <c r="K197" s="12" t="s">
        <v>2</v>
      </c>
      <c r="L197" s="13">
        <v>1</v>
      </c>
      <c r="M197" s="14">
        <v>0</v>
      </c>
      <c r="N197" s="14">
        <v>1</v>
      </c>
      <c r="O197" s="9">
        <v>1001</v>
      </c>
      <c r="P197" s="9" t="s">
        <v>188</v>
      </c>
      <c r="Q197" s="14">
        <v>1</v>
      </c>
      <c r="R197" s="9">
        <v>0</v>
      </c>
      <c r="S197" s="9">
        <v>0</v>
      </c>
      <c r="T197" s="8" t="s">
        <v>58</v>
      </c>
      <c r="U197" s="85">
        <v>53</v>
      </c>
      <c r="V197" s="8">
        <v>530204</v>
      </c>
      <c r="W197" s="16" t="s">
        <v>73</v>
      </c>
      <c r="X197" s="18">
        <v>263.2</v>
      </c>
      <c r="Y197" s="89">
        <f>263.2+36.8-164.7</f>
        <v>135.3</v>
      </c>
      <c r="Z197" s="17">
        <v>0</v>
      </c>
      <c r="AA197" s="17">
        <v>0</v>
      </c>
      <c r="AB197" s="17">
        <v>0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0</v>
      </c>
      <c r="AI197" s="17">
        <v>0</v>
      </c>
      <c r="AJ197" s="107">
        <v>135.3</v>
      </c>
      <c r="AK197" s="17">
        <v>0</v>
      </c>
      <c r="AL197" s="17">
        <v>0</v>
      </c>
      <c r="AM197" s="17">
        <v>135.3</v>
      </c>
      <c r="AN197" s="17">
        <v>0</v>
      </c>
      <c r="AO197" s="17">
        <v>0</v>
      </c>
      <c r="AP197" s="17">
        <v>0</v>
      </c>
      <c r="AQ197" s="17">
        <v>0</v>
      </c>
      <c r="AR197" s="17">
        <v>0</v>
      </c>
      <c r="AS197" s="17">
        <v>0</v>
      </c>
      <c r="AT197" s="17">
        <v>0</v>
      </c>
      <c r="AU197" s="17">
        <v>0</v>
      </c>
      <c r="AV197" s="17">
        <v>0</v>
      </c>
      <c r="AW197" s="17">
        <v>0</v>
      </c>
      <c r="AX197" s="19">
        <f t="shared" si="13"/>
        <v>135.3</v>
      </c>
      <c r="AY197" s="10" t="str">
        <f t="shared" si="18"/>
        <v>OK</v>
      </c>
      <c r="AZ197" s="10">
        <f t="shared" si="12"/>
        <v>135.3</v>
      </c>
      <c r="BA197" s="10">
        <f t="shared" si="15"/>
        <v>0</v>
      </c>
      <c r="BB197" s="17">
        <v>135.3</v>
      </c>
      <c r="BC197" s="113">
        <f t="shared" si="16"/>
        <v>0</v>
      </c>
    </row>
    <row r="198" spans="1:55" s="118" customFormat="1" ht="13.5" customHeight="1">
      <c r="A198" s="16" t="s">
        <v>48</v>
      </c>
      <c r="B198" s="16" t="s">
        <v>49</v>
      </c>
      <c r="C198" s="16" t="s">
        <v>50</v>
      </c>
      <c r="D198" s="16" t="s">
        <v>51</v>
      </c>
      <c r="E198" s="16" t="s">
        <v>52</v>
      </c>
      <c r="F198" s="16" t="s">
        <v>53</v>
      </c>
      <c r="G198" s="16" t="s">
        <v>173</v>
      </c>
      <c r="H198" s="22" t="s">
        <v>55</v>
      </c>
      <c r="I198" s="23" t="s">
        <v>193</v>
      </c>
      <c r="J198" s="11">
        <v>2</v>
      </c>
      <c r="K198" s="12" t="s">
        <v>2</v>
      </c>
      <c r="L198" s="13">
        <v>1</v>
      </c>
      <c r="M198" s="14">
        <v>0</v>
      </c>
      <c r="N198" s="14">
        <v>1</v>
      </c>
      <c r="O198" s="9">
        <v>1001</v>
      </c>
      <c r="P198" s="9" t="s">
        <v>188</v>
      </c>
      <c r="Q198" s="14">
        <v>1</v>
      </c>
      <c r="R198" s="9">
        <v>0</v>
      </c>
      <c r="S198" s="9">
        <v>0</v>
      </c>
      <c r="T198" s="8" t="s">
        <v>58</v>
      </c>
      <c r="U198" s="85">
        <v>53</v>
      </c>
      <c r="V198" s="8">
        <v>530208</v>
      </c>
      <c r="W198" s="16" t="s">
        <v>194</v>
      </c>
      <c r="X198" s="18">
        <v>27851.04</v>
      </c>
      <c r="Y198" s="65">
        <f>27851.04-0.56-2983.98</f>
        <v>24866.5</v>
      </c>
      <c r="Z198" s="17">
        <v>24866.5</v>
      </c>
      <c r="AA198" s="17">
        <v>24866.5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0</v>
      </c>
      <c r="AI198" s="17">
        <v>0</v>
      </c>
      <c r="AJ198" s="107">
        <v>0</v>
      </c>
      <c r="AK198" s="17">
        <v>0</v>
      </c>
      <c r="AL198" s="17">
        <v>0</v>
      </c>
      <c r="AM198" s="17">
        <v>0</v>
      </c>
      <c r="AN198" s="17">
        <v>0</v>
      </c>
      <c r="AO198" s="17">
        <v>0</v>
      </c>
      <c r="AP198" s="17">
        <v>0</v>
      </c>
      <c r="AQ198" s="17">
        <v>0</v>
      </c>
      <c r="AR198" s="17">
        <v>0</v>
      </c>
      <c r="AS198" s="17">
        <v>0</v>
      </c>
      <c r="AT198" s="17">
        <v>0</v>
      </c>
      <c r="AU198" s="17">
        <v>0</v>
      </c>
      <c r="AV198" s="17">
        <v>0</v>
      </c>
      <c r="AW198" s="17">
        <v>0</v>
      </c>
      <c r="AX198" s="19">
        <f t="shared" si="13"/>
        <v>24866.5</v>
      </c>
      <c r="AY198" s="10" t="str">
        <f t="shared" si="18"/>
        <v>OK</v>
      </c>
      <c r="AZ198" s="10">
        <f aca="true" t="shared" si="19" ref="AZ198:AZ261">IF($AZ$4="Seleccione el mes",$AZ$4,IF($AZ$4="Enero",AA198,IF($AZ$4="Febrero",AA198+AC198,IF($AZ$4="Marzo",AA198+AC198+AE198,IF($AZ$4="Abril",AA198+AC198+AE198+AG198,IF($AZ$4="Mayo",AA198+AC198+AE198+AG198+AI198,IF($AZ$4="Junio",AA198+AC198+AE198+AG198+AI198+AK198,IF($AZ$4="Julio",AA198+AC198+AE198+AG198+AI198+AK198+AM198,IF($AZ$4="Agosto",AA198+AC198+AE198+AG198+AI198+AK198+AM198+AO198,IF($AZ$4="Septiembre",AA198++AE198++AI198+AK198+AM198+AO198+AQ198,IF($AZ$4="Octubre",AA198+AC198+AE198+AG198+AI198+AK198+AM198+AO198+AQ198+AS198,IF($AZ$4="Noviembre",AA198+AC198+AE198+AG198+AI198+AK198+AM198+AO198+AQ198+AS198+AU198,IF($AZ$4="Diciembre",AA198+AC198+AE198+AG198+AI198+AK198+AM198+AO198+AQ198+AS198+AU198+AW198)))))))))))))</f>
        <v>24866.5</v>
      </c>
      <c r="BA198" s="10">
        <f t="shared" si="15"/>
        <v>0</v>
      </c>
      <c r="BB198" s="17">
        <v>24866.5</v>
      </c>
      <c r="BC198" s="113">
        <f t="shared" si="16"/>
        <v>0</v>
      </c>
    </row>
    <row r="199" spans="1:55" s="118" customFormat="1" ht="13.5" customHeight="1">
      <c r="A199" s="16" t="s">
        <v>48</v>
      </c>
      <c r="B199" s="16" t="s">
        <v>49</v>
      </c>
      <c r="C199" s="16" t="s">
        <v>50</v>
      </c>
      <c r="D199" s="16" t="s">
        <v>51</v>
      </c>
      <c r="E199" s="16" t="s">
        <v>52</v>
      </c>
      <c r="F199" s="16" t="s">
        <v>53</v>
      </c>
      <c r="G199" s="16" t="s">
        <v>173</v>
      </c>
      <c r="H199" s="22" t="s">
        <v>55</v>
      </c>
      <c r="I199" s="23" t="s">
        <v>195</v>
      </c>
      <c r="J199" s="11">
        <v>1</v>
      </c>
      <c r="K199" s="12" t="s">
        <v>2</v>
      </c>
      <c r="L199" s="13">
        <v>1</v>
      </c>
      <c r="M199" s="14">
        <v>0</v>
      </c>
      <c r="N199" s="14">
        <v>1</v>
      </c>
      <c r="O199" s="9">
        <v>1001</v>
      </c>
      <c r="P199" s="9" t="s">
        <v>188</v>
      </c>
      <c r="Q199" s="14">
        <v>1</v>
      </c>
      <c r="R199" s="9">
        <v>0</v>
      </c>
      <c r="S199" s="9">
        <v>0</v>
      </c>
      <c r="T199" s="8" t="s">
        <v>58</v>
      </c>
      <c r="U199" s="85">
        <v>53</v>
      </c>
      <c r="V199" s="8">
        <v>530208</v>
      </c>
      <c r="W199" s="16" t="s">
        <v>194</v>
      </c>
      <c r="X199" s="18">
        <v>302406.72</v>
      </c>
      <c r="Y199" s="65">
        <f>302406.72+9395.55-56533.09</f>
        <v>255269.17999999996</v>
      </c>
      <c r="Z199" s="17">
        <v>0</v>
      </c>
      <c r="AA199" s="17">
        <v>6494.88</v>
      </c>
      <c r="AB199" s="17">
        <v>25308.63</v>
      </c>
      <c r="AC199" s="17">
        <v>17517.3</v>
      </c>
      <c r="AD199" s="17">
        <v>25308.63</v>
      </c>
      <c r="AE199" s="17">
        <v>23125.7</v>
      </c>
      <c r="AF199" s="17">
        <v>25308.63</v>
      </c>
      <c r="AG199" s="17">
        <v>23125.7</v>
      </c>
      <c r="AH199" s="17">
        <v>25308.63</v>
      </c>
      <c r="AI199" s="17">
        <v>23125.7</v>
      </c>
      <c r="AJ199" s="107">
        <v>25308.63</v>
      </c>
      <c r="AK199" s="17">
        <v>23125.7</v>
      </c>
      <c r="AL199" s="17">
        <v>25308.63</v>
      </c>
      <c r="AM199" s="17">
        <v>23125.7</v>
      </c>
      <c r="AN199" s="17">
        <v>25308.63</v>
      </c>
      <c r="AO199" s="17">
        <v>23125.7</v>
      </c>
      <c r="AP199" s="17">
        <v>25308.63</v>
      </c>
      <c r="AQ199" s="17">
        <v>23125.7</v>
      </c>
      <c r="AR199" s="17">
        <v>25308.63</v>
      </c>
      <c r="AS199" s="17">
        <v>23125.7</v>
      </c>
      <c r="AT199" s="17">
        <v>27491.50999999995</v>
      </c>
      <c r="AU199" s="17">
        <v>23125.7</v>
      </c>
      <c r="AV199" s="17">
        <v>0</v>
      </c>
      <c r="AW199" s="17">
        <v>23125.7</v>
      </c>
      <c r="AX199" s="19">
        <f aca="true" t="shared" si="20" ref="AX199:AX262">SUM(Z199+AB199+AD199+AF199+AH199+AJ199+AL199+AN199+AP199+AR199+AT199+AV199)</f>
        <v>255269.17999999996</v>
      </c>
      <c r="AY199" s="10" t="str">
        <f t="shared" si="18"/>
        <v>OK</v>
      </c>
      <c r="AZ199" s="10">
        <f t="shared" si="19"/>
        <v>255269.18000000005</v>
      </c>
      <c r="BA199" s="10">
        <f aca="true" t="shared" si="21" ref="BA199:BA262">Z199-AA199+AB199-AC199+AD199-AE199+AF199-AG199+AH199-AI199+AJ199-AK199+AL199-AM199+AN199-AO199+AP199-AQ199+AR199-AS199+AT199-AU199+AV199-AW199</f>
        <v>-5.093170329928398E-11</v>
      </c>
      <c r="BB199" s="17">
        <f>6494.88+248774.3</f>
        <v>255269.18</v>
      </c>
      <c r="BC199" s="113">
        <f t="shared" si="16"/>
        <v>0</v>
      </c>
    </row>
    <row r="200" spans="1:55" s="118" customFormat="1" ht="13.5" customHeight="1">
      <c r="A200" s="16" t="s">
        <v>48</v>
      </c>
      <c r="B200" s="16" t="s">
        <v>49</v>
      </c>
      <c r="C200" s="16" t="s">
        <v>50</v>
      </c>
      <c r="D200" s="16" t="s">
        <v>51</v>
      </c>
      <c r="E200" s="16" t="s">
        <v>52</v>
      </c>
      <c r="F200" s="16" t="s">
        <v>53</v>
      </c>
      <c r="G200" s="16" t="s">
        <v>173</v>
      </c>
      <c r="H200" s="22" t="s">
        <v>55</v>
      </c>
      <c r="I200" s="23" t="s">
        <v>196</v>
      </c>
      <c r="J200" s="11">
        <v>2</v>
      </c>
      <c r="K200" s="12" t="s">
        <v>2</v>
      </c>
      <c r="L200" s="13">
        <v>1</v>
      </c>
      <c r="M200" s="14">
        <v>0</v>
      </c>
      <c r="N200" s="14">
        <v>1</v>
      </c>
      <c r="O200" s="9">
        <v>1001</v>
      </c>
      <c r="P200" s="9" t="s">
        <v>188</v>
      </c>
      <c r="Q200" s="14">
        <v>1</v>
      </c>
      <c r="R200" s="9">
        <v>0</v>
      </c>
      <c r="S200" s="9">
        <v>0</v>
      </c>
      <c r="T200" s="8" t="s">
        <v>58</v>
      </c>
      <c r="U200" s="85">
        <v>53</v>
      </c>
      <c r="V200" s="8">
        <v>530209</v>
      </c>
      <c r="W200" s="16" t="s">
        <v>80</v>
      </c>
      <c r="X200" s="18">
        <v>3324.159999999999</v>
      </c>
      <c r="Y200" s="65">
        <f>3324.16-1.12-356.04</f>
        <v>2967</v>
      </c>
      <c r="Z200" s="17">
        <v>2967</v>
      </c>
      <c r="AA200" s="17">
        <v>2966.9999999999995</v>
      </c>
      <c r="AB200" s="17">
        <v>0</v>
      </c>
      <c r="AC200" s="17">
        <v>0</v>
      </c>
      <c r="AD200" s="17">
        <v>0</v>
      </c>
      <c r="AE200" s="17">
        <v>0</v>
      </c>
      <c r="AF200" s="17">
        <v>0</v>
      </c>
      <c r="AG200" s="17">
        <v>0</v>
      </c>
      <c r="AH200" s="17">
        <v>0</v>
      </c>
      <c r="AI200" s="17">
        <v>0</v>
      </c>
      <c r="AJ200" s="107">
        <v>0</v>
      </c>
      <c r="AK200" s="17">
        <v>0</v>
      </c>
      <c r="AL200" s="17">
        <v>0</v>
      </c>
      <c r="AM200" s="17">
        <v>0</v>
      </c>
      <c r="AN200" s="17">
        <v>0</v>
      </c>
      <c r="AO200" s="17">
        <v>0</v>
      </c>
      <c r="AP200" s="17">
        <v>0</v>
      </c>
      <c r="AQ200" s="17">
        <v>0</v>
      </c>
      <c r="AR200" s="17">
        <v>0</v>
      </c>
      <c r="AS200" s="17">
        <v>0</v>
      </c>
      <c r="AT200" s="17">
        <v>0</v>
      </c>
      <c r="AU200" s="17">
        <v>0</v>
      </c>
      <c r="AV200" s="17">
        <v>0</v>
      </c>
      <c r="AW200" s="17">
        <v>0</v>
      </c>
      <c r="AX200" s="19">
        <f t="shared" si="20"/>
        <v>2967</v>
      </c>
      <c r="AY200" s="10" t="str">
        <f t="shared" si="18"/>
        <v>OK</v>
      </c>
      <c r="AZ200" s="10">
        <f t="shared" si="19"/>
        <v>2966.9999999999995</v>
      </c>
      <c r="BA200" s="10">
        <f t="shared" si="21"/>
        <v>4.547473508864641E-13</v>
      </c>
      <c r="BB200" s="17">
        <v>2967</v>
      </c>
      <c r="BC200" s="113">
        <f t="shared" si="16"/>
        <v>0</v>
      </c>
    </row>
    <row r="201" spans="1:55" s="118" customFormat="1" ht="13.5" customHeight="1">
      <c r="A201" s="16" t="s">
        <v>48</v>
      </c>
      <c r="B201" s="16" t="s">
        <v>49</v>
      </c>
      <c r="C201" s="16" t="s">
        <v>50</v>
      </c>
      <c r="D201" s="16" t="s">
        <v>51</v>
      </c>
      <c r="E201" s="16" t="s">
        <v>52</v>
      </c>
      <c r="F201" s="16" t="s">
        <v>53</v>
      </c>
      <c r="G201" s="16" t="s">
        <v>173</v>
      </c>
      <c r="H201" s="22" t="s">
        <v>55</v>
      </c>
      <c r="I201" s="139" t="s">
        <v>197</v>
      </c>
      <c r="J201" s="11">
        <v>1</v>
      </c>
      <c r="K201" s="12" t="s">
        <v>2</v>
      </c>
      <c r="L201" s="13">
        <v>1</v>
      </c>
      <c r="M201" s="14">
        <v>0</v>
      </c>
      <c r="N201" s="14">
        <v>1</v>
      </c>
      <c r="O201" s="9">
        <v>1001</v>
      </c>
      <c r="P201" s="9" t="s">
        <v>188</v>
      </c>
      <c r="Q201" s="14">
        <v>1</v>
      </c>
      <c r="R201" s="9">
        <v>0</v>
      </c>
      <c r="S201" s="9">
        <v>0</v>
      </c>
      <c r="T201" s="8" t="s">
        <v>58</v>
      </c>
      <c r="U201" s="85">
        <v>53</v>
      </c>
      <c r="V201" s="8">
        <v>530209</v>
      </c>
      <c r="W201" s="16" t="s">
        <v>80</v>
      </c>
      <c r="X201" s="18">
        <v>21752.64</v>
      </c>
      <c r="Y201" s="55">
        <f>21752.64+18123.84-2136.24-3278.95-1472.5-351.79</f>
        <v>32637</v>
      </c>
      <c r="Z201" s="17">
        <v>0</v>
      </c>
      <c r="AA201" s="17">
        <v>0</v>
      </c>
      <c r="AB201" s="17">
        <v>2967</v>
      </c>
      <c r="AC201" s="17">
        <v>2967</v>
      </c>
      <c r="AD201" s="17">
        <v>2967</v>
      </c>
      <c r="AE201" s="17">
        <v>2967</v>
      </c>
      <c r="AF201" s="17">
        <v>2967</v>
      </c>
      <c r="AG201" s="17">
        <v>2967</v>
      </c>
      <c r="AH201" s="17">
        <v>2967</v>
      </c>
      <c r="AI201" s="17">
        <v>2967</v>
      </c>
      <c r="AJ201" s="107">
        <v>2967</v>
      </c>
      <c r="AK201" s="17">
        <v>2967</v>
      </c>
      <c r="AL201" s="17">
        <v>2967</v>
      </c>
      <c r="AM201" s="17">
        <v>2967</v>
      </c>
      <c r="AN201" s="17">
        <v>2967</v>
      </c>
      <c r="AO201" s="17">
        <v>2967</v>
      </c>
      <c r="AP201" s="17">
        <v>2967</v>
      </c>
      <c r="AQ201" s="17">
        <v>2967</v>
      </c>
      <c r="AR201" s="17">
        <v>2967</v>
      </c>
      <c r="AS201" s="17">
        <v>2967</v>
      </c>
      <c r="AT201" s="17">
        <v>2967</v>
      </c>
      <c r="AU201" s="17">
        <v>2967</v>
      </c>
      <c r="AV201" s="17">
        <v>2967</v>
      </c>
      <c r="AW201" s="17">
        <v>2967</v>
      </c>
      <c r="AX201" s="19">
        <f t="shared" si="20"/>
        <v>32637</v>
      </c>
      <c r="AY201" s="10" t="str">
        <f t="shared" si="18"/>
        <v>OK</v>
      </c>
      <c r="AZ201" s="10">
        <f t="shared" si="19"/>
        <v>32637</v>
      </c>
      <c r="BA201" s="10">
        <f t="shared" si="21"/>
        <v>0</v>
      </c>
      <c r="BB201" s="17">
        <f>17802+17802-2967</f>
        <v>32637</v>
      </c>
      <c r="BC201" s="113">
        <f t="shared" si="16"/>
        <v>0</v>
      </c>
    </row>
    <row r="202" spans="1:55" s="118" customFormat="1" ht="13.5" customHeight="1">
      <c r="A202" s="16" t="s">
        <v>48</v>
      </c>
      <c r="B202" s="16" t="s">
        <v>49</v>
      </c>
      <c r="C202" s="16" t="s">
        <v>50</v>
      </c>
      <c r="D202" s="16" t="s">
        <v>51</v>
      </c>
      <c r="E202" s="16" t="s">
        <v>52</v>
      </c>
      <c r="F202" s="16" t="s">
        <v>53</v>
      </c>
      <c r="G202" s="16" t="s">
        <v>173</v>
      </c>
      <c r="H202" s="22" t="s">
        <v>55</v>
      </c>
      <c r="I202" s="23" t="s">
        <v>84</v>
      </c>
      <c r="J202" s="11">
        <v>1</v>
      </c>
      <c r="K202" s="12" t="s">
        <v>2</v>
      </c>
      <c r="L202" s="13">
        <v>1</v>
      </c>
      <c r="M202" s="14">
        <v>0</v>
      </c>
      <c r="N202" s="14">
        <v>1</v>
      </c>
      <c r="O202" s="9">
        <v>1001</v>
      </c>
      <c r="P202" s="9" t="s">
        <v>188</v>
      </c>
      <c r="Q202" s="14">
        <v>1</v>
      </c>
      <c r="R202" s="9">
        <v>0</v>
      </c>
      <c r="S202" s="9">
        <v>0</v>
      </c>
      <c r="T202" s="8" t="s">
        <v>58</v>
      </c>
      <c r="U202" s="85">
        <v>53</v>
      </c>
      <c r="V202" s="8">
        <v>530301</v>
      </c>
      <c r="W202" s="16" t="s">
        <v>83</v>
      </c>
      <c r="X202" s="18">
        <v>100</v>
      </c>
      <c r="Y202" s="18">
        <v>100</v>
      </c>
      <c r="Z202" s="17">
        <v>0</v>
      </c>
      <c r="AA202" s="17">
        <v>0</v>
      </c>
      <c r="AB202" s="17">
        <v>0</v>
      </c>
      <c r="AC202" s="17">
        <v>0</v>
      </c>
      <c r="AD202" s="76">
        <v>20</v>
      </c>
      <c r="AE202" s="17">
        <v>0</v>
      </c>
      <c r="AF202" s="17">
        <v>0</v>
      </c>
      <c r="AG202" s="17">
        <v>0</v>
      </c>
      <c r="AH202" s="17">
        <v>0</v>
      </c>
      <c r="AI202" s="17">
        <v>0</v>
      </c>
      <c r="AJ202" s="83">
        <v>0</v>
      </c>
      <c r="AK202" s="17">
        <v>0</v>
      </c>
      <c r="AL202" s="17">
        <v>0</v>
      </c>
      <c r="AM202" s="17">
        <v>0</v>
      </c>
      <c r="AN202" s="59">
        <v>0</v>
      </c>
      <c r="AO202" s="17">
        <v>0</v>
      </c>
      <c r="AP202" s="17">
        <v>0</v>
      </c>
      <c r="AQ202" s="17">
        <v>0</v>
      </c>
      <c r="AR202" s="17">
        <v>0</v>
      </c>
      <c r="AS202" s="17">
        <v>0</v>
      </c>
      <c r="AT202" s="17">
        <v>0</v>
      </c>
      <c r="AU202" s="17">
        <v>0</v>
      </c>
      <c r="AV202" s="17">
        <v>80</v>
      </c>
      <c r="AW202" s="17">
        <v>0</v>
      </c>
      <c r="AX202" s="19">
        <f t="shared" si="20"/>
        <v>100</v>
      </c>
      <c r="AY202" s="10" t="str">
        <f>IF(AX202=Y202,"OK",Y202-AX202)</f>
        <v>OK</v>
      </c>
      <c r="AZ202" s="10">
        <f t="shared" si="19"/>
        <v>0</v>
      </c>
      <c r="BA202" s="10">
        <f t="shared" si="21"/>
        <v>100</v>
      </c>
      <c r="BB202" s="17">
        <f>100-100</f>
        <v>0</v>
      </c>
      <c r="BC202" s="113">
        <f t="shared" si="16"/>
        <v>100</v>
      </c>
    </row>
    <row r="203" spans="1:55" s="118" customFormat="1" ht="13.5" customHeight="1">
      <c r="A203" s="16" t="s">
        <v>48</v>
      </c>
      <c r="B203" s="16" t="s">
        <v>49</v>
      </c>
      <c r="C203" s="16" t="s">
        <v>50</v>
      </c>
      <c r="D203" s="16" t="s">
        <v>51</v>
      </c>
      <c r="E203" s="16" t="s">
        <v>52</v>
      </c>
      <c r="F203" s="16" t="s">
        <v>53</v>
      </c>
      <c r="G203" s="16" t="s">
        <v>173</v>
      </c>
      <c r="H203" s="22" t="s">
        <v>55</v>
      </c>
      <c r="I203" s="139" t="s">
        <v>198</v>
      </c>
      <c r="J203" s="11">
        <v>1</v>
      </c>
      <c r="K203" s="12" t="s">
        <v>2</v>
      </c>
      <c r="L203" s="13">
        <v>1</v>
      </c>
      <c r="M203" s="14">
        <v>0</v>
      </c>
      <c r="N203" s="14">
        <v>1</v>
      </c>
      <c r="O203" s="9">
        <v>1001</v>
      </c>
      <c r="P203" s="9" t="s">
        <v>188</v>
      </c>
      <c r="Q203" s="14">
        <v>1</v>
      </c>
      <c r="R203" s="9">
        <v>0</v>
      </c>
      <c r="S203" s="9">
        <v>0</v>
      </c>
      <c r="T203" s="8" t="s">
        <v>58</v>
      </c>
      <c r="U203" s="85">
        <v>53</v>
      </c>
      <c r="V203" s="8">
        <v>530303</v>
      </c>
      <c r="W203" s="16" t="s">
        <v>86</v>
      </c>
      <c r="X203" s="18">
        <v>4037</v>
      </c>
      <c r="Y203" s="55">
        <f>4037+2000+1200+3000-1899.52</f>
        <v>8337.48</v>
      </c>
      <c r="Z203" s="17">
        <v>0</v>
      </c>
      <c r="AA203" s="17">
        <v>0</v>
      </c>
      <c r="AB203" s="17">
        <v>367</v>
      </c>
      <c r="AC203" s="17">
        <v>776.89</v>
      </c>
      <c r="AD203" s="76">
        <v>367</v>
      </c>
      <c r="AE203" s="17">
        <v>0</v>
      </c>
      <c r="AF203" s="17">
        <v>0</v>
      </c>
      <c r="AG203" s="17">
        <v>600.59</v>
      </c>
      <c r="AH203" s="17">
        <v>0</v>
      </c>
      <c r="AI203" s="17">
        <v>340</v>
      </c>
      <c r="AJ203" s="83">
        <v>0</v>
      </c>
      <c r="AK203" s="17">
        <v>0</v>
      </c>
      <c r="AL203" s="17">
        <v>0</v>
      </c>
      <c r="AM203" s="17">
        <v>421.5</v>
      </c>
      <c r="AN203" s="59">
        <v>0</v>
      </c>
      <c r="AO203" s="17">
        <v>1113.78</v>
      </c>
      <c r="AP203" s="17">
        <v>0</v>
      </c>
      <c r="AQ203" s="17">
        <v>1401.5</v>
      </c>
      <c r="AR203" s="17">
        <v>0</v>
      </c>
      <c r="AS203" s="17">
        <v>1115.5</v>
      </c>
      <c r="AT203" s="17">
        <v>0</v>
      </c>
      <c r="AU203" s="17">
        <v>1335</v>
      </c>
      <c r="AV203" s="17">
        <v>7603.48</v>
      </c>
      <c r="AW203" s="17">
        <v>0</v>
      </c>
      <c r="AX203" s="19">
        <f t="shared" si="20"/>
        <v>8337.48</v>
      </c>
      <c r="AY203" s="10" t="str">
        <f aca="true" t="shared" si="22" ref="AY203:AY218">IF(AX203=Y203,"OK",Y203-AX203)</f>
        <v>OK</v>
      </c>
      <c r="AZ203" s="10">
        <f t="shared" si="19"/>
        <v>7104.76</v>
      </c>
      <c r="BA203" s="10">
        <f t="shared" si="21"/>
        <v>1232.7199999999993</v>
      </c>
      <c r="BB203" s="17">
        <f>4037-2399.52+4000+80-586.72+2086.72</f>
        <v>7217.48</v>
      </c>
      <c r="BC203" s="113">
        <f>Y203-BB203</f>
        <v>1120</v>
      </c>
    </row>
    <row r="204" spans="1:55" s="118" customFormat="1" ht="13.5" customHeight="1">
      <c r="A204" s="16" t="s">
        <v>48</v>
      </c>
      <c r="B204" s="16" t="s">
        <v>49</v>
      </c>
      <c r="C204" s="16" t="s">
        <v>50</v>
      </c>
      <c r="D204" s="16" t="s">
        <v>51</v>
      </c>
      <c r="E204" s="16" t="s">
        <v>52</v>
      </c>
      <c r="F204" s="16" t="s">
        <v>53</v>
      </c>
      <c r="G204" s="16" t="s">
        <v>173</v>
      </c>
      <c r="H204" s="22" t="s">
        <v>55</v>
      </c>
      <c r="I204" s="147" t="s">
        <v>199</v>
      </c>
      <c r="J204" s="11">
        <v>1</v>
      </c>
      <c r="K204" s="12" t="s">
        <v>2</v>
      </c>
      <c r="L204" s="13">
        <v>1</v>
      </c>
      <c r="M204" s="14">
        <v>0</v>
      </c>
      <c r="N204" s="14">
        <v>1</v>
      </c>
      <c r="O204" s="9">
        <v>1001</v>
      </c>
      <c r="P204" s="9" t="s">
        <v>188</v>
      </c>
      <c r="Q204" s="14">
        <v>1</v>
      </c>
      <c r="R204" s="9">
        <v>0</v>
      </c>
      <c r="S204" s="9">
        <v>0</v>
      </c>
      <c r="T204" s="8" t="s">
        <v>58</v>
      </c>
      <c r="U204" s="85">
        <v>53</v>
      </c>
      <c r="V204" s="8">
        <v>530402</v>
      </c>
      <c r="W204" s="16" t="s">
        <v>88</v>
      </c>
      <c r="X204" s="18">
        <v>2500.96</v>
      </c>
      <c r="Y204" s="146">
        <f>2500.96-450+16252.82-11903.78-182.19</f>
        <v>6217.809999999999</v>
      </c>
      <c r="Z204" s="17">
        <v>0</v>
      </c>
      <c r="AA204" s="17">
        <v>0</v>
      </c>
      <c r="AB204" s="17">
        <v>0</v>
      </c>
      <c r="AC204" s="17">
        <v>0</v>
      </c>
      <c r="AD204" s="17">
        <v>0</v>
      </c>
      <c r="AE204" s="17">
        <v>0</v>
      </c>
      <c r="AF204" s="17">
        <v>0</v>
      </c>
      <c r="AG204" s="17">
        <v>0</v>
      </c>
      <c r="AH204" s="17">
        <v>0</v>
      </c>
      <c r="AI204" s="17">
        <v>350</v>
      </c>
      <c r="AJ204" s="107">
        <v>0</v>
      </c>
      <c r="AK204" s="17">
        <v>0</v>
      </c>
      <c r="AL204" s="17">
        <v>0</v>
      </c>
      <c r="AM204" s="17">
        <v>0</v>
      </c>
      <c r="AN204" s="17">
        <v>0</v>
      </c>
      <c r="AO204" s="17">
        <v>0</v>
      </c>
      <c r="AP204" s="17">
        <v>0</v>
      </c>
      <c r="AQ204" s="17">
        <v>0</v>
      </c>
      <c r="AR204" s="17">
        <v>0</v>
      </c>
      <c r="AS204" s="17">
        <v>0</v>
      </c>
      <c r="AT204" s="17">
        <v>0</v>
      </c>
      <c r="AU204" s="17">
        <v>0</v>
      </c>
      <c r="AV204" s="17">
        <v>6217.809999999999</v>
      </c>
      <c r="AW204" s="17">
        <v>5867.81</v>
      </c>
      <c r="AX204" s="19">
        <f t="shared" si="20"/>
        <v>6217.809999999999</v>
      </c>
      <c r="AY204" s="10" t="str">
        <f t="shared" si="22"/>
        <v>OK</v>
      </c>
      <c r="AZ204" s="10">
        <f t="shared" si="19"/>
        <v>6217.81</v>
      </c>
      <c r="BA204" s="10">
        <f t="shared" si="21"/>
        <v>0</v>
      </c>
      <c r="BB204" s="17">
        <f>350+5867.81</f>
        <v>6217.81</v>
      </c>
      <c r="BC204" s="113">
        <f t="shared" si="16"/>
        <v>0</v>
      </c>
    </row>
    <row r="205" spans="1:55" s="118" customFormat="1" ht="13.5" customHeight="1">
      <c r="A205" s="16" t="s">
        <v>48</v>
      </c>
      <c r="B205" s="16" t="s">
        <v>49</v>
      </c>
      <c r="C205" s="16" t="s">
        <v>50</v>
      </c>
      <c r="D205" s="16" t="s">
        <v>51</v>
      </c>
      <c r="E205" s="16" t="s">
        <v>52</v>
      </c>
      <c r="F205" s="16" t="s">
        <v>53</v>
      </c>
      <c r="G205" s="16" t="s">
        <v>173</v>
      </c>
      <c r="H205" s="22" t="s">
        <v>55</v>
      </c>
      <c r="I205" s="134" t="s">
        <v>300</v>
      </c>
      <c r="J205" s="11">
        <v>1</v>
      </c>
      <c r="K205" s="12" t="s">
        <v>2</v>
      </c>
      <c r="L205" s="13">
        <v>1</v>
      </c>
      <c r="M205" s="14">
        <v>0</v>
      </c>
      <c r="N205" s="14">
        <v>1</v>
      </c>
      <c r="O205" s="9">
        <v>1001</v>
      </c>
      <c r="P205" s="9" t="s">
        <v>188</v>
      </c>
      <c r="Q205" s="14">
        <v>1</v>
      </c>
      <c r="R205" s="9">
        <v>0</v>
      </c>
      <c r="S205" s="9">
        <v>0</v>
      </c>
      <c r="T205" s="8" t="s">
        <v>58</v>
      </c>
      <c r="U205" s="85">
        <v>53</v>
      </c>
      <c r="V205" s="8">
        <v>530402</v>
      </c>
      <c r="W205" s="16" t="s">
        <v>88</v>
      </c>
      <c r="X205" s="18">
        <v>4000.639999999999</v>
      </c>
      <c r="Y205" s="132">
        <f>4000.64+1785.71+313.65-6100</f>
        <v>0</v>
      </c>
      <c r="Z205" s="17">
        <v>0</v>
      </c>
      <c r="AA205" s="17">
        <v>0</v>
      </c>
      <c r="AB205" s="17">
        <v>0</v>
      </c>
      <c r="AC205" s="17">
        <v>0</v>
      </c>
      <c r="AD205" s="17">
        <v>0</v>
      </c>
      <c r="AE205" s="17">
        <v>0</v>
      </c>
      <c r="AF205" s="17">
        <v>0</v>
      </c>
      <c r="AG205" s="17">
        <v>0</v>
      </c>
      <c r="AH205" s="17">
        <v>0</v>
      </c>
      <c r="AI205" s="17">
        <v>0</v>
      </c>
      <c r="AJ205" s="83">
        <v>0</v>
      </c>
      <c r="AK205" s="17">
        <v>0</v>
      </c>
      <c r="AL205" s="17">
        <v>0</v>
      </c>
      <c r="AM205" s="17">
        <v>0</v>
      </c>
      <c r="AN205" s="59">
        <v>0</v>
      </c>
      <c r="AO205" s="17">
        <v>0</v>
      </c>
      <c r="AP205" s="17">
        <v>0</v>
      </c>
      <c r="AQ205" s="17">
        <v>0</v>
      </c>
      <c r="AR205" s="17">
        <v>0</v>
      </c>
      <c r="AS205" s="17">
        <v>0</v>
      </c>
      <c r="AT205" s="17">
        <v>0</v>
      </c>
      <c r="AU205" s="17">
        <v>0</v>
      </c>
      <c r="AV205" s="17">
        <v>0</v>
      </c>
      <c r="AW205" s="17">
        <v>0</v>
      </c>
      <c r="AX205" s="19">
        <f t="shared" si="20"/>
        <v>0</v>
      </c>
      <c r="AY205" s="10" t="str">
        <f t="shared" si="22"/>
        <v>OK</v>
      </c>
      <c r="AZ205" s="10">
        <f t="shared" si="19"/>
        <v>0</v>
      </c>
      <c r="BA205" s="10">
        <f t="shared" si="21"/>
        <v>0</v>
      </c>
      <c r="BB205" s="17">
        <v>0</v>
      </c>
      <c r="BC205" s="113">
        <f t="shared" si="16"/>
        <v>0</v>
      </c>
    </row>
    <row r="206" spans="1:55" s="118" customFormat="1" ht="13.5" customHeight="1">
      <c r="A206" s="16" t="s">
        <v>48</v>
      </c>
      <c r="B206" s="16" t="s">
        <v>49</v>
      </c>
      <c r="C206" s="16" t="s">
        <v>50</v>
      </c>
      <c r="D206" s="16" t="s">
        <v>51</v>
      </c>
      <c r="E206" s="16" t="s">
        <v>52</v>
      </c>
      <c r="F206" s="16" t="s">
        <v>53</v>
      </c>
      <c r="G206" s="16" t="s">
        <v>173</v>
      </c>
      <c r="H206" s="22" t="s">
        <v>55</v>
      </c>
      <c r="I206" s="134" t="s">
        <v>200</v>
      </c>
      <c r="J206" s="11">
        <v>2</v>
      </c>
      <c r="K206" s="12" t="s">
        <v>2</v>
      </c>
      <c r="L206" s="13">
        <v>1</v>
      </c>
      <c r="M206" s="14">
        <v>0</v>
      </c>
      <c r="N206" s="14">
        <v>1</v>
      </c>
      <c r="O206" s="9">
        <v>1001</v>
      </c>
      <c r="P206" s="9" t="s">
        <v>188</v>
      </c>
      <c r="Q206" s="14">
        <v>1</v>
      </c>
      <c r="R206" s="9">
        <v>0</v>
      </c>
      <c r="S206" s="9">
        <v>0</v>
      </c>
      <c r="T206" s="8" t="s">
        <v>58</v>
      </c>
      <c r="U206" s="85">
        <v>53</v>
      </c>
      <c r="V206" s="8">
        <v>530402</v>
      </c>
      <c r="W206" s="16" t="s">
        <v>88</v>
      </c>
      <c r="X206" s="18">
        <v>5000.8</v>
      </c>
      <c r="Y206" s="132">
        <f>5000.8-5000.8</f>
        <v>0</v>
      </c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  <c r="AE206" s="17">
        <v>0</v>
      </c>
      <c r="AF206" s="17">
        <v>0</v>
      </c>
      <c r="AG206" s="17">
        <v>0</v>
      </c>
      <c r="AH206" s="17">
        <v>0</v>
      </c>
      <c r="AI206" s="17">
        <v>0</v>
      </c>
      <c r="AJ206" s="107">
        <v>0</v>
      </c>
      <c r="AK206" s="17">
        <v>0</v>
      </c>
      <c r="AL206" s="80">
        <v>0</v>
      </c>
      <c r="AM206" s="17">
        <v>0</v>
      </c>
      <c r="AN206" s="59">
        <v>0</v>
      </c>
      <c r="AO206" s="17">
        <v>0</v>
      </c>
      <c r="AP206" s="17">
        <v>0</v>
      </c>
      <c r="AQ206" s="17">
        <v>0</v>
      </c>
      <c r="AR206" s="17">
        <v>0</v>
      </c>
      <c r="AS206" s="17">
        <v>0</v>
      </c>
      <c r="AT206" s="17">
        <v>0</v>
      </c>
      <c r="AU206" s="17">
        <v>0</v>
      </c>
      <c r="AV206" s="17">
        <v>0</v>
      </c>
      <c r="AW206" s="17">
        <v>0</v>
      </c>
      <c r="AX206" s="19">
        <f t="shared" si="20"/>
        <v>0</v>
      </c>
      <c r="AY206" s="10" t="str">
        <f t="shared" si="22"/>
        <v>OK</v>
      </c>
      <c r="AZ206" s="10">
        <f t="shared" si="19"/>
        <v>0</v>
      </c>
      <c r="BA206" s="10">
        <f t="shared" si="21"/>
        <v>0</v>
      </c>
      <c r="BB206" s="17">
        <v>0</v>
      </c>
      <c r="BC206" s="113">
        <f t="shared" si="16"/>
        <v>0</v>
      </c>
    </row>
    <row r="207" spans="1:55" s="118" customFormat="1" ht="13.5" customHeight="1">
      <c r="A207" s="16" t="s">
        <v>48</v>
      </c>
      <c r="B207" s="16" t="s">
        <v>49</v>
      </c>
      <c r="C207" s="16" t="s">
        <v>50</v>
      </c>
      <c r="D207" s="16" t="s">
        <v>51</v>
      </c>
      <c r="E207" s="16" t="s">
        <v>52</v>
      </c>
      <c r="F207" s="16" t="s">
        <v>53</v>
      </c>
      <c r="G207" s="16" t="s">
        <v>173</v>
      </c>
      <c r="H207" s="22" t="s">
        <v>55</v>
      </c>
      <c r="I207" s="87" t="s">
        <v>201</v>
      </c>
      <c r="J207" s="11">
        <v>1</v>
      </c>
      <c r="K207" s="12" t="s">
        <v>2</v>
      </c>
      <c r="L207" s="13">
        <v>1</v>
      </c>
      <c r="M207" s="14">
        <v>0</v>
      </c>
      <c r="N207" s="14">
        <v>1</v>
      </c>
      <c r="O207" s="9">
        <v>1001</v>
      </c>
      <c r="P207" s="9" t="s">
        <v>188</v>
      </c>
      <c r="Q207" s="14">
        <v>1</v>
      </c>
      <c r="R207" s="9">
        <v>0</v>
      </c>
      <c r="S207" s="9">
        <v>0</v>
      </c>
      <c r="T207" s="8" t="s">
        <v>58</v>
      </c>
      <c r="U207" s="85">
        <v>53</v>
      </c>
      <c r="V207" s="8">
        <v>530402</v>
      </c>
      <c r="W207" s="16" t="s">
        <v>88</v>
      </c>
      <c r="X207" s="18">
        <v>250006.39999999994</v>
      </c>
      <c r="Y207" s="86">
        <f>250006.4-30006.4-2974.12-5711.52-84787.22-0.02</f>
        <v>126527.12000000001</v>
      </c>
      <c r="Z207" s="17">
        <v>0</v>
      </c>
      <c r="AA207" s="17">
        <v>0</v>
      </c>
      <c r="AB207" s="17">
        <v>0</v>
      </c>
      <c r="AC207" s="17">
        <v>0</v>
      </c>
      <c r="AD207" s="17">
        <v>0</v>
      </c>
      <c r="AE207" s="17">
        <v>0</v>
      </c>
      <c r="AF207" s="17">
        <v>0</v>
      </c>
      <c r="AG207" s="17">
        <v>0</v>
      </c>
      <c r="AH207" s="83">
        <v>0</v>
      </c>
      <c r="AI207" s="17">
        <v>0</v>
      </c>
      <c r="AJ207" s="108">
        <v>27902.5</v>
      </c>
      <c r="AK207" s="17">
        <v>30613.13</v>
      </c>
      <c r="AL207" s="17">
        <v>0</v>
      </c>
      <c r="AM207" s="17">
        <v>40736.83</v>
      </c>
      <c r="AN207" s="17">
        <v>0</v>
      </c>
      <c r="AO207" s="17">
        <v>0</v>
      </c>
      <c r="AP207" s="17">
        <v>23978.5</v>
      </c>
      <c r="AQ207" s="17">
        <v>3938</v>
      </c>
      <c r="AR207" s="17">
        <v>23978.5</v>
      </c>
      <c r="AS207" s="17">
        <v>29833.08</v>
      </c>
      <c r="AT207" s="17">
        <v>23978.5</v>
      </c>
      <c r="AU207" s="17">
        <v>10271.32</v>
      </c>
      <c r="AV207" s="17">
        <v>26689.12000000001</v>
      </c>
      <c r="AW207" s="17">
        <v>11134.76</v>
      </c>
      <c r="AX207" s="19">
        <f t="shared" si="20"/>
        <v>126527.12000000001</v>
      </c>
      <c r="AY207" s="10" t="str">
        <f t="shared" si="22"/>
        <v>OK</v>
      </c>
      <c r="AZ207" s="10">
        <f t="shared" si="19"/>
        <v>126527.12000000001</v>
      </c>
      <c r="BA207" s="10">
        <f t="shared" si="21"/>
        <v>0</v>
      </c>
      <c r="BB207" s="17">
        <v>126527.14</v>
      </c>
      <c r="BC207" s="113">
        <f aca="true" t="shared" si="23" ref="BC207:BC270">Y207-BB207</f>
        <v>-0.01999999998952262</v>
      </c>
    </row>
    <row r="208" spans="1:55" s="118" customFormat="1" ht="13.5" customHeight="1">
      <c r="A208" s="16" t="s">
        <v>48</v>
      </c>
      <c r="B208" s="16" t="s">
        <v>49</v>
      </c>
      <c r="C208" s="16" t="s">
        <v>50</v>
      </c>
      <c r="D208" s="16" t="s">
        <v>51</v>
      </c>
      <c r="E208" s="16" t="s">
        <v>52</v>
      </c>
      <c r="F208" s="16" t="s">
        <v>53</v>
      </c>
      <c r="G208" s="16" t="s">
        <v>173</v>
      </c>
      <c r="H208" s="22" t="s">
        <v>55</v>
      </c>
      <c r="I208" s="147" t="s">
        <v>202</v>
      </c>
      <c r="J208" s="11">
        <v>1</v>
      </c>
      <c r="K208" s="12" t="s">
        <v>2</v>
      </c>
      <c r="L208" s="13">
        <v>1</v>
      </c>
      <c r="M208" s="14">
        <v>0</v>
      </c>
      <c r="N208" s="14">
        <v>1</v>
      </c>
      <c r="O208" s="9">
        <v>1001</v>
      </c>
      <c r="P208" s="9" t="s">
        <v>188</v>
      </c>
      <c r="Q208" s="14">
        <v>1</v>
      </c>
      <c r="R208" s="9">
        <v>0</v>
      </c>
      <c r="S208" s="9">
        <v>0</v>
      </c>
      <c r="T208" s="8" t="s">
        <v>58</v>
      </c>
      <c r="U208" s="85">
        <v>53</v>
      </c>
      <c r="V208" s="8">
        <v>530402</v>
      </c>
      <c r="W208" s="16" t="s">
        <v>88</v>
      </c>
      <c r="X208" s="18">
        <v>2562.56</v>
      </c>
      <c r="Y208" s="146">
        <f>2562.56+23913.17+53958.36-23951.96+9810.3+35373.12+26655.77-620-54201.31-971.99</f>
        <v>72528.01999999999</v>
      </c>
      <c r="Z208" s="17">
        <v>0</v>
      </c>
      <c r="AA208" s="17">
        <v>0</v>
      </c>
      <c r="AB208" s="17">
        <v>0</v>
      </c>
      <c r="AC208" s="17">
        <v>0</v>
      </c>
      <c r="AD208" s="17">
        <v>0</v>
      </c>
      <c r="AE208" s="17">
        <v>0</v>
      </c>
      <c r="AF208" s="17">
        <v>0</v>
      </c>
      <c r="AG208" s="17">
        <v>0</v>
      </c>
      <c r="AH208" s="17">
        <v>0</v>
      </c>
      <c r="AI208" s="17">
        <v>0</v>
      </c>
      <c r="AJ208" s="83">
        <v>0</v>
      </c>
      <c r="AK208" s="17">
        <v>0</v>
      </c>
      <c r="AL208" s="17">
        <v>0</v>
      </c>
      <c r="AM208" s="17">
        <v>0</v>
      </c>
      <c r="AN208" s="59">
        <v>0</v>
      </c>
      <c r="AO208" s="17">
        <v>0</v>
      </c>
      <c r="AP208" s="17">
        <v>0</v>
      </c>
      <c r="AQ208" s="17">
        <v>0</v>
      </c>
      <c r="AR208" s="17">
        <v>42773.77</v>
      </c>
      <c r="AS208" s="17">
        <v>16373</v>
      </c>
      <c r="AT208" s="17">
        <v>29754.249999999993</v>
      </c>
      <c r="AU208" s="17">
        <v>36173.1</v>
      </c>
      <c r="AV208" s="17">
        <v>0</v>
      </c>
      <c r="AW208" s="17">
        <v>19981.92</v>
      </c>
      <c r="AX208" s="19">
        <f t="shared" si="20"/>
        <v>72528.01999999999</v>
      </c>
      <c r="AY208" s="10" t="str">
        <f t="shared" si="22"/>
        <v>OK</v>
      </c>
      <c r="AZ208" s="10">
        <f t="shared" si="19"/>
        <v>72528.01999999999</v>
      </c>
      <c r="BA208" s="10">
        <f t="shared" si="21"/>
        <v>0</v>
      </c>
      <c r="BB208" s="17">
        <f>122535.82-49035.82</f>
        <v>73500</v>
      </c>
      <c r="BC208" s="113">
        <f t="shared" si="23"/>
        <v>-971.9800000000105</v>
      </c>
    </row>
    <row r="209" spans="1:55" s="118" customFormat="1" ht="13.5" customHeight="1">
      <c r="A209" s="16" t="s">
        <v>48</v>
      </c>
      <c r="B209" s="16" t="s">
        <v>49</v>
      </c>
      <c r="C209" s="16" t="s">
        <v>50</v>
      </c>
      <c r="D209" s="16" t="s">
        <v>51</v>
      </c>
      <c r="E209" s="16" t="s">
        <v>52</v>
      </c>
      <c r="F209" s="16" t="s">
        <v>53</v>
      </c>
      <c r="G209" s="16" t="s">
        <v>173</v>
      </c>
      <c r="H209" s="22" t="s">
        <v>55</v>
      </c>
      <c r="I209" s="134" t="s">
        <v>90</v>
      </c>
      <c r="J209" s="11">
        <v>3</v>
      </c>
      <c r="K209" s="12" t="s">
        <v>2</v>
      </c>
      <c r="L209" s="13">
        <v>1</v>
      </c>
      <c r="M209" s="14">
        <v>0</v>
      </c>
      <c r="N209" s="14">
        <v>1</v>
      </c>
      <c r="O209" s="9">
        <v>1001</v>
      </c>
      <c r="P209" s="9" t="s">
        <v>188</v>
      </c>
      <c r="Q209" s="14">
        <v>1</v>
      </c>
      <c r="R209" s="9">
        <v>0</v>
      </c>
      <c r="S209" s="9">
        <v>0</v>
      </c>
      <c r="T209" s="8" t="s">
        <v>58</v>
      </c>
      <c r="U209" s="85">
        <v>53</v>
      </c>
      <c r="V209" s="8">
        <v>530403</v>
      </c>
      <c r="W209" s="16" t="s">
        <v>91</v>
      </c>
      <c r="X209" s="18">
        <v>2000.3199999999995</v>
      </c>
      <c r="Y209" s="132">
        <f>2000.32+1500-3500.32</f>
        <v>0</v>
      </c>
      <c r="Z209" s="17">
        <v>0</v>
      </c>
      <c r="AA209" s="17">
        <v>0</v>
      </c>
      <c r="AB209" s="17">
        <v>0</v>
      </c>
      <c r="AC209" s="17">
        <v>0</v>
      </c>
      <c r="AD209" s="17">
        <v>0</v>
      </c>
      <c r="AE209" s="17">
        <v>0</v>
      </c>
      <c r="AF209" s="17">
        <v>0</v>
      </c>
      <c r="AG209" s="17">
        <v>0</v>
      </c>
      <c r="AH209" s="17">
        <v>0</v>
      </c>
      <c r="AI209" s="17">
        <v>0</v>
      </c>
      <c r="AJ209" s="83">
        <v>0</v>
      </c>
      <c r="AK209" s="17">
        <v>0</v>
      </c>
      <c r="AL209" s="17">
        <v>0</v>
      </c>
      <c r="AM209" s="17">
        <v>0</v>
      </c>
      <c r="AN209" s="17">
        <v>0</v>
      </c>
      <c r="AO209" s="17">
        <v>0</v>
      </c>
      <c r="AP209" s="59">
        <v>0</v>
      </c>
      <c r="AQ209" s="17">
        <v>0</v>
      </c>
      <c r="AR209" s="17">
        <v>0</v>
      </c>
      <c r="AS209" s="17">
        <v>0</v>
      </c>
      <c r="AT209" s="17">
        <v>0</v>
      </c>
      <c r="AU209" s="17">
        <v>0</v>
      </c>
      <c r="AV209" s="17">
        <v>0</v>
      </c>
      <c r="AW209" s="17">
        <v>0</v>
      </c>
      <c r="AX209" s="19">
        <f t="shared" si="20"/>
        <v>0</v>
      </c>
      <c r="AY209" s="10" t="str">
        <f t="shared" si="22"/>
        <v>OK</v>
      </c>
      <c r="AZ209" s="10">
        <f t="shared" si="19"/>
        <v>0</v>
      </c>
      <c r="BA209" s="10">
        <f t="shared" si="21"/>
        <v>0</v>
      </c>
      <c r="BB209" s="17">
        <v>0</v>
      </c>
      <c r="BC209" s="113">
        <f t="shared" si="23"/>
        <v>0</v>
      </c>
    </row>
    <row r="210" spans="1:55" s="118" customFormat="1" ht="13.5" customHeight="1">
      <c r="A210" s="16" t="s">
        <v>48</v>
      </c>
      <c r="B210" s="16" t="s">
        <v>49</v>
      </c>
      <c r="C210" s="16" t="s">
        <v>50</v>
      </c>
      <c r="D210" s="16" t="s">
        <v>51</v>
      </c>
      <c r="E210" s="16" t="s">
        <v>52</v>
      </c>
      <c r="F210" s="16" t="s">
        <v>53</v>
      </c>
      <c r="G210" s="16" t="s">
        <v>173</v>
      </c>
      <c r="H210" s="22" t="s">
        <v>55</v>
      </c>
      <c r="I210" s="23" t="s">
        <v>203</v>
      </c>
      <c r="J210" s="11">
        <v>1</v>
      </c>
      <c r="K210" s="12" t="s">
        <v>2</v>
      </c>
      <c r="L210" s="13">
        <v>1</v>
      </c>
      <c r="M210" s="14">
        <v>0</v>
      </c>
      <c r="N210" s="14">
        <v>1</v>
      </c>
      <c r="O210" s="9">
        <v>1001</v>
      </c>
      <c r="P210" s="9" t="s">
        <v>188</v>
      </c>
      <c r="Q210" s="14">
        <v>1</v>
      </c>
      <c r="R210" s="9">
        <v>0</v>
      </c>
      <c r="S210" s="9">
        <v>0</v>
      </c>
      <c r="T210" s="8" t="s">
        <v>58</v>
      </c>
      <c r="U210" s="85">
        <v>53</v>
      </c>
      <c r="V210" s="8">
        <v>530404</v>
      </c>
      <c r="W210" s="16" t="s">
        <v>93</v>
      </c>
      <c r="X210" s="18">
        <v>165001.76</v>
      </c>
      <c r="Y210" s="65">
        <f>165001.76-56709.76-11692+0.01</f>
        <v>96600.01</v>
      </c>
      <c r="Z210" s="17">
        <v>0</v>
      </c>
      <c r="AA210" s="17">
        <v>0</v>
      </c>
      <c r="AB210" s="17">
        <v>9844.73</v>
      </c>
      <c r="AC210" s="17">
        <v>4693.75</v>
      </c>
      <c r="AD210" s="17">
        <v>9844.73</v>
      </c>
      <c r="AE210" s="17">
        <v>6333</v>
      </c>
      <c r="AF210" s="76">
        <v>9844.73</v>
      </c>
      <c r="AG210" s="17">
        <v>5744.75</v>
      </c>
      <c r="AH210" s="17">
        <v>9844.73</v>
      </c>
      <c r="AI210" s="17">
        <v>5840.5</v>
      </c>
      <c r="AJ210" s="107">
        <v>9844.73</v>
      </c>
      <c r="AK210" s="17">
        <v>5980.75</v>
      </c>
      <c r="AL210" s="17">
        <v>9844.73</v>
      </c>
      <c r="AM210" s="17">
        <v>2808.75</v>
      </c>
      <c r="AN210" s="17">
        <v>9844.73</v>
      </c>
      <c r="AO210" s="17">
        <v>7259</v>
      </c>
      <c r="AP210" s="17">
        <v>9844.73</v>
      </c>
      <c r="AQ210" s="17">
        <v>16639.46</v>
      </c>
      <c r="AR210" s="17">
        <v>17842.170000000013</v>
      </c>
      <c r="AS210" s="17">
        <v>5976</v>
      </c>
      <c r="AT210" s="17">
        <v>0</v>
      </c>
      <c r="AU210" s="17">
        <f>18535.44+280</f>
        <v>18815.44</v>
      </c>
      <c r="AV210" s="17">
        <v>0</v>
      </c>
      <c r="AW210" s="17">
        <v>12987</v>
      </c>
      <c r="AX210" s="19">
        <f t="shared" si="20"/>
        <v>96600.01</v>
      </c>
      <c r="AY210" s="10" t="str">
        <f t="shared" si="22"/>
        <v>OK</v>
      </c>
      <c r="AZ210" s="10">
        <f t="shared" si="19"/>
        <v>93078.4</v>
      </c>
      <c r="BA210" s="10">
        <f t="shared" si="21"/>
        <v>3521.6100000000115</v>
      </c>
      <c r="BB210" s="17">
        <v>96600</v>
      </c>
      <c r="BC210" s="113">
        <f t="shared" si="23"/>
        <v>0.00999999999476131</v>
      </c>
    </row>
    <row r="211" spans="1:55" s="118" customFormat="1" ht="13.5" customHeight="1">
      <c r="A211" s="16" t="s">
        <v>48</v>
      </c>
      <c r="B211" s="16" t="s">
        <v>49</v>
      </c>
      <c r="C211" s="16" t="s">
        <v>50</v>
      </c>
      <c r="D211" s="16" t="s">
        <v>51</v>
      </c>
      <c r="E211" s="16" t="s">
        <v>52</v>
      </c>
      <c r="F211" s="16" t="s">
        <v>53</v>
      </c>
      <c r="G211" s="16" t="s">
        <v>173</v>
      </c>
      <c r="H211" s="22" t="s">
        <v>55</v>
      </c>
      <c r="I211" s="23" t="s">
        <v>94</v>
      </c>
      <c r="J211" s="11">
        <v>1</v>
      </c>
      <c r="K211" s="12" t="s">
        <v>2</v>
      </c>
      <c r="L211" s="13">
        <v>1</v>
      </c>
      <c r="M211" s="14">
        <v>0</v>
      </c>
      <c r="N211" s="14">
        <v>1</v>
      </c>
      <c r="O211" s="9">
        <v>1001</v>
      </c>
      <c r="P211" s="9" t="s">
        <v>188</v>
      </c>
      <c r="Q211" s="14">
        <v>1</v>
      </c>
      <c r="R211" s="9">
        <v>0</v>
      </c>
      <c r="S211" s="9">
        <v>0</v>
      </c>
      <c r="T211" s="8" t="s">
        <v>58</v>
      </c>
      <c r="U211" s="85">
        <v>53</v>
      </c>
      <c r="V211" s="8">
        <v>530404</v>
      </c>
      <c r="W211" s="16" t="s">
        <v>93</v>
      </c>
      <c r="X211" s="18">
        <v>2106.72</v>
      </c>
      <c r="Y211" s="65">
        <f>2106.72-270.72</f>
        <v>1835.9999999999998</v>
      </c>
      <c r="Z211" s="17">
        <v>0</v>
      </c>
      <c r="AA211" s="17">
        <v>0</v>
      </c>
      <c r="AB211" s="17">
        <v>0</v>
      </c>
      <c r="AC211" s="17">
        <v>0</v>
      </c>
      <c r="AD211" s="17">
        <v>171</v>
      </c>
      <c r="AE211" s="17">
        <v>153</v>
      </c>
      <c r="AF211" s="17">
        <v>171</v>
      </c>
      <c r="AG211" s="17">
        <f>153+153</f>
        <v>306</v>
      </c>
      <c r="AH211" s="17">
        <v>171</v>
      </c>
      <c r="AI211" s="17">
        <v>153</v>
      </c>
      <c r="AJ211" s="107">
        <v>171</v>
      </c>
      <c r="AK211" s="17">
        <v>153</v>
      </c>
      <c r="AL211" s="17">
        <v>171</v>
      </c>
      <c r="AM211" s="17">
        <v>153</v>
      </c>
      <c r="AN211" s="17">
        <v>171</v>
      </c>
      <c r="AO211" s="17">
        <v>153</v>
      </c>
      <c r="AP211" s="17">
        <v>171</v>
      </c>
      <c r="AQ211" s="17">
        <v>153</v>
      </c>
      <c r="AR211" s="17">
        <v>171</v>
      </c>
      <c r="AS211" s="17">
        <v>153</v>
      </c>
      <c r="AT211" s="17">
        <v>171</v>
      </c>
      <c r="AU211" s="17">
        <v>153</v>
      </c>
      <c r="AV211" s="17">
        <v>296.9999999999998</v>
      </c>
      <c r="AW211" s="17">
        <f>153+153</f>
        <v>306</v>
      </c>
      <c r="AX211" s="19">
        <f t="shared" si="20"/>
        <v>1835.9999999999998</v>
      </c>
      <c r="AY211" s="10" t="str">
        <f t="shared" si="22"/>
        <v>OK</v>
      </c>
      <c r="AZ211" s="10">
        <f t="shared" si="19"/>
        <v>1836</v>
      </c>
      <c r="BA211" s="10">
        <f t="shared" si="21"/>
        <v>0</v>
      </c>
      <c r="BB211" s="17">
        <v>1836</v>
      </c>
      <c r="BC211" s="113">
        <f t="shared" si="23"/>
        <v>0</v>
      </c>
    </row>
    <row r="212" spans="1:55" s="118" customFormat="1" ht="13.5" customHeight="1">
      <c r="A212" s="16" t="s">
        <v>48</v>
      </c>
      <c r="B212" s="16" t="s">
        <v>49</v>
      </c>
      <c r="C212" s="16" t="s">
        <v>50</v>
      </c>
      <c r="D212" s="16" t="s">
        <v>51</v>
      </c>
      <c r="E212" s="16" t="s">
        <v>52</v>
      </c>
      <c r="F212" s="16" t="s">
        <v>53</v>
      </c>
      <c r="G212" s="16" t="s">
        <v>173</v>
      </c>
      <c r="H212" s="22" t="s">
        <v>55</v>
      </c>
      <c r="I212" s="147" t="s">
        <v>204</v>
      </c>
      <c r="J212" s="11">
        <v>2</v>
      </c>
      <c r="K212" s="12" t="s">
        <v>2</v>
      </c>
      <c r="L212" s="13">
        <v>1</v>
      </c>
      <c r="M212" s="14">
        <v>0</v>
      </c>
      <c r="N212" s="14">
        <v>1</v>
      </c>
      <c r="O212" s="9">
        <v>1001</v>
      </c>
      <c r="P212" s="9" t="s">
        <v>188</v>
      </c>
      <c r="Q212" s="14">
        <v>1</v>
      </c>
      <c r="R212" s="9">
        <v>0</v>
      </c>
      <c r="S212" s="9">
        <v>0</v>
      </c>
      <c r="T212" s="8" t="s">
        <v>58</v>
      </c>
      <c r="U212" s="85">
        <v>53</v>
      </c>
      <c r="V212" s="8">
        <v>530404</v>
      </c>
      <c r="W212" s="16" t="s">
        <v>93</v>
      </c>
      <c r="X212" s="18">
        <v>2000.3199999999995</v>
      </c>
      <c r="Y212" s="146">
        <f>2000.32-1205.32</f>
        <v>795</v>
      </c>
      <c r="Z212" s="17">
        <v>0</v>
      </c>
      <c r="AA212" s="17">
        <v>0</v>
      </c>
      <c r="AB212" s="17">
        <v>0</v>
      </c>
      <c r="AC212" s="17">
        <v>0</v>
      </c>
      <c r="AD212" s="17">
        <v>0</v>
      </c>
      <c r="AE212" s="17">
        <v>0</v>
      </c>
      <c r="AF212" s="17">
        <v>0</v>
      </c>
      <c r="AG212" s="17">
        <v>0</v>
      </c>
      <c r="AH212" s="17">
        <v>0</v>
      </c>
      <c r="AI212" s="17">
        <v>0</v>
      </c>
      <c r="AJ212" s="107">
        <v>0</v>
      </c>
      <c r="AK212" s="17">
        <v>0</v>
      </c>
      <c r="AL212" s="59">
        <v>0</v>
      </c>
      <c r="AM212" s="17">
        <v>480</v>
      </c>
      <c r="AN212" s="17">
        <v>0</v>
      </c>
      <c r="AO212" s="17">
        <v>0</v>
      </c>
      <c r="AP212" s="17">
        <v>795</v>
      </c>
      <c r="AQ212" s="17">
        <v>0</v>
      </c>
      <c r="AR212" s="17">
        <v>0</v>
      </c>
      <c r="AS212" s="17">
        <v>135</v>
      </c>
      <c r="AT212" s="17">
        <v>0</v>
      </c>
      <c r="AU212" s="17">
        <v>0</v>
      </c>
      <c r="AV212" s="17">
        <v>0</v>
      </c>
      <c r="AW212" s="17">
        <v>0</v>
      </c>
      <c r="AX212" s="19">
        <f t="shared" si="20"/>
        <v>795</v>
      </c>
      <c r="AY212" s="10" t="str">
        <f t="shared" si="22"/>
        <v>OK</v>
      </c>
      <c r="AZ212" s="10">
        <f t="shared" si="19"/>
        <v>615</v>
      </c>
      <c r="BA212" s="10">
        <f t="shared" si="21"/>
        <v>180</v>
      </c>
      <c r="BB212" s="17">
        <f>480+185-185+135+180</f>
        <v>795</v>
      </c>
      <c r="BC212" s="113">
        <f>Y212-BB212</f>
        <v>0</v>
      </c>
    </row>
    <row r="213" spans="1:55" s="118" customFormat="1" ht="13.5" customHeight="1">
      <c r="A213" s="16" t="s">
        <v>48</v>
      </c>
      <c r="B213" s="16" t="s">
        <v>49</v>
      </c>
      <c r="C213" s="16" t="s">
        <v>50</v>
      </c>
      <c r="D213" s="16" t="s">
        <v>51</v>
      </c>
      <c r="E213" s="16" t="s">
        <v>52</v>
      </c>
      <c r="F213" s="16" t="s">
        <v>53</v>
      </c>
      <c r="G213" s="16" t="s">
        <v>173</v>
      </c>
      <c r="H213" s="22" t="s">
        <v>55</v>
      </c>
      <c r="I213" s="63" t="s">
        <v>205</v>
      </c>
      <c r="J213" s="11">
        <v>2</v>
      </c>
      <c r="K213" s="12" t="s">
        <v>2</v>
      </c>
      <c r="L213" s="13">
        <v>1</v>
      </c>
      <c r="M213" s="14">
        <v>0</v>
      </c>
      <c r="N213" s="14">
        <v>1</v>
      </c>
      <c r="O213" s="9">
        <v>1001</v>
      </c>
      <c r="P213" s="9" t="s">
        <v>188</v>
      </c>
      <c r="Q213" s="14">
        <v>1</v>
      </c>
      <c r="R213" s="9">
        <v>0</v>
      </c>
      <c r="S213" s="9">
        <v>0</v>
      </c>
      <c r="T213" s="8" t="s">
        <v>58</v>
      </c>
      <c r="U213" s="85">
        <v>53</v>
      </c>
      <c r="V213" s="8">
        <v>530404</v>
      </c>
      <c r="W213" s="16" t="s">
        <v>93</v>
      </c>
      <c r="X213" s="18">
        <v>1500.7999999999995</v>
      </c>
      <c r="Y213" s="79">
        <f>1500.8-1000.8-380</f>
        <v>120</v>
      </c>
      <c r="Z213" s="17">
        <v>0</v>
      </c>
      <c r="AA213" s="17">
        <v>0</v>
      </c>
      <c r="AB213" s="17">
        <v>0</v>
      </c>
      <c r="AC213" s="17">
        <v>0</v>
      </c>
      <c r="AD213" s="17">
        <v>0</v>
      </c>
      <c r="AE213" s="17">
        <v>0</v>
      </c>
      <c r="AF213" s="17">
        <v>120</v>
      </c>
      <c r="AG213" s="17">
        <v>120</v>
      </c>
      <c r="AH213" s="17">
        <v>0</v>
      </c>
      <c r="AI213" s="17">
        <v>0</v>
      </c>
      <c r="AJ213" s="107">
        <v>0</v>
      </c>
      <c r="AK213" s="17">
        <v>0</v>
      </c>
      <c r="AL213" s="17">
        <v>0</v>
      </c>
      <c r="AM213" s="17">
        <v>0</v>
      </c>
      <c r="AN213" s="17">
        <v>0</v>
      </c>
      <c r="AO213" s="17">
        <v>0</v>
      </c>
      <c r="AP213" s="17">
        <v>0</v>
      </c>
      <c r="AQ213" s="17">
        <v>0</v>
      </c>
      <c r="AR213" s="17">
        <v>0</v>
      </c>
      <c r="AS213" s="17">
        <v>0</v>
      </c>
      <c r="AT213" s="17">
        <v>0</v>
      </c>
      <c r="AU213" s="17">
        <v>0</v>
      </c>
      <c r="AV213" s="17">
        <v>0</v>
      </c>
      <c r="AW213" s="17">
        <v>0</v>
      </c>
      <c r="AX213" s="19">
        <f t="shared" si="20"/>
        <v>120</v>
      </c>
      <c r="AY213" s="10" t="str">
        <f t="shared" si="22"/>
        <v>OK</v>
      </c>
      <c r="AZ213" s="10">
        <f t="shared" si="19"/>
        <v>120</v>
      </c>
      <c r="BA213" s="10">
        <f t="shared" si="21"/>
        <v>0</v>
      </c>
      <c r="BB213" s="17">
        <v>120</v>
      </c>
      <c r="BC213" s="113">
        <f t="shared" si="23"/>
        <v>0</v>
      </c>
    </row>
    <row r="214" spans="1:55" s="118" customFormat="1" ht="13.5" customHeight="1">
      <c r="A214" s="16" t="s">
        <v>48</v>
      </c>
      <c r="B214" s="16" t="s">
        <v>49</v>
      </c>
      <c r="C214" s="16" t="s">
        <v>50</v>
      </c>
      <c r="D214" s="16" t="s">
        <v>51</v>
      </c>
      <c r="E214" s="16" t="s">
        <v>52</v>
      </c>
      <c r="F214" s="16" t="s">
        <v>53</v>
      </c>
      <c r="G214" s="16" t="s">
        <v>173</v>
      </c>
      <c r="H214" s="22" t="s">
        <v>55</v>
      </c>
      <c r="I214" s="147" t="s">
        <v>206</v>
      </c>
      <c r="J214" s="11">
        <v>1</v>
      </c>
      <c r="K214" s="12" t="s">
        <v>2</v>
      </c>
      <c r="L214" s="13">
        <v>1</v>
      </c>
      <c r="M214" s="14">
        <v>0</v>
      </c>
      <c r="N214" s="14">
        <v>1</v>
      </c>
      <c r="O214" s="9">
        <v>1001</v>
      </c>
      <c r="P214" s="9" t="s">
        <v>188</v>
      </c>
      <c r="Q214" s="14">
        <v>1</v>
      </c>
      <c r="R214" s="9">
        <v>0</v>
      </c>
      <c r="S214" s="9">
        <v>0</v>
      </c>
      <c r="T214" s="8" t="s">
        <v>58</v>
      </c>
      <c r="U214" s="85">
        <v>53</v>
      </c>
      <c r="V214" s="8">
        <v>530405</v>
      </c>
      <c r="W214" s="16" t="s">
        <v>96</v>
      </c>
      <c r="X214" s="18">
        <v>1505.2799999999995</v>
      </c>
      <c r="Y214" s="146">
        <f>1505.28+615-227.28-101-83</f>
        <v>1708.9999999999998</v>
      </c>
      <c r="Z214" s="17">
        <v>0</v>
      </c>
      <c r="AA214" s="17">
        <v>0</v>
      </c>
      <c r="AB214" s="17">
        <v>0</v>
      </c>
      <c r="AC214" s="17">
        <v>0</v>
      </c>
      <c r="AD214" s="17">
        <v>0</v>
      </c>
      <c r="AE214" s="17">
        <v>0</v>
      </c>
      <c r="AF214" s="17">
        <v>223.99999999999955</v>
      </c>
      <c r="AG214" s="17">
        <v>232</v>
      </c>
      <c r="AH214" s="17">
        <v>0</v>
      </c>
      <c r="AI214" s="17">
        <f>139+80</f>
        <v>219</v>
      </c>
      <c r="AJ214" s="107">
        <v>224</v>
      </c>
      <c r="AK214" s="17">
        <v>140</v>
      </c>
      <c r="AL214" s="17">
        <v>0</v>
      </c>
      <c r="AM214" s="17">
        <v>0</v>
      </c>
      <c r="AN214" s="17">
        <v>0</v>
      </c>
      <c r="AO214" s="17">
        <v>96</v>
      </c>
      <c r="AP214" s="17">
        <v>448</v>
      </c>
      <c r="AQ214" s="17">
        <v>35</v>
      </c>
      <c r="AR214" s="17">
        <v>0</v>
      </c>
      <c r="AS214" s="17">
        <v>93</v>
      </c>
      <c r="AT214" s="17">
        <v>0</v>
      </c>
      <c r="AU214" s="17">
        <v>87</v>
      </c>
      <c r="AV214" s="17">
        <v>813.0000000000002</v>
      </c>
      <c r="AW214" s="17">
        <v>792</v>
      </c>
      <c r="AX214" s="19">
        <f t="shared" si="20"/>
        <v>1708.9999999999998</v>
      </c>
      <c r="AY214" s="10" t="str">
        <f t="shared" si="22"/>
        <v>OK</v>
      </c>
      <c r="AZ214" s="10">
        <f t="shared" si="19"/>
        <v>1694</v>
      </c>
      <c r="BA214" s="10">
        <f t="shared" si="21"/>
        <v>14.999999999999773</v>
      </c>
      <c r="BB214" s="17">
        <f>1893-101-83</f>
        <v>1709</v>
      </c>
      <c r="BC214" s="113">
        <f t="shared" si="23"/>
        <v>0</v>
      </c>
    </row>
    <row r="215" spans="1:55" s="118" customFormat="1" ht="13.5" customHeight="1">
      <c r="A215" s="16" t="s">
        <v>48</v>
      </c>
      <c r="B215" s="16" t="s">
        <v>49</v>
      </c>
      <c r="C215" s="16" t="s">
        <v>50</v>
      </c>
      <c r="D215" s="16" t="s">
        <v>51</v>
      </c>
      <c r="E215" s="16" t="s">
        <v>52</v>
      </c>
      <c r="F215" s="16" t="s">
        <v>53</v>
      </c>
      <c r="G215" s="16" t="s">
        <v>173</v>
      </c>
      <c r="H215" s="22" t="s">
        <v>55</v>
      </c>
      <c r="I215" s="87" t="s">
        <v>207</v>
      </c>
      <c r="J215" s="11">
        <v>2</v>
      </c>
      <c r="K215" s="12" t="s">
        <v>2</v>
      </c>
      <c r="L215" s="13">
        <v>1</v>
      </c>
      <c r="M215" s="14">
        <v>0</v>
      </c>
      <c r="N215" s="14">
        <v>1</v>
      </c>
      <c r="O215" s="9">
        <v>1001</v>
      </c>
      <c r="P215" s="9" t="s">
        <v>188</v>
      </c>
      <c r="Q215" s="14">
        <v>1</v>
      </c>
      <c r="R215" s="9">
        <v>0</v>
      </c>
      <c r="S215" s="9">
        <v>0</v>
      </c>
      <c r="T215" s="8" t="s">
        <v>58</v>
      </c>
      <c r="U215" s="85">
        <v>53</v>
      </c>
      <c r="V215" s="8">
        <v>530405</v>
      </c>
      <c r="W215" s="16" t="s">
        <v>96</v>
      </c>
      <c r="X215" s="18">
        <v>1500.7999999999995</v>
      </c>
      <c r="Y215" s="86">
        <f>1500.8-1351</f>
        <v>149.79999999999995</v>
      </c>
      <c r="Z215" s="17">
        <v>0</v>
      </c>
      <c r="AA215" s="17">
        <v>0</v>
      </c>
      <c r="AB215" s="17">
        <v>0</v>
      </c>
      <c r="AC215" s="17">
        <v>0</v>
      </c>
      <c r="AD215" s="17">
        <v>0</v>
      </c>
      <c r="AE215" s="17">
        <v>0</v>
      </c>
      <c r="AF215" s="17">
        <v>0</v>
      </c>
      <c r="AG215" s="17">
        <v>0</v>
      </c>
      <c r="AH215" s="17">
        <v>149.79999999999995</v>
      </c>
      <c r="AI215" s="17">
        <v>149.79999999999995</v>
      </c>
      <c r="AJ215" s="107">
        <v>0</v>
      </c>
      <c r="AK215" s="17">
        <v>0</v>
      </c>
      <c r="AL215" s="17">
        <v>0</v>
      </c>
      <c r="AM215" s="17">
        <v>0</v>
      </c>
      <c r="AN215" s="17">
        <v>0</v>
      </c>
      <c r="AO215" s="17">
        <v>0</v>
      </c>
      <c r="AP215" s="17">
        <v>0</v>
      </c>
      <c r="AQ215" s="17">
        <v>0</v>
      </c>
      <c r="AR215" s="17">
        <v>0</v>
      </c>
      <c r="AS215" s="17">
        <v>0</v>
      </c>
      <c r="AT215" s="17">
        <v>0</v>
      </c>
      <c r="AU215" s="17">
        <v>0</v>
      </c>
      <c r="AV215" s="17">
        <v>0</v>
      </c>
      <c r="AW215" s="17">
        <v>0</v>
      </c>
      <c r="AX215" s="19">
        <f t="shared" si="20"/>
        <v>149.79999999999995</v>
      </c>
      <c r="AY215" s="10" t="str">
        <f t="shared" si="22"/>
        <v>OK</v>
      </c>
      <c r="AZ215" s="10">
        <f t="shared" si="19"/>
        <v>149.79999999999995</v>
      </c>
      <c r="BA215" s="10">
        <f t="shared" si="21"/>
        <v>0</v>
      </c>
      <c r="BB215" s="17">
        <v>149.8</v>
      </c>
      <c r="BC215" s="113">
        <f t="shared" si="23"/>
        <v>0</v>
      </c>
    </row>
    <row r="216" spans="1:55" s="118" customFormat="1" ht="13.5" customHeight="1">
      <c r="A216" s="16" t="s">
        <v>48</v>
      </c>
      <c r="B216" s="16" t="s">
        <v>49</v>
      </c>
      <c r="C216" s="16" t="s">
        <v>50</v>
      </c>
      <c r="D216" s="16" t="s">
        <v>51</v>
      </c>
      <c r="E216" s="16" t="s">
        <v>52</v>
      </c>
      <c r="F216" s="16" t="s">
        <v>53</v>
      </c>
      <c r="G216" s="16" t="s">
        <v>173</v>
      </c>
      <c r="H216" s="22" t="s">
        <v>55</v>
      </c>
      <c r="I216" s="134" t="s">
        <v>98</v>
      </c>
      <c r="J216" s="11">
        <v>1</v>
      </c>
      <c r="K216" s="12" t="s">
        <v>2</v>
      </c>
      <c r="L216" s="13">
        <v>1</v>
      </c>
      <c r="M216" s="14">
        <v>0</v>
      </c>
      <c r="N216" s="14">
        <v>1</v>
      </c>
      <c r="O216" s="9">
        <v>1001</v>
      </c>
      <c r="P216" s="9" t="s">
        <v>188</v>
      </c>
      <c r="Q216" s="14">
        <v>1</v>
      </c>
      <c r="R216" s="9">
        <v>0</v>
      </c>
      <c r="S216" s="9">
        <v>0</v>
      </c>
      <c r="T216" s="8" t="s">
        <v>58</v>
      </c>
      <c r="U216" s="85">
        <v>53</v>
      </c>
      <c r="V216" s="8">
        <v>530802</v>
      </c>
      <c r="W216" s="16" t="s">
        <v>99</v>
      </c>
      <c r="X216" s="18">
        <v>1207.3599999999994</v>
      </c>
      <c r="Y216" s="132">
        <f>1207.36-239.58</f>
        <v>967.7799999999999</v>
      </c>
      <c r="Z216" s="17">
        <v>0</v>
      </c>
      <c r="AA216" s="17">
        <v>0</v>
      </c>
      <c r="AB216" s="17">
        <v>0</v>
      </c>
      <c r="AC216" s="17">
        <v>0</v>
      </c>
      <c r="AD216" s="17">
        <v>0</v>
      </c>
      <c r="AE216" s="17">
        <v>0</v>
      </c>
      <c r="AF216" s="17">
        <v>0</v>
      </c>
      <c r="AG216" s="17">
        <v>0</v>
      </c>
      <c r="AH216" s="17">
        <v>0</v>
      </c>
      <c r="AI216" s="17">
        <v>0</v>
      </c>
      <c r="AJ216" s="83">
        <v>0</v>
      </c>
      <c r="AK216" s="17">
        <v>0</v>
      </c>
      <c r="AL216" s="17">
        <v>0</v>
      </c>
      <c r="AM216" s="17">
        <v>0</v>
      </c>
      <c r="AN216" s="59">
        <v>0</v>
      </c>
      <c r="AO216" s="17">
        <v>0</v>
      </c>
      <c r="AP216" s="59">
        <v>967.7799999999999</v>
      </c>
      <c r="AQ216" s="17">
        <v>668.58</v>
      </c>
      <c r="AR216" s="17">
        <v>0</v>
      </c>
      <c r="AS216" s="17">
        <v>0</v>
      </c>
      <c r="AT216" s="17">
        <v>0</v>
      </c>
      <c r="AU216" s="17">
        <v>0</v>
      </c>
      <c r="AV216" s="17">
        <v>0</v>
      </c>
      <c r="AW216" s="17">
        <v>299.02</v>
      </c>
      <c r="AX216" s="19">
        <f t="shared" si="20"/>
        <v>967.7799999999999</v>
      </c>
      <c r="AY216" s="10" t="str">
        <f t="shared" si="22"/>
        <v>OK</v>
      </c>
      <c r="AZ216" s="10">
        <f t="shared" si="19"/>
        <v>967.6</v>
      </c>
      <c r="BA216" s="10">
        <f t="shared" si="21"/>
        <v>0.1799999999998363</v>
      </c>
      <c r="BB216" s="17">
        <f>818.53+149.25</f>
        <v>967.78</v>
      </c>
      <c r="BC216" s="113">
        <f t="shared" si="23"/>
        <v>0</v>
      </c>
    </row>
    <row r="217" spans="1:55" s="118" customFormat="1" ht="13.5" customHeight="1">
      <c r="A217" s="16" t="s">
        <v>48</v>
      </c>
      <c r="B217" s="16" t="s">
        <v>49</v>
      </c>
      <c r="C217" s="16" t="s">
        <v>50</v>
      </c>
      <c r="D217" s="16" t="s">
        <v>51</v>
      </c>
      <c r="E217" s="16" t="s">
        <v>52</v>
      </c>
      <c r="F217" s="16" t="s">
        <v>53</v>
      </c>
      <c r="G217" s="16" t="s">
        <v>173</v>
      </c>
      <c r="H217" s="22" t="s">
        <v>55</v>
      </c>
      <c r="I217" s="147" t="s">
        <v>208</v>
      </c>
      <c r="J217" s="11">
        <v>1</v>
      </c>
      <c r="K217" s="12" t="s">
        <v>2</v>
      </c>
      <c r="L217" s="13">
        <v>1</v>
      </c>
      <c r="M217" s="14">
        <v>0</v>
      </c>
      <c r="N217" s="14">
        <v>1</v>
      </c>
      <c r="O217" s="9">
        <v>1001</v>
      </c>
      <c r="P217" s="9" t="s">
        <v>188</v>
      </c>
      <c r="Q217" s="14">
        <v>1</v>
      </c>
      <c r="R217" s="9">
        <v>0</v>
      </c>
      <c r="S217" s="9">
        <v>0</v>
      </c>
      <c r="T217" s="8" t="s">
        <v>58</v>
      </c>
      <c r="U217" s="85">
        <v>53</v>
      </c>
      <c r="V217" s="8">
        <v>530803</v>
      </c>
      <c r="W217" s="16" t="s">
        <v>101</v>
      </c>
      <c r="X217" s="18">
        <v>1001.2799999999997</v>
      </c>
      <c r="Y217" s="146">
        <f>1001.28-179.28-78-42-81</f>
        <v>621</v>
      </c>
      <c r="Z217" s="17">
        <v>0</v>
      </c>
      <c r="AA217" s="17">
        <v>0</v>
      </c>
      <c r="AB217" s="17">
        <v>0</v>
      </c>
      <c r="AC217" s="17">
        <v>0</v>
      </c>
      <c r="AD217" s="17">
        <v>0</v>
      </c>
      <c r="AE217" s="17">
        <v>0</v>
      </c>
      <c r="AF217" s="17">
        <v>148.99999999999977</v>
      </c>
      <c r="AG217" s="17">
        <v>60</v>
      </c>
      <c r="AH217" s="17">
        <v>0</v>
      </c>
      <c r="AI217" s="17">
        <f>5+42</f>
        <v>47</v>
      </c>
      <c r="AJ217" s="107">
        <v>149</v>
      </c>
      <c r="AK217" s="17">
        <v>241</v>
      </c>
      <c r="AL217" s="17">
        <v>0</v>
      </c>
      <c r="AM217" s="17">
        <v>0</v>
      </c>
      <c r="AN217" s="17">
        <v>0</v>
      </c>
      <c r="AO217" s="17">
        <v>10</v>
      </c>
      <c r="AP217" s="17">
        <v>0</v>
      </c>
      <c r="AQ217" s="17">
        <v>0</v>
      </c>
      <c r="AR217" s="17">
        <v>298.0000000000002</v>
      </c>
      <c r="AS217" s="17">
        <v>84</v>
      </c>
      <c r="AT217" s="17">
        <v>0</v>
      </c>
      <c r="AU217" s="17">
        <v>54</v>
      </c>
      <c r="AV217" s="17">
        <v>25</v>
      </c>
      <c r="AW217" s="17">
        <v>125</v>
      </c>
      <c r="AX217" s="19">
        <f t="shared" si="20"/>
        <v>621</v>
      </c>
      <c r="AY217" s="10" t="str">
        <f t="shared" si="22"/>
        <v>OK</v>
      </c>
      <c r="AZ217" s="10">
        <f t="shared" si="19"/>
        <v>621</v>
      </c>
      <c r="BA217" s="10">
        <f t="shared" si="21"/>
        <v>0</v>
      </c>
      <c r="BB217" s="17">
        <f>822-78-42</f>
        <v>702</v>
      </c>
      <c r="BC217" s="113">
        <f t="shared" si="23"/>
        <v>-81</v>
      </c>
    </row>
    <row r="218" spans="1:55" s="118" customFormat="1" ht="13.5" customHeight="1">
      <c r="A218" s="16" t="s">
        <v>48</v>
      </c>
      <c r="B218" s="16" t="s">
        <v>49</v>
      </c>
      <c r="C218" s="16" t="s">
        <v>50</v>
      </c>
      <c r="D218" s="16" t="s">
        <v>51</v>
      </c>
      <c r="E218" s="16" t="s">
        <v>52</v>
      </c>
      <c r="F218" s="16" t="s">
        <v>53</v>
      </c>
      <c r="G218" s="16" t="s">
        <v>173</v>
      </c>
      <c r="H218" s="22" t="s">
        <v>55</v>
      </c>
      <c r="I218" s="23" t="s">
        <v>209</v>
      </c>
      <c r="J218" s="11">
        <v>2</v>
      </c>
      <c r="K218" s="12" t="s">
        <v>2</v>
      </c>
      <c r="L218" s="13">
        <v>1</v>
      </c>
      <c r="M218" s="14">
        <v>0</v>
      </c>
      <c r="N218" s="14">
        <v>1</v>
      </c>
      <c r="O218" s="9">
        <v>1001</v>
      </c>
      <c r="P218" s="9" t="s">
        <v>188</v>
      </c>
      <c r="Q218" s="14">
        <v>1</v>
      </c>
      <c r="R218" s="9">
        <v>0</v>
      </c>
      <c r="S218" s="9">
        <v>0</v>
      </c>
      <c r="T218" s="8" t="s">
        <v>58</v>
      </c>
      <c r="U218" s="85">
        <v>53</v>
      </c>
      <c r="V218" s="8">
        <v>530803</v>
      </c>
      <c r="W218" s="16" t="s">
        <v>101</v>
      </c>
      <c r="X218" s="18">
        <v>300.15999999999985</v>
      </c>
      <c r="Y218" s="18">
        <f>300.16-68.56</f>
        <v>231.60000000000002</v>
      </c>
      <c r="Z218" s="59">
        <v>231.60000000000002</v>
      </c>
      <c r="AA218" s="59">
        <v>231.6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0</v>
      </c>
      <c r="AI218" s="17">
        <v>0</v>
      </c>
      <c r="AJ218" s="107">
        <v>0</v>
      </c>
      <c r="AK218" s="17">
        <v>0</v>
      </c>
      <c r="AL218" s="17">
        <v>0</v>
      </c>
      <c r="AM218" s="17">
        <v>0</v>
      </c>
      <c r="AN218" s="17">
        <v>0</v>
      </c>
      <c r="AO218" s="17">
        <v>0</v>
      </c>
      <c r="AP218" s="17">
        <v>0</v>
      </c>
      <c r="AQ218" s="17">
        <v>0</v>
      </c>
      <c r="AR218" s="17">
        <v>0</v>
      </c>
      <c r="AS218" s="17">
        <v>0</v>
      </c>
      <c r="AT218" s="17">
        <v>0</v>
      </c>
      <c r="AU218" s="17">
        <v>0</v>
      </c>
      <c r="AV218" s="17">
        <v>0</v>
      </c>
      <c r="AW218" s="17">
        <v>0</v>
      </c>
      <c r="AX218" s="19">
        <f t="shared" si="20"/>
        <v>231.60000000000002</v>
      </c>
      <c r="AY218" s="10" t="str">
        <f t="shared" si="22"/>
        <v>OK</v>
      </c>
      <c r="AZ218" s="10">
        <f t="shared" si="19"/>
        <v>231.6</v>
      </c>
      <c r="BA218" s="10">
        <f t="shared" si="21"/>
        <v>2.842170943040401E-14</v>
      </c>
      <c r="BB218" s="17">
        <v>231.6</v>
      </c>
      <c r="BC218" s="113">
        <f t="shared" si="23"/>
        <v>0</v>
      </c>
    </row>
    <row r="219" spans="1:55" s="118" customFormat="1" ht="13.5" customHeight="1">
      <c r="A219" s="16" t="s">
        <v>48</v>
      </c>
      <c r="B219" s="16" t="s">
        <v>49</v>
      </c>
      <c r="C219" s="16" t="s">
        <v>50</v>
      </c>
      <c r="D219" s="16" t="s">
        <v>51</v>
      </c>
      <c r="E219" s="16" t="s">
        <v>52</v>
      </c>
      <c r="F219" s="16" t="s">
        <v>53</v>
      </c>
      <c r="G219" s="16" t="s">
        <v>173</v>
      </c>
      <c r="H219" s="22" t="s">
        <v>55</v>
      </c>
      <c r="I219" s="134" t="s">
        <v>210</v>
      </c>
      <c r="J219" s="11">
        <v>1</v>
      </c>
      <c r="K219" s="12" t="s">
        <v>2</v>
      </c>
      <c r="L219" s="13">
        <v>1</v>
      </c>
      <c r="M219" s="14">
        <v>0</v>
      </c>
      <c r="N219" s="14">
        <v>1</v>
      </c>
      <c r="O219" s="9">
        <v>1001</v>
      </c>
      <c r="P219" s="9" t="s">
        <v>188</v>
      </c>
      <c r="Q219" s="14">
        <v>1</v>
      </c>
      <c r="R219" s="9">
        <v>0</v>
      </c>
      <c r="S219" s="9">
        <v>0</v>
      </c>
      <c r="T219" s="8" t="s">
        <v>58</v>
      </c>
      <c r="U219" s="85">
        <v>53</v>
      </c>
      <c r="V219" s="8">
        <v>530803</v>
      </c>
      <c r="W219" s="16" t="s">
        <v>101</v>
      </c>
      <c r="X219" s="18">
        <v>2500.96</v>
      </c>
      <c r="Y219" s="132">
        <f>2500.96+70.56-613.8-245.09</f>
        <v>1712.63</v>
      </c>
      <c r="Z219" s="17">
        <v>0</v>
      </c>
      <c r="AA219" s="17">
        <v>0</v>
      </c>
      <c r="AB219" s="17">
        <v>203</v>
      </c>
      <c r="AC219" s="17">
        <v>114.78</v>
      </c>
      <c r="AD219" s="17">
        <v>203</v>
      </c>
      <c r="AE219" s="17">
        <v>20.4</v>
      </c>
      <c r="AF219" s="17">
        <v>203</v>
      </c>
      <c r="AG219" s="17">
        <v>279.17</v>
      </c>
      <c r="AH219" s="17">
        <v>203</v>
      </c>
      <c r="AI219" s="17">
        <v>189.59</v>
      </c>
      <c r="AJ219" s="107">
        <v>203</v>
      </c>
      <c r="AK219" s="17">
        <v>102.36</v>
      </c>
      <c r="AL219" s="17">
        <v>203</v>
      </c>
      <c r="AM219" s="17">
        <v>13.77</v>
      </c>
      <c r="AN219" s="17">
        <v>203</v>
      </c>
      <c r="AO219" s="17">
        <v>130.52</v>
      </c>
      <c r="AP219" s="17">
        <v>203</v>
      </c>
      <c r="AQ219" s="17">
        <v>166.57</v>
      </c>
      <c r="AR219" s="17">
        <v>88.63000000000011</v>
      </c>
      <c r="AS219" s="17">
        <v>207.05</v>
      </c>
      <c r="AT219" s="17">
        <v>0</v>
      </c>
      <c r="AU219" s="17">
        <v>209.91</v>
      </c>
      <c r="AV219" s="17">
        <v>0</v>
      </c>
      <c r="AW219" s="17">
        <v>0</v>
      </c>
      <c r="AX219" s="19">
        <f t="shared" si="20"/>
        <v>1712.63</v>
      </c>
      <c r="AY219" s="10" t="str">
        <f>IF(AX219=Y219,"OK",Y219-AX219)</f>
        <v>OK</v>
      </c>
      <c r="AZ219" s="10">
        <f t="shared" si="19"/>
        <v>1434.1200000000001</v>
      </c>
      <c r="BA219" s="10">
        <f t="shared" si="21"/>
        <v>278.5100000000002</v>
      </c>
      <c r="BB219" s="17">
        <f>2571.52-613.8</f>
        <v>1957.72</v>
      </c>
      <c r="BC219" s="113">
        <f t="shared" si="23"/>
        <v>-245.08999999999992</v>
      </c>
    </row>
    <row r="220" spans="1:55" s="118" customFormat="1" ht="13.5" customHeight="1">
      <c r="A220" s="16" t="s">
        <v>48</v>
      </c>
      <c r="B220" s="16" t="s">
        <v>49</v>
      </c>
      <c r="C220" s="16" t="s">
        <v>50</v>
      </c>
      <c r="D220" s="16" t="s">
        <v>51</v>
      </c>
      <c r="E220" s="16" t="s">
        <v>52</v>
      </c>
      <c r="F220" s="16" t="s">
        <v>53</v>
      </c>
      <c r="G220" s="16" t="s">
        <v>173</v>
      </c>
      <c r="H220" s="22" t="s">
        <v>55</v>
      </c>
      <c r="I220" s="134" t="s">
        <v>211</v>
      </c>
      <c r="J220" s="11">
        <v>1</v>
      </c>
      <c r="K220" s="12" t="s">
        <v>2</v>
      </c>
      <c r="L220" s="13">
        <v>1</v>
      </c>
      <c r="M220" s="14">
        <v>0</v>
      </c>
      <c r="N220" s="14">
        <v>1</v>
      </c>
      <c r="O220" s="9">
        <v>1001</v>
      </c>
      <c r="P220" s="9" t="s">
        <v>188</v>
      </c>
      <c r="Q220" s="14">
        <v>1</v>
      </c>
      <c r="R220" s="9">
        <v>0</v>
      </c>
      <c r="S220" s="9">
        <v>0</v>
      </c>
      <c r="T220" s="8" t="s">
        <v>58</v>
      </c>
      <c r="U220" s="85">
        <v>53</v>
      </c>
      <c r="V220" s="8">
        <v>530803</v>
      </c>
      <c r="W220" s="16" t="s">
        <v>101</v>
      </c>
      <c r="X220" s="18">
        <v>500.6399999999999</v>
      </c>
      <c r="Y220" s="132">
        <f>500.64-500.64</f>
        <v>0</v>
      </c>
      <c r="Z220" s="17">
        <v>0</v>
      </c>
      <c r="AA220" s="17">
        <v>0</v>
      </c>
      <c r="AB220" s="17">
        <v>0</v>
      </c>
      <c r="AC220" s="17">
        <v>0</v>
      </c>
      <c r="AD220" s="17">
        <v>0</v>
      </c>
      <c r="AE220" s="17">
        <v>0</v>
      </c>
      <c r="AF220" s="17">
        <v>0</v>
      </c>
      <c r="AG220" s="17">
        <v>0</v>
      </c>
      <c r="AH220" s="17">
        <v>0</v>
      </c>
      <c r="AI220" s="17">
        <v>0</v>
      </c>
      <c r="AJ220" s="107">
        <v>0</v>
      </c>
      <c r="AK220" s="17">
        <v>0</v>
      </c>
      <c r="AL220" s="17">
        <v>0</v>
      </c>
      <c r="AM220" s="17">
        <v>0</v>
      </c>
      <c r="AN220" s="17">
        <v>0</v>
      </c>
      <c r="AO220" s="17">
        <v>0</v>
      </c>
      <c r="AP220" s="17">
        <v>0</v>
      </c>
      <c r="AQ220" s="17">
        <v>0</v>
      </c>
      <c r="AR220" s="17">
        <v>0</v>
      </c>
      <c r="AS220" s="17">
        <v>0</v>
      </c>
      <c r="AT220" s="17">
        <v>0</v>
      </c>
      <c r="AU220" s="17">
        <v>0</v>
      </c>
      <c r="AV220" s="17">
        <v>0</v>
      </c>
      <c r="AW220" s="17">
        <v>0</v>
      </c>
      <c r="AX220" s="19">
        <f t="shared" si="20"/>
        <v>0</v>
      </c>
      <c r="AY220" s="10" t="str">
        <f aca="true" t="shared" si="24" ref="AY220:AY232">IF(AX220=Y220,"OK",Y220-AX220)</f>
        <v>OK</v>
      </c>
      <c r="AZ220" s="10">
        <f t="shared" si="19"/>
        <v>0</v>
      </c>
      <c r="BA220" s="10">
        <f t="shared" si="21"/>
        <v>0</v>
      </c>
      <c r="BB220" s="17">
        <v>0</v>
      </c>
      <c r="BC220" s="113">
        <f t="shared" si="23"/>
        <v>0</v>
      </c>
    </row>
    <row r="221" spans="1:55" s="118" customFormat="1" ht="13.5" customHeight="1">
      <c r="A221" s="16" t="s">
        <v>48</v>
      </c>
      <c r="B221" s="16" t="s">
        <v>49</v>
      </c>
      <c r="C221" s="16" t="s">
        <v>50</v>
      </c>
      <c r="D221" s="16" t="s">
        <v>51</v>
      </c>
      <c r="E221" s="16" t="s">
        <v>52</v>
      </c>
      <c r="F221" s="16" t="s">
        <v>53</v>
      </c>
      <c r="G221" s="16" t="s">
        <v>173</v>
      </c>
      <c r="H221" s="22" t="s">
        <v>55</v>
      </c>
      <c r="I221" s="87" t="s">
        <v>212</v>
      </c>
      <c r="J221" s="11">
        <v>1</v>
      </c>
      <c r="K221" s="12" t="s">
        <v>2</v>
      </c>
      <c r="L221" s="13">
        <v>1</v>
      </c>
      <c r="M221" s="14">
        <v>0</v>
      </c>
      <c r="N221" s="14">
        <v>1</v>
      </c>
      <c r="O221" s="9">
        <v>1001</v>
      </c>
      <c r="P221" s="9" t="s">
        <v>188</v>
      </c>
      <c r="Q221" s="14">
        <v>1</v>
      </c>
      <c r="R221" s="9">
        <v>0</v>
      </c>
      <c r="S221" s="9">
        <v>0</v>
      </c>
      <c r="T221" s="8" t="s">
        <v>58</v>
      </c>
      <c r="U221" s="85">
        <v>53</v>
      </c>
      <c r="V221" s="8">
        <v>530803</v>
      </c>
      <c r="W221" s="16" t="s">
        <v>101</v>
      </c>
      <c r="X221" s="18">
        <v>100</v>
      </c>
      <c r="Y221" s="86">
        <f>100+200-44.27</f>
        <v>255.73</v>
      </c>
      <c r="Z221" s="17">
        <v>0</v>
      </c>
      <c r="AA221" s="17">
        <v>0</v>
      </c>
      <c r="AB221" s="17">
        <v>0</v>
      </c>
      <c r="AC221" s="17">
        <v>0</v>
      </c>
      <c r="AD221" s="17">
        <v>20</v>
      </c>
      <c r="AE221" s="17">
        <v>0</v>
      </c>
      <c r="AF221" s="17">
        <v>0</v>
      </c>
      <c r="AG221" s="17">
        <f>39.49+12</f>
        <v>51.49</v>
      </c>
      <c r="AH221" s="17">
        <v>0</v>
      </c>
      <c r="AI221" s="17">
        <v>0</v>
      </c>
      <c r="AJ221" s="83">
        <v>0</v>
      </c>
      <c r="AK221" s="17">
        <v>0</v>
      </c>
      <c r="AL221" s="17">
        <v>0</v>
      </c>
      <c r="AM221" s="17">
        <v>0</v>
      </c>
      <c r="AN221" s="59">
        <v>0</v>
      </c>
      <c r="AO221" s="17">
        <v>0</v>
      </c>
      <c r="AP221" s="17">
        <v>0</v>
      </c>
      <c r="AQ221" s="17">
        <v>0</v>
      </c>
      <c r="AR221" s="17">
        <v>0</v>
      </c>
      <c r="AS221" s="17">
        <v>10</v>
      </c>
      <c r="AT221" s="17">
        <v>0</v>
      </c>
      <c r="AU221" s="17">
        <v>0</v>
      </c>
      <c r="AV221" s="17">
        <v>235.73</v>
      </c>
      <c r="AW221" s="17">
        <v>194.24</v>
      </c>
      <c r="AX221" s="19">
        <f t="shared" si="20"/>
        <v>255.73</v>
      </c>
      <c r="AY221" s="10" t="str">
        <f t="shared" si="24"/>
        <v>OK</v>
      </c>
      <c r="AZ221" s="10">
        <f t="shared" si="19"/>
        <v>255.73000000000002</v>
      </c>
      <c r="BA221" s="10">
        <f t="shared" si="21"/>
        <v>0</v>
      </c>
      <c r="BB221" s="17">
        <f>56.49+243.51-233.51+233.51</f>
        <v>300</v>
      </c>
      <c r="BC221" s="113">
        <f t="shared" si="23"/>
        <v>-44.27000000000001</v>
      </c>
    </row>
    <row r="222" spans="1:55" s="118" customFormat="1" ht="13.5" customHeight="1">
      <c r="A222" s="16" t="s">
        <v>48</v>
      </c>
      <c r="B222" s="16" t="s">
        <v>49</v>
      </c>
      <c r="C222" s="16" t="s">
        <v>50</v>
      </c>
      <c r="D222" s="16" t="s">
        <v>51</v>
      </c>
      <c r="E222" s="16" t="s">
        <v>52</v>
      </c>
      <c r="F222" s="16" t="s">
        <v>53</v>
      </c>
      <c r="G222" s="16" t="s">
        <v>173</v>
      </c>
      <c r="H222" s="22" t="s">
        <v>55</v>
      </c>
      <c r="I222" s="134" t="s">
        <v>104</v>
      </c>
      <c r="J222" s="11">
        <v>2</v>
      </c>
      <c r="K222" s="12" t="s">
        <v>2</v>
      </c>
      <c r="L222" s="13">
        <v>1</v>
      </c>
      <c r="M222" s="14">
        <v>0</v>
      </c>
      <c r="N222" s="14">
        <v>1</v>
      </c>
      <c r="O222" s="9">
        <v>1001</v>
      </c>
      <c r="P222" s="9" t="s">
        <v>188</v>
      </c>
      <c r="Q222" s="14">
        <v>1</v>
      </c>
      <c r="R222" s="9">
        <v>0</v>
      </c>
      <c r="S222" s="9">
        <v>0</v>
      </c>
      <c r="T222" s="8" t="s">
        <v>58</v>
      </c>
      <c r="U222" s="85">
        <v>53</v>
      </c>
      <c r="V222" s="8">
        <v>530804</v>
      </c>
      <c r="W222" s="16" t="s">
        <v>105</v>
      </c>
      <c r="X222" s="18">
        <v>150.07999999999993</v>
      </c>
      <c r="Y222" s="132">
        <f>150.08+100-182.08</f>
        <v>68</v>
      </c>
      <c r="Z222" s="17">
        <v>0</v>
      </c>
      <c r="AA222" s="17">
        <v>0</v>
      </c>
      <c r="AB222" s="17">
        <v>0</v>
      </c>
      <c r="AC222" s="17">
        <v>0</v>
      </c>
      <c r="AD222" s="17">
        <v>0</v>
      </c>
      <c r="AE222" s="17">
        <v>0</v>
      </c>
      <c r="AF222" s="17">
        <v>0</v>
      </c>
      <c r="AG222" s="17">
        <v>0</v>
      </c>
      <c r="AH222" s="17">
        <v>0</v>
      </c>
      <c r="AI222" s="17">
        <v>0</v>
      </c>
      <c r="AJ222" s="83">
        <v>0</v>
      </c>
      <c r="AK222" s="17">
        <v>68</v>
      </c>
      <c r="AL222" s="59">
        <v>68</v>
      </c>
      <c r="AM222" s="17">
        <v>0</v>
      </c>
      <c r="AN222" s="17">
        <v>0</v>
      </c>
      <c r="AO222" s="17">
        <v>0</v>
      </c>
      <c r="AP222" s="17">
        <v>0</v>
      </c>
      <c r="AQ222" s="17">
        <v>0</v>
      </c>
      <c r="AR222" s="17">
        <v>0</v>
      </c>
      <c r="AS222" s="17">
        <v>0</v>
      </c>
      <c r="AT222" s="17">
        <v>0</v>
      </c>
      <c r="AU222" s="17">
        <v>0</v>
      </c>
      <c r="AV222" s="17">
        <v>0</v>
      </c>
      <c r="AW222" s="17">
        <v>0</v>
      </c>
      <c r="AX222" s="19">
        <f t="shared" si="20"/>
        <v>68</v>
      </c>
      <c r="AY222" s="10" t="str">
        <f t="shared" si="24"/>
        <v>OK</v>
      </c>
      <c r="AZ222" s="10">
        <f t="shared" si="19"/>
        <v>68</v>
      </c>
      <c r="BA222" s="10">
        <f t="shared" si="21"/>
        <v>0</v>
      </c>
      <c r="BB222" s="17">
        <v>68</v>
      </c>
      <c r="BC222" s="113">
        <f t="shared" si="23"/>
        <v>0</v>
      </c>
    </row>
    <row r="223" spans="1:55" s="118" customFormat="1" ht="13.5" customHeight="1">
      <c r="A223" s="16" t="s">
        <v>48</v>
      </c>
      <c r="B223" s="16" t="s">
        <v>49</v>
      </c>
      <c r="C223" s="16" t="s">
        <v>50</v>
      </c>
      <c r="D223" s="16" t="s">
        <v>51</v>
      </c>
      <c r="E223" s="16" t="s">
        <v>52</v>
      </c>
      <c r="F223" s="16" t="s">
        <v>53</v>
      </c>
      <c r="G223" s="16" t="s">
        <v>173</v>
      </c>
      <c r="H223" s="22" t="s">
        <v>55</v>
      </c>
      <c r="I223" s="134" t="s">
        <v>213</v>
      </c>
      <c r="J223" s="11">
        <v>2</v>
      </c>
      <c r="K223" s="12" t="s">
        <v>2</v>
      </c>
      <c r="L223" s="13">
        <v>1</v>
      </c>
      <c r="M223" s="14">
        <v>0</v>
      </c>
      <c r="N223" s="14">
        <v>1</v>
      </c>
      <c r="O223" s="9">
        <v>1001</v>
      </c>
      <c r="P223" s="9" t="s">
        <v>188</v>
      </c>
      <c r="Q223" s="14">
        <v>1</v>
      </c>
      <c r="R223" s="9">
        <v>0</v>
      </c>
      <c r="S223" s="9">
        <v>0</v>
      </c>
      <c r="T223" s="8" t="s">
        <v>58</v>
      </c>
      <c r="U223" s="85">
        <v>53</v>
      </c>
      <c r="V223" s="8">
        <v>530804</v>
      </c>
      <c r="W223" s="16" t="s">
        <v>105</v>
      </c>
      <c r="X223" s="18">
        <v>1500.8</v>
      </c>
      <c r="Y223" s="132">
        <f>1500.8-637.23</f>
        <v>863.5699999999999</v>
      </c>
      <c r="Z223" s="17">
        <v>0</v>
      </c>
      <c r="AA223" s="17">
        <v>0</v>
      </c>
      <c r="AB223" s="17">
        <v>0</v>
      </c>
      <c r="AC223" s="17">
        <v>0</v>
      </c>
      <c r="AD223" s="17">
        <v>0</v>
      </c>
      <c r="AE223" s="17">
        <v>0</v>
      </c>
      <c r="AF223" s="17">
        <v>533.17</v>
      </c>
      <c r="AG223" s="17">
        <v>533.17</v>
      </c>
      <c r="AH223" s="17">
        <v>0</v>
      </c>
      <c r="AI223" s="17">
        <v>0</v>
      </c>
      <c r="AJ223" s="107">
        <v>0</v>
      </c>
      <c r="AK223" s="17">
        <v>0</v>
      </c>
      <c r="AL223" s="17">
        <v>0</v>
      </c>
      <c r="AM223" s="17">
        <v>0</v>
      </c>
      <c r="AN223" s="17">
        <v>0</v>
      </c>
      <c r="AO223" s="17">
        <v>0</v>
      </c>
      <c r="AP223" s="17">
        <v>330.4</v>
      </c>
      <c r="AQ223" s="17">
        <v>330.4</v>
      </c>
      <c r="AR223" s="17">
        <v>0</v>
      </c>
      <c r="AS223" s="17">
        <v>0</v>
      </c>
      <c r="AT223" s="17">
        <v>0</v>
      </c>
      <c r="AU223" s="17">
        <v>0</v>
      </c>
      <c r="AV223" s="17">
        <v>0</v>
      </c>
      <c r="AW223" s="17">
        <v>0</v>
      </c>
      <c r="AX223" s="19">
        <f t="shared" si="20"/>
        <v>863.5699999999999</v>
      </c>
      <c r="AY223" s="10" t="str">
        <f t="shared" si="24"/>
        <v>OK</v>
      </c>
      <c r="AZ223" s="10">
        <f t="shared" si="19"/>
        <v>863.5699999999999</v>
      </c>
      <c r="BA223" s="10">
        <f t="shared" si="21"/>
        <v>0</v>
      </c>
      <c r="BB223" s="17">
        <f>759.48+47+330.4-330.4+330.4-273.31</f>
        <v>863.5700000000002</v>
      </c>
      <c r="BC223" s="113">
        <f t="shared" si="23"/>
        <v>0</v>
      </c>
    </row>
    <row r="224" spans="1:55" s="118" customFormat="1" ht="13.5" customHeight="1">
      <c r="A224" s="16" t="s">
        <v>48</v>
      </c>
      <c r="B224" s="16" t="s">
        <v>49</v>
      </c>
      <c r="C224" s="16" t="s">
        <v>50</v>
      </c>
      <c r="D224" s="16" t="s">
        <v>51</v>
      </c>
      <c r="E224" s="16" t="s">
        <v>52</v>
      </c>
      <c r="F224" s="16" t="s">
        <v>53</v>
      </c>
      <c r="G224" s="16" t="s">
        <v>173</v>
      </c>
      <c r="H224" s="22" t="s">
        <v>55</v>
      </c>
      <c r="I224" s="134" t="s">
        <v>214</v>
      </c>
      <c r="J224" s="11">
        <v>2</v>
      </c>
      <c r="K224" s="12" t="s">
        <v>2</v>
      </c>
      <c r="L224" s="13">
        <v>1</v>
      </c>
      <c r="M224" s="14">
        <v>0</v>
      </c>
      <c r="N224" s="14">
        <v>1</v>
      </c>
      <c r="O224" s="9">
        <v>1001</v>
      </c>
      <c r="P224" s="9" t="s">
        <v>188</v>
      </c>
      <c r="Q224" s="14">
        <v>1</v>
      </c>
      <c r="R224" s="9">
        <v>0</v>
      </c>
      <c r="S224" s="9">
        <v>0</v>
      </c>
      <c r="T224" s="8" t="s">
        <v>58</v>
      </c>
      <c r="U224" s="85">
        <v>53</v>
      </c>
      <c r="V224" s="8">
        <v>530805</v>
      </c>
      <c r="W224" s="16" t="s">
        <v>108</v>
      </c>
      <c r="X224" s="18">
        <v>1500.7999999999995</v>
      </c>
      <c r="Y224" s="132">
        <f>1500.8-413.65-780.95</f>
        <v>306.20000000000005</v>
      </c>
      <c r="Z224" s="17">
        <v>0</v>
      </c>
      <c r="AA224" s="17">
        <v>0</v>
      </c>
      <c r="AB224" s="17">
        <v>0</v>
      </c>
      <c r="AC224" s="17">
        <v>0</v>
      </c>
      <c r="AD224" s="17">
        <v>0</v>
      </c>
      <c r="AE224" s="17">
        <v>0</v>
      </c>
      <c r="AF224" s="17">
        <v>306.2</v>
      </c>
      <c r="AG224" s="17">
        <v>175.6</v>
      </c>
      <c r="AH224" s="17">
        <v>0</v>
      </c>
      <c r="AI224" s="17">
        <v>130.6</v>
      </c>
      <c r="AJ224" s="107">
        <v>0</v>
      </c>
      <c r="AK224" s="17">
        <v>0</v>
      </c>
      <c r="AL224" s="17">
        <v>0</v>
      </c>
      <c r="AM224" s="17">
        <v>0</v>
      </c>
      <c r="AN224" s="17">
        <v>0</v>
      </c>
      <c r="AO224" s="17">
        <v>0</v>
      </c>
      <c r="AP224" s="17">
        <v>0</v>
      </c>
      <c r="AQ224" s="17">
        <v>0</v>
      </c>
      <c r="AR224" s="17">
        <v>0</v>
      </c>
      <c r="AS224" s="17">
        <v>0</v>
      </c>
      <c r="AT224" s="17">
        <v>0</v>
      </c>
      <c r="AU224" s="17">
        <v>0</v>
      </c>
      <c r="AV224" s="17">
        <v>0</v>
      </c>
      <c r="AW224" s="17">
        <v>0</v>
      </c>
      <c r="AX224" s="19">
        <f t="shared" si="20"/>
        <v>306.2</v>
      </c>
      <c r="AY224" s="10" t="str">
        <f t="shared" si="24"/>
        <v>OK</v>
      </c>
      <c r="AZ224" s="10">
        <f t="shared" si="19"/>
        <v>306.2</v>
      </c>
      <c r="BA224" s="10">
        <f t="shared" si="21"/>
        <v>0</v>
      </c>
      <c r="BB224" s="17">
        <f>133.71+175.6-3.11</f>
        <v>306.2</v>
      </c>
      <c r="BC224" s="113">
        <f t="shared" si="23"/>
        <v>0</v>
      </c>
    </row>
    <row r="225" spans="1:55" s="118" customFormat="1" ht="13.5" customHeight="1">
      <c r="A225" s="16" t="s">
        <v>48</v>
      </c>
      <c r="B225" s="16" t="s">
        <v>49</v>
      </c>
      <c r="C225" s="16" t="s">
        <v>50</v>
      </c>
      <c r="D225" s="16" t="s">
        <v>51</v>
      </c>
      <c r="E225" s="16" t="s">
        <v>52</v>
      </c>
      <c r="F225" s="16" t="s">
        <v>53</v>
      </c>
      <c r="G225" s="16" t="s">
        <v>173</v>
      </c>
      <c r="H225" s="22" t="s">
        <v>55</v>
      </c>
      <c r="I225" s="134" t="s">
        <v>215</v>
      </c>
      <c r="J225" s="11">
        <v>1</v>
      </c>
      <c r="K225" s="12" t="s">
        <v>2</v>
      </c>
      <c r="L225" s="13">
        <v>1</v>
      </c>
      <c r="M225" s="14">
        <v>0</v>
      </c>
      <c r="N225" s="14">
        <v>1</v>
      </c>
      <c r="O225" s="9">
        <v>1001</v>
      </c>
      <c r="P225" s="9" t="s">
        <v>188</v>
      </c>
      <c r="Q225" s="14">
        <v>1</v>
      </c>
      <c r="R225" s="9">
        <v>0</v>
      </c>
      <c r="S225" s="9">
        <v>0</v>
      </c>
      <c r="T225" s="8" t="s">
        <v>58</v>
      </c>
      <c r="U225" s="85">
        <v>53</v>
      </c>
      <c r="V225" s="8">
        <v>530807</v>
      </c>
      <c r="W225" s="16" t="s">
        <v>110</v>
      </c>
      <c r="X225" s="18">
        <v>6000.959999999999</v>
      </c>
      <c r="Y225" s="132">
        <f>6000.96+900-741.26-509.7</f>
        <v>5650</v>
      </c>
      <c r="Z225" s="17">
        <v>0</v>
      </c>
      <c r="AA225" s="17">
        <v>0</v>
      </c>
      <c r="AB225" s="17">
        <v>0</v>
      </c>
      <c r="AC225" s="17">
        <v>0</v>
      </c>
      <c r="AD225" s="17">
        <v>0</v>
      </c>
      <c r="AE225" s="17">
        <v>0</v>
      </c>
      <c r="AF225" s="17">
        <v>0</v>
      </c>
      <c r="AG225" s="17">
        <v>0</v>
      </c>
      <c r="AH225" s="17">
        <v>0</v>
      </c>
      <c r="AI225" s="17">
        <v>0</v>
      </c>
      <c r="AJ225" s="83">
        <v>0</v>
      </c>
      <c r="AK225" s="17">
        <v>0</v>
      </c>
      <c r="AL225" s="59">
        <v>4848.299999999999</v>
      </c>
      <c r="AM225" s="17">
        <v>5650</v>
      </c>
      <c r="AN225" s="17">
        <v>0</v>
      </c>
      <c r="AO225" s="17">
        <v>0</v>
      </c>
      <c r="AP225" s="17">
        <v>0</v>
      </c>
      <c r="AQ225" s="17">
        <v>0</v>
      </c>
      <c r="AR225" s="17">
        <v>0</v>
      </c>
      <c r="AS225" s="17">
        <v>0</v>
      </c>
      <c r="AT225" s="17">
        <v>0</v>
      </c>
      <c r="AU225" s="17">
        <v>0</v>
      </c>
      <c r="AV225" s="17">
        <v>801.7000000000007</v>
      </c>
      <c r="AW225" s="17">
        <v>0</v>
      </c>
      <c r="AX225" s="19">
        <f t="shared" si="20"/>
        <v>5650</v>
      </c>
      <c r="AY225" s="10" t="str">
        <f t="shared" si="24"/>
        <v>OK</v>
      </c>
      <c r="AZ225" s="10">
        <f t="shared" si="19"/>
        <v>5650</v>
      </c>
      <c r="BA225" s="10">
        <f t="shared" si="21"/>
        <v>0</v>
      </c>
      <c r="BB225" s="17">
        <f>6159.7-509.7</f>
        <v>5650</v>
      </c>
      <c r="BC225" s="113">
        <f t="shared" si="23"/>
        <v>0</v>
      </c>
    </row>
    <row r="226" spans="1:55" s="118" customFormat="1" ht="13.5" customHeight="1">
      <c r="A226" s="16" t="s">
        <v>48</v>
      </c>
      <c r="B226" s="16" t="s">
        <v>49</v>
      </c>
      <c r="C226" s="16" t="s">
        <v>50</v>
      </c>
      <c r="D226" s="16" t="s">
        <v>51</v>
      </c>
      <c r="E226" s="16" t="s">
        <v>52</v>
      </c>
      <c r="F226" s="16" t="s">
        <v>53</v>
      </c>
      <c r="G226" s="16" t="s">
        <v>173</v>
      </c>
      <c r="H226" s="22" t="s">
        <v>55</v>
      </c>
      <c r="I226" s="66" t="s">
        <v>111</v>
      </c>
      <c r="J226" s="11">
        <v>1</v>
      </c>
      <c r="K226" s="12" t="s">
        <v>2</v>
      </c>
      <c r="L226" s="67">
        <v>1</v>
      </c>
      <c r="M226" s="14">
        <v>0</v>
      </c>
      <c r="N226" s="68">
        <v>1</v>
      </c>
      <c r="O226" s="9">
        <v>1001</v>
      </c>
      <c r="P226" s="69" t="s">
        <v>188</v>
      </c>
      <c r="Q226" s="14">
        <v>1</v>
      </c>
      <c r="R226" s="9">
        <v>0</v>
      </c>
      <c r="S226" s="9">
        <v>0</v>
      </c>
      <c r="T226" s="8" t="s">
        <v>58</v>
      </c>
      <c r="U226" s="85">
        <v>53</v>
      </c>
      <c r="V226" s="8">
        <v>530807</v>
      </c>
      <c r="W226" s="16" t="s">
        <v>110</v>
      </c>
      <c r="X226" s="18">
        <v>139.99999999999994</v>
      </c>
      <c r="Y226" s="73">
        <f>140-140</f>
        <v>0</v>
      </c>
      <c r="Z226" s="17">
        <v>0</v>
      </c>
      <c r="AA226" s="17">
        <v>0</v>
      </c>
      <c r="AB226" s="17">
        <v>0</v>
      </c>
      <c r="AC226" s="17">
        <v>0</v>
      </c>
      <c r="AD226" s="17">
        <v>0</v>
      </c>
      <c r="AE226" s="17">
        <v>0</v>
      </c>
      <c r="AF226" s="17">
        <v>0</v>
      </c>
      <c r="AG226" s="17">
        <v>0</v>
      </c>
      <c r="AH226" s="17">
        <v>0</v>
      </c>
      <c r="AI226" s="17">
        <v>0</v>
      </c>
      <c r="AJ226" s="107">
        <v>0</v>
      </c>
      <c r="AK226" s="17">
        <v>0</v>
      </c>
      <c r="AL226" s="17">
        <v>0</v>
      </c>
      <c r="AM226" s="17">
        <v>0</v>
      </c>
      <c r="AN226" s="17">
        <v>0</v>
      </c>
      <c r="AO226" s="17">
        <v>0</v>
      </c>
      <c r="AP226" s="17">
        <v>0</v>
      </c>
      <c r="AQ226" s="17">
        <v>0</v>
      </c>
      <c r="AR226" s="17">
        <v>0</v>
      </c>
      <c r="AS226" s="17">
        <v>0</v>
      </c>
      <c r="AT226" s="17">
        <v>0</v>
      </c>
      <c r="AU226" s="17">
        <v>0</v>
      </c>
      <c r="AV226" s="17">
        <v>0</v>
      </c>
      <c r="AW226" s="17">
        <v>0</v>
      </c>
      <c r="AX226" s="19">
        <f t="shared" si="20"/>
        <v>0</v>
      </c>
      <c r="AY226" s="10" t="str">
        <f t="shared" si="24"/>
        <v>OK</v>
      </c>
      <c r="AZ226" s="10">
        <f t="shared" si="19"/>
        <v>0</v>
      </c>
      <c r="BA226" s="10">
        <f t="shared" si="21"/>
        <v>0</v>
      </c>
      <c r="BB226" s="17">
        <v>0</v>
      </c>
      <c r="BC226" s="113">
        <f t="shared" si="23"/>
        <v>0</v>
      </c>
    </row>
    <row r="227" spans="1:55" s="118" customFormat="1" ht="13.5" customHeight="1">
      <c r="A227" s="16" t="s">
        <v>48</v>
      </c>
      <c r="B227" s="16" t="s">
        <v>49</v>
      </c>
      <c r="C227" s="16" t="s">
        <v>50</v>
      </c>
      <c r="D227" s="16" t="s">
        <v>51</v>
      </c>
      <c r="E227" s="16" t="s">
        <v>52</v>
      </c>
      <c r="F227" s="16" t="s">
        <v>53</v>
      </c>
      <c r="G227" s="16" t="s">
        <v>173</v>
      </c>
      <c r="H227" s="22" t="s">
        <v>55</v>
      </c>
      <c r="I227" s="66" t="s">
        <v>327</v>
      </c>
      <c r="J227" s="11">
        <v>1</v>
      </c>
      <c r="K227" s="12" t="s">
        <v>2</v>
      </c>
      <c r="L227" s="67">
        <v>1</v>
      </c>
      <c r="M227" s="14">
        <v>0</v>
      </c>
      <c r="N227" s="68">
        <v>1</v>
      </c>
      <c r="O227" s="9">
        <v>1001</v>
      </c>
      <c r="P227" s="69" t="s">
        <v>188</v>
      </c>
      <c r="Q227" s="14">
        <v>1</v>
      </c>
      <c r="R227" s="9">
        <v>0</v>
      </c>
      <c r="S227" s="9">
        <v>0</v>
      </c>
      <c r="T227" s="8" t="s">
        <v>58</v>
      </c>
      <c r="U227" s="85">
        <v>53</v>
      </c>
      <c r="V227" s="8">
        <v>530807</v>
      </c>
      <c r="W227" s="16" t="s">
        <v>110</v>
      </c>
      <c r="X227" s="18">
        <v>650.72</v>
      </c>
      <c r="Y227" s="70">
        <f>650.72-650.72</f>
        <v>0</v>
      </c>
      <c r="Z227" s="17">
        <v>0</v>
      </c>
      <c r="AA227" s="17">
        <v>0</v>
      </c>
      <c r="AB227" s="17">
        <v>0</v>
      </c>
      <c r="AC227" s="17">
        <v>0</v>
      </c>
      <c r="AD227" s="17">
        <v>0</v>
      </c>
      <c r="AE227" s="17">
        <v>0</v>
      </c>
      <c r="AF227" s="17">
        <v>0</v>
      </c>
      <c r="AG227" s="17">
        <v>0</v>
      </c>
      <c r="AH227" s="17">
        <v>0</v>
      </c>
      <c r="AI227" s="17">
        <v>0</v>
      </c>
      <c r="AJ227" s="107">
        <v>0</v>
      </c>
      <c r="AK227" s="17">
        <v>0</v>
      </c>
      <c r="AL227" s="17">
        <v>0</v>
      </c>
      <c r="AM227" s="17">
        <v>0</v>
      </c>
      <c r="AN227" s="17">
        <v>0</v>
      </c>
      <c r="AO227" s="17">
        <v>0</v>
      </c>
      <c r="AP227" s="17">
        <v>0</v>
      </c>
      <c r="AQ227" s="17">
        <v>0</v>
      </c>
      <c r="AR227" s="17">
        <v>0</v>
      </c>
      <c r="AS227" s="17">
        <v>0</v>
      </c>
      <c r="AT227" s="17">
        <v>0</v>
      </c>
      <c r="AU227" s="17">
        <v>0</v>
      </c>
      <c r="AV227" s="17">
        <v>0</v>
      </c>
      <c r="AW227" s="17">
        <v>0</v>
      </c>
      <c r="AX227" s="19">
        <f t="shared" si="20"/>
        <v>0</v>
      </c>
      <c r="AY227" s="10" t="str">
        <f t="shared" si="24"/>
        <v>OK</v>
      </c>
      <c r="AZ227" s="10">
        <f t="shared" si="19"/>
        <v>0</v>
      </c>
      <c r="BA227" s="10">
        <f t="shared" si="21"/>
        <v>0</v>
      </c>
      <c r="BB227" s="17">
        <v>0</v>
      </c>
      <c r="BC227" s="113">
        <f t="shared" si="23"/>
        <v>0</v>
      </c>
    </row>
    <row r="228" spans="1:55" s="118" customFormat="1" ht="13.5" customHeight="1">
      <c r="A228" s="16" t="s">
        <v>48</v>
      </c>
      <c r="B228" s="16" t="s">
        <v>49</v>
      </c>
      <c r="C228" s="16" t="s">
        <v>50</v>
      </c>
      <c r="D228" s="16" t="s">
        <v>51</v>
      </c>
      <c r="E228" s="16" t="s">
        <v>52</v>
      </c>
      <c r="F228" s="16" t="s">
        <v>53</v>
      </c>
      <c r="G228" s="16" t="s">
        <v>173</v>
      </c>
      <c r="H228" s="22" t="s">
        <v>55</v>
      </c>
      <c r="I228" s="23" t="s">
        <v>167</v>
      </c>
      <c r="J228" s="11">
        <v>1</v>
      </c>
      <c r="K228" s="12" t="s">
        <v>2</v>
      </c>
      <c r="L228" s="13">
        <v>1</v>
      </c>
      <c r="M228" s="14">
        <v>0</v>
      </c>
      <c r="N228" s="14">
        <v>1</v>
      </c>
      <c r="O228" s="9">
        <v>1001</v>
      </c>
      <c r="P228" s="9" t="s">
        <v>188</v>
      </c>
      <c r="Q228" s="14">
        <v>1</v>
      </c>
      <c r="R228" s="9">
        <v>0</v>
      </c>
      <c r="S228" s="9">
        <v>0</v>
      </c>
      <c r="T228" s="8" t="s">
        <v>58</v>
      </c>
      <c r="U228" s="85">
        <v>53</v>
      </c>
      <c r="V228" s="8">
        <v>530811</v>
      </c>
      <c r="W228" s="16" t="s">
        <v>254</v>
      </c>
      <c r="X228" s="18">
        <v>2500.96</v>
      </c>
      <c r="Y228" s="65">
        <f>2500.96-2500.96</f>
        <v>0</v>
      </c>
      <c r="Z228" s="17">
        <v>0</v>
      </c>
      <c r="AA228" s="17">
        <v>0</v>
      </c>
      <c r="AB228" s="17">
        <v>0</v>
      </c>
      <c r="AC228" s="17">
        <v>0</v>
      </c>
      <c r="AD228" s="17">
        <v>0</v>
      </c>
      <c r="AE228" s="17">
        <v>0</v>
      </c>
      <c r="AF228" s="17">
        <v>0</v>
      </c>
      <c r="AG228" s="17">
        <v>0</v>
      </c>
      <c r="AH228" s="17">
        <v>0</v>
      </c>
      <c r="AI228" s="17">
        <v>0</v>
      </c>
      <c r="AJ228" s="107">
        <v>0</v>
      </c>
      <c r="AK228" s="17">
        <v>0</v>
      </c>
      <c r="AL228" s="17">
        <v>0</v>
      </c>
      <c r="AM228" s="17">
        <v>0</v>
      </c>
      <c r="AN228" s="17">
        <v>0</v>
      </c>
      <c r="AO228" s="17">
        <v>0</v>
      </c>
      <c r="AP228" s="17">
        <v>0</v>
      </c>
      <c r="AQ228" s="17">
        <v>0</v>
      </c>
      <c r="AR228" s="17">
        <v>0</v>
      </c>
      <c r="AS228" s="17">
        <v>0</v>
      </c>
      <c r="AT228" s="17">
        <v>0</v>
      </c>
      <c r="AU228" s="17">
        <v>0</v>
      </c>
      <c r="AV228" s="17">
        <v>0</v>
      </c>
      <c r="AW228" s="17">
        <v>0</v>
      </c>
      <c r="AX228" s="19">
        <f t="shared" si="20"/>
        <v>0</v>
      </c>
      <c r="AY228" s="10" t="str">
        <f t="shared" si="24"/>
        <v>OK</v>
      </c>
      <c r="AZ228" s="10">
        <f t="shared" si="19"/>
        <v>0</v>
      </c>
      <c r="BA228" s="10">
        <f t="shared" si="21"/>
        <v>0</v>
      </c>
      <c r="BB228" s="17">
        <v>0</v>
      </c>
      <c r="BC228" s="113">
        <f t="shared" si="23"/>
        <v>0</v>
      </c>
    </row>
    <row r="229" spans="1:55" s="118" customFormat="1" ht="13.5" customHeight="1">
      <c r="A229" s="16" t="s">
        <v>48</v>
      </c>
      <c r="B229" s="16" t="s">
        <v>49</v>
      </c>
      <c r="C229" s="16" t="s">
        <v>50</v>
      </c>
      <c r="D229" s="16" t="s">
        <v>51</v>
      </c>
      <c r="E229" s="16" t="s">
        <v>52</v>
      </c>
      <c r="F229" s="16" t="s">
        <v>53</v>
      </c>
      <c r="G229" s="16" t="s">
        <v>173</v>
      </c>
      <c r="H229" s="22" t="s">
        <v>55</v>
      </c>
      <c r="I229" s="23" t="s">
        <v>72</v>
      </c>
      <c r="J229" s="11">
        <v>1</v>
      </c>
      <c r="K229" s="12" t="s">
        <v>2</v>
      </c>
      <c r="L229" s="13">
        <v>1</v>
      </c>
      <c r="M229" s="14">
        <v>0</v>
      </c>
      <c r="N229" s="14">
        <v>1</v>
      </c>
      <c r="O229" s="9">
        <v>1001</v>
      </c>
      <c r="P229" s="9" t="s">
        <v>188</v>
      </c>
      <c r="Q229" s="14">
        <v>1</v>
      </c>
      <c r="R229" s="9">
        <v>0</v>
      </c>
      <c r="S229" s="9">
        <v>0</v>
      </c>
      <c r="T229" s="8" t="s">
        <v>58</v>
      </c>
      <c r="U229" s="85">
        <v>53</v>
      </c>
      <c r="V229" s="8">
        <v>530811</v>
      </c>
      <c r="W229" s="16" t="s">
        <v>254</v>
      </c>
      <c r="X229" s="18">
        <v>800</v>
      </c>
      <c r="Y229" s="71">
        <f>800-70-175.9</f>
        <v>554.1</v>
      </c>
      <c r="Z229" s="17">
        <v>0</v>
      </c>
      <c r="AA229" s="17">
        <v>0</v>
      </c>
      <c r="AB229" s="17">
        <v>0</v>
      </c>
      <c r="AC229" s="17">
        <v>0</v>
      </c>
      <c r="AD229" s="17">
        <v>0</v>
      </c>
      <c r="AE229" s="17">
        <v>186.44</v>
      </c>
      <c r="AF229" s="17">
        <v>0</v>
      </c>
      <c r="AG229" s="17">
        <v>0</v>
      </c>
      <c r="AH229" s="80">
        <v>0</v>
      </c>
      <c r="AI229" s="17">
        <v>0</v>
      </c>
      <c r="AJ229" s="108">
        <v>300</v>
      </c>
      <c r="AK229" s="17">
        <v>173.6</v>
      </c>
      <c r="AL229" s="17">
        <v>0</v>
      </c>
      <c r="AM229" s="17">
        <v>0</v>
      </c>
      <c r="AN229" s="17">
        <v>100</v>
      </c>
      <c r="AO229" s="17">
        <v>0</v>
      </c>
      <c r="AP229" s="17">
        <v>0</v>
      </c>
      <c r="AQ229" s="17">
        <v>0</v>
      </c>
      <c r="AR229" s="17">
        <v>0</v>
      </c>
      <c r="AS229" s="17">
        <v>0</v>
      </c>
      <c r="AT229" s="17">
        <v>0</v>
      </c>
      <c r="AU229" s="17">
        <v>0</v>
      </c>
      <c r="AV229" s="17">
        <v>154.10000000000002</v>
      </c>
      <c r="AW229" s="17">
        <v>194.06</v>
      </c>
      <c r="AX229" s="19">
        <f t="shared" si="20"/>
        <v>554.1</v>
      </c>
      <c r="AY229" s="10" t="str">
        <f t="shared" si="24"/>
        <v>OK</v>
      </c>
      <c r="AZ229" s="10">
        <f t="shared" si="19"/>
        <v>554.0999999999999</v>
      </c>
      <c r="BA229" s="10">
        <f t="shared" si="21"/>
        <v>0</v>
      </c>
      <c r="BB229" s="17">
        <v>360.04</v>
      </c>
      <c r="BC229" s="113">
        <f t="shared" si="23"/>
        <v>194.06</v>
      </c>
    </row>
    <row r="230" spans="1:55" s="118" customFormat="1" ht="13.5" customHeight="1">
      <c r="A230" s="16" t="s">
        <v>48</v>
      </c>
      <c r="B230" s="16" t="s">
        <v>49</v>
      </c>
      <c r="C230" s="16" t="s">
        <v>50</v>
      </c>
      <c r="D230" s="16" t="s">
        <v>51</v>
      </c>
      <c r="E230" s="16" t="s">
        <v>52</v>
      </c>
      <c r="F230" s="16" t="s">
        <v>53</v>
      </c>
      <c r="G230" s="16" t="s">
        <v>173</v>
      </c>
      <c r="H230" s="22" t="s">
        <v>55</v>
      </c>
      <c r="I230" s="134" t="s">
        <v>216</v>
      </c>
      <c r="J230" s="11">
        <v>1</v>
      </c>
      <c r="K230" s="12" t="s">
        <v>2</v>
      </c>
      <c r="L230" s="13">
        <v>1</v>
      </c>
      <c r="M230" s="14">
        <v>0</v>
      </c>
      <c r="N230" s="14">
        <v>1</v>
      </c>
      <c r="O230" s="9">
        <v>1001</v>
      </c>
      <c r="P230" s="9" t="s">
        <v>188</v>
      </c>
      <c r="Q230" s="14">
        <v>1</v>
      </c>
      <c r="R230" s="9">
        <v>0</v>
      </c>
      <c r="S230" s="9">
        <v>0</v>
      </c>
      <c r="T230" s="8" t="s">
        <v>58</v>
      </c>
      <c r="U230" s="85">
        <v>53</v>
      </c>
      <c r="V230" s="8">
        <v>530813</v>
      </c>
      <c r="W230" s="16" t="s">
        <v>119</v>
      </c>
      <c r="X230" s="18">
        <v>3507.84</v>
      </c>
      <c r="Y230" s="132">
        <f>3507.84-615-2091.84-111</f>
        <v>690</v>
      </c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690</v>
      </c>
      <c r="AG230" s="17">
        <v>10</v>
      </c>
      <c r="AH230" s="82">
        <v>0</v>
      </c>
      <c r="AI230" s="17">
        <f>202+104</f>
        <v>306</v>
      </c>
      <c r="AJ230" s="108">
        <v>0</v>
      </c>
      <c r="AK230" s="17">
        <v>86</v>
      </c>
      <c r="AL230" s="17">
        <v>0</v>
      </c>
      <c r="AM230" s="17">
        <v>0</v>
      </c>
      <c r="AN230" s="17">
        <v>0</v>
      </c>
      <c r="AO230" s="17">
        <v>48</v>
      </c>
      <c r="AP230" s="17">
        <v>0</v>
      </c>
      <c r="AQ230" s="17">
        <v>24</v>
      </c>
      <c r="AR230" s="17">
        <v>0</v>
      </c>
      <c r="AS230" s="17">
        <v>162</v>
      </c>
      <c r="AT230" s="17">
        <v>0</v>
      </c>
      <c r="AU230" s="17">
        <v>14</v>
      </c>
      <c r="AV230" s="17">
        <v>0</v>
      </c>
      <c r="AW230" s="17">
        <v>36</v>
      </c>
      <c r="AX230" s="19">
        <f t="shared" si="20"/>
        <v>690</v>
      </c>
      <c r="AY230" s="10" t="str">
        <f t="shared" si="24"/>
        <v>OK</v>
      </c>
      <c r="AZ230" s="10">
        <f t="shared" si="19"/>
        <v>686</v>
      </c>
      <c r="BA230" s="10">
        <f t="shared" si="21"/>
        <v>4</v>
      </c>
      <c r="BB230" s="17">
        <f>801-111</f>
        <v>690</v>
      </c>
      <c r="BC230" s="113">
        <f t="shared" si="23"/>
        <v>0</v>
      </c>
    </row>
    <row r="231" spans="1:55" s="118" customFormat="1" ht="13.5" customHeight="1">
      <c r="A231" s="16" t="s">
        <v>48</v>
      </c>
      <c r="B231" s="16" t="s">
        <v>49</v>
      </c>
      <c r="C231" s="16" t="s">
        <v>50</v>
      </c>
      <c r="D231" s="16" t="s">
        <v>51</v>
      </c>
      <c r="E231" s="16" t="s">
        <v>52</v>
      </c>
      <c r="F231" s="16" t="s">
        <v>53</v>
      </c>
      <c r="G231" s="16" t="s">
        <v>173</v>
      </c>
      <c r="H231" s="22" t="s">
        <v>55</v>
      </c>
      <c r="I231" s="139" t="s">
        <v>217</v>
      </c>
      <c r="J231" s="11">
        <v>1</v>
      </c>
      <c r="K231" s="12" t="s">
        <v>2</v>
      </c>
      <c r="L231" s="13">
        <v>1</v>
      </c>
      <c r="M231" s="14">
        <v>0</v>
      </c>
      <c r="N231" s="14">
        <v>1</v>
      </c>
      <c r="O231" s="9">
        <v>1001</v>
      </c>
      <c r="P231" s="9" t="s">
        <v>188</v>
      </c>
      <c r="Q231" s="14">
        <v>1</v>
      </c>
      <c r="R231" s="9">
        <v>0</v>
      </c>
      <c r="S231" s="9">
        <v>0</v>
      </c>
      <c r="T231" s="8" t="s">
        <v>58</v>
      </c>
      <c r="U231" s="85">
        <v>53</v>
      </c>
      <c r="V231" s="8">
        <v>530813</v>
      </c>
      <c r="W231" s="16" t="s">
        <v>119</v>
      </c>
      <c r="X231" s="18">
        <v>1000.1599999999997</v>
      </c>
      <c r="Y231" s="55">
        <f>1000.16-185.34-2.02</f>
        <v>812.8</v>
      </c>
      <c r="Z231" s="17">
        <v>0</v>
      </c>
      <c r="AA231" s="17">
        <v>0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812.8</v>
      </c>
      <c r="AI231" s="17">
        <v>812.8</v>
      </c>
      <c r="AJ231" s="107">
        <v>0</v>
      </c>
      <c r="AK231" s="17">
        <v>0</v>
      </c>
      <c r="AL231" s="17">
        <v>0</v>
      </c>
      <c r="AM231" s="17">
        <v>0</v>
      </c>
      <c r="AN231" s="17">
        <v>0</v>
      </c>
      <c r="AO231" s="17">
        <v>0</v>
      </c>
      <c r="AP231" s="17">
        <v>0</v>
      </c>
      <c r="AQ231" s="17">
        <v>0</v>
      </c>
      <c r="AR231" s="17">
        <v>0</v>
      </c>
      <c r="AS231" s="17">
        <v>0</v>
      </c>
      <c r="AT231" s="17">
        <v>0</v>
      </c>
      <c r="AU231" s="17">
        <v>0</v>
      </c>
      <c r="AV231" s="17">
        <v>0</v>
      </c>
      <c r="AW231" s="17">
        <v>0</v>
      </c>
      <c r="AX231" s="19">
        <f t="shared" si="20"/>
        <v>812.8</v>
      </c>
      <c r="AY231" s="10" t="str">
        <f t="shared" si="24"/>
        <v>OK</v>
      </c>
      <c r="AZ231" s="10">
        <f t="shared" si="19"/>
        <v>812.8</v>
      </c>
      <c r="BA231" s="10">
        <f t="shared" si="21"/>
        <v>0</v>
      </c>
      <c r="BB231" s="17">
        <f>814.82-2.02</f>
        <v>812.8000000000001</v>
      </c>
      <c r="BC231" s="113">
        <f t="shared" si="23"/>
        <v>0</v>
      </c>
    </row>
    <row r="232" spans="1:55" s="118" customFormat="1" ht="13.5" customHeight="1">
      <c r="A232" s="16" t="s">
        <v>48</v>
      </c>
      <c r="B232" s="16" t="s">
        <v>49</v>
      </c>
      <c r="C232" s="16" t="s">
        <v>50</v>
      </c>
      <c r="D232" s="16" t="s">
        <v>51</v>
      </c>
      <c r="E232" s="16" t="s">
        <v>52</v>
      </c>
      <c r="F232" s="16" t="s">
        <v>53</v>
      </c>
      <c r="G232" s="16" t="s">
        <v>173</v>
      </c>
      <c r="H232" s="22" t="s">
        <v>55</v>
      </c>
      <c r="I232" s="23" t="s">
        <v>218</v>
      </c>
      <c r="J232" s="11">
        <v>2</v>
      </c>
      <c r="K232" s="12" t="s">
        <v>2</v>
      </c>
      <c r="L232" s="13">
        <v>1</v>
      </c>
      <c r="M232" s="14">
        <v>0</v>
      </c>
      <c r="N232" s="14">
        <v>1</v>
      </c>
      <c r="O232" s="9">
        <v>1001</v>
      </c>
      <c r="P232" s="9" t="s">
        <v>188</v>
      </c>
      <c r="Q232" s="14">
        <v>1</v>
      </c>
      <c r="R232" s="9">
        <v>0</v>
      </c>
      <c r="S232" s="9">
        <v>0</v>
      </c>
      <c r="T232" s="8" t="s">
        <v>58</v>
      </c>
      <c r="U232" s="85">
        <v>53</v>
      </c>
      <c r="V232" s="8">
        <v>530813</v>
      </c>
      <c r="W232" s="16" t="s">
        <v>119</v>
      </c>
      <c r="X232" s="18">
        <v>2002.5599999999995</v>
      </c>
      <c r="Y232" s="18">
        <f>2002.56+230</f>
        <v>2232.56</v>
      </c>
      <c r="Z232" s="17">
        <v>0</v>
      </c>
      <c r="AA232" s="17">
        <v>0</v>
      </c>
      <c r="AB232" s="17">
        <v>0</v>
      </c>
      <c r="AC232" s="17">
        <v>0</v>
      </c>
      <c r="AD232" s="17">
        <v>0</v>
      </c>
      <c r="AE232" s="17">
        <v>0</v>
      </c>
      <c r="AF232" s="17">
        <v>595.9999999999995</v>
      </c>
      <c r="AG232" s="17">
        <v>213</v>
      </c>
      <c r="AH232" s="17">
        <v>0</v>
      </c>
      <c r="AI232" s="17">
        <v>0</v>
      </c>
      <c r="AJ232" s="83">
        <v>0</v>
      </c>
      <c r="AK232" s="17">
        <v>0</v>
      </c>
      <c r="AL232" s="17">
        <v>0</v>
      </c>
      <c r="AM232" s="17">
        <v>0</v>
      </c>
      <c r="AN232" s="17">
        <v>0</v>
      </c>
      <c r="AO232" s="17">
        <v>0</v>
      </c>
      <c r="AP232" s="59">
        <v>0</v>
      </c>
      <c r="AQ232" s="17">
        <v>0</v>
      </c>
      <c r="AR232" s="17">
        <v>0</v>
      </c>
      <c r="AS232" s="17">
        <v>0</v>
      </c>
      <c r="AT232" s="17">
        <v>0</v>
      </c>
      <c r="AU232" s="17">
        <v>0</v>
      </c>
      <c r="AV232" s="17">
        <v>1636.5600000000004</v>
      </c>
      <c r="AW232" s="17">
        <v>540</v>
      </c>
      <c r="AX232" s="19">
        <f t="shared" si="20"/>
        <v>2232.56</v>
      </c>
      <c r="AY232" s="10" t="str">
        <f t="shared" si="24"/>
        <v>OK</v>
      </c>
      <c r="AZ232" s="10">
        <f t="shared" si="19"/>
        <v>753</v>
      </c>
      <c r="BA232" s="10">
        <f t="shared" si="21"/>
        <v>1479.56</v>
      </c>
      <c r="BB232" s="17">
        <f>213+540</f>
        <v>753</v>
      </c>
      <c r="BC232" s="113">
        <f t="shared" si="23"/>
        <v>1479.56</v>
      </c>
    </row>
    <row r="233" spans="1:55" s="118" customFormat="1" ht="13.5" customHeight="1">
      <c r="A233" s="16" t="s">
        <v>48</v>
      </c>
      <c r="B233" s="16" t="s">
        <v>49</v>
      </c>
      <c r="C233" s="16" t="s">
        <v>50</v>
      </c>
      <c r="D233" s="16" t="s">
        <v>51</v>
      </c>
      <c r="E233" s="16" t="s">
        <v>52</v>
      </c>
      <c r="F233" s="16" t="s">
        <v>53</v>
      </c>
      <c r="G233" s="16" t="s">
        <v>173</v>
      </c>
      <c r="H233" s="22" t="s">
        <v>55</v>
      </c>
      <c r="I233" s="87" t="s">
        <v>219</v>
      </c>
      <c r="J233" s="11">
        <v>1</v>
      </c>
      <c r="K233" s="12" t="s">
        <v>2</v>
      </c>
      <c r="L233" s="13">
        <v>1</v>
      </c>
      <c r="M233" s="14">
        <v>0</v>
      </c>
      <c r="N233" s="14">
        <v>1</v>
      </c>
      <c r="O233" s="9">
        <v>1001</v>
      </c>
      <c r="P233" s="9" t="s">
        <v>188</v>
      </c>
      <c r="Q233" s="14">
        <v>1</v>
      </c>
      <c r="R233" s="9">
        <v>0</v>
      </c>
      <c r="S233" s="9">
        <v>0</v>
      </c>
      <c r="T233" s="8" t="s">
        <v>58</v>
      </c>
      <c r="U233" s="85">
        <v>53</v>
      </c>
      <c r="V233" s="8">
        <v>530813</v>
      </c>
      <c r="W233" s="16" t="s">
        <v>119</v>
      </c>
      <c r="X233" s="18">
        <v>50000.16</v>
      </c>
      <c r="Y233" s="86">
        <f>50000.16+30006.4-10039.6-12494.1</f>
        <v>57472.85999999999</v>
      </c>
      <c r="Z233" s="17">
        <v>0</v>
      </c>
      <c r="AA233" s="17">
        <v>0</v>
      </c>
      <c r="AB233" s="17">
        <v>0</v>
      </c>
      <c r="AC233" s="17">
        <v>0</v>
      </c>
      <c r="AD233" s="17">
        <v>0</v>
      </c>
      <c r="AE233" s="17">
        <v>0</v>
      </c>
      <c r="AF233" s="17">
        <v>0</v>
      </c>
      <c r="AG233" s="17">
        <v>0</v>
      </c>
      <c r="AH233" s="17">
        <v>0</v>
      </c>
      <c r="AI233" s="17">
        <v>0</v>
      </c>
      <c r="AJ233" s="83">
        <v>0</v>
      </c>
      <c r="AK233" s="17">
        <v>0</v>
      </c>
      <c r="AL233" s="17">
        <v>0</v>
      </c>
      <c r="AM233" s="17">
        <v>0</v>
      </c>
      <c r="AN233" s="17">
        <v>0</v>
      </c>
      <c r="AO233" s="17">
        <v>0</v>
      </c>
      <c r="AP233" s="59">
        <v>0</v>
      </c>
      <c r="AQ233" s="17">
        <v>31662.86</v>
      </c>
      <c r="AR233" s="59">
        <v>57472.85999999999</v>
      </c>
      <c r="AS233" s="17">
        <v>25810</v>
      </c>
      <c r="AT233" s="17">
        <v>0</v>
      </c>
      <c r="AU233" s="17">
        <v>0</v>
      </c>
      <c r="AV233" s="17">
        <v>0</v>
      </c>
      <c r="AW233" s="17">
        <v>0</v>
      </c>
      <c r="AX233" s="19">
        <f t="shared" si="20"/>
        <v>57472.85999999999</v>
      </c>
      <c r="AY233" s="10" t="str">
        <f>IF(AX233=Y233,"OK",Y233-AX233)</f>
        <v>OK</v>
      </c>
      <c r="AZ233" s="10">
        <f t="shared" si="19"/>
        <v>57472.86</v>
      </c>
      <c r="BA233" s="10">
        <f t="shared" si="21"/>
        <v>-7.275957614183426E-12</v>
      </c>
      <c r="BB233" s="17">
        <v>57472.86</v>
      </c>
      <c r="BC233" s="113">
        <f t="shared" si="23"/>
        <v>0</v>
      </c>
    </row>
    <row r="234" spans="1:55" s="118" customFormat="1" ht="13.5" customHeight="1">
      <c r="A234" s="16" t="s">
        <v>48</v>
      </c>
      <c r="B234" s="16" t="s">
        <v>49</v>
      </c>
      <c r="C234" s="16" t="s">
        <v>50</v>
      </c>
      <c r="D234" s="16" t="s">
        <v>51</v>
      </c>
      <c r="E234" s="16" t="s">
        <v>52</v>
      </c>
      <c r="F234" s="16" t="s">
        <v>53</v>
      </c>
      <c r="G234" s="16" t="s">
        <v>173</v>
      </c>
      <c r="H234" s="22" t="s">
        <v>55</v>
      </c>
      <c r="I234" s="23" t="s">
        <v>113</v>
      </c>
      <c r="J234" s="11">
        <v>1</v>
      </c>
      <c r="K234" s="12" t="s">
        <v>2</v>
      </c>
      <c r="L234" s="13">
        <v>1</v>
      </c>
      <c r="M234" s="14">
        <v>0</v>
      </c>
      <c r="N234" s="14">
        <v>1</v>
      </c>
      <c r="O234" s="9">
        <v>1001</v>
      </c>
      <c r="P234" s="9" t="s">
        <v>188</v>
      </c>
      <c r="Q234" s="14">
        <v>1</v>
      </c>
      <c r="R234" s="9">
        <v>0</v>
      </c>
      <c r="S234" s="9">
        <v>0</v>
      </c>
      <c r="T234" s="8" t="s">
        <v>58</v>
      </c>
      <c r="U234" s="85">
        <v>53</v>
      </c>
      <c r="V234" s="8">
        <v>530813</v>
      </c>
      <c r="W234" s="16" t="s">
        <v>119</v>
      </c>
      <c r="X234" s="18">
        <v>112</v>
      </c>
      <c r="Y234" s="18">
        <v>112</v>
      </c>
      <c r="Z234" s="17">
        <v>0</v>
      </c>
      <c r="AA234" s="17">
        <v>0</v>
      </c>
      <c r="AB234" s="17">
        <v>0</v>
      </c>
      <c r="AC234" s="17">
        <v>0</v>
      </c>
      <c r="AD234" s="17">
        <v>0</v>
      </c>
      <c r="AE234" s="17">
        <v>9</v>
      </c>
      <c r="AF234" s="76">
        <v>52</v>
      </c>
      <c r="AG234" s="17">
        <v>0</v>
      </c>
      <c r="AH234" s="17">
        <v>0</v>
      </c>
      <c r="AI234" s="17">
        <v>0</v>
      </c>
      <c r="AJ234" s="107">
        <v>20</v>
      </c>
      <c r="AK234" s="17">
        <v>10</v>
      </c>
      <c r="AL234" s="17">
        <v>0</v>
      </c>
      <c r="AM234" s="17">
        <v>0</v>
      </c>
      <c r="AN234" s="17">
        <v>0</v>
      </c>
      <c r="AO234" s="17">
        <v>0</v>
      </c>
      <c r="AP234" s="17">
        <v>0</v>
      </c>
      <c r="AQ234" s="17">
        <v>0</v>
      </c>
      <c r="AR234" s="17">
        <v>0</v>
      </c>
      <c r="AS234" s="17">
        <v>0</v>
      </c>
      <c r="AT234" s="17">
        <v>0</v>
      </c>
      <c r="AU234" s="17">
        <v>0</v>
      </c>
      <c r="AV234" s="17">
        <v>40</v>
      </c>
      <c r="AW234" s="17">
        <v>0</v>
      </c>
      <c r="AX234" s="19">
        <f t="shared" si="20"/>
        <v>112</v>
      </c>
      <c r="AY234" s="10" t="str">
        <f aca="true" t="shared" si="25" ref="AY234:AY246">IF(AX234=Y234,"OK",Y234-AX234)</f>
        <v>OK</v>
      </c>
      <c r="AZ234" s="10">
        <f t="shared" si="19"/>
        <v>19</v>
      </c>
      <c r="BA234" s="10">
        <f t="shared" si="21"/>
        <v>93</v>
      </c>
      <c r="BB234" s="17">
        <v>19</v>
      </c>
      <c r="BC234" s="113">
        <f t="shared" si="23"/>
        <v>93</v>
      </c>
    </row>
    <row r="235" spans="1:55" s="118" customFormat="1" ht="13.5" customHeight="1">
      <c r="A235" s="16" t="s">
        <v>48</v>
      </c>
      <c r="B235" s="16" t="s">
        <v>49</v>
      </c>
      <c r="C235" s="16" t="s">
        <v>50</v>
      </c>
      <c r="D235" s="16" t="s">
        <v>51</v>
      </c>
      <c r="E235" s="16" t="s">
        <v>52</v>
      </c>
      <c r="F235" s="16" t="s">
        <v>53</v>
      </c>
      <c r="G235" s="16" t="s">
        <v>173</v>
      </c>
      <c r="H235" s="22" t="s">
        <v>55</v>
      </c>
      <c r="I235" s="134" t="s">
        <v>220</v>
      </c>
      <c r="J235" s="11">
        <v>2</v>
      </c>
      <c r="K235" s="12" t="s">
        <v>2</v>
      </c>
      <c r="L235" s="13">
        <v>1</v>
      </c>
      <c r="M235" s="14">
        <v>0</v>
      </c>
      <c r="N235" s="14">
        <v>1</v>
      </c>
      <c r="O235" s="9">
        <v>1001</v>
      </c>
      <c r="P235" s="9" t="s">
        <v>188</v>
      </c>
      <c r="Q235" s="14">
        <v>1</v>
      </c>
      <c r="R235" s="9">
        <v>0</v>
      </c>
      <c r="S235" s="9">
        <v>0</v>
      </c>
      <c r="T235" s="8" t="s">
        <v>58</v>
      </c>
      <c r="U235" s="85">
        <v>53</v>
      </c>
      <c r="V235" s="8">
        <v>530820</v>
      </c>
      <c r="W235" s="16" t="s">
        <v>124</v>
      </c>
      <c r="X235" s="18">
        <v>800.7999999999997</v>
      </c>
      <c r="Y235" s="132">
        <f>800.8-694.82</f>
        <v>105.9799999999999</v>
      </c>
      <c r="Z235" s="17">
        <v>0</v>
      </c>
      <c r="AA235" s="17">
        <v>0</v>
      </c>
      <c r="AB235" s="17">
        <v>0</v>
      </c>
      <c r="AC235" s="17">
        <v>0</v>
      </c>
      <c r="AD235" s="17">
        <v>0</v>
      </c>
      <c r="AE235" s="17">
        <v>0</v>
      </c>
      <c r="AF235" s="17">
        <v>0</v>
      </c>
      <c r="AG235" s="17">
        <v>0</v>
      </c>
      <c r="AH235" s="17">
        <v>0</v>
      </c>
      <c r="AI235" s="17">
        <v>0</v>
      </c>
      <c r="AJ235" s="107">
        <v>0</v>
      </c>
      <c r="AK235" s="17">
        <v>0</v>
      </c>
      <c r="AL235" s="17">
        <v>105.98</v>
      </c>
      <c r="AM235" s="17">
        <v>0</v>
      </c>
      <c r="AN235" s="17">
        <v>0</v>
      </c>
      <c r="AO235" s="17">
        <v>0</v>
      </c>
      <c r="AP235" s="17">
        <v>0</v>
      </c>
      <c r="AQ235" s="17">
        <v>60.56</v>
      </c>
      <c r="AR235" s="17">
        <v>0</v>
      </c>
      <c r="AS235" s="17">
        <v>25</v>
      </c>
      <c r="AT235" s="17">
        <v>0</v>
      </c>
      <c r="AU235" s="17">
        <v>20.42</v>
      </c>
      <c r="AV235" s="17">
        <v>0</v>
      </c>
      <c r="AW235" s="17">
        <v>0</v>
      </c>
      <c r="AX235" s="19">
        <f t="shared" si="20"/>
        <v>105.98</v>
      </c>
      <c r="AY235" s="10" t="str">
        <f t="shared" si="25"/>
        <v>OK</v>
      </c>
      <c r="AZ235" s="10">
        <f t="shared" si="19"/>
        <v>105.98</v>
      </c>
      <c r="BA235" s="10">
        <f t="shared" si="21"/>
        <v>0</v>
      </c>
      <c r="BB235" s="17">
        <v>75.42</v>
      </c>
      <c r="BC235" s="113">
        <f t="shared" si="23"/>
        <v>30.559999999999903</v>
      </c>
    </row>
    <row r="236" spans="1:55" s="118" customFormat="1" ht="13.5" customHeight="1">
      <c r="A236" s="16" t="s">
        <v>48</v>
      </c>
      <c r="B236" s="16" t="s">
        <v>49</v>
      </c>
      <c r="C236" s="16" t="s">
        <v>50</v>
      </c>
      <c r="D236" s="16" t="s">
        <v>51</v>
      </c>
      <c r="E236" s="16" t="s">
        <v>52</v>
      </c>
      <c r="F236" s="16" t="s">
        <v>53</v>
      </c>
      <c r="G236" s="16" t="s">
        <v>173</v>
      </c>
      <c r="H236" s="22" t="s">
        <v>55</v>
      </c>
      <c r="I236" s="87" t="s">
        <v>128</v>
      </c>
      <c r="J236" s="11">
        <v>1</v>
      </c>
      <c r="K236" s="12" t="s">
        <v>2</v>
      </c>
      <c r="L236" s="13">
        <v>1</v>
      </c>
      <c r="M236" s="14">
        <v>0</v>
      </c>
      <c r="N236" s="14">
        <v>1</v>
      </c>
      <c r="O236" s="9">
        <v>1001</v>
      </c>
      <c r="P236" s="9" t="s">
        <v>188</v>
      </c>
      <c r="Q236" s="14">
        <v>1</v>
      </c>
      <c r="R236" s="9">
        <v>0</v>
      </c>
      <c r="S236" s="9">
        <v>0</v>
      </c>
      <c r="T236" s="8" t="s">
        <v>58</v>
      </c>
      <c r="U236" s="85">
        <v>53</v>
      </c>
      <c r="V236" s="8">
        <v>530826</v>
      </c>
      <c r="W236" s="16" t="s">
        <v>129</v>
      </c>
      <c r="X236" s="18">
        <v>738.08</v>
      </c>
      <c r="Y236" s="86">
        <f>738.08-318.96</f>
        <v>419.12000000000006</v>
      </c>
      <c r="Z236" s="17">
        <v>0</v>
      </c>
      <c r="AA236" s="17">
        <v>0</v>
      </c>
      <c r="AB236" s="17">
        <v>0</v>
      </c>
      <c r="AC236" s="17">
        <v>0</v>
      </c>
      <c r="AD236" s="17">
        <v>419.12000000000006</v>
      </c>
      <c r="AE236" s="17">
        <v>419.12</v>
      </c>
      <c r="AF236" s="17">
        <v>0</v>
      </c>
      <c r="AG236" s="17">
        <v>0</v>
      </c>
      <c r="AH236" s="17">
        <v>0</v>
      </c>
      <c r="AI236" s="17">
        <v>0</v>
      </c>
      <c r="AJ236" s="107">
        <v>0</v>
      </c>
      <c r="AK236" s="17">
        <v>0</v>
      </c>
      <c r="AL236" s="17">
        <v>0</v>
      </c>
      <c r="AM236" s="17">
        <v>0</v>
      </c>
      <c r="AN236" s="17">
        <v>0</v>
      </c>
      <c r="AO236" s="17">
        <v>0</v>
      </c>
      <c r="AP236" s="17">
        <v>0</v>
      </c>
      <c r="AQ236" s="17">
        <v>0</v>
      </c>
      <c r="AR236" s="17">
        <v>0</v>
      </c>
      <c r="AS236" s="17">
        <v>0</v>
      </c>
      <c r="AT236" s="17">
        <v>0</v>
      </c>
      <c r="AU236" s="17">
        <v>0</v>
      </c>
      <c r="AV236" s="17">
        <v>0</v>
      </c>
      <c r="AW236" s="17">
        <v>0</v>
      </c>
      <c r="AX236" s="19">
        <f t="shared" si="20"/>
        <v>419.12000000000006</v>
      </c>
      <c r="AY236" s="10" t="str">
        <f t="shared" si="25"/>
        <v>OK</v>
      </c>
      <c r="AZ236" s="10">
        <f t="shared" si="19"/>
        <v>419.12</v>
      </c>
      <c r="BA236" s="10">
        <f t="shared" si="21"/>
        <v>5.684341886080802E-14</v>
      </c>
      <c r="BB236" s="17">
        <v>419.12</v>
      </c>
      <c r="BC236" s="113">
        <f t="shared" si="23"/>
        <v>0</v>
      </c>
    </row>
    <row r="237" spans="1:55" s="118" customFormat="1" ht="13.5" customHeight="1">
      <c r="A237" s="16" t="s">
        <v>48</v>
      </c>
      <c r="B237" s="16" t="s">
        <v>49</v>
      </c>
      <c r="C237" s="16" t="s">
        <v>50</v>
      </c>
      <c r="D237" s="16" t="s">
        <v>51</v>
      </c>
      <c r="E237" s="16" t="s">
        <v>52</v>
      </c>
      <c r="F237" s="16" t="s">
        <v>53</v>
      </c>
      <c r="G237" s="16" t="s">
        <v>173</v>
      </c>
      <c r="H237" s="22" t="s">
        <v>55</v>
      </c>
      <c r="I237" s="137" t="s">
        <v>221</v>
      </c>
      <c r="J237" s="11">
        <v>2</v>
      </c>
      <c r="K237" s="12" t="s">
        <v>2</v>
      </c>
      <c r="L237" s="13">
        <v>1</v>
      </c>
      <c r="M237" s="14">
        <v>0</v>
      </c>
      <c r="N237" s="14">
        <v>1</v>
      </c>
      <c r="O237" s="9">
        <v>1001</v>
      </c>
      <c r="P237" s="9" t="s">
        <v>188</v>
      </c>
      <c r="Q237" s="14">
        <v>1</v>
      </c>
      <c r="R237" s="9">
        <v>0</v>
      </c>
      <c r="S237" s="9">
        <v>0</v>
      </c>
      <c r="T237" s="8" t="s">
        <v>58</v>
      </c>
      <c r="U237" s="85">
        <v>53</v>
      </c>
      <c r="V237" s="8">
        <v>531403</v>
      </c>
      <c r="W237" s="16" t="s">
        <v>131</v>
      </c>
      <c r="X237" s="18">
        <v>500.6399999999999</v>
      </c>
      <c r="Y237" s="132">
        <f>500.64+500-200.64</f>
        <v>800</v>
      </c>
      <c r="Z237" s="17">
        <v>0</v>
      </c>
      <c r="AA237" s="17">
        <v>0</v>
      </c>
      <c r="AB237" s="17">
        <v>0</v>
      </c>
      <c r="AC237" s="17">
        <v>0</v>
      </c>
      <c r="AD237" s="17">
        <v>0</v>
      </c>
      <c r="AE237" s="17">
        <v>0</v>
      </c>
      <c r="AF237" s="17">
        <v>0</v>
      </c>
      <c r="AG237" s="17">
        <v>0</v>
      </c>
      <c r="AH237" s="59">
        <v>0</v>
      </c>
      <c r="AI237" s="17">
        <v>0</v>
      </c>
      <c r="AJ237" s="107">
        <v>0</v>
      </c>
      <c r="AK237" s="17">
        <v>0</v>
      </c>
      <c r="AL237" s="59">
        <v>447</v>
      </c>
      <c r="AM237" s="17">
        <v>0</v>
      </c>
      <c r="AN237" s="17">
        <v>0</v>
      </c>
      <c r="AO237" s="17">
        <v>0</v>
      </c>
      <c r="AP237" s="17">
        <v>0</v>
      </c>
      <c r="AQ237" s="17">
        <v>800</v>
      </c>
      <c r="AR237" s="17">
        <v>0</v>
      </c>
      <c r="AS237" s="17">
        <v>0</v>
      </c>
      <c r="AT237" s="17">
        <v>0</v>
      </c>
      <c r="AU237" s="17">
        <v>0</v>
      </c>
      <c r="AV237" s="17">
        <v>353</v>
      </c>
      <c r="AW237" s="17">
        <v>0</v>
      </c>
      <c r="AX237" s="19">
        <f t="shared" si="20"/>
        <v>800</v>
      </c>
      <c r="AY237" s="10" t="str">
        <f t="shared" si="25"/>
        <v>OK</v>
      </c>
      <c r="AZ237" s="10">
        <f t="shared" si="19"/>
        <v>800</v>
      </c>
      <c r="BA237" s="10">
        <f t="shared" si="21"/>
        <v>0</v>
      </c>
      <c r="BB237" s="17">
        <v>800</v>
      </c>
      <c r="BC237" s="113">
        <f t="shared" si="23"/>
        <v>0</v>
      </c>
    </row>
    <row r="238" spans="1:55" s="118" customFormat="1" ht="13.5" customHeight="1">
      <c r="A238" s="16" t="s">
        <v>48</v>
      </c>
      <c r="B238" s="16" t="s">
        <v>49</v>
      </c>
      <c r="C238" s="16" t="s">
        <v>50</v>
      </c>
      <c r="D238" s="16" t="s">
        <v>51</v>
      </c>
      <c r="E238" s="16" t="s">
        <v>52</v>
      </c>
      <c r="F238" s="16" t="s">
        <v>53</v>
      </c>
      <c r="G238" s="16" t="s">
        <v>173</v>
      </c>
      <c r="H238" s="22" t="s">
        <v>55</v>
      </c>
      <c r="I238" s="63" t="s">
        <v>222</v>
      </c>
      <c r="J238" s="11">
        <v>1</v>
      </c>
      <c r="K238" s="12" t="s">
        <v>2</v>
      </c>
      <c r="L238" s="13">
        <v>1</v>
      </c>
      <c r="M238" s="14">
        <v>0</v>
      </c>
      <c r="N238" s="14">
        <v>1</v>
      </c>
      <c r="O238" s="9">
        <v>1001</v>
      </c>
      <c r="P238" s="9" t="s">
        <v>188</v>
      </c>
      <c r="Q238" s="14">
        <v>1</v>
      </c>
      <c r="R238" s="9">
        <v>0</v>
      </c>
      <c r="S238" s="9">
        <v>0</v>
      </c>
      <c r="T238" s="8" t="s">
        <v>58</v>
      </c>
      <c r="U238" s="85">
        <v>57</v>
      </c>
      <c r="V238" s="8">
        <v>570102</v>
      </c>
      <c r="W238" s="16" t="s">
        <v>135</v>
      </c>
      <c r="X238" s="18">
        <v>1000</v>
      </c>
      <c r="Y238" s="79">
        <f>1000+200-90.95</f>
        <v>1109.05</v>
      </c>
      <c r="Z238" s="17">
        <v>0</v>
      </c>
      <c r="AA238" s="17">
        <v>925.83</v>
      </c>
      <c r="AB238" s="17">
        <v>500</v>
      </c>
      <c r="AC238" s="17">
        <f>177.22+6</f>
        <v>183.22</v>
      </c>
      <c r="AD238" s="17">
        <v>0</v>
      </c>
      <c r="AE238" s="17">
        <v>0</v>
      </c>
      <c r="AF238" s="17">
        <v>0</v>
      </c>
      <c r="AG238" s="17">
        <v>0</v>
      </c>
      <c r="AH238" s="17">
        <v>0</v>
      </c>
      <c r="AI238" s="17">
        <v>0</v>
      </c>
      <c r="AJ238" s="107">
        <v>0</v>
      </c>
      <c r="AK238" s="17">
        <v>0</v>
      </c>
      <c r="AL238" s="17">
        <v>0</v>
      </c>
      <c r="AM238" s="17">
        <v>0</v>
      </c>
      <c r="AN238" s="17">
        <v>0</v>
      </c>
      <c r="AO238" s="17">
        <v>0</v>
      </c>
      <c r="AP238" s="17">
        <v>0</v>
      </c>
      <c r="AQ238" s="17">
        <v>0</v>
      </c>
      <c r="AR238" s="17">
        <v>0</v>
      </c>
      <c r="AS238" s="17">
        <v>0</v>
      </c>
      <c r="AT238" s="17">
        <v>0</v>
      </c>
      <c r="AU238" s="17">
        <v>0</v>
      </c>
      <c r="AV238" s="17">
        <v>609.05</v>
      </c>
      <c r="AW238" s="17">
        <v>0</v>
      </c>
      <c r="AX238" s="19">
        <f t="shared" si="20"/>
        <v>1109.05</v>
      </c>
      <c r="AY238" s="10" t="str">
        <f t="shared" si="25"/>
        <v>OK</v>
      </c>
      <c r="AZ238" s="10">
        <f t="shared" si="19"/>
        <v>1109.05</v>
      </c>
      <c r="BA238" s="10">
        <f t="shared" si="21"/>
        <v>-1.1368683772161603E-13</v>
      </c>
      <c r="BB238" s="17">
        <f>925.83+183.22</f>
        <v>1109.05</v>
      </c>
      <c r="BC238" s="113">
        <f t="shared" si="23"/>
        <v>0</v>
      </c>
    </row>
    <row r="239" spans="1:55" s="118" customFormat="1" ht="13.5" customHeight="1">
      <c r="A239" s="16" t="s">
        <v>48</v>
      </c>
      <c r="B239" s="16" t="s">
        <v>49</v>
      </c>
      <c r="C239" s="16" t="s">
        <v>50</v>
      </c>
      <c r="D239" s="16" t="s">
        <v>51</v>
      </c>
      <c r="E239" s="16" t="s">
        <v>52</v>
      </c>
      <c r="F239" s="16" t="s">
        <v>53</v>
      </c>
      <c r="G239" s="16" t="s">
        <v>173</v>
      </c>
      <c r="H239" s="22" t="s">
        <v>55</v>
      </c>
      <c r="I239" s="23" t="s">
        <v>223</v>
      </c>
      <c r="J239" s="11">
        <v>1</v>
      </c>
      <c r="K239" s="12" t="s">
        <v>2</v>
      </c>
      <c r="L239" s="13">
        <v>1</v>
      </c>
      <c r="M239" s="14">
        <v>0</v>
      </c>
      <c r="N239" s="14">
        <v>1</v>
      </c>
      <c r="O239" s="9">
        <v>1001</v>
      </c>
      <c r="P239" s="9" t="s">
        <v>188</v>
      </c>
      <c r="Q239" s="14">
        <v>1</v>
      </c>
      <c r="R239" s="9">
        <v>0</v>
      </c>
      <c r="S239" s="9">
        <v>0</v>
      </c>
      <c r="T239" s="8" t="s">
        <v>58</v>
      </c>
      <c r="U239" s="85">
        <v>57</v>
      </c>
      <c r="V239" s="8">
        <v>570102</v>
      </c>
      <c r="W239" s="16" t="s">
        <v>135</v>
      </c>
      <c r="X239" s="18">
        <v>200</v>
      </c>
      <c r="Y239" s="65">
        <f>200-93.75</f>
        <v>106.25</v>
      </c>
      <c r="Z239" s="17">
        <v>0</v>
      </c>
      <c r="AA239" s="17">
        <v>0</v>
      </c>
      <c r="AB239" s="17">
        <v>0</v>
      </c>
      <c r="AC239" s="17">
        <v>106.25</v>
      </c>
      <c r="AD239" s="17">
        <v>106.25</v>
      </c>
      <c r="AE239" s="17">
        <v>0</v>
      </c>
      <c r="AF239" s="17">
        <v>0</v>
      </c>
      <c r="AG239" s="17">
        <v>0</v>
      </c>
      <c r="AH239" s="17">
        <v>0</v>
      </c>
      <c r="AI239" s="17">
        <v>0</v>
      </c>
      <c r="AJ239" s="107">
        <v>0</v>
      </c>
      <c r="AK239" s="17">
        <v>0</v>
      </c>
      <c r="AL239" s="17">
        <v>0</v>
      </c>
      <c r="AM239" s="17">
        <v>0</v>
      </c>
      <c r="AN239" s="17">
        <v>0</v>
      </c>
      <c r="AO239" s="17">
        <v>0</v>
      </c>
      <c r="AP239" s="17">
        <v>0</v>
      </c>
      <c r="AQ239" s="17">
        <v>0</v>
      </c>
      <c r="AR239" s="17">
        <v>0</v>
      </c>
      <c r="AS239" s="17">
        <v>0</v>
      </c>
      <c r="AT239" s="17">
        <v>0</v>
      </c>
      <c r="AU239" s="17">
        <v>0</v>
      </c>
      <c r="AV239" s="17">
        <v>0</v>
      </c>
      <c r="AW239" s="17">
        <v>0</v>
      </c>
      <c r="AX239" s="19">
        <f t="shared" si="20"/>
        <v>106.25</v>
      </c>
      <c r="AY239" s="10" t="str">
        <f t="shared" si="25"/>
        <v>OK</v>
      </c>
      <c r="AZ239" s="10">
        <f t="shared" si="19"/>
        <v>106.25</v>
      </c>
      <c r="BA239" s="10">
        <f t="shared" si="21"/>
        <v>0</v>
      </c>
      <c r="BB239" s="17">
        <v>106.25</v>
      </c>
      <c r="BC239" s="113">
        <f t="shared" si="23"/>
        <v>0</v>
      </c>
    </row>
    <row r="240" spans="1:55" s="118" customFormat="1" ht="13.5" customHeight="1">
      <c r="A240" s="16" t="s">
        <v>48</v>
      </c>
      <c r="B240" s="16" t="s">
        <v>49</v>
      </c>
      <c r="C240" s="16" t="s">
        <v>50</v>
      </c>
      <c r="D240" s="16" t="s">
        <v>51</v>
      </c>
      <c r="E240" s="16" t="s">
        <v>52</v>
      </c>
      <c r="F240" s="16" t="s">
        <v>53</v>
      </c>
      <c r="G240" s="16" t="s">
        <v>173</v>
      </c>
      <c r="H240" s="22" t="s">
        <v>55</v>
      </c>
      <c r="I240" s="23" t="s">
        <v>224</v>
      </c>
      <c r="J240" s="11">
        <v>1</v>
      </c>
      <c r="K240" s="12" t="s">
        <v>2</v>
      </c>
      <c r="L240" s="13">
        <v>1</v>
      </c>
      <c r="M240" s="14">
        <v>0</v>
      </c>
      <c r="N240" s="14">
        <v>1</v>
      </c>
      <c r="O240" s="9">
        <v>1001</v>
      </c>
      <c r="P240" s="9" t="s">
        <v>188</v>
      </c>
      <c r="Q240" s="14">
        <v>1</v>
      </c>
      <c r="R240" s="9">
        <v>0</v>
      </c>
      <c r="S240" s="9">
        <v>0</v>
      </c>
      <c r="T240" s="8" t="s">
        <v>58</v>
      </c>
      <c r="U240" s="85">
        <v>57</v>
      </c>
      <c r="V240" s="8">
        <v>570102</v>
      </c>
      <c r="W240" s="16" t="s">
        <v>135</v>
      </c>
      <c r="X240" s="18">
        <v>302</v>
      </c>
      <c r="Y240" s="65">
        <f>302-251.5</f>
        <v>50.5</v>
      </c>
      <c r="Z240" s="17">
        <v>0</v>
      </c>
      <c r="AA240" s="17">
        <v>50.5</v>
      </c>
      <c r="AB240" s="17">
        <v>50.5</v>
      </c>
      <c r="AC240" s="17">
        <v>0</v>
      </c>
      <c r="AD240" s="17">
        <v>0</v>
      </c>
      <c r="AE240" s="17">
        <v>0</v>
      </c>
      <c r="AF240" s="17">
        <v>0</v>
      </c>
      <c r="AG240" s="17">
        <v>0</v>
      </c>
      <c r="AH240" s="17">
        <v>0</v>
      </c>
      <c r="AI240" s="17">
        <v>0</v>
      </c>
      <c r="AJ240" s="107">
        <v>0</v>
      </c>
      <c r="AK240" s="17">
        <v>0</v>
      </c>
      <c r="AL240" s="17">
        <v>0</v>
      </c>
      <c r="AM240" s="17">
        <v>0</v>
      </c>
      <c r="AN240" s="17">
        <v>0</v>
      </c>
      <c r="AO240" s="17">
        <v>0</v>
      </c>
      <c r="AP240" s="17">
        <v>0</v>
      </c>
      <c r="AQ240" s="17">
        <v>0</v>
      </c>
      <c r="AR240" s="17">
        <v>0</v>
      </c>
      <c r="AS240" s="17">
        <v>0</v>
      </c>
      <c r="AT240" s="17">
        <v>0</v>
      </c>
      <c r="AU240" s="17">
        <v>0</v>
      </c>
      <c r="AV240" s="17">
        <v>0</v>
      </c>
      <c r="AW240" s="17">
        <v>0</v>
      </c>
      <c r="AX240" s="19">
        <f t="shared" si="20"/>
        <v>50.5</v>
      </c>
      <c r="AY240" s="10" t="str">
        <f t="shared" si="25"/>
        <v>OK</v>
      </c>
      <c r="AZ240" s="10">
        <f t="shared" si="19"/>
        <v>50.5</v>
      </c>
      <c r="BA240" s="10">
        <f t="shared" si="21"/>
        <v>0</v>
      </c>
      <c r="BB240" s="17">
        <v>50.5</v>
      </c>
      <c r="BC240" s="113">
        <f t="shared" si="23"/>
        <v>0</v>
      </c>
    </row>
    <row r="241" spans="1:55" s="118" customFormat="1" ht="13.5" customHeight="1">
      <c r="A241" s="16" t="s">
        <v>48</v>
      </c>
      <c r="B241" s="16" t="s">
        <v>49</v>
      </c>
      <c r="C241" s="16" t="s">
        <v>50</v>
      </c>
      <c r="D241" s="16" t="s">
        <v>51</v>
      </c>
      <c r="E241" s="16" t="s">
        <v>52</v>
      </c>
      <c r="F241" s="16" t="s">
        <v>53</v>
      </c>
      <c r="G241" s="16" t="s">
        <v>173</v>
      </c>
      <c r="H241" s="22" t="s">
        <v>55</v>
      </c>
      <c r="I241" s="23" t="s">
        <v>225</v>
      </c>
      <c r="J241" s="11">
        <v>1</v>
      </c>
      <c r="K241" s="12" t="s">
        <v>2</v>
      </c>
      <c r="L241" s="13">
        <v>1</v>
      </c>
      <c r="M241" s="14">
        <v>0</v>
      </c>
      <c r="N241" s="14">
        <v>1</v>
      </c>
      <c r="O241" s="9">
        <v>1001</v>
      </c>
      <c r="P241" s="9" t="s">
        <v>188</v>
      </c>
      <c r="Q241" s="14">
        <v>1</v>
      </c>
      <c r="R241" s="9">
        <v>0</v>
      </c>
      <c r="S241" s="9">
        <v>0</v>
      </c>
      <c r="T241" s="8" t="s">
        <v>58</v>
      </c>
      <c r="U241" s="85">
        <v>57</v>
      </c>
      <c r="V241" s="8">
        <v>570102</v>
      </c>
      <c r="W241" s="16" t="s">
        <v>135</v>
      </c>
      <c r="X241" s="18">
        <v>1000</v>
      </c>
      <c r="Y241" s="71">
        <f>1000-400</f>
        <v>600</v>
      </c>
      <c r="Z241" s="17">
        <v>0</v>
      </c>
      <c r="AA241" s="17">
        <v>0</v>
      </c>
      <c r="AB241" s="17">
        <v>0</v>
      </c>
      <c r="AC241" s="17">
        <v>0</v>
      </c>
      <c r="AD241" s="17">
        <v>0</v>
      </c>
      <c r="AE241" s="17">
        <v>600</v>
      </c>
      <c r="AF241" s="17">
        <v>0</v>
      </c>
      <c r="AG241" s="17">
        <v>0</v>
      </c>
      <c r="AH241" s="17">
        <v>0</v>
      </c>
      <c r="AI241" s="17">
        <v>0</v>
      </c>
      <c r="AJ241" s="107">
        <v>0</v>
      </c>
      <c r="AK241" s="17">
        <v>0</v>
      </c>
      <c r="AL241" s="17">
        <v>0</v>
      </c>
      <c r="AM241" s="17">
        <v>0</v>
      </c>
      <c r="AN241" s="17">
        <v>0</v>
      </c>
      <c r="AO241" s="17">
        <v>0</v>
      </c>
      <c r="AP241" s="17">
        <v>0</v>
      </c>
      <c r="AQ241" s="17">
        <v>0</v>
      </c>
      <c r="AR241" s="17">
        <v>0</v>
      </c>
      <c r="AS241" s="17">
        <v>0</v>
      </c>
      <c r="AT241" s="17">
        <v>600</v>
      </c>
      <c r="AU241" s="17">
        <v>0</v>
      </c>
      <c r="AV241" s="17">
        <v>0</v>
      </c>
      <c r="AW241" s="17">
        <v>0</v>
      </c>
      <c r="AX241" s="19">
        <f t="shared" si="20"/>
        <v>600</v>
      </c>
      <c r="AY241" s="10" t="str">
        <f t="shared" si="25"/>
        <v>OK</v>
      </c>
      <c r="AZ241" s="10">
        <f t="shared" si="19"/>
        <v>600</v>
      </c>
      <c r="BA241" s="10">
        <f t="shared" si="21"/>
        <v>0</v>
      </c>
      <c r="BB241" s="17">
        <v>600</v>
      </c>
      <c r="BC241" s="113">
        <f t="shared" si="23"/>
        <v>0</v>
      </c>
    </row>
    <row r="242" spans="1:55" s="118" customFormat="1" ht="13.5" customHeight="1">
      <c r="A242" s="16" t="s">
        <v>138</v>
      </c>
      <c r="B242" s="16" t="s">
        <v>139</v>
      </c>
      <c r="C242" s="16" t="s">
        <v>140</v>
      </c>
      <c r="D242" s="16" t="s">
        <v>51</v>
      </c>
      <c r="E242" s="16" t="s">
        <v>52</v>
      </c>
      <c r="F242" s="16" t="s">
        <v>53</v>
      </c>
      <c r="G242" s="16" t="s">
        <v>187</v>
      </c>
      <c r="H242" s="22" t="s">
        <v>142</v>
      </c>
      <c r="I242" s="23" t="s">
        <v>143</v>
      </c>
      <c r="J242" s="11">
        <v>1</v>
      </c>
      <c r="K242" s="12" t="s">
        <v>2</v>
      </c>
      <c r="L242" s="13">
        <v>55</v>
      </c>
      <c r="M242" s="14">
        <v>0</v>
      </c>
      <c r="N242" s="14">
        <v>3</v>
      </c>
      <c r="O242" s="9">
        <v>1001</v>
      </c>
      <c r="P242" s="9" t="s">
        <v>188</v>
      </c>
      <c r="Q242" s="14">
        <v>1</v>
      </c>
      <c r="R242" s="9">
        <v>0</v>
      </c>
      <c r="S242" s="9">
        <v>0</v>
      </c>
      <c r="T242" s="8" t="s">
        <v>58</v>
      </c>
      <c r="U242" s="85">
        <v>53</v>
      </c>
      <c r="V242" s="8">
        <v>530105</v>
      </c>
      <c r="W242" s="16" t="s">
        <v>144</v>
      </c>
      <c r="X242" s="18">
        <v>15358.559999999994</v>
      </c>
      <c r="Y242" s="71">
        <f>15358.56-8114.15</f>
        <v>7244.41</v>
      </c>
      <c r="Z242" s="17">
        <v>7244.41</v>
      </c>
      <c r="AA242" s="17">
        <v>7244.41</v>
      </c>
      <c r="AB242" s="17">
        <v>0</v>
      </c>
      <c r="AC242" s="17">
        <v>0</v>
      </c>
      <c r="AD242" s="17">
        <v>0</v>
      </c>
      <c r="AE242" s="17">
        <v>0</v>
      </c>
      <c r="AF242" s="17">
        <v>0</v>
      </c>
      <c r="AG242" s="17">
        <v>0</v>
      </c>
      <c r="AH242" s="17">
        <v>0</v>
      </c>
      <c r="AI242" s="17">
        <v>0</v>
      </c>
      <c r="AJ242" s="107">
        <v>0</v>
      </c>
      <c r="AK242" s="17">
        <v>0</v>
      </c>
      <c r="AL242" s="17">
        <v>0</v>
      </c>
      <c r="AM242" s="17">
        <v>0</v>
      </c>
      <c r="AN242" s="17">
        <v>0</v>
      </c>
      <c r="AO242" s="17">
        <v>0</v>
      </c>
      <c r="AP242" s="17">
        <v>0</v>
      </c>
      <c r="AQ242" s="17">
        <v>0</v>
      </c>
      <c r="AR242" s="17">
        <v>0</v>
      </c>
      <c r="AS242" s="17">
        <v>0</v>
      </c>
      <c r="AT242" s="17">
        <v>0</v>
      </c>
      <c r="AU242" s="17">
        <v>0</v>
      </c>
      <c r="AV242" s="17">
        <v>0</v>
      </c>
      <c r="AW242" s="17">
        <v>0</v>
      </c>
      <c r="AX242" s="19">
        <f t="shared" si="20"/>
        <v>7244.41</v>
      </c>
      <c r="AY242" s="10" t="str">
        <f t="shared" si="25"/>
        <v>OK</v>
      </c>
      <c r="AZ242" s="10">
        <f t="shared" si="19"/>
        <v>7244.41</v>
      </c>
      <c r="BA242" s="10">
        <f t="shared" si="21"/>
        <v>0</v>
      </c>
      <c r="BB242" s="17">
        <v>7244.41</v>
      </c>
      <c r="BC242" s="113">
        <f t="shared" si="23"/>
        <v>0</v>
      </c>
    </row>
    <row r="243" spans="1:55" s="118" customFormat="1" ht="13.5" customHeight="1">
      <c r="A243" s="16" t="s">
        <v>138</v>
      </c>
      <c r="B243" s="16" t="s">
        <v>139</v>
      </c>
      <c r="C243" s="16" t="s">
        <v>140</v>
      </c>
      <c r="D243" s="16" t="s">
        <v>51</v>
      </c>
      <c r="E243" s="16" t="s">
        <v>52</v>
      </c>
      <c r="F243" s="16" t="s">
        <v>53</v>
      </c>
      <c r="G243" s="16" t="s">
        <v>187</v>
      </c>
      <c r="H243" s="22" t="s">
        <v>142</v>
      </c>
      <c r="I243" s="147" t="s">
        <v>255</v>
      </c>
      <c r="J243" s="11">
        <v>1</v>
      </c>
      <c r="K243" s="12" t="s">
        <v>2</v>
      </c>
      <c r="L243" s="13">
        <v>55</v>
      </c>
      <c r="M243" s="14">
        <v>0</v>
      </c>
      <c r="N243" s="14">
        <v>3</v>
      </c>
      <c r="O243" s="9">
        <v>1001</v>
      </c>
      <c r="P243" s="9" t="s">
        <v>188</v>
      </c>
      <c r="Q243" s="14">
        <v>1</v>
      </c>
      <c r="R243" s="9">
        <v>0</v>
      </c>
      <c r="S243" s="9">
        <v>0</v>
      </c>
      <c r="T243" s="8" t="s">
        <v>58</v>
      </c>
      <c r="U243" s="85">
        <v>53</v>
      </c>
      <c r="V243" s="8">
        <v>530105</v>
      </c>
      <c r="W243" s="16" t="s">
        <v>144</v>
      </c>
      <c r="X243" s="18">
        <v>117311.03999999995</v>
      </c>
      <c r="Y243" s="146">
        <f>117311.04-3873.48-9345.84-1302.45-14145.66-913.66</f>
        <v>87729.95</v>
      </c>
      <c r="Z243" s="17">
        <v>0</v>
      </c>
      <c r="AA243" s="17">
        <v>0</v>
      </c>
      <c r="AB243" s="17">
        <v>9521.999999999998</v>
      </c>
      <c r="AC243" s="17">
        <v>7198.83</v>
      </c>
      <c r="AD243" s="17">
        <v>9521.999999999998</v>
      </c>
      <c r="AE243" s="17">
        <v>7330.57</v>
      </c>
      <c r="AF243" s="17">
        <v>9521.999999999998</v>
      </c>
      <c r="AG243" s="17">
        <v>7289.25</v>
      </c>
      <c r="AH243" s="17">
        <v>9521.999999999998</v>
      </c>
      <c r="AI243" s="17">
        <v>7387.03</v>
      </c>
      <c r="AJ243" s="107">
        <v>9521.999999999998</v>
      </c>
      <c r="AK243" s="17">
        <v>7387.28</v>
      </c>
      <c r="AL243" s="17">
        <v>9521.999999999998</v>
      </c>
      <c r="AM243" s="17">
        <v>7326.27</v>
      </c>
      <c r="AN243" s="17">
        <v>9521.999999999998</v>
      </c>
      <c r="AO243" s="17">
        <v>7230.71</v>
      </c>
      <c r="AP243" s="17">
        <v>9521.999999999998</v>
      </c>
      <c r="AQ243" s="17">
        <v>7187.32</v>
      </c>
      <c r="AR243" s="17">
        <v>9521.999999999998</v>
      </c>
      <c r="AS243" s="17">
        <v>7226.61</v>
      </c>
      <c r="AT243" s="17">
        <v>2031.9500000000116</v>
      </c>
      <c r="AU243" s="17">
        <v>7402.77</v>
      </c>
      <c r="AV243" s="17">
        <v>0</v>
      </c>
      <c r="AW243" s="17">
        <v>7256.96</v>
      </c>
      <c r="AX243" s="19">
        <f t="shared" si="20"/>
        <v>87729.95</v>
      </c>
      <c r="AY243" s="10" t="str">
        <f t="shared" si="25"/>
        <v>OK</v>
      </c>
      <c r="AZ243" s="10">
        <f t="shared" si="19"/>
        <v>80223.6</v>
      </c>
      <c r="BA243" s="10">
        <f t="shared" si="21"/>
        <v>7506.350000000001</v>
      </c>
      <c r="BB243" s="17">
        <f>29325+74766.72-15448.11</f>
        <v>88643.61</v>
      </c>
      <c r="BC243" s="113">
        <f t="shared" si="23"/>
        <v>-913.6600000000035</v>
      </c>
    </row>
    <row r="244" spans="1:55" s="118" customFormat="1" ht="13.5" customHeight="1">
      <c r="A244" s="16" t="s">
        <v>138</v>
      </c>
      <c r="B244" s="16" t="s">
        <v>139</v>
      </c>
      <c r="C244" s="16" t="s">
        <v>140</v>
      </c>
      <c r="D244" s="16" t="s">
        <v>51</v>
      </c>
      <c r="E244" s="16" t="s">
        <v>52</v>
      </c>
      <c r="F244" s="16" t="s">
        <v>53</v>
      </c>
      <c r="G244" s="16" t="s">
        <v>187</v>
      </c>
      <c r="H244" s="22" t="s">
        <v>142</v>
      </c>
      <c r="I244" s="147" t="s">
        <v>226</v>
      </c>
      <c r="J244" s="11">
        <v>1</v>
      </c>
      <c r="K244" s="12" t="s">
        <v>2</v>
      </c>
      <c r="L244" s="13">
        <v>55</v>
      </c>
      <c r="M244" s="14">
        <v>0</v>
      </c>
      <c r="N244" s="14">
        <v>3</v>
      </c>
      <c r="O244" s="9">
        <v>1001</v>
      </c>
      <c r="P244" s="9" t="s">
        <v>188</v>
      </c>
      <c r="Q244" s="14">
        <v>1</v>
      </c>
      <c r="R244" s="9">
        <v>0</v>
      </c>
      <c r="S244" s="9">
        <v>0</v>
      </c>
      <c r="T244" s="8" t="s">
        <v>58</v>
      </c>
      <c r="U244" s="85">
        <v>53</v>
      </c>
      <c r="V244" s="8">
        <v>530704</v>
      </c>
      <c r="W244" s="16" t="s">
        <v>227</v>
      </c>
      <c r="X244" s="18">
        <v>103604.47999999997</v>
      </c>
      <c r="Y244" s="146">
        <f>103604.48+11400-27927.69-76.79-2593.4</f>
        <v>84406.6</v>
      </c>
      <c r="Z244" s="17">
        <v>0</v>
      </c>
      <c r="AA244" s="17">
        <v>0</v>
      </c>
      <c r="AB244" s="17">
        <v>0</v>
      </c>
      <c r="AC244" s="17">
        <v>0</v>
      </c>
      <c r="AD244" s="17">
        <v>0</v>
      </c>
      <c r="AE244" s="17">
        <v>0</v>
      </c>
      <c r="AF244" s="76">
        <v>0</v>
      </c>
      <c r="AG244" s="17">
        <v>0</v>
      </c>
      <c r="AH244" s="59">
        <v>14668.94</v>
      </c>
      <c r="AI244" s="17">
        <v>4511.25</v>
      </c>
      <c r="AJ244" s="107">
        <v>14668.94</v>
      </c>
      <c r="AK244" s="17">
        <v>9811.2</v>
      </c>
      <c r="AL244" s="17">
        <v>14668.94</v>
      </c>
      <c r="AM244" s="17">
        <v>11293.15</v>
      </c>
      <c r="AN244" s="17">
        <v>14668.94</v>
      </c>
      <c r="AO244" s="17">
        <v>11983.9</v>
      </c>
      <c r="AP244" s="17">
        <v>14668.94</v>
      </c>
      <c r="AQ244" s="17">
        <v>11401.1</v>
      </c>
      <c r="AR244" s="17">
        <v>11061.900000000009</v>
      </c>
      <c r="AS244" s="17">
        <v>11474.55</v>
      </c>
      <c r="AT244" s="17">
        <v>0</v>
      </c>
      <c r="AU244" s="17">
        <v>7796.65</v>
      </c>
      <c r="AV244" s="17">
        <v>0</v>
      </c>
      <c r="AW244" s="17">
        <v>16134.8</v>
      </c>
      <c r="AX244" s="19">
        <f t="shared" si="20"/>
        <v>84406.6</v>
      </c>
      <c r="AY244" s="10" t="str">
        <f t="shared" si="25"/>
        <v>OK</v>
      </c>
      <c r="AZ244" s="10">
        <f t="shared" si="19"/>
        <v>84406.59999999999</v>
      </c>
      <c r="BA244" s="10">
        <f t="shared" si="21"/>
        <v>1.6370904631912708E-11</v>
      </c>
      <c r="BB244" s="17">
        <v>87000</v>
      </c>
      <c r="BC244" s="113">
        <f t="shared" si="23"/>
        <v>-2593.399999999994</v>
      </c>
    </row>
    <row r="245" spans="1:55" s="118" customFormat="1" ht="13.5" customHeight="1">
      <c r="A245" s="16" t="s">
        <v>138</v>
      </c>
      <c r="B245" s="16" t="s">
        <v>139</v>
      </c>
      <c r="C245" s="16" t="s">
        <v>140</v>
      </c>
      <c r="D245" s="16" t="s">
        <v>51</v>
      </c>
      <c r="E245" s="16" t="s">
        <v>52</v>
      </c>
      <c r="F245" s="16" t="s">
        <v>53</v>
      </c>
      <c r="G245" s="16" t="s">
        <v>187</v>
      </c>
      <c r="H245" s="22" t="s">
        <v>142</v>
      </c>
      <c r="I245" s="23" t="s">
        <v>113</v>
      </c>
      <c r="J245" s="11">
        <v>2</v>
      </c>
      <c r="K245" s="12" t="s">
        <v>2</v>
      </c>
      <c r="L245" s="13">
        <v>55</v>
      </c>
      <c r="M245" s="14">
        <v>0</v>
      </c>
      <c r="N245" s="14">
        <v>3</v>
      </c>
      <c r="O245" s="9">
        <v>1001</v>
      </c>
      <c r="P245" s="9" t="s">
        <v>188</v>
      </c>
      <c r="Q245" s="14">
        <v>1</v>
      </c>
      <c r="R245" s="9">
        <v>0</v>
      </c>
      <c r="S245" s="9">
        <v>0</v>
      </c>
      <c r="T245" s="8" t="s">
        <v>58</v>
      </c>
      <c r="U245" s="85">
        <v>53</v>
      </c>
      <c r="V245" s="8">
        <v>530811</v>
      </c>
      <c r="W245" s="16" t="s">
        <v>254</v>
      </c>
      <c r="X245" s="18">
        <v>150</v>
      </c>
      <c r="Y245" s="18">
        <f>150-62.09</f>
        <v>87.91</v>
      </c>
      <c r="Z245" s="17">
        <v>0</v>
      </c>
      <c r="AA245" s="17">
        <v>0</v>
      </c>
      <c r="AB245" s="17">
        <v>0</v>
      </c>
      <c r="AC245" s="17">
        <v>0</v>
      </c>
      <c r="AD245" s="76">
        <v>15</v>
      </c>
      <c r="AE245" s="17">
        <v>0</v>
      </c>
      <c r="AF245" s="76">
        <v>0</v>
      </c>
      <c r="AG245" s="17">
        <v>0</v>
      </c>
      <c r="AH245" s="17">
        <v>0</v>
      </c>
      <c r="AI245" s="17">
        <v>0</v>
      </c>
      <c r="AJ245" s="108">
        <v>22.32</v>
      </c>
      <c r="AK245" s="17">
        <v>56.15</v>
      </c>
      <c r="AL245" s="17">
        <v>0</v>
      </c>
      <c r="AM245" s="17">
        <v>0</v>
      </c>
      <c r="AN245" s="17">
        <v>0</v>
      </c>
      <c r="AO245" s="17">
        <v>0</v>
      </c>
      <c r="AP245" s="17">
        <v>0</v>
      </c>
      <c r="AQ245" s="17">
        <v>0</v>
      </c>
      <c r="AR245" s="17">
        <v>50.589999999999996</v>
      </c>
      <c r="AS245" s="17">
        <v>31.76</v>
      </c>
      <c r="AT245" s="17">
        <v>0</v>
      </c>
      <c r="AU245" s="17">
        <v>0</v>
      </c>
      <c r="AV245" s="17">
        <v>0</v>
      </c>
      <c r="AW245" s="17">
        <v>0</v>
      </c>
      <c r="AX245" s="19">
        <f t="shared" si="20"/>
        <v>87.91</v>
      </c>
      <c r="AY245" s="10" t="str">
        <f t="shared" si="25"/>
        <v>OK</v>
      </c>
      <c r="AZ245" s="10">
        <f t="shared" si="19"/>
        <v>87.91</v>
      </c>
      <c r="BA245" s="10">
        <f t="shared" si="21"/>
        <v>-3.552713678800501E-15</v>
      </c>
      <c r="BB245" s="17">
        <v>56.15</v>
      </c>
      <c r="BC245" s="113">
        <f t="shared" si="23"/>
        <v>31.759999999999998</v>
      </c>
    </row>
    <row r="246" spans="1:55" s="118" customFormat="1" ht="13.5" customHeight="1">
      <c r="A246" s="16" t="s">
        <v>138</v>
      </c>
      <c r="B246" s="16" t="s">
        <v>139</v>
      </c>
      <c r="C246" s="16" t="s">
        <v>140</v>
      </c>
      <c r="D246" s="16" t="s">
        <v>51</v>
      </c>
      <c r="E246" s="16" t="s">
        <v>52</v>
      </c>
      <c r="F246" s="16" t="s">
        <v>53</v>
      </c>
      <c r="G246" s="16" t="s">
        <v>187</v>
      </c>
      <c r="H246" s="22" t="s">
        <v>142</v>
      </c>
      <c r="I246" s="134" t="s">
        <v>146</v>
      </c>
      <c r="J246" s="11">
        <v>2</v>
      </c>
      <c r="K246" s="12" t="s">
        <v>2</v>
      </c>
      <c r="L246" s="13">
        <v>55</v>
      </c>
      <c r="M246" s="14">
        <v>0</v>
      </c>
      <c r="N246" s="14">
        <v>3</v>
      </c>
      <c r="O246" s="9">
        <v>1001</v>
      </c>
      <c r="P246" s="9" t="s">
        <v>188</v>
      </c>
      <c r="Q246" s="14">
        <v>1</v>
      </c>
      <c r="R246" s="9">
        <v>0</v>
      </c>
      <c r="S246" s="9">
        <v>0</v>
      </c>
      <c r="T246" s="8" t="s">
        <v>58</v>
      </c>
      <c r="U246" s="85">
        <v>53</v>
      </c>
      <c r="V246" s="8">
        <v>530811</v>
      </c>
      <c r="W246" s="16" t="s">
        <v>254</v>
      </c>
      <c r="X246" s="18">
        <v>1000.1599999999997</v>
      </c>
      <c r="Y246" s="132">
        <f>1000.16-506.71-52.87-135.09</f>
        <v>305.49</v>
      </c>
      <c r="Z246" s="17">
        <v>0</v>
      </c>
      <c r="AA246" s="17">
        <v>0</v>
      </c>
      <c r="AB246" s="17">
        <v>0</v>
      </c>
      <c r="AC246" s="17">
        <v>0</v>
      </c>
      <c r="AD246" s="17">
        <v>0</v>
      </c>
      <c r="AE246" s="17">
        <v>0</v>
      </c>
      <c r="AF246" s="17">
        <v>0</v>
      </c>
      <c r="AG246" s="17">
        <v>0</v>
      </c>
      <c r="AH246" s="80">
        <v>0</v>
      </c>
      <c r="AI246" s="17">
        <v>0</v>
      </c>
      <c r="AJ246" s="107">
        <v>0</v>
      </c>
      <c r="AK246" s="17">
        <v>0</v>
      </c>
      <c r="AL246" s="17">
        <v>0</v>
      </c>
      <c r="AM246" s="17">
        <v>0</v>
      </c>
      <c r="AN246" s="59">
        <v>0</v>
      </c>
      <c r="AO246" s="17">
        <v>0</v>
      </c>
      <c r="AP246" s="17">
        <v>0</v>
      </c>
      <c r="AQ246" s="17">
        <v>0</v>
      </c>
      <c r="AR246" s="59">
        <v>305.49</v>
      </c>
      <c r="AS246" s="17">
        <v>305.49</v>
      </c>
      <c r="AT246" s="17">
        <v>0</v>
      </c>
      <c r="AU246" s="17">
        <v>0</v>
      </c>
      <c r="AV246" s="17">
        <v>0</v>
      </c>
      <c r="AW246" s="17">
        <v>0</v>
      </c>
      <c r="AX246" s="19">
        <f t="shared" si="20"/>
        <v>305.49</v>
      </c>
      <c r="AY246" s="10" t="str">
        <f t="shared" si="25"/>
        <v>OK</v>
      </c>
      <c r="AZ246" s="10">
        <f t="shared" si="19"/>
        <v>305.49</v>
      </c>
      <c r="BA246" s="10">
        <f t="shared" si="21"/>
        <v>0</v>
      </c>
      <c r="BB246" s="17">
        <f>440.58-135.09</f>
        <v>305.49</v>
      </c>
      <c r="BC246" s="113">
        <f t="shared" si="23"/>
        <v>0</v>
      </c>
    </row>
    <row r="247" spans="1:56" s="118" customFormat="1" ht="13.5" customHeight="1">
      <c r="A247" s="16" t="s">
        <v>138</v>
      </c>
      <c r="B247" s="16" t="s">
        <v>139</v>
      </c>
      <c r="C247" s="16" t="s">
        <v>140</v>
      </c>
      <c r="D247" s="16" t="s">
        <v>51</v>
      </c>
      <c r="E247" s="16" t="s">
        <v>52</v>
      </c>
      <c r="F247" s="16" t="s">
        <v>53</v>
      </c>
      <c r="G247" s="16" t="s">
        <v>187</v>
      </c>
      <c r="H247" s="22" t="s">
        <v>142</v>
      </c>
      <c r="I247" s="134" t="s">
        <v>228</v>
      </c>
      <c r="J247" s="11">
        <v>2</v>
      </c>
      <c r="K247" s="12" t="s">
        <v>2</v>
      </c>
      <c r="L247" s="13">
        <v>55</v>
      </c>
      <c r="M247" s="14">
        <v>0</v>
      </c>
      <c r="N247" s="14">
        <v>3</v>
      </c>
      <c r="O247" s="9">
        <v>1001</v>
      </c>
      <c r="P247" s="9" t="s">
        <v>188</v>
      </c>
      <c r="Q247" s="14">
        <v>1</v>
      </c>
      <c r="R247" s="9">
        <v>0</v>
      </c>
      <c r="S247" s="9">
        <v>0</v>
      </c>
      <c r="T247" s="8" t="s">
        <v>58</v>
      </c>
      <c r="U247" s="85">
        <v>53</v>
      </c>
      <c r="V247" s="8">
        <v>530813</v>
      </c>
      <c r="W247" s="16" t="s">
        <v>119</v>
      </c>
      <c r="X247" s="18">
        <v>5000.8</v>
      </c>
      <c r="Y247" s="132">
        <f>5000.8+676.89-1519.92-642.33</f>
        <v>3515.4400000000005</v>
      </c>
      <c r="Z247" s="17">
        <v>0</v>
      </c>
      <c r="AA247" s="17">
        <v>0</v>
      </c>
      <c r="AB247" s="17">
        <v>0</v>
      </c>
      <c r="AC247" s="17">
        <v>0</v>
      </c>
      <c r="AD247" s="17">
        <v>0</v>
      </c>
      <c r="AE247" s="17">
        <v>0</v>
      </c>
      <c r="AF247" s="17">
        <v>0</v>
      </c>
      <c r="AG247" s="17">
        <v>0</v>
      </c>
      <c r="AH247" s="80">
        <v>0</v>
      </c>
      <c r="AI247" s="17">
        <v>0</v>
      </c>
      <c r="AJ247" s="107">
        <v>0</v>
      </c>
      <c r="AK247" s="17">
        <v>0</v>
      </c>
      <c r="AL247" s="17">
        <v>0</v>
      </c>
      <c r="AM247" s="17">
        <v>0</v>
      </c>
      <c r="AN247" s="59">
        <v>0</v>
      </c>
      <c r="AO247" s="17">
        <v>0</v>
      </c>
      <c r="AP247" s="17">
        <v>0</v>
      </c>
      <c r="AQ247" s="17">
        <v>0</v>
      </c>
      <c r="AR247" s="59">
        <v>3515.4400000000005</v>
      </c>
      <c r="AS247" s="17">
        <v>3515.44</v>
      </c>
      <c r="AT247" s="17">
        <v>0</v>
      </c>
      <c r="AU247" s="17">
        <v>0</v>
      </c>
      <c r="AV247" s="17">
        <v>0</v>
      </c>
      <c r="AW247" s="17">
        <v>0</v>
      </c>
      <c r="AX247" s="19">
        <f t="shared" si="20"/>
        <v>3515.4400000000005</v>
      </c>
      <c r="AY247" s="10" t="str">
        <f>IF(AX247=Y247,"OK",Y247-AX247)</f>
        <v>OK</v>
      </c>
      <c r="AZ247" s="10">
        <f t="shared" si="19"/>
        <v>3515.44</v>
      </c>
      <c r="BA247" s="10">
        <f t="shared" si="21"/>
        <v>4.547473508864641E-13</v>
      </c>
      <c r="BB247" s="17">
        <f>5069.37-1553.93</f>
        <v>3515.4399999999996</v>
      </c>
      <c r="BC247" s="113">
        <f t="shared" si="23"/>
        <v>0</v>
      </c>
      <c r="BD247" s="118">
        <v>5646.13</v>
      </c>
    </row>
    <row r="248" spans="1:55" s="118" customFormat="1" ht="13.5" customHeight="1">
      <c r="A248" s="16" t="s">
        <v>138</v>
      </c>
      <c r="B248" s="16" t="s">
        <v>139</v>
      </c>
      <c r="C248" s="16" t="s">
        <v>140</v>
      </c>
      <c r="D248" s="16" t="s">
        <v>51</v>
      </c>
      <c r="E248" s="16" t="s">
        <v>52</v>
      </c>
      <c r="F248" s="16" t="s">
        <v>53</v>
      </c>
      <c r="G248" s="16" t="s">
        <v>187</v>
      </c>
      <c r="H248" s="22" t="s">
        <v>142</v>
      </c>
      <c r="I248" s="23" t="s">
        <v>166</v>
      </c>
      <c r="J248" s="11">
        <v>2</v>
      </c>
      <c r="K248" s="12" t="s">
        <v>2</v>
      </c>
      <c r="L248" s="13">
        <v>55</v>
      </c>
      <c r="M248" s="14">
        <v>0</v>
      </c>
      <c r="N248" s="14">
        <v>3</v>
      </c>
      <c r="O248" s="9">
        <v>1001</v>
      </c>
      <c r="P248" s="9" t="s">
        <v>188</v>
      </c>
      <c r="Q248" s="14">
        <v>1</v>
      </c>
      <c r="R248" s="9">
        <v>0</v>
      </c>
      <c r="S248" s="9">
        <v>0</v>
      </c>
      <c r="T248" s="8" t="s">
        <v>58</v>
      </c>
      <c r="U248" s="85">
        <v>53</v>
      </c>
      <c r="V248" s="8">
        <v>530813</v>
      </c>
      <c r="W248" s="16" t="s">
        <v>119</v>
      </c>
      <c r="X248" s="18">
        <v>190</v>
      </c>
      <c r="Y248" s="18">
        <f>190-3.8</f>
        <v>186.2</v>
      </c>
      <c r="Z248" s="17">
        <v>0</v>
      </c>
      <c r="AA248" s="17">
        <v>0</v>
      </c>
      <c r="AB248" s="17">
        <v>0</v>
      </c>
      <c r="AC248" s="17">
        <v>0</v>
      </c>
      <c r="AD248" s="76">
        <v>19</v>
      </c>
      <c r="AE248" s="17">
        <v>0</v>
      </c>
      <c r="AF248" s="76">
        <v>0</v>
      </c>
      <c r="AG248" s="17">
        <v>0</v>
      </c>
      <c r="AH248" s="17">
        <v>0</v>
      </c>
      <c r="AI248" s="17">
        <v>0</v>
      </c>
      <c r="AJ248" s="108">
        <v>25.11</v>
      </c>
      <c r="AK248" s="17">
        <v>68.25</v>
      </c>
      <c r="AL248" s="17">
        <v>0</v>
      </c>
      <c r="AM248" s="17">
        <v>0</v>
      </c>
      <c r="AN248" s="17">
        <v>0</v>
      </c>
      <c r="AO248" s="17">
        <v>0</v>
      </c>
      <c r="AP248" s="17">
        <v>0</v>
      </c>
      <c r="AQ248" s="17">
        <v>0</v>
      </c>
      <c r="AR248" s="17">
        <v>142.08999999999997</v>
      </c>
      <c r="AS248" s="17">
        <v>117.95</v>
      </c>
      <c r="AT248" s="17">
        <v>0</v>
      </c>
      <c r="AU248" s="17">
        <v>0</v>
      </c>
      <c r="AV248" s="17">
        <v>0</v>
      </c>
      <c r="AW248" s="17">
        <v>0</v>
      </c>
      <c r="AX248" s="19">
        <f t="shared" si="20"/>
        <v>186.2</v>
      </c>
      <c r="AY248" s="10" t="str">
        <f aca="true" t="shared" si="26" ref="AY248:AY263">IF(AX248=Y248,"OK",Y248-AX248)</f>
        <v>OK</v>
      </c>
      <c r="AZ248" s="10">
        <f t="shared" si="19"/>
        <v>186.2</v>
      </c>
      <c r="BA248" s="10">
        <f t="shared" si="21"/>
        <v>-2.842170943040401E-14</v>
      </c>
      <c r="BB248" s="17">
        <v>68.25</v>
      </c>
      <c r="BC248" s="113">
        <f t="shared" si="23"/>
        <v>117.94999999999999</v>
      </c>
    </row>
    <row r="249" spans="1:55" s="118" customFormat="1" ht="13.5" customHeight="1">
      <c r="A249" s="16" t="s">
        <v>138</v>
      </c>
      <c r="B249" s="16" t="s">
        <v>139</v>
      </c>
      <c r="C249" s="16" t="s">
        <v>140</v>
      </c>
      <c r="D249" s="16" t="s">
        <v>51</v>
      </c>
      <c r="E249" s="16" t="s">
        <v>52</v>
      </c>
      <c r="F249" s="16" t="s">
        <v>53</v>
      </c>
      <c r="G249" s="16" t="s">
        <v>187</v>
      </c>
      <c r="H249" s="22" t="s">
        <v>142</v>
      </c>
      <c r="I249" s="147" t="s">
        <v>260</v>
      </c>
      <c r="J249" s="11">
        <v>1</v>
      </c>
      <c r="K249" s="12" t="s">
        <v>2</v>
      </c>
      <c r="L249" s="13">
        <v>55</v>
      </c>
      <c r="M249" s="14">
        <v>0</v>
      </c>
      <c r="N249" s="14">
        <v>3</v>
      </c>
      <c r="O249" s="9">
        <v>1001</v>
      </c>
      <c r="P249" s="9" t="s">
        <v>188</v>
      </c>
      <c r="Q249" s="14">
        <v>1</v>
      </c>
      <c r="R249" s="9">
        <v>0</v>
      </c>
      <c r="S249" s="9">
        <v>0</v>
      </c>
      <c r="T249" s="8" t="s">
        <v>58</v>
      </c>
      <c r="U249" s="85">
        <v>53</v>
      </c>
      <c r="V249" s="8">
        <v>531404</v>
      </c>
      <c r="W249" s="16" t="s">
        <v>261</v>
      </c>
      <c r="X249" s="127">
        <v>0</v>
      </c>
      <c r="Y249" s="146">
        <f>2206.4-236.4</f>
        <v>1970</v>
      </c>
      <c r="Z249" s="17">
        <v>0</v>
      </c>
      <c r="AA249" s="17">
        <v>0</v>
      </c>
      <c r="AB249" s="17">
        <v>0</v>
      </c>
      <c r="AC249" s="17">
        <v>0</v>
      </c>
      <c r="AD249" s="17">
        <v>1970</v>
      </c>
      <c r="AE249" s="17">
        <v>1970</v>
      </c>
      <c r="AF249" s="17">
        <v>0</v>
      </c>
      <c r="AG249" s="17">
        <v>0</v>
      </c>
      <c r="AH249" s="17">
        <v>0</v>
      </c>
      <c r="AI249" s="17">
        <v>0</v>
      </c>
      <c r="AJ249" s="107">
        <v>0</v>
      </c>
      <c r="AK249" s="17">
        <v>0</v>
      </c>
      <c r="AL249" s="17">
        <v>0</v>
      </c>
      <c r="AM249" s="17">
        <v>0</v>
      </c>
      <c r="AN249" s="17">
        <v>0</v>
      </c>
      <c r="AO249" s="17">
        <v>0</v>
      </c>
      <c r="AP249" s="17">
        <v>0</v>
      </c>
      <c r="AQ249" s="17">
        <v>0</v>
      </c>
      <c r="AR249" s="17">
        <v>0</v>
      </c>
      <c r="AS249" s="17">
        <v>0</v>
      </c>
      <c r="AT249" s="17">
        <v>0</v>
      </c>
      <c r="AU249" s="17">
        <v>0</v>
      </c>
      <c r="AV249" s="17">
        <v>0</v>
      </c>
      <c r="AW249" s="17">
        <v>0</v>
      </c>
      <c r="AX249" s="19">
        <f t="shared" si="20"/>
        <v>1970</v>
      </c>
      <c r="AY249" s="10" t="str">
        <f t="shared" si="26"/>
        <v>OK</v>
      </c>
      <c r="AZ249" s="10">
        <f t="shared" si="19"/>
        <v>1970</v>
      </c>
      <c r="BA249" s="10">
        <f t="shared" si="21"/>
        <v>0</v>
      </c>
      <c r="BB249" s="17">
        <v>1970</v>
      </c>
      <c r="BC249" s="113">
        <f t="shared" si="23"/>
        <v>0</v>
      </c>
    </row>
    <row r="250" spans="1:55" s="118" customFormat="1" ht="13.5" customHeight="1">
      <c r="A250" s="16" t="s">
        <v>138</v>
      </c>
      <c r="B250" s="16" t="s">
        <v>139</v>
      </c>
      <c r="C250" s="16" t="s">
        <v>140</v>
      </c>
      <c r="D250" s="16" t="s">
        <v>51</v>
      </c>
      <c r="E250" s="16" t="s">
        <v>52</v>
      </c>
      <c r="F250" s="16" t="s">
        <v>53</v>
      </c>
      <c r="G250" s="16" t="s">
        <v>187</v>
      </c>
      <c r="H250" s="22" t="s">
        <v>142</v>
      </c>
      <c r="I250" s="147" t="s">
        <v>260</v>
      </c>
      <c r="J250" s="11">
        <v>1</v>
      </c>
      <c r="K250" s="12" t="s">
        <v>2</v>
      </c>
      <c r="L250" s="13">
        <v>55</v>
      </c>
      <c r="M250" s="14">
        <v>0</v>
      </c>
      <c r="N250" s="14">
        <v>3</v>
      </c>
      <c r="O250" s="9">
        <v>1001</v>
      </c>
      <c r="P250" s="9" t="s">
        <v>188</v>
      </c>
      <c r="Q250" s="14">
        <v>1</v>
      </c>
      <c r="R250" s="9">
        <v>0</v>
      </c>
      <c r="S250" s="9">
        <v>0</v>
      </c>
      <c r="T250" s="8" t="s">
        <v>58</v>
      </c>
      <c r="U250" s="85">
        <v>53</v>
      </c>
      <c r="V250" s="8">
        <v>531407</v>
      </c>
      <c r="W250" s="16" t="s">
        <v>262</v>
      </c>
      <c r="X250" s="127">
        <v>0</v>
      </c>
      <c r="Y250" s="146">
        <f>925.68-99.18</f>
        <v>826.5</v>
      </c>
      <c r="Z250" s="17">
        <v>0</v>
      </c>
      <c r="AA250" s="17">
        <v>0</v>
      </c>
      <c r="AB250" s="17">
        <v>0</v>
      </c>
      <c r="AC250" s="17">
        <v>0</v>
      </c>
      <c r="AD250" s="17">
        <v>826.5</v>
      </c>
      <c r="AE250" s="17">
        <v>826.5</v>
      </c>
      <c r="AF250" s="17">
        <v>0</v>
      </c>
      <c r="AG250" s="17">
        <v>0</v>
      </c>
      <c r="AH250" s="17">
        <v>0</v>
      </c>
      <c r="AI250" s="17">
        <v>0</v>
      </c>
      <c r="AJ250" s="107">
        <v>0</v>
      </c>
      <c r="AK250" s="17">
        <v>0</v>
      </c>
      <c r="AL250" s="17">
        <v>0</v>
      </c>
      <c r="AM250" s="17">
        <v>0</v>
      </c>
      <c r="AN250" s="17">
        <v>0</v>
      </c>
      <c r="AO250" s="17">
        <v>0</v>
      </c>
      <c r="AP250" s="17">
        <v>0</v>
      </c>
      <c r="AQ250" s="17">
        <v>0</v>
      </c>
      <c r="AR250" s="17">
        <v>0</v>
      </c>
      <c r="AS250" s="17">
        <v>0</v>
      </c>
      <c r="AT250" s="17">
        <v>0</v>
      </c>
      <c r="AU250" s="17">
        <v>0</v>
      </c>
      <c r="AV250" s="17">
        <v>0</v>
      </c>
      <c r="AW250" s="17">
        <v>0</v>
      </c>
      <c r="AX250" s="19">
        <f t="shared" si="20"/>
        <v>826.5</v>
      </c>
      <c r="AY250" s="10" t="str">
        <f t="shared" si="26"/>
        <v>OK</v>
      </c>
      <c r="AZ250" s="10">
        <f t="shared" si="19"/>
        <v>826.5</v>
      </c>
      <c r="BA250" s="10">
        <f t="shared" si="21"/>
        <v>0</v>
      </c>
      <c r="BB250" s="17">
        <v>826.5</v>
      </c>
      <c r="BC250" s="113">
        <f t="shared" si="23"/>
        <v>0</v>
      </c>
    </row>
    <row r="251" spans="1:55" s="118" customFormat="1" ht="13.5" customHeight="1">
      <c r="A251" s="16" t="s">
        <v>138</v>
      </c>
      <c r="B251" s="16" t="s">
        <v>139</v>
      </c>
      <c r="C251" s="16" t="s">
        <v>140</v>
      </c>
      <c r="D251" s="16" t="s">
        <v>51</v>
      </c>
      <c r="E251" s="16" t="s">
        <v>52</v>
      </c>
      <c r="F251" s="16" t="s">
        <v>53</v>
      </c>
      <c r="G251" s="16" t="s">
        <v>187</v>
      </c>
      <c r="H251" s="22" t="s">
        <v>142</v>
      </c>
      <c r="I251" s="147" t="s">
        <v>267</v>
      </c>
      <c r="J251" s="11">
        <v>1</v>
      </c>
      <c r="K251" s="12" t="s">
        <v>2</v>
      </c>
      <c r="L251" s="13">
        <v>55</v>
      </c>
      <c r="M251" s="14">
        <v>0</v>
      </c>
      <c r="N251" s="14">
        <v>3</v>
      </c>
      <c r="O251" s="9">
        <v>1001</v>
      </c>
      <c r="P251" s="9" t="s">
        <v>188</v>
      </c>
      <c r="Q251" s="14">
        <v>1</v>
      </c>
      <c r="R251" s="9">
        <v>0</v>
      </c>
      <c r="S251" s="9">
        <v>0</v>
      </c>
      <c r="T251" s="8" t="s">
        <v>58</v>
      </c>
      <c r="U251" s="85">
        <v>53</v>
      </c>
      <c r="V251" s="8">
        <v>530704</v>
      </c>
      <c r="W251" s="16" t="s">
        <v>268</v>
      </c>
      <c r="X251" s="127">
        <v>0</v>
      </c>
      <c r="Y251" s="146">
        <f>2500-450</f>
        <v>2050</v>
      </c>
      <c r="Z251" s="17">
        <v>0</v>
      </c>
      <c r="AA251" s="17">
        <v>0</v>
      </c>
      <c r="AB251" s="17">
        <v>0</v>
      </c>
      <c r="AC251" s="17">
        <v>0</v>
      </c>
      <c r="AD251" s="17">
        <v>0</v>
      </c>
      <c r="AE251" s="17">
        <v>0</v>
      </c>
      <c r="AF251" s="17">
        <v>0</v>
      </c>
      <c r="AG251" s="17">
        <v>0</v>
      </c>
      <c r="AH251" s="17">
        <v>0</v>
      </c>
      <c r="AI251" s="17">
        <v>2050</v>
      </c>
      <c r="AJ251" s="107">
        <v>0</v>
      </c>
      <c r="AK251" s="17">
        <v>0</v>
      </c>
      <c r="AL251" s="17">
        <v>0</v>
      </c>
      <c r="AM251" s="17">
        <v>0</v>
      </c>
      <c r="AN251" s="17">
        <v>0</v>
      </c>
      <c r="AO251" s="17">
        <v>0</v>
      </c>
      <c r="AP251" s="17">
        <v>0</v>
      </c>
      <c r="AQ251" s="17">
        <v>0</v>
      </c>
      <c r="AR251" s="17">
        <v>0</v>
      </c>
      <c r="AS251" s="17">
        <v>0</v>
      </c>
      <c r="AT251" s="17">
        <v>0</v>
      </c>
      <c r="AU251" s="17">
        <v>0</v>
      </c>
      <c r="AV251" s="17">
        <v>2050</v>
      </c>
      <c r="AW251" s="17">
        <v>0</v>
      </c>
      <c r="AX251" s="19">
        <f t="shared" si="20"/>
        <v>2050</v>
      </c>
      <c r="AY251" s="10" t="str">
        <f t="shared" si="26"/>
        <v>OK</v>
      </c>
      <c r="AZ251" s="10">
        <f t="shared" si="19"/>
        <v>2050</v>
      </c>
      <c r="BA251" s="10">
        <f t="shared" si="21"/>
        <v>0</v>
      </c>
      <c r="BB251" s="17">
        <v>2050</v>
      </c>
      <c r="BC251" s="113">
        <f t="shared" si="23"/>
        <v>0</v>
      </c>
    </row>
    <row r="252" spans="1:55" s="118" customFormat="1" ht="13.5" customHeight="1">
      <c r="A252" s="16" t="s">
        <v>48</v>
      </c>
      <c r="B252" s="16" t="s">
        <v>49</v>
      </c>
      <c r="C252" s="16" t="s">
        <v>50</v>
      </c>
      <c r="D252" s="16" t="s">
        <v>51</v>
      </c>
      <c r="E252" s="16" t="s">
        <v>52</v>
      </c>
      <c r="F252" s="16" t="s">
        <v>53</v>
      </c>
      <c r="G252" s="16" t="s">
        <v>173</v>
      </c>
      <c r="H252" s="22" t="s">
        <v>55</v>
      </c>
      <c r="I252" s="134" t="s">
        <v>269</v>
      </c>
      <c r="J252" s="11">
        <v>1</v>
      </c>
      <c r="K252" s="12" t="s">
        <v>2</v>
      </c>
      <c r="L252" s="13">
        <v>1</v>
      </c>
      <c r="M252" s="14">
        <v>0</v>
      </c>
      <c r="N252" s="14">
        <v>1</v>
      </c>
      <c r="O252" s="9">
        <v>1001</v>
      </c>
      <c r="P252" s="9" t="s">
        <v>188</v>
      </c>
      <c r="Q252" s="14">
        <v>1</v>
      </c>
      <c r="R252" s="9">
        <v>0</v>
      </c>
      <c r="S252" s="9">
        <v>0</v>
      </c>
      <c r="T252" s="8" t="s">
        <v>58</v>
      </c>
      <c r="U252" s="85">
        <v>53</v>
      </c>
      <c r="V252" s="8">
        <v>530403</v>
      </c>
      <c r="W252" s="16" t="s">
        <v>91</v>
      </c>
      <c r="X252" s="127">
        <v>0</v>
      </c>
      <c r="Y252" s="132">
        <f>2278.92-244.17</f>
        <v>2034.75</v>
      </c>
      <c r="Z252" s="17">
        <v>0</v>
      </c>
      <c r="AA252" s="17">
        <v>0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7">
        <v>0</v>
      </c>
      <c r="AH252" s="17">
        <v>0</v>
      </c>
      <c r="AI252" s="17">
        <v>2034.75</v>
      </c>
      <c r="AJ252" s="107">
        <v>2034.75</v>
      </c>
      <c r="AK252" s="17">
        <v>0</v>
      </c>
      <c r="AL252" s="17">
        <v>0</v>
      </c>
      <c r="AM252" s="17">
        <v>0</v>
      </c>
      <c r="AN252" s="17">
        <v>0</v>
      </c>
      <c r="AO252" s="17">
        <v>0</v>
      </c>
      <c r="AP252" s="17">
        <v>0</v>
      </c>
      <c r="AQ252" s="17">
        <v>0</v>
      </c>
      <c r="AR252" s="17">
        <v>0</v>
      </c>
      <c r="AS252" s="17">
        <v>0</v>
      </c>
      <c r="AT252" s="17">
        <v>0</v>
      </c>
      <c r="AU252" s="17">
        <v>0</v>
      </c>
      <c r="AV252" s="17">
        <v>0</v>
      </c>
      <c r="AW252" s="17">
        <v>0</v>
      </c>
      <c r="AX252" s="19">
        <f t="shared" si="20"/>
        <v>2034.75</v>
      </c>
      <c r="AY252" s="10" t="str">
        <f t="shared" si="26"/>
        <v>OK</v>
      </c>
      <c r="AZ252" s="10">
        <f t="shared" si="19"/>
        <v>2034.75</v>
      </c>
      <c r="BA252" s="10">
        <f t="shared" si="21"/>
        <v>0</v>
      </c>
      <c r="BB252" s="17">
        <v>2034.75</v>
      </c>
      <c r="BC252" s="113">
        <f t="shared" si="23"/>
        <v>0</v>
      </c>
    </row>
    <row r="253" spans="1:55" s="118" customFormat="1" ht="13.5" customHeight="1">
      <c r="A253" s="16" t="s">
        <v>48</v>
      </c>
      <c r="B253" s="16" t="s">
        <v>49</v>
      </c>
      <c r="C253" s="16" t="s">
        <v>50</v>
      </c>
      <c r="D253" s="16" t="s">
        <v>51</v>
      </c>
      <c r="E253" s="16" t="s">
        <v>52</v>
      </c>
      <c r="F253" s="16" t="s">
        <v>53</v>
      </c>
      <c r="G253" s="16" t="s">
        <v>173</v>
      </c>
      <c r="H253" s="22" t="s">
        <v>55</v>
      </c>
      <c r="I253" s="72" t="s">
        <v>113</v>
      </c>
      <c r="J253" s="11">
        <v>1</v>
      </c>
      <c r="K253" s="12" t="s">
        <v>2</v>
      </c>
      <c r="L253" s="13">
        <v>1</v>
      </c>
      <c r="M253" s="14">
        <v>0</v>
      </c>
      <c r="N253" s="14">
        <v>1</v>
      </c>
      <c r="O253" s="9">
        <v>1001</v>
      </c>
      <c r="P253" s="9" t="s">
        <v>188</v>
      </c>
      <c r="Q253" s="14">
        <v>1</v>
      </c>
      <c r="R253" s="9">
        <v>0</v>
      </c>
      <c r="S253" s="9">
        <v>0</v>
      </c>
      <c r="T253" s="8" t="s">
        <v>58</v>
      </c>
      <c r="U253" s="85">
        <v>53</v>
      </c>
      <c r="V253" s="8">
        <v>530404</v>
      </c>
      <c r="W253" s="16" t="s">
        <v>93</v>
      </c>
      <c r="X253" s="127">
        <v>0</v>
      </c>
      <c r="Y253" s="71">
        <v>100</v>
      </c>
      <c r="Z253" s="17">
        <v>0</v>
      </c>
      <c r="AA253" s="17">
        <v>0</v>
      </c>
      <c r="AB253" s="17">
        <v>0</v>
      </c>
      <c r="AC253" s="17">
        <v>0</v>
      </c>
      <c r="AD253" s="17">
        <v>0</v>
      </c>
      <c r="AE253" s="17">
        <v>0</v>
      </c>
      <c r="AF253" s="17">
        <v>0</v>
      </c>
      <c r="AG253" s="17">
        <v>0</v>
      </c>
      <c r="AH253" s="80">
        <v>0</v>
      </c>
      <c r="AI253" s="17">
        <v>0</v>
      </c>
      <c r="AJ253" s="108">
        <v>100</v>
      </c>
      <c r="AK253" s="17">
        <v>0</v>
      </c>
      <c r="AL253" s="17">
        <v>0</v>
      </c>
      <c r="AM253" s="17">
        <v>0</v>
      </c>
      <c r="AN253" s="17">
        <v>0</v>
      </c>
      <c r="AO253" s="17">
        <v>0</v>
      </c>
      <c r="AP253" s="17">
        <v>0</v>
      </c>
      <c r="AQ253" s="17">
        <v>0</v>
      </c>
      <c r="AR253" s="17">
        <v>0</v>
      </c>
      <c r="AS253" s="17">
        <v>0</v>
      </c>
      <c r="AT253" s="17">
        <v>0</v>
      </c>
      <c r="AU253" s="17">
        <v>0</v>
      </c>
      <c r="AV253" s="17">
        <v>0</v>
      </c>
      <c r="AW253" s="17">
        <v>0</v>
      </c>
      <c r="AX253" s="19">
        <f t="shared" si="20"/>
        <v>100</v>
      </c>
      <c r="AY253" s="10" t="str">
        <f t="shared" si="26"/>
        <v>OK</v>
      </c>
      <c r="AZ253" s="10">
        <f t="shared" si="19"/>
        <v>0</v>
      </c>
      <c r="BA253" s="10">
        <f t="shared" si="21"/>
        <v>100</v>
      </c>
      <c r="BB253" s="17">
        <v>0</v>
      </c>
      <c r="BC253" s="113">
        <f t="shared" si="23"/>
        <v>100</v>
      </c>
    </row>
    <row r="254" spans="1:55" s="118" customFormat="1" ht="13.5" customHeight="1">
      <c r="A254" s="16" t="s">
        <v>48</v>
      </c>
      <c r="B254" s="16" t="s">
        <v>49</v>
      </c>
      <c r="C254" s="16" t="s">
        <v>50</v>
      </c>
      <c r="D254" s="16" t="s">
        <v>51</v>
      </c>
      <c r="E254" s="16" t="s">
        <v>52</v>
      </c>
      <c r="F254" s="16" t="s">
        <v>53</v>
      </c>
      <c r="G254" s="16" t="s">
        <v>173</v>
      </c>
      <c r="H254" s="22" t="s">
        <v>55</v>
      </c>
      <c r="I254" s="72" t="s">
        <v>113</v>
      </c>
      <c r="J254" s="11">
        <v>1</v>
      </c>
      <c r="K254" s="12" t="s">
        <v>2</v>
      </c>
      <c r="L254" s="13">
        <v>1</v>
      </c>
      <c r="M254" s="14">
        <v>0</v>
      </c>
      <c r="N254" s="14">
        <v>1</v>
      </c>
      <c r="O254" s="9">
        <v>1001</v>
      </c>
      <c r="P254" s="9" t="s">
        <v>188</v>
      </c>
      <c r="Q254" s="14">
        <v>1</v>
      </c>
      <c r="R254" s="9">
        <v>0</v>
      </c>
      <c r="S254" s="9">
        <v>0</v>
      </c>
      <c r="T254" s="8" t="s">
        <v>58</v>
      </c>
      <c r="U254" s="85">
        <v>53</v>
      </c>
      <c r="V254" s="8">
        <v>530405</v>
      </c>
      <c r="W254" s="16" t="s">
        <v>96</v>
      </c>
      <c r="X254" s="127">
        <v>0</v>
      </c>
      <c r="Y254" s="71">
        <f>50-45</f>
        <v>5</v>
      </c>
      <c r="Z254" s="17">
        <v>0</v>
      </c>
      <c r="AA254" s="17">
        <v>0</v>
      </c>
      <c r="AB254" s="17">
        <v>0</v>
      </c>
      <c r="AC254" s="17">
        <v>0</v>
      </c>
      <c r="AD254" s="17">
        <v>0</v>
      </c>
      <c r="AE254" s="17">
        <v>0</v>
      </c>
      <c r="AF254" s="17">
        <v>0</v>
      </c>
      <c r="AG254" s="17">
        <v>0</v>
      </c>
      <c r="AH254" s="80">
        <v>0</v>
      </c>
      <c r="AI254" s="17">
        <v>0</v>
      </c>
      <c r="AJ254" s="108">
        <v>5</v>
      </c>
      <c r="AK254" s="17">
        <v>5</v>
      </c>
      <c r="AL254" s="17">
        <v>0</v>
      </c>
      <c r="AM254" s="17">
        <v>0</v>
      </c>
      <c r="AN254" s="17">
        <v>0</v>
      </c>
      <c r="AO254" s="17">
        <v>0</v>
      </c>
      <c r="AP254" s="17">
        <v>0</v>
      </c>
      <c r="AQ254" s="17">
        <v>0</v>
      </c>
      <c r="AR254" s="17">
        <v>0</v>
      </c>
      <c r="AS254" s="17">
        <v>0</v>
      </c>
      <c r="AT254" s="17">
        <v>0</v>
      </c>
      <c r="AU254" s="17">
        <v>0</v>
      </c>
      <c r="AV254" s="17">
        <v>0</v>
      </c>
      <c r="AW254" s="17">
        <v>0</v>
      </c>
      <c r="AX254" s="19">
        <f t="shared" si="20"/>
        <v>5</v>
      </c>
      <c r="AY254" s="10" t="str">
        <f t="shared" si="26"/>
        <v>OK</v>
      </c>
      <c r="AZ254" s="10">
        <f t="shared" si="19"/>
        <v>5</v>
      </c>
      <c r="BA254" s="10">
        <f t="shared" si="21"/>
        <v>0</v>
      </c>
      <c r="BB254" s="17">
        <v>5</v>
      </c>
      <c r="BC254" s="113">
        <f t="shared" si="23"/>
        <v>0</v>
      </c>
    </row>
    <row r="255" spans="1:55" s="118" customFormat="1" ht="13.5" customHeight="1">
      <c r="A255" s="16" t="s">
        <v>48</v>
      </c>
      <c r="B255" s="16" t="s">
        <v>49</v>
      </c>
      <c r="C255" s="16" t="s">
        <v>50</v>
      </c>
      <c r="D255" s="16" t="s">
        <v>51</v>
      </c>
      <c r="E255" s="16" t="s">
        <v>52</v>
      </c>
      <c r="F255" s="16" t="s">
        <v>53</v>
      </c>
      <c r="G255" s="16" t="s">
        <v>173</v>
      </c>
      <c r="H255" s="22" t="s">
        <v>55</v>
      </c>
      <c r="I255" s="72" t="s">
        <v>270</v>
      </c>
      <c r="J255" s="11">
        <v>1</v>
      </c>
      <c r="K255" s="12" t="s">
        <v>2</v>
      </c>
      <c r="L255" s="13">
        <v>1</v>
      </c>
      <c r="M255" s="14">
        <v>0</v>
      </c>
      <c r="N255" s="14">
        <v>1</v>
      </c>
      <c r="O255" s="9">
        <v>1001</v>
      </c>
      <c r="P255" s="9" t="s">
        <v>188</v>
      </c>
      <c r="Q255" s="14">
        <v>1</v>
      </c>
      <c r="R255" s="9">
        <v>0</v>
      </c>
      <c r="S255" s="9">
        <v>0</v>
      </c>
      <c r="T255" s="8" t="s">
        <v>58</v>
      </c>
      <c r="U255" s="85">
        <v>53</v>
      </c>
      <c r="V255" s="8">
        <v>530704</v>
      </c>
      <c r="W255" s="16" t="s">
        <v>227</v>
      </c>
      <c r="X255" s="127">
        <v>0</v>
      </c>
      <c r="Y255" s="71">
        <f>500-290</f>
        <v>210</v>
      </c>
      <c r="Z255" s="17">
        <v>0</v>
      </c>
      <c r="AA255" s="17">
        <v>0</v>
      </c>
      <c r="AB255" s="17">
        <v>0</v>
      </c>
      <c r="AC255" s="17">
        <v>0</v>
      </c>
      <c r="AD255" s="17">
        <v>0</v>
      </c>
      <c r="AE255" s="17">
        <v>0</v>
      </c>
      <c r="AF255" s="17">
        <v>160</v>
      </c>
      <c r="AG255" s="17">
        <v>160</v>
      </c>
      <c r="AH255" s="17">
        <v>0</v>
      </c>
      <c r="AI255" s="17">
        <v>0</v>
      </c>
      <c r="AJ255" s="107">
        <v>0</v>
      </c>
      <c r="AK255" s="17">
        <v>0</v>
      </c>
      <c r="AL255" s="17">
        <v>0</v>
      </c>
      <c r="AM255" s="17">
        <v>0</v>
      </c>
      <c r="AN255" s="17">
        <v>0</v>
      </c>
      <c r="AO255" s="17">
        <v>0</v>
      </c>
      <c r="AP255" s="17">
        <v>0</v>
      </c>
      <c r="AQ255" s="17">
        <v>0</v>
      </c>
      <c r="AR255" s="17">
        <v>0</v>
      </c>
      <c r="AS255" s="17">
        <v>0</v>
      </c>
      <c r="AT255" s="17">
        <v>0</v>
      </c>
      <c r="AU255" s="17">
        <v>0</v>
      </c>
      <c r="AV255" s="17">
        <v>50</v>
      </c>
      <c r="AW255" s="17">
        <v>50</v>
      </c>
      <c r="AX255" s="19">
        <f t="shared" si="20"/>
        <v>210</v>
      </c>
      <c r="AY255" s="10" t="str">
        <f t="shared" si="26"/>
        <v>OK</v>
      </c>
      <c r="AZ255" s="10">
        <f t="shared" si="19"/>
        <v>210</v>
      </c>
      <c r="BA255" s="10">
        <f t="shared" si="21"/>
        <v>0</v>
      </c>
      <c r="BB255" s="17">
        <v>160</v>
      </c>
      <c r="BC255" s="113">
        <f t="shared" si="23"/>
        <v>50</v>
      </c>
    </row>
    <row r="256" spans="1:55" s="118" customFormat="1" ht="13.5" customHeight="1">
      <c r="A256" s="16" t="s">
        <v>48</v>
      </c>
      <c r="B256" s="16" t="s">
        <v>49</v>
      </c>
      <c r="C256" s="16" t="s">
        <v>50</v>
      </c>
      <c r="D256" s="16" t="s">
        <v>51</v>
      </c>
      <c r="E256" s="16" t="s">
        <v>52</v>
      </c>
      <c r="F256" s="16" t="s">
        <v>53</v>
      </c>
      <c r="G256" s="16" t="s">
        <v>173</v>
      </c>
      <c r="H256" s="22" t="s">
        <v>55</v>
      </c>
      <c r="I256" s="63" t="s">
        <v>271</v>
      </c>
      <c r="J256" s="11">
        <v>1</v>
      </c>
      <c r="K256" s="12" t="s">
        <v>2</v>
      </c>
      <c r="L256" s="13">
        <v>1</v>
      </c>
      <c r="M256" s="14">
        <v>0</v>
      </c>
      <c r="N256" s="14">
        <v>1</v>
      </c>
      <c r="O256" s="9">
        <v>1001</v>
      </c>
      <c r="P256" s="9" t="s">
        <v>188</v>
      </c>
      <c r="Q256" s="14">
        <v>1</v>
      </c>
      <c r="R256" s="9">
        <v>0</v>
      </c>
      <c r="S256" s="9">
        <v>0</v>
      </c>
      <c r="T256" s="8" t="s">
        <v>58</v>
      </c>
      <c r="U256" s="85">
        <v>53</v>
      </c>
      <c r="V256" s="8">
        <v>530813</v>
      </c>
      <c r="W256" s="16" t="s">
        <v>119</v>
      </c>
      <c r="X256" s="127">
        <v>0</v>
      </c>
      <c r="Y256" s="79">
        <f>500-210.6</f>
        <v>289.4</v>
      </c>
      <c r="Z256" s="17">
        <v>0</v>
      </c>
      <c r="AA256" s="17">
        <v>0</v>
      </c>
      <c r="AB256" s="17">
        <v>0</v>
      </c>
      <c r="AC256" s="17">
        <v>0</v>
      </c>
      <c r="AD256" s="17">
        <v>0</v>
      </c>
      <c r="AE256" s="17">
        <v>0</v>
      </c>
      <c r="AF256" s="17">
        <v>289.4</v>
      </c>
      <c r="AG256" s="17">
        <v>289.4</v>
      </c>
      <c r="AH256" s="17">
        <v>0</v>
      </c>
      <c r="AI256" s="17">
        <v>0</v>
      </c>
      <c r="AJ256" s="107">
        <v>0</v>
      </c>
      <c r="AK256" s="17">
        <v>0</v>
      </c>
      <c r="AL256" s="17">
        <v>0</v>
      </c>
      <c r="AM256" s="17">
        <v>0</v>
      </c>
      <c r="AN256" s="17">
        <v>0</v>
      </c>
      <c r="AO256" s="17">
        <v>0</v>
      </c>
      <c r="AP256" s="17">
        <v>0</v>
      </c>
      <c r="AQ256" s="17">
        <v>0</v>
      </c>
      <c r="AR256" s="17">
        <v>0</v>
      </c>
      <c r="AS256" s="17">
        <v>0</v>
      </c>
      <c r="AT256" s="17">
        <v>0</v>
      </c>
      <c r="AU256" s="17">
        <v>0</v>
      </c>
      <c r="AV256" s="17">
        <v>0</v>
      </c>
      <c r="AW256" s="17">
        <v>0</v>
      </c>
      <c r="AX256" s="19">
        <f t="shared" si="20"/>
        <v>289.4</v>
      </c>
      <c r="AY256" s="10" t="str">
        <f t="shared" si="26"/>
        <v>OK</v>
      </c>
      <c r="AZ256" s="10">
        <f t="shared" si="19"/>
        <v>289.4</v>
      </c>
      <c r="BA256" s="10">
        <f t="shared" si="21"/>
        <v>0</v>
      </c>
      <c r="BB256" s="17">
        <v>289.4</v>
      </c>
      <c r="BC256" s="113">
        <f t="shared" si="23"/>
        <v>0</v>
      </c>
    </row>
    <row r="257" spans="1:55" s="118" customFormat="1" ht="13.5" customHeight="1">
      <c r="A257" s="16" t="s">
        <v>48</v>
      </c>
      <c r="B257" s="16" t="s">
        <v>49</v>
      </c>
      <c r="C257" s="16" t="s">
        <v>50</v>
      </c>
      <c r="D257" s="16" t="s">
        <v>51</v>
      </c>
      <c r="E257" s="16" t="s">
        <v>52</v>
      </c>
      <c r="F257" s="16" t="s">
        <v>53</v>
      </c>
      <c r="G257" s="16" t="s">
        <v>173</v>
      </c>
      <c r="H257" s="22" t="s">
        <v>55</v>
      </c>
      <c r="I257" s="72" t="s">
        <v>328</v>
      </c>
      <c r="J257" s="11">
        <v>1</v>
      </c>
      <c r="K257" s="12" t="s">
        <v>2</v>
      </c>
      <c r="L257" s="13">
        <v>1</v>
      </c>
      <c r="M257" s="14">
        <v>0</v>
      </c>
      <c r="N257" s="14">
        <v>1</v>
      </c>
      <c r="O257" s="9">
        <v>1001</v>
      </c>
      <c r="P257" s="9" t="s">
        <v>188</v>
      </c>
      <c r="Q257" s="14">
        <v>1</v>
      </c>
      <c r="R257" s="9">
        <v>0</v>
      </c>
      <c r="S257" s="9">
        <v>0</v>
      </c>
      <c r="T257" s="8" t="s">
        <v>58</v>
      </c>
      <c r="U257" s="85">
        <v>53</v>
      </c>
      <c r="V257" s="8">
        <v>530811</v>
      </c>
      <c r="W257" s="16" t="s">
        <v>254</v>
      </c>
      <c r="X257" s="127">
        <v>0</v>
      </c>
      <c r="Y257" s="71">
        <f>650.72-650.72</f>
        <v>0</v>
      </c>
      <c r="Z257" s="17">
        <v>0</v>
      </c>
      <c r="AA257" s="17">
        <v>0</v>
      </c>
      <c r="AB257" s="17">
        <v>0</v>
      </c>
      <c r="AC257" s="17">
        <v>0</v>
      </c>
      <c r="AD257" s="17">
        <v>0</v>
      </c>
      <c r="AE257" s="17">
        <v>0</v>
      </c>
      <c r="AF257" s="17">
        <v>0</v>
      </c>
      <c r="AG257" s="17">
        <v>0</v>
      </c>
      <c r="AH257" s="17">
        <v>0</v>
      </c>
      <c r="AI257" s="17">
        <v>0</v>
      </c>
      <c r="AJ257" s="107">
        <v>0</v>
      </c>
      <c r="AK257" s="17">
        <v>0</v>
      </c>
      <c r="AL257" s="17">
        <v>0</v>
      </c>
      <c r="AM257" s="17">
        <v>0</v>
      </c>
      <c r="AN257" s="17">
        <v>0</v>
      </c>
      <c r="AO257" s="17">
        <v>0</v>
      </c>
      <c r="AP257" s="17">
        <v>0</v>
      </c>
      <c r="AQ257" s="17">
        <v>0</v>
      </c>
      <c r="AR257" s="17">
        <v>0</v>
      </c>
      <c r="AS257" s="17">
        <v>0</v>
      </c>
      <c r="AT257" s="17">
        <v>0</v>
      </c>
      <c r="AU257" s="17">
        <v>0</v>
      </c>
      <c r="AV257" s="17">
        <v>0</v>
      </c>
      <c r="AW257" s="17">
        <v>0</v>
      </c>
      <c r="AX257" s="19">
        <f t="shared" si="20"/>
        <v>0</v>
      </c>
      <c r="AY257" s="10" t="str">
        <f t="shared" si="26"/>
        <v>OK</v>
      </c>
      <c r="AZ257" s="10">
        <f t="shared" si="19"/>
        <v>0</v>
      </c>
      <c r="BA257" s="10">
        <f t="shared" si="21"/>
        <v>0</v>
      </c>
      <c r="BB257" s="17">
        <v>0</v>
      </c>
      <c r="BC257" s="113">
        <f t="shared" si="23"/>
        <v>0</v>
      </c>
    </row>
    <row r="258" spans="1:55" s="118" customFormat="1" ht="13.5" customHeight="1">
      <c r="A258" s="16" t="s">
        <v>48</v>
      </c>
      <c r="B258" s="16" t="s">
        <v>49</v>
      </c>
      <c r="C258" s="16" t="s">
        <v>50</v>
      </c>
      <c r="D258" s="16" t="s">
        <v>51</v>
      </c>
      <c r="E258" s="16" t="s">
        <v>52</v>
      </c>
      <c r="F258" s="16" t="s">
        <v>53</v>
      </c>
      <c r="G258" s="16" t="s">
        <v>173</v>
      </c>
      <c r="H258" s="22" t="s">
        <v>55</v>
      </c>
      <c r="I258" s="63" t="s">
        <v>272</v>
      </c>
      <c r="J258" s="11">
        <v>1</v>
      </c>
      <c r="K258" s="12" t="s">
        <v>2</v>
      </c>
      <c r="L258" s="13">
        <v>1</v>
      </c>
      <c r="M258" s="14">
        <v>0</v>
      </c>
      <c r="N258" s="14">
        <v>1</v>
      </c>
      <c r="O258" s="9">
        <v>1001</v>
      </c>
      <c r="P258" s="9" t="s">
        <v>188</v>
      </c>
      <c r="Q258" s="14">
        <v>1</v>
      </c>
      <c r="R258" s="9">
        <v>0</v>
      </c>
      <c r="S258" s="9">
        <v>0</v>
      </c>
      <c r="T258" s="8" t="s">
        <v>58</v>
      </c>
      <c r="U258" s="85">
        <v>53</v>
      </c>
      <c r="V258" s="8">
        <v>530811</v>
      </c>
      <c r="W258" s="16" t="s">
        <v>254</v>
      </c>
      <c r="X258" s="127">
        <v>0</v>
      </c>
      <c r="Y258" s="79">
        <f>450-60</f>
        <v>390</v>
      </c>
      <c r="Z258" s="17">
        <v>0</v>
      </c>
      <c r="AA258" s="17">
        <v>0</v>
      </c>
      <c r="AB258" s="17">
        <v>0</v>
      </c>
      <c r="AC258" s="17">
        <v>0</v>
      </c>
      <c r="AD258" s="17">
        <v>0</v>
      </c>
      <c r="AE258" s="17">
        <v>0</v>
      </c>
      <c r="AF258" s="17">
        <v>0</v>
      </c>
      <c r="AG258" s="17">
        <v>0</v>
      </c>
      <c r="AH258" s="17">
        <v>390</v>
      </c>
      <c r="AI258" s="17">
        <v>390</v>
      </c>
      <c r="AJ258" s="107">
        <v>0</v>
      </c>
      <c r="AK258" s="17">
        <v>0</v>
      </c>
      <c r="AL258" s="17">
        <v>0</v>
      </c>
      <c r="AM258" s="17">
        <v>0</v>
      </c>
      <c r="AN258" s="17">
        <v>0</v>
      </c>
      <c r="AO258" s="17">
        <v>0</v>
      </c>
      <c r="AP258" s="17">
        <v>0</v>
      </c>
      <c r="AQ258" s="17">
        <v>0</v>
      </c>
      <c r="AR258" s="17">
        <v>0</v>
      </c>
      <c r="AS258" s="17">
        <v>0</v>
      </c>
      <c r="AT258" s="17">
        <v>0</v>
      </c>
      <c r="AU258" s="17">
        <v>0</v>
      </c>
      <c r="AV258" s="17">
        <v>0</v>
      </c>
      <c r="AW258" s="17">
        <v>0</v>
      </c>
      <c r="AX258" s="19">
        <f t="shared" si="20"/>
        <v>390</v>
      </c>
      <c r="AY258" s="10" t="str">
        <f t="shared" si="26"/>
        <v>OK</v>
      </c>
      <c r="AZ258" s="10">
        <f t="shared" si="19"/>
        <v>390</v>
      </c>
      <c r="BA258" s="10">
        <f t="shared" si="21"/>
        <v>0</v>
      </c>
      <c r="BB258" s="17">
        <v>390</v>
      </c>
      <c r="BC258" s="113">
        <f t="shared" si="23"/>
        <v>0</v>
      </c>
    </row>
    <row r="259" spans="1:55" s="118" customFormat="1" ht="13.5" customHeight="1">
      <c r="A259" s="16" t="s">
        <v>48</v>
      </c>
      <c r="B259" s="16" t="s">
        <v>49</v>
      </c>
      <c r="C259" s="16" t="s">
        <v>50</v>
      </c>
      <c r="D259" s="16" t="s">
        <v>51</v>
      </c>
      <c r="E259" s="16" t="s">
        <v>52</v>
      </c>
      <c r="F259" s="16" t="s">
        <v>53</v>
      </c>
      <c r="G259" s="16" t="s">
        <v>173</v>
      </c>
      <c r="H259" s="22" t="s">
        <v>55</v>
      </c>
      <c r="I259" s="63" t="s">
        <v>277</v>
      </c>
      <c r="J259" s="11">
        <v>1</v>
      </c>
      <c r="K259" s="12" t="s">
        <v>2</v>
      </c>
      <c r="L259" s="13">
        <v>1</v>
      </c>
      <c r="M259" s="14">
        <v>0</v>
      </c>
      <c r="N259" s="14">
        <v>1</v>
      </c>
      <c r="O259" s="9">
        <v>1001</v>
      </c>
      <c r="P259" s="9" t="s">
        <v>188</v>
      </c>
      <c r="Q259" s="14">
        <v>1</v>
      </c>
      <c r="R259" s="9">
        <v>0</v>
      </c>
      <c r="S259" s="9">
        <v>0</v>
      </c>
      <c r="T259" s="8" t="s">
        <v>58</v>
      </c>
      <c r="U259" s="85">
        <v>53</v>
      </c>
      <c r="V259" s="8">
        <v>530804</v>
      </c>
      <c r="W259" s="16" t="s">
        <v>105</v>
      </c>
      <c r="X259" s="127">
        <v>0</v>
      </c>
      <c r="Y259" s="89">
        <f>110+76.96</f>
        <v>186.95999999999998</v>
      </c>
      <c r="Z259" s="17">
        <v>0</v>
      </c>
      <c r="AA259" s="17">
        <v>0</v>
      </c>
      <c r="AB259" s="17">
        <v>0</v>
      </c>
      <c r="AC259" s="17">
        <v>0</v>
      </c>
      <c r="AD259" s="17">
        <v>0</v>
      </c>
      <c r="AE259" s="17">
        <v>0</v>
      </c>
      <c r="AF259" s="17">
        <v>0</v>
      </c>
      <c r="AG259" s="17">
        <v>0</v>
      </c>
      <c r="AH259" s="17">
        <v>0</v>
      </c>
      <c r="AI259" s="17">
        <v>0</v>
      </c>
      <c r="AJ259" s="107">
        <v>186.95999999999998</v>
      </c>
      <c r="AK259" s="17">
        <v>0</v>
      </c>
      <c r="AL259" s="17">
        <v>0</v>
      </c>
      <c r="AM259" s="17">
        <v>186.95999999999998</v>
      </c>
      <c r="AN259" s="17">
        <v>0</v>
      </c>
      <c r="AO259" s="17">
        <v>0</v>
      </c>
      <c r="AP259" s="17">
        <v>0</v>
      </c>
      <c r="AQ259" s="17">
        <v>0</v>
      </c>
      <c r="AR259" s="17">
        <v>0</v>
      </c>
      <c r="AS259" s="17">
        <v>0</v>
      </c>
      <c r="AT259" s="17">
        <v>0</v>
      </c>
      <c r="AU259" s="17">
        <v>0</v>
      </c>
      <c r="AV259" s="17">
        <v>0</v>
      </c>
      <c r="AW259" s="17">
        <v>0</v>
      </c>
      <c r="AX259" s="19">
        <f t="shared" si="20"/>
        <v>186.95999999999998</v>
      </c>
      <c r="AY259" s="10" t="str">
        <f t="shared" si="26"/>
        <v>OK</v>
      </c>
      <c r="AZ259" s="10">
        <f t="shared" si="19"/>
        <v>186.95999999999998</v>
      </c>
      <c r="BA259" s="10">
        <f t="shared" si="21"/>
        <v>0</v>
      </c>
      <c r="BB259" s="17">
        <v>186.96</v>
      </c>
      <c r="BC259" s="113">
        <f t="shared" si="23"/>
        <v>0</v>
      </c>
    </row>
    <row r="260" spans="1:55" s="118" customFormat="1" ht="13.5" customHeight="1">
      <c r="A260" s="16" t="s">
        <v>48</v>
      </c>
      <c r="B260" s="16" t="s">
        <v>49</v>
      </c>
      <c r="C260" s="16" t="s">
        <v>50</v>
      </c>
      <c r="D260" s="16" t="s">
        <v>51</v>
      </c>
      <c r="E260" s="16" t="s">
        <v>52</v>
      </c>
      <c r="F260" s="16" t="s">
        <v>53</v>
      </c>
      <c r="G260" s="16" t="s">
        <v>173</v>
      </c>
      <c r="H260" s="22" t="s">
        <v>55</v>
      </c>
      <c r="I260" s="147" t="s">
        <v>281</v>
      </c>
      <c r="J260" s="11">
        <v>1</v>
      </c>
      <c r="K260" s="12" t="s">
        <v>2</v>
      </c>
      <c r="L260" s="13">
        <v>1</v>
      </c>
      <c r="M260" s="14">
        <v>0</v>
      </c>
      <c r="N260" s="14">
        <v>1</v>
      </c>
      <c r="O260" s="9">
        <v>1001</v>
      </c>
      <c r="P260" s="9" t="s">
        <v>188</v>
      </c>
      <c r="Q260" s="14">
        <v>1</v>
      </c>
      <c r="R260" s="9">
        <v>0</v>
      </c>
      <c r="S260" s="9">
        <v>0</v>
      </c>
      <c r="T260" s="8" t="s">
        <v>58</v>
      </c>
      <c r="U260" s="85">
        <v>53</v>
      </c>
      <c r="V260" s="8">
        <v>530402</v>
      </c>
      <c r="W260" s="16" t="s">
        <v>88</v>
      </c>
      <c r="X260" s="127">
        <v>0</v>
      </c>
      <c r="Y260" s="146">
        <f>20000+4464.29-920-9754.29</f>
        <v>13790</v>
      </c>
      <c r="Z260" s="17">
        <v>0</v>
      </c>
      <c r="AA260" s="17">
        <v>0</v>
      </c>
      <c r="AB260" s="17">
        <v>0</v>
      </c>
      <c r="AC260" s="17">
        <v>0</v>
      </c>
      <c r="AD260" s="17">
        <v>0</v>
      </c>
      <c r="AE260" s="17">
        <v>0</v>
      </c>
      <c r="AF260" s="17">
        <v>0</v>
      </c>
      <c r="AG260" s="17">
        <v>0</v>
      </c>
      <c r="AH260" s="17">
        <v>0</v>
      </c>
      <c r="AI260" s="17">
        <v>0</v>
      </c>
      <c r="AJ260" s="107">
        <v>0</v>
      </c>
      <c r="AK260" s="17">
        <v>0</v>
      </c>
      <c r="AL260" s="17">
        <v>0</v>
      </c>
      <c r="AM260" s="17">
        <v>0</v>
      </c>
      <c r="AN260" s="17">
        <v>0</v>
      </c>
      <c r="AO260" s="17">
        <v>0</v>
      </c>
      <c r="AP260" s="17">
        <v>0</v>
      </c>
      <c r="AQ260" s="17">
        <v>0</v>
      </c>
      <c r="AR260" s="17">
        <v>0</v>
      </c>
      <c r="AS260" s="17">
        <v>0</v>
      </c>
      <c r="AT260" s="17">
        <v>0</v>
      </c>
      <c r="AU260" s="17">
        <v>0</v>
      </c>
      <c r="AV260" s="17">
        <v>13790</v>
      </c>
      <c r="AW260" s="17">
        <v>13790</v>
      </c>
      <c r="AX260" s="19">
        <f t="shared" si="20"/>
        <v>13790</v>
      </c>
      <c r="AY260" s="10" t="str">
        <f t="shared" si="26"/>
        <v>OK</v>
      </c>
      <c r="AZ260" s="10">
        <f t="shared" si="19"/>
        <v>13790</v>
      </c>
      <c r="BA260" s="10">
        <f t="shared" si="21"/>
        <v>0</v>
      </c>
      <c r="BB260" s="17">
        <f>16305.74-2515.74</f>
        <v>13790</v>
      </c>
      <c r="BC260" s="113">
        <f t="shared" si="23"/>
        <v>0</v>
      </c>
    </row>
    <row r="261" spans="1:55" s="118" customFormat="1" ht="13.5" customHeight="1">
      <c r="A261" s="16" t="s">
        <v>48</v>
      </c>
      <c r="B261" s="16" t="s">
        <v>49</v>
      </c>
      <c r="C261" s="16" t="s">
        <v>50</v>
      </c>
      <c r="D261" s="16" t="s">
        <v>51</v>
      </c>
      <c r="E261" s="16" t="s">
        <v>52</v>
      </c>
      <c r="F261" s="16" t="s">
        <v>53</v>
      </c>
      <c r="G261" s="16" t="s">
        <v>173</v>
      </c>
      <c r="H261" s="22" t="s">
        <v>55</v>
      </c>
      <c r="I261" s="63" t="s">
        <v>282</v>
      </c>
      <c r="J261" s="11">
        <v>1</v>
      </c>
      <c r="K261" s="12" t="s">
        <v>2</v>
      </c>
      <c r="L261" s="13">
        <v>1</v>
      </c>
      <c r="M261" s="14">
        <v>0</v>
      </c>
      <c r="N261" s="14">
        <v>1</v>
      </c>
      <c r="O261" s="9">
        <v>1001</v>
      </c>
      <c r="P261" s="9" t="s">
        <v>188</v>
      </c>
      <c r="Q261" s="14">
        <v>1</v>
      </c>
      <c r="R261" s="9">
        <v>0</v>
      </c>
      <c r="S261" s="9">
        <v>0</v>
      </c>
      <c r="T261" s="8" t="s">
        <v>58</v>
      </c>
      <c r="U261" s="85">
        <v>53</v>
      </c>
      <c r="V261" s="8">
        <v>530813</v>
      </c>
      <c r="W261" s="16" t="s">
        <v>119</v>
      </c>
      <c r="X261" s="127">
        <v>0</v>
      </c>
      <c r="Y261" s="79">
        <v>2000</v>
      </c>
      <c r="Z261" s="17">
        <v>0</v>
      </c>
      <c r="AA261" s="17">
        <v>0</v>
      </c>
      <c r="AB261" s="17">
        <v>0</v>
      </c>
      <c r="AC261" s="17">
        <v>0</v>
      </c>
      <c r="AD261" s="17">
        <v>0</v>
      </c>
      <c r="AE261" s="17">
        <v>0</v>
      </c>
      <c r="AF261" s="17">
        <v>0</v>
      </c>
      <c r="AG261" s="17">
        <v>0</v>
      </c>
      <c r="AH261" s="17">
        <v>0</v>
      </c>
      <c r="AI261" s="17">
        <v>0</v>
      </c>
      <c r="AJ261" s="107">
        <v>0</v>
      </c>
      <c r="AK261" s="17">
        <v>0</v>
      </c>
      <c r="AL261" s="17">
        <v>2000</v>
      </c>
      <c r="AM261" s="17">
        <v>210</v>
      </c>
      <c r="AN261" s="17">
        <v>0</v>
      </c>
      <c r="AO261" s="17">
        <v>0</v>
      </c>
      <c r="AP261" s="17">
        <v>0</v>
      </c>
      <c r="AQ261" s="17">
        <v>0</v>
      </c>
      <c r="AR261" s="17">
        <v>0</v>
      </c>
      <c r="AS261" s="17">
        <v>220</v>
      </c>
      <c r="AT261" s="17">
        <v>0</v>
      </c>
      <c r="AU261" s="17">
        <v>0</v>
      </c>
      <c r="AV261" s="17">
        <v>0</v>
      </c>
      <c r="AW261" s="17">
        <v>0</v>
      </c>
      <c r="AX261" s="19">
        <f t="shared" si="20"/>
        <v>2000</v>
      </c>
      <c r="AY261" s="10" t="str">
        <f t="shared" si="26"/>
        <v>OK</v>
      </c>
      <c r="AZ261" s="10">
        <f t="shared" si="19"/>
        <v>430</v>
      </c>
      <c r="BA261" s="10">
        <f t="shared" si="21"/>
        <v>1570</v>
      </c>
      <c r="BB261" s="17">
        <v>220</v>
      </c>
      <c r="BC261" s="113">
        <f t="shared" si="23"/>
        <v>1780</v>
      </c>
    </row>
    <row r="262" spans="1:55" s="118" customFormat="1" ht="13.5" customHeight="1">
      <c r="A262" s="16" t="s">
        <v>48</v>
      </c>
      <c r="B262" s="16" t="s">
        <v>49</v>
      </c>
      <c r="C262" s="16" t="s">
        <v>50</v>
      </c>
      <c r="D262" s="16" t="s">
        <v>51</v>
      </c>
      <c r="E262" s="16" t="s">
        <v>52</v>
      </c>
      <c r="F262" s="16" t="s">
        <v>53</v>
      </c>
      <c r="G262" s="16" t="s">
        <v>173</v>
      </c>
      <c r="H262" s="22" t="s">
        <v>55</v>
      </c>
      <c r="I262" s="87" t="s">
        <v>285</v>
      </c>
      <c r="J262" s="11">
        <v>1</v>
      </c>
      <c r="K262" s="12" t="s">
        <v>2</v>
      </c>
      <c r="L262" s="13">
        <v>1</v>
      </c>
      <c r="M262" s="14">
        <v>0</v>
      </c>
      <c r="N262" s="14">
        <v>1</v>
      </c>
      <c r="O262" s="9">
        <v>1001</v>
      </c>
      <c r="P262" s="9" t="s">
        <v>188</v>
      </c>
      <c r="Q262" s="14">
        <v>1</v>
      </c>
      <c r="R262" s="9">
        <v>0</v>
      </c>
      <c r="S262" s="9">
        <v>0</v>
      </c>
      <c r="T262" s="8" t="s">
        <v>58</v>
      </c>
      <c r="U262" s="85">
        <v>53</v>
      </c>
      <c r="V262" s="8">
        <v>530301</v>
      </c>
      <c r="W262" s="16" t="s">
        <v>83</v>
      </c>
      <c r="X262" s="127">
        <v>0</v>
      </c>
      <c r="Y262" s="86">
        <f>1500-1500</f>
        <v>0</v>
      </c>
      <c r="Z262" s="17">
        <v>0</v>
      </c>
      <c r="AA262" s="17">
        <v>0</v>
      </c>
      <c r="AB262" s="17">
        <v>0</v>
      </c>
      <c r="AC262" s="17">
        <v>0</v>
      </c>
      <c r="AD262" s="17">
        <v>0</v>
      </c>
      <c r="AE262" s="17">
        <v>0</v>
      </c>
      <c r="AF262" s="17">
        <v>0</v>
      </c>
      <c r="AG262" s="17">
        <v>0</v>
      </c>
      <c r="AH262" s="17">
        <v>0</v>
      </c>
      <c r="AI262" s="17">
        <v>0</v>
      </c>
      <c r="AJ262" s="107">
        <v>0</v>
      </c>
      <c r="AK262" s="17">
        <v>0</v>
      </c>
      <c r="AL262" s="17">
        <v>0</v>
      </c>
      <c r="AM262" s="17">
        <v>0</v>
      </c>
      <c r="AN262" s="17">
        <v>0</v>
      </c>
      <c r="AO262" s="17">
        <v>0</v>
      </c>
      <c r="AP262" s="17">
        <v>0</v>
      </c>
      <c r="AQ262" s="17">
        <v>0</v>
      </c>
      <c r="AR262" s="17">
        <v>0</v>
      </c>
      <c r="AS262" s="17">
        <v>0</v>
      </c>
      <c r="AT262" s="17">
        <v>0</v>
      </c>
      <c r="AU262" s="17">
        <v>0</v>
      </c>
      <c r="AV262" s="17">
        <v>0</v>
      </c>
      <c r="AW262" s="17">
        <v>0</v>
      </c>
      <c r="AX262" s="19">
        <f t="shared" si="20"/>
        <v>0</v>
      </c>
      <c r="AY262" s="10" t="str">
        <f t="shared" si="26"/>
        <v>OK</v>
      </c>
      <c r="AZ262" s="10">
        <f aca="true" t="shared" si="27" ref="AZ262:AZ325">IF($AZ$4="Seleccione el mes",$AZ$4,IF($AZ$4="Enero",AA262,IF($AZ$4="Febrero",AA262+AC262,IF($AZ$4="Marzo",AA262+AC262+AE262,IF($AZ$4="Abril",AA262+AC262+AE262+AG262,IF($AZ$4="Mayo",AA262+AC262+AE262+AG262+AI262,IF($AZ$4="Junio",AA262+AC262+AE262+AG262+AI262+AK262,IF($AZ$4="Julio",AA262+AC262+AE262+AG262+AI262+AK262+AM262,IF($AZ$4="Agosto",AA262+AC262+AE262+AG262+AI262+AK262+AM262+AO262,IF($AZ$4="Septiembre",AA262++AE262++AI262+AK262+AM262+AO262+AQ262,IF($AZ$4="Octubre",AA262+AC262+AE262+AG262+AI262+AK262+AM262+AO262+AQ262+AS262,IF($AZ$4="Noviembre",AA262+AC262+AE262+AG262+AI262+AK262+AM262+AO262+AQ262+AS262+AU262,IF($AZ$4="Diciembre",AA262+AC262+AE262+AG262+AI262+AK262+AM262+AO262+AQ262+AS262+AU262+AW262)))))))))))))</f>
        <v>0</v>
      </c>
      <c r="BA262" s="10">
        <f t="shared" si="21"/>
        <v>0</v>
      </c>
      <c r="BB262" s="17">
        <v>0</v>
      </c>
      <c r="BC262" s="113">
        <f t="shared" si="23"/>
        <v>0</v>
      </c>
    </row>
    <row r="263" spans="1:55" s="118" customFormat="1" ht="13.5" customHeight="1">
      <c r="A263" s="16" t="s">
        <v>48</v>
      </c>
      <c r="B263" s="16" t="s">
        <v>49</v>
      </c>
      <c r="C263" s="16" t="s">
        <v>50</v>
      </c>
      <c r="D263" s="16" t="s">
        <v>51</v>
      </c>
      <c r="E263" s="16" t="s">
        <v>52</v>
      </c>
      <c r="F263" s="16" t="s">
        <v>53</v>
      </c>
      <c r="G263" s="16" t="s">
        <v>173</v>
      </c>
      <c r="H263" s="22" t="s">
        <v>55</v>
      </c>
      <c r="I263" s="87" t="s">
        <v>289</v>
      </c>
      <c r="J263" s="11">
        <v>1</v>
      </c>
      <c r="K263" s="12" t="s">
        <v>2</v>
      </c>
      <c r="L263" s="13">
        <v>1</v>
      </c>
      <c r="M263" s="14">
        <v>0</v>
      </c>
      <c r="N263" s="14">
        <v>1</v>
      </c>
      <c r="O263" s="9">
        <v>1001</v>
      </c>
      <c r="P263" s="9" t="s">
        <v>188</v>
      </c>
      <c r="Q263" s="14">
        <v>1</v>
      </c>
      <c r="R263" s="9">
        <v>0</v>
      </c>
      <c r="S263" s="9">
        <v>0</v>
      </c>
      <c r="T263" s="8" t="s">
        <v>58</v>
      </c>
      <c r="U263" s="85">
        <v>53</v>
      </c>
      <c r="V263" s="8">
        <v>530813</v>
      </c>
      <c r="W263" s="16" t="s">
        <v>119</v>
      </c>
      <c r="X263" s="127">
        <v>0</v>
      </c>
      <c r="Y263" s="86">
        <f>1500-112.56</f>
        <v>1387.44</v>
      </c>
      <c r="Z263" s="17">
        <v>0</v>
      </c>
      <c r="AA263" s="17">
        <v>0</v>
      </c>
      <c r="AB263" s="17">
        <v>0</v>
      </c>
      <c r="AC263" s="17">
        <v>0</v>
      </c>
      <c r="AD263" s="17">
        <v>0</v>
      </c>
      <c r="AE263" s="17">
        <v>0</v>
      </c>
      <c r="AF263" s="17">
        <v>0</v>
      </c>
      <c r="AG263" s="17">
        <v>0</v>
      </c>
      <c r="AH263" s="17">
        <v>0</v>
      </c>
      <c r="AI263" s="17">
        <v>0</v>
      </c>
      <c r="AJ263" s="107">
        <v>0</v>
      </c>
      <c r="AK263" s="17">
        <v>0</v>
      </c>
      <c r="AL263" s="17">
        <v>0</v>
      </c>
      <c r="AM263" s="17">
        <v>0</v>
      </c>
      <c r="AN263" s="17">
        <v>0</v>
      </c>
      <c r="AO263" s="17">
        <v>0</v>
      </c>
      <c r="AP263" s="17">
        <v>0</v>
      </c>
      <c r="AQ263" s="17">
        <v>0</v>
      </c>
      <c r="AR263" s="17">
        <v>0</v>
      </c>
      <c r="AS263" s="17">
        <v>0</v>
      </c>
      <c r="AT263" s="17">
        <v>0</v>
      </c>
      <c r="AU263" s="17">
        <v>180</v>
      </c>
      <c r="AV263" s="17">
        <v>1387.44</v>
      </c>
      <c r="AW263" s="17">
        <v>0</v>
      </c>
      <c r="AX263" s="19">
        <f aca="true" t="shared" si="28" ref="AX263:AX326">SUM(Z263+AB263+AD263+AF263+AH263+AJ263+AL263+AN263+AP263+AR263+AT263+AV263)</f>
        <v>1387.44</v>
      </c>
      <c r="AY263" s="10" t="str">
        <f t="shared" si="26"/>
        <v>OK</v>
      </c>
      <c r="AZ263" s="10">
        <f t="shared" si="27"/>
        <v>180</v>
      </c>
      <c r="BA263" s="10">
        <f aca="true" t="shared" si="29" ref="BA263:BA326">Z263-AA263+AB263-AC263+AD263-AE263+AF263-AG263+AH263-AI263+AJ263-AK263+AL263-AM263+AN263-AO263+AP263-AQ263+AR263-AS263+AT263-AU263+AV263-AW263</f>
        <v>1207.44</v>
      </c>
      <c r="BB263" s="17">
        <v>180</v>
      </c>
      <c r="BC263" s="113">
        <f t="shared" si="23"/>
        <v>1207.44</v>
      </c>
    </row>
    <row r="264" spans="1:55" s="118" customFormat="1" ht="13.5" customHeight="1">
      <c r="A264" s="16" t="s">
        <v>48</v>
      </c>
      <c r="B264" s="16" t="s">
        <v>49</v>
      </c>
      <c r="C264" s="16" t="s">
        <v>50</v>
      </c>
      <c r="D264" s="16" t="s">
        <v>51</v>
      </c>
      <c r="E264" s="16" t="s">
        <v>52</v>
      </c>
      <c r="F264" s="16" t="s">
        <v>53</v>
      </c>
      <c r="G264" s="16" t="s">
        <v>173</v>
      </c>
      <c r="H264" s="22" t="s">
        <v>55</v>
      </c>
      <c r="I264" s="147" t="s">
        <v>290</v>
      </c>
      <c r="J264" s="11">
        <v>1</v>
      </c>
      <c r="K264" s="12" t="s">
        <v>2</v>
      </c>
      <c r="L264" s="13">
        <v>1</v>
      </c>
      <c r="M264" s="14">
        <v>0</v>
      </c>
      <c r="N264" s="14">
        <v>1</v>
      </c>
      <c r="O264" s="9">
        <v>1001</v>
      </c>
      <c r="P264" s="9" t="s">
        <v>188</v>
      </c>
      <c r="Q264" s="14">
        <v>1</v>
      </c>
      <c r="R264" s="9">
        <v>0</v>
      </c>
      <c r="S264" s="9">
        <v>0</v>
      </c>
      <c r="T264" s="8" t="s">
        <v>58</v>
      </c>
      <c r="U264" s="85">
        <v>53</v>
      </c>
      <c r="V264" s="8">
        <v>530404</v>
      </c>
      <c r="W264" s="16" t="s">
        <v>93</v>
      </c>
      <c r="X264" s="127">
        <v>0</v>
      </c>
      <c r="Y264" s="146">
        <f>1000-920</f>
        <v>80</v>
      </c>
      <c r="Z264" s="17">
        <v>0</v>
      </c>
      <c r="AA264" s="17">
        <v>0</v>
      </c>
      <c r="AB264" s="17">
        <v>0</v>
      </c>
      <c r="AC264" s="17">
        <v>0</v>
      </c>
      <c r="AD264" s="17">
        <v>0</v>
      </c>
      <c r="AE264" s="17">
        <v>0</v>
      </c>
      <c r="AF264" s="17">
        <v>0</v>
      </c>
      <c r="AG264" s="17">
        <v>0</v>
      </c>
      <c r="AH264" s="17">
        <v>0</v>
      </c>
      <c r="AI264" s="17">
        <v>0</v>
      </c>
      <c r="AJ264" s="107">
        <v>0</v>
      </c>
      <c r="AK264" s="17">
        <v>0</v>
      </c>
      <c r="AL264" s="17">
        <v>0</v>
      </c>
      <c r="AM264" s="17">
        <v>0</v>
      </c>
      <c r="AN264" s="17">
        <v>0</v>
      </c>
      <c r="AO264" s="17">
        <v>0</v>
      </c>
      <c r="AP264" s="17">
        <v>0</v>
      </c>
      <c r="AQ264" s="17">
        <v>0</v>
      </c>
      <c r="AR264" s="17">
        <v>0</v>
      </c>
      <c r="AS264" s="17">
        <v>0</v>
      </c>
      <c r="AT264" s="17">
        <v>0</v>
      </c>
      <c r="AU264" s="17">
        <v>80</v>
      </c>
      <c r="AV264" s="17">
        <v>80</v>
      </c>
      <c r="AW264" s="17">
        <v>0</v>
      </c>
      <c r="AX264" s="19">
        <f t="shared" si="28"/>
        <v>80</v>
      </c>
      <c r="AY264" s="10" t="str">
        <f>IF(AX264=Y264,"OK",Y264-AX264)</f>
        <v>OK</v>
      </c>
      <c r="AZ264" s="10">
        <f t="shared" si="27"/>
        <v>80</v>
      </c>
      <c r="BA264" s="10">
        <f t="shared" si="29"/>
        <v>0</v>
      </c>
      <c r="BB264" s="17">
        <v>80</v>
      </c>
      <c r="BC264" s="113">
        <f t="shared" si="23"/>
        <v>0</v>
      </c>
    </row>
    <row r="265" spans="1:55" s="118" customFormat="1" ht="13.5" customHeight="1">
      <c r="A265" s="16" t="s">
        <v>48</v>
      </c>
      <c r="B265" s="16" t="s">
        <v>49</v>
      </c>
      <c r="C265" s="16" t="s">
        <v>50</v>
      </c>
      <c r="D265" s="16" t="s">
        <v>51</v>
      </c>
      <c r="E265" s="16" t="s">
        <v>52</v>
      </c>
      <c r="F265" s="16" t="s">
        <v>53</v>
      </c>
      <c r="G265" s="16" t="s">
        <v>173</v>
      </c>
      <c r="H265" s="22" t="s">
        <v>55</v>
      </c>
      <c r="I265" s="23" t="s">
        <v>298</v>
      </c>
      <c r="J265" s="11">
        <v>1</v>
      </c>
      <c r="K265" s="12" t="s">
        <v>2</v>
      </c>
      <c r="L265" s="13">
        <v>1</v>
      </c>
      <c r="M265" s="14">
        <v>0</v>
      </c>
      <c r="N265" s="14">
        <v>1</v>
      </c>
      <c r="O265" s="9">
        <v>1001</v>
      </c>
      <c r="P265" s="9" t="s">
        <v>188</v>
      </c>
      <c r="Q265" s="14">
        <v>1</v>
      </c>
      <c r="R265" s="9">
        <v>0</v>
      </c>
      <c r="S265" s="9">
        <v>0</v>
      </c>
      <c r="T265" s="8" t="s">
        <v>58</v>
      </c>
      <c r="U265" s="85">
        <v>53</v>
      </c>
      <c r="V265" s="8">
        <v>530502</v>
      </c>
      <c r="W265" s="16" t="s">
        <v>294</v>
      </c>
      <c r="X265" s="127">
        <v>0</v>
      </c>
      <c r="Y265" s="123">
        <v>53.76</v>
      </c>
      <c r="Z265" s="17">
        <v>0</v>
      </c>
      <c r="AA265" s="17">
        <v>0</v>
      </c>
      <c r="AB265" s="17">
        <v>0</v>
      </c>
      <c r="AC265" s="17">
        <v>0</v>
      </c>
      <c r="AD265" s="17">
        <v>0</v>
      </c>
      <c r="AE265" s="17">
        <v>0</v>
      </c>
      <c r="AF265" s="17">
        <v>0</v>
      </c>
      <c r="AG265" s="17">
        <v>0</v>
      </c>
      <c r="AH265" s="17">
        <v>0</v>
      </c>
      <c r="AI265" s="17">
        <v>0</v>
      </c>
      <c r="AJ265" s="107">
        <v>0</v>
      </c>
      <c r="AK265" s="17">
        <v>0</v>
      </c>
      <c r="AL265" s="17">
        <v>0</v>
      </c>
      <c r="AM265" s="17">
        <v>0</v>
      </c>
      <c r="AN265" s="17">
        <v>53.76</v>
      </c>
      <c r="AO265" s="17">
        <v>53.76</v>
      </c>
      <c r="AP265" s="17">
        <v>0</v>
      </c>
      <c r="AQ265" s="17">
        <v>0</v>
      </c>
      <c r="AR265" s="17">
        <v>0</v>
      </c>
      <c r="AS265" s="17">
        <v>0</v>
      </c>
      <c r="AT265" s="17">
        <v>0</v>
      </c>
      <c r="AU265" s="17">
        <v>0</v>
      </c>
      <c r="AV265" s="17">
        <v>0</v>
      </c>
      <c r="AW265" s="17">
        <v>0</v>
      </c>
      <c r="AX265" s="19">
        <f t="shared" si="28"/>
        <v>53.76</v>
      </c>
      <c r="AY265" s="10" t="str">
        <f aca="true" t="shared" si="30" ref="AY265:AY278">IF(AX265=Y265,"OK",Y265-AX265)</f>
        <v>OK</v>
      </c>
      <c r="AZ265" s="10">
        <f t="shared" si="27"/>
        <v>53.76</v>
      </c>
      <c r="BA265" s="10">
        <f t="shared" si="29"/>
        <v>0</v>
      </c>
      <c r="BB265" s="17">
        <v>53.76</v>
      </c>
      <c r="BC265" s="113">
        <f t="shared" si="23"/>
        <v>0</v>
      </c>
    </row>
    <row r="266" spans="1:55" s="118" customFormat="1" ht="13.5" customHeight="1">
      <c r="A266" s="16" t="s">
        <v>48</v>
      </c>
      <c r="B266" s="16" t="s">
        <v>49</v>
      </c>
      <c r="C266" s="16" t="s">
        <v>50</v>
      </c>
      <c r="D266" s="16" t="s">
        <v>51</v>
      </c>
      <c r="E266" s="16" t="s">
        <v>52</v>
      </c>
      <c r="F266" s="16" t="s">
        <v>53</v>
      </c>
      <c r="G266" s="16" t="s">
        <v>173</v>
      </c>
      <c r="H266" s="22" t="s">
        <v>55</v>
      </c>
      <c r="I266" s="134" t="s">
        <v>299</v>
      </c>
      <c r="J266" s="11">
        <v>1</v>
      </c>
      <c r="K266" s="12" t="s">
        <v>2</v>
      </c>
      <c r="L266" s="13">
        <v>1</v>
      </c>
      <c r="M266" s="14">
        <v>0</v>
      </c>
      <c r="N266" s="14">
        <v>1</v>
      </c>
      <c r="O266" s="9">
        <v>1001</v>
      </c>
      <c r="P266" s="9" t="s">
        <v>188</v>
      </c>
      <c r="Q266" s="14">
        <v>1</v>
      </c>
      <c r="R266" s="9">
        <v>0</v>
      </c>
      <c r="S266" s="9">
        <v>0</v>
      </c>
      <c r="T266" s="8" t="s">
        <v>58</v>
      </c>
      <c r="U266" s="85">
        <v>53</v>
      </c>
      <c r="V266" s="8">
        <v>531404</v>
      </c>
      <c r="W266" s="16" t="s">
        <v>261</v>
      </c>
      <c r="X266" s="127">
        <v>0</v>
      </c>
      <c r="Y266" s="132">
        <f>100-55.5</f>
        <v>44.5</v>
      </c>
      <c r="Z266" s="17">
        <v>0</v>
      </c>
      <c r="AA266" s="17">
        <v>0</v>
      </c>
      <c r="AB266" s="17">
        <v>0</v>
      </c>
      <c r="AC266" s="17">
        <v>0</v>
      </c>
      <c r="AD266" s="17">
        <v>0</v>
      </c>
      <c r="AE266" s="17">
        <v>0</v>
      </c>
      <c r="AF266" s="17">
        <v>0</v>
      </c>
      <c r="AG266" s="17">
        <v>0</v>
      </c>
      <c r="AH266" s="17">
        <v>0</v>
      </c>
      <c r="AI266" s="17">
        <v>0</v>
      </c>
      <c r="AJ266" s="107">
        <v>0</v>
      </c>
      <c r="AK266" s="17">
        <v>0</v>
      </c>
      <c r="AL266" s="17">
        <v>0</v>
      </c>
      <c r="AM266" s="17">
        <v>0</v>
      </c>
      <c r="AN266" s="17">
        <v>0</v>
      </c>
      <c r="AO266" s="17">
        <v>0</v>
      </c>
      <c r="AP266" s="17">
        <v>44.5</v>
      </c>
      <c r="AQ266" s="17">
        <v>44.5</v>
      </c>
      <c r="AR266" s="17">
        <v>0</v>
      </c>
      <c r="AS266" s="17">
        <v>0</v>
      </c>
      <c r="AT266" s="17">
        <v>0</v>
      </c>
      <c r="AU266" s="17">
        <v>0</v>
      </c>
      <c r="AV266" s="17">
        <v>0</v>
      </c>
      <c r="AW266" s="17">
        <v>0</v>
      </c>
      <c r="AX266" s="19">
        <f t="shared" si="28"/>
        <v>44.5</v>
      </c>
      <c r="AY266" s="10" t="str">
        <f t="shared" si="30"/>
        <v>OK</v>
      </c>
      <c r="AZ266" s="10">
        <f t="shared" si="27"/>
        <v>44.5</v>
      </c>
      <c r="BA266" s="10">
        <f t="shared" si="29"/>
        <v>0</v>
      </c>
      <c r="BB266" s="17">
        <v>44.5</v>
      </c>
      <c r="BC266" s="113">
        <f t="shared" si="23"/>
        <v>0</v>
      </c>
    </row>
    <row r="267" spans="1:55" s="118" customFormat="1" ht="13.5" customHeight="1">
      <c r="A267" s="16" t="s">
        <v>48</v>
      </c>
      <c r="B267" s="16" t="s">
        <v>49</v>
      </c>
      <c r="C267" s="16" t="s">
        <v>74</v>
      </c>
      <c r="D267" s="16" t="s">
        <v>75</v>
      </c>
      <c r="E267" s="16" t="s">
        <v>52</v>
      </c>
      <c r="F267" s="16" t="s">
        <v>53</v>
      </c>
      <c r="G267" s="16" t="s">
        <v>191</v>
      </c>
      <c r="H267" s="22" t="s">
        <v>76</v>
      </c>
      <c r="I267" s="125" t="s">
        <v>301</v>
      </c>
      <c r="J267" s="11">
        <v>1</v>
      </c>
      <c r="K267" s="12" t="s">
        <v>2</v>
      </c>
      <c r="L267" s="13">
        <v>1</v>
      </c>
      <c r="M267" s="14">
        <v>0</v>
      </c>
      <c r="N267" s="14">
        <v>1</v>
      </c>
      <c r="O267" s="9">
        <v>1001</v>
      </c>
      <c r="P267" s="9" t="s">
        <v>188</v>
      </c>
      <c r="Q267" s="14">
        <v>1</v>
      </c>
      <c r="R267" s="9">
        <v>0</v>
      </c>
      <c r="S267" s="9">
        <v>0</v>
      </c>
      <c r="T267" s="8" t="s">
        <v>58</v>
      </c>
      <c r="U267" s="85">
        <v>53</v>
      </c>
      <c r="V267" s="8">
        <v>531403</v>
      </c>
      <c r="W267" s="16" t="s">
        <v>302</v>
      </c>
      <c r="X267" s="127">
        <v>0</v>
      </c>
      <c r="Y267" s="124">
        <f>230-80</f>
        <v>150</v>
      </c>
      <c r="Z267" s="17">
        <v>0</v>
      </c>
      <c r="AA267" s="17">
        <v>0</v>
      </c>
      <c r="AB267" s="17">
        <v>0</v>
      </c>
      <c r="AC267" s="17">
        <v>0</v>
      </c>
      <c r="AD267" s="17">
        <v>0</v>
      </c>
      <c r="AE267" s="17">
        <v>0</v>
      </c>
      <c r="AF267" s="17">
        <v>0</v>
      </c>
      <c r="AG267" s="17">
        <v>0</v>
      </c>
      <c r="AH267" s="17">
        <v>0</v>
      </c>
      <c r="AI267" s="17">
        <v>0</v>
      </c>
      <c r="AJ267" s="107">
        <v>0</v>
      </c>
      <c r="AK267" s="17">
        <v>0</v>
      </c>
      <c r="AL267" s="17">
        <v>0</v>
      </c>
      <c r="AM267" s="17">
        <v>0</v>
      </c>
      <c r="AN267" s="17">
        <v>0</v>
      </c>
      <c r="AO267" s="17">
        <v>0</v>
      </c>
      <c r="AP267" s="17">
        <v>0</v>
      </c>
      <c r="AQ267" s="17">
        <v>0</v>
      </c>
      <c r="AR267" s="17">
        <v>0</v>
      </c>
      <c r="AS267" s="17">
        <v>0</v>
      </c>
      <c r="AT267" s="17">
        <v>0</v>
      </c>
      <c r="AU267" s="17">
        <v>0</v>
      </c>
      <c r="AV267" s="17">
        <v>150</v>
      </c>
      <c r="AW267" s="17">
        <v>0</v>
      </c>
      <c r="AX267" s="19">
        <f t="shared" si="28"/>
        <v>150</v>
      </c>
      <c r="AY267" s="10" t="str">
        <f t="shared" si="30"/>
        <v>OK</v>
      </c>
      <c r="AZ267" s="10">
        <f t="shared" si="27"/>
        <v>0</v>
      </c>
      <c r="BA267" s="10">
        <f t="shared" si="29"/>
        <v>150</v>
      </c>
      <c r="BB267" s="17">
        <v>150</v>
      </c>
      <c r="BC267" s="113">
        <f t="shared" si="23"/>
        <v>0</v>
      </c>
    </row>
    <row r="268" spans="1:55" s="118" customFormat="1" ht="13.5" customHeight="1">
      <c r="A268" s="16" t="s">
        <v>48</v>
      </c>
      <c r="B268" s="16" t="s">
        <v>49</v>
      </c>
      <c r="C268" s="16" t="s">
        <v>50</v>
      </c>
      <c r="D268" s="16" t="s">
        <v>51</v>
      </c>
      <c r="E268" s="16" t="s">
        <v>52</v>
      </c>
      <c r="F268" s="16" t="s">
        <v>53</v>
      </c>
      <c r="G268" s="16" t="s">
        <v>173</v>
      </c>
      <c r="H268" s="22" t="s">
        <v>55</v>
      </c>
      <c r="I268" s="133" t="s">
        <v>98</v>
      </c>
      <c r="J268" s="11">
        <v>1</v>
      </c>
      <c r="K268" s="12" t="s">
        <v>2</v>
      </c>
      <c r="L268" s="13">
        <v>1</v>
      </c>
      <c r="M268" s="14">
        <v>0</v>
      </c>
      <c r="N268" s="14">
        <v>1</v>
      </c>
      <c r="O268" s="9">
        <v>1001</v>
      </c>
      <c r="P268" s="9" t="s">
        <v>188</v>
      </c>
      <c r="Q268" s="14">
        <v>1</v>
      </c>
      <c r="R268" s="9">
        <v>0</v>
      </c>
      <c r="S268" s="9">
        <v>0</v>
      </c>
      <c r="T268" s="8" t="s">
        <v>58</v>
      </c>
      <c r="U268" s="85">
        <v>53</v>
      </c>
      <c r="V268" s="8">
        <v>530813</v>
      </c>
      <c r="W268" s="16" t="s">
        <v>119</v>
      </c>
      <c r="X268" s="127">
        <v>0</v>
      </c>
      <c r="Y268" s="132">
        <f>80-20</f>
        <v>60</v>
      </c>
      <c r="Z268" s="17">
        <v>0</v>
      </c>
      <c r="AA268" s="17">
        <v>0</v>
      </c>
      <c r="AB268" s="17">
        <v>0</v>
      </c>
      <c r="AC268" s="17">
        <v>0</v>
      </c>
      <c r="AD268" s="17">
        <v>0</v>
      </c>
      <c r="AE268" s="17">
        <v>0</v>
      </c>
      <c r="AF268" s="17">
        <v>0</v>
      </c>
      <c r="AG268" s="17">
        <v>0</v>
      </c>
      <c r="AH268" s="17">
        <v>0</v>
      </c>
      <c r="AI268" s="17">
        <v>0</v>
      </c>
      <c r="AJ268" s="107">
        <v>0</v>
      </c>
      <c r="AK268" s="17">
        <v>0</v>
      </c>
      <c r="AL268" s="17">
        <v>0</v>
      </c>
      <c r="AM268" s="17">
        <v>0</v>
      </c>
      <c r="AN268" s="17">
        <v>0</v>
      </c>
      <c r="AO268" s="17">
        <v>0</v>
      </c>
      <c r="AP268" s="17">
        <v>60</v>
      </c>
      <c r="AQ268" s="17">
        <v>60</v>
      </c>
      <c r="AR268" s="17">
        <v>0</v>
      </c>
      <c r="AS268" s="17">
        <v>0</v>
      </c>
      <c r="AT268" s="17">
        <v>0</v>
      </c>
      <c r="AU268" s="17">
        <v>0</v>
      </c>
      <c r="AV268" s="17">
        <v>0</v>
      </c>
      <c r="AW268" s="17">
        <v>0</v>
      </c>
      <c r="AX268" s="19">
        <f t="shared" si="28"/>
        <v>60</v>
      </c>
      <c r="AY268" s="10" t="str">
        <f t="shared" si="30"/>
        <v>OK</v>
      </c>
      <c r="AZ268" s="10">
        <f t="shared" si="27"/>
        <v>60</v>
      </c>
      <c r="BA268" s="10">
        <f t="shared" si="29"/>
        <v>0</v>
      </c>
      <c r="BB268" s="17">
        <v>60</v>
      </c>
      <c r="BC268" s="113">
        <f t="shared" si="23"/>
        <v>0</v>
      </c>
    </row>
    <row r="269" spans="1:55" s="118" customFormat="1" ht="13.5" customHeight="1">
      <c r="A269" s="16" t="s">
        <v>138</v>
      </c>
      <c r="B269" s="16" t="s">
        <v>139</v>
      </c>
      <c r="C269" s="16" t="s">
        <v>140</v>
      </c>
      <c r="D269" s="16" t="s">
        <v>51</v>
      </c>
      <c r="E269" s="16" t="s">
        <v>52</v>
      </c>
      <c r="F269" s="16" t="s">
        <v>53</v>
      </c>
      <c r="G269" s="16" t="s">
        <v>187</v>
      </c>
      <c r="H269" s="22" t="s">
        <v>142</v>
      </c>
      <c r="I269" s="133" t="s">
        <v>307</v>
      </c>
      <c r="J269" s="11">
        <v>1</v>
      </c>
      <c r="K269" s="12" t="s">
        <v>2</v>
      </c>
      <c r="L269" s="13">
        <v>55</v>
      </c>
      <c r="M269" s="14">
        <v>0</v>
      </c>
      <c r="N269" s="14">
        <v>3</v>
      </c>
      <c r="O269" s="9">
        <v>1001</v>
      </c>
      <c r="P269" s="9" t="s">
        <v>188</v>
      </c>
      <c r="Q269" s="14">
        <v>1</v>
      </c>
      <c r="R269" s="9">
        <v>0</v>
      </c>
      <c r="S269" s="9">
        <v>0</v>
      </c>
      <c r="T269" s="8" t="s">
        <v>58</v>
      </c>
      <c r="U269" s="85">
        <v>53</v>
      </c>
      <c r="V269" s="8">
        <v>530813</v>
      </c>
      <c r="W269" s="16" t="s">
        <v>119</v>
      </c>
      <c r="X269" s="127">
        <v>0</v>
      </c>
      <c r="Y269" s="132">
        <f>5000-5000</f>
        <v>0</v>
      </c>
      <c r="Z269" s="17">
        <v>0</v>
      </c>
      <c r="AA269" s="17">
        <v>0</v>
      </c>
      <c r="AB269" s="17">
        <v>0</v>
      </c>
      <c r="AC269" s="17">
        <v>0</v>
      </c>
      <c r="AD269" s="17">
        <v>0</v>
      </c>
      <c r="AE269" s="17">
        <v>0</v>
      </c>
      <c r="AF269" s="17">
        <v>0</v>
      </c>
      <c r="AG269" s="17">
        <v>0</v>
      </c>
      <c r="AH269" s="17">
        <v>0</v>
      </c>
      <c r="AI269" s="17">
        <v>0</v>
      </c>
      <c r="AJ269" s="107">
        <v>0</v>
      </c>
      <c r="AK269" s="17">
        <v>0</v>
      </c>
      <c r="AL269" s="17">
        <v>0</v>
      </c>
      <c r="AM269" s="17">
        <v>0</v>
      </c>
      <c r="AN269" s="17">
        <v>0</v>
      </c>
      <c r="AO269" s="17">
        <v>0</v>
      </c>
      <c r="AP269" s="17">
        <v>0</v>
      </c>
      <c r="AQ269" s="17">
        <v>0</v>
      </c>
      <c r="AR269" s="17">
        <v>0</v>
      </c>
      <c r="AS269" s="17">
        <v>4350</v>
      </c>
      <c r="AT269" s="17">
        <v>0</v>
      </c>
      <c r="AU269" s="17">
        <v>0</v>
      </c>
      <c r="AV269" s="17">
        <v>0</v>
      </c>
      <c r="AW269" s="17">
        <v>0</v>
      </c>
      <c r="AX269" s="19">
        <f t="shared" si="28"/>
        <v>0</v>
      </c>
      <c r="AY269" s="10" t="str">
        <f t="shared" si="30"/>
        <v>OK</v>
      </c>
      <c r="AZ269" s="10">
        <f t="shared" si="27"/>
        <v>4350</v>
      </c>
      <c r="BA269" s="10">
        <f t="shared" si="29"/>
        <v>-4350</v>
      </c>
      <c r="BB269" s="17"/>
      <c r="BC269" s="113">
        <f t="shared" si="23"/>
        <v>0</v>
      </c>
    </row>
    <row r="270" spans="1:55" s="118" customFormat="1" ht="13.5" customHeight="1">
      <c r="A270" s="16" t="s">
        <v>48</v>
      </c>
      <c r="B270" s="16" t="s">
        <v>49</v>
      </c>
      <c r="C270" s="16" t="s">
        <v>74</v>
      </c>
      <c r="D270" s="16" t="s">
        <v>75</v>
      </c>
      <c r="E270" s="16" t="s">
        <v>52</v>
      </c>
      <c r="F270" s="16" t="s">
        <v>53</v>
      </c>
      <c r="G270" s="16" t="s">
        <v>191</v>
      </c>
      <c r="H270" s="22" t="s">
        <v>76</v>
      </c>
      <c r="I270" s="133" t="s">
        <v>311</v>
      </c>
      <c r="J270" s="11">
        <v>1</v>
      </c>
      <c r="K270" s="12" t="s">
        <v>2</v>
      </c>
      <c r="L270" s="13">
        <v>1</v>
      </c>
      <c r="M270" s="14">
        <v>0</v>
      </c>
      <c r="N270" s="14">
        <v>1</v>
      </c>
      <c r="O270" s="9">
        <v>1001</v>
      </c>
      <c r="P270" s="9" t="s">
        <v>188</v>
      </c>
      <c r="Q270" s="14">
        <v>1</v>
      </c>
      <c r="R270" s="9">
        <v>0</v>
      </c>
      <c r="S270" s="9">
        <v>0</v>
      </c>
      <c r="T270" s="8" t="s">
        <v>58</v>
      </c>
      <c r="U270" s="85">
        <v>53</v>
      </c>
      <c r="V270" s="8">
        <v>530811</v>
      </c>
      <c r="W270" s="16" t="s">
        <v>254</v>
      </c>
      <c r="X270" s="127">
        <v>0</v>
      </c>
      <c r="Y270" s="132">
        <v>1224</v>
      </c>
      <c r="Z270" s="17">
        <v>0</v>
      </c>
      <c r="AA270" s="17">
        <v>0</v>
      </c>
      <c r="AB270" s="17">
        <v>0</v>
      </c>
      <c r="AC270" s="17">
        <v>0</v>
      </c>
      <c r="AD270" s="17">
        <v>0</v>
      </c>
      <c r="AE270" s="17">
        <v>0</v>
      </c>
      <c r="AF270" s="17">
        <v>0</v>
      </c>
      <c r="AG270" s="17">
        <v>0</v>
      </c>
      <c r="AH270" s="17">
        <v>0</v>
      </c>
      <c r="AI270" s="17">
        <v>0</v>
      </c>
      <c r="AJ270" s="107">
        <v>0</v>
      </c>
      <c r="AK270" s="17">
        <v>0</v>
      </c>
      <c r="AL270" s="17">
        <v>0</v>
      </c>
      <c r="AM270" s="17">
        <v>0</v>
      </c>
      <c r="AN270" s="17">
        <v>0</v>
      </c>
      <c r="AO270" s="17">
        <v>0</v>
      </c>
      <c r="AP270" s="17">
        <v>0</v>
      </c>
      <c r="AQ270" s="17">
        <v>0</v>
      </c>
      <c r="AR270" s="17">
        <v>1224</v>
      </c>
      <c r="AS270" s="17">
        <v>1224</v>
      </c>
      <c r="AT270" s="17">
        <v>0</v>
      </c>
      <c r="AU270" s="17">
        <v>0</v>
      </c>
      <c r="AV270" s="17">
        <v>0</v>
      </c>
      <c r="AW270" s="17">
        <v>0</v>
      </c>
      <c r="AX270" s="19">
        <f t="shared" si="28"/>
        <v>1224</v>
      </c>
      <c r="AY270" s="10" t="str">
        <f t="shared" si="30"/>
        <v>OK</v>
      </c>
      <c r="AZ270" s="10">
        <f t="shared" si="27"/>
        <v>1224</v>
      </c>
      <c r="BA270" s="10">
        <f t="shared" si="29"/>
        <v>0</v>
      </c>
      <c r="BB270" s="17">
        <v>1224</v>
      </c>
      <c r="BC270" s="113">
        <f t="shared" si="23"/>
        <v>0</v>
      </c>
    </row>
    <row r="271" spans="1:55" s="118" customFormat="1" ht="13.5" customHeight="1">
      <c r="A271" s="16" t="s">
        <v>48</v>
      </c>
      <c r="B271" s="16" t="s">
        <v>49</v>
      </c>
      <c r="C271" s="16" t="s">
        <v>74</v>
      </c>
      <c r="D271" s="16" t="s">
        <v>75</v>
      </c>
      <c r="E271" s="16" t="s">
        <v>52</v>
      </c>
      <c r="F271" s="16" t="s">
        <v>53</v>
      </c>
      <c r="G271" s="16" t="s">
        <v>191</v>
      </c>
      <c r="H271" s="22" t="s">
        <v>76</v>
      </c>
      <c r="I271" s="133" t="s">
        <v>311</v>
      </c>
      <c r="J271" s="11">
        <v>1</v>
      </c>
      <c r="K271" s="12" t="s">
        <v>2</v>
      </c>
      <c r="L271" s="13">
        <v>1</v>
      </c>
      <c r="M271" s="14">
        <v>0</v>
      </c>
      <c r="N271" s="14">
        <v>1</v>
      </c>
      <c r="O271" s="9">
        <v>1001</v>
      </c>
      <c r="P271" s="9" t="s">
        <v>188</v>
      </c>
      <c r="Q271" s="14">
        <v>1</v>
      </c>
      <c r="R271" s="9">
        <v>0</v>
      </c>
      <c r="S271" s="9">
        <v>0</v>
      </c>
      <c r="T271" s="8" t="s">
        <v>58</v>
      </c>
      <c r="U271" s="85">
        <v>53</v>
      </c>
      <c r="V271" s="8">
        <v>530804</v>
      </c>
      <c r="W271" s="16" t="s">
        <v>105</v>
      </c>
      <c r="X271" s="127">
        <v>0</v>
      </c>
      <c r="Y271" s="132">
        <v>699</v>
      </c>
      <c r="Z271" s="17">
        <v>0</v>
      </c>
      <c r="AA271" s="17">
        <v>0</v>
      </c>
      <c r="AB271" s="17">
        <v>0</v>
      </c>
      <c r="AC271" s="17">
        <v>0</v>
      </c>
      <c r="AD271" s="17">
        <v>0</v>
      </c>
      <c r="AE271" s="17">
        <v>0</v>
      </c>
      <c r="AF271" s="17">
        <v>0</v>
      </c>
      <c r="AG271" s="17">
        <v>0</v>
      </c>
      <c r="AH271" s="17">
        <v>0</v>
      </c>
      <c r="AI271" s="17">
        <v>0</v>
      </c>
      <c r="AJ271" s="107">
        <v>0</v>
      </c>
      <c r="AK271" s="17">
        <v>0</v>
      </c>
      <c r="AL271" s="17">
        <v>0</v>
      </c>
      <c r="AM271" s="17">
        <v>0</v>
      </c>
      <c r="AN271" s="17">
        <v>0</v>
      </c>
      <c r="AO271" s="17">
        <v>0</v>
      </c>
      <c r="AP271" s="17">
        <v>0</v>
      </c>
      <c r="AQ271" s="17">
        <v>0</v>
      </c>
      <c r="AR271" s="17">
        <v>699</v>
      </c>
      <c r="AS271" s="17">
        <v>699</v>
      </c>
      <c r="AT271" s="17">
        <v>0</v>
      </c>
      <c r="AU271" s="17">
        <v>0</v>
      </c>
      <c r="AV271" s="17">
        <v>0</v>
      </c>
      <c r="AW271" s="17">
        <v>0</v>
      </c>
      <c r="AX271" s="19">
        <f t="shared" si="28"/>
        <v>699</v>
      </c>
      <c r="AY271" s="10" t="str">
        <f t="shared" si="30"/>
        <v>OK</v>
      </c>
      <c r="AZ271" s="10">
        <f t="shared" si="27"/>
        <v>699</v>
      </c>
      <c r="BA271" s="10">
        <f t="shared" si="29"/>
        <v>0</v>
      </c>
      <c r="BB271" s="17">
        <v>699</v>
      </c>
      <c r="BC271" s="113">
        <f aca="true" t="shared" si="31" ref="BC271:BC337">Y271-BB271</f>
        <v>0</v>
      </c>
    </row>
    <row r="272" spans="1:55" s="118" customFormat="1" ht="13.5" customHeight="1">
      <c r="A272" s="16" t="s">
        <v>48</v>
      </c>
      <c r="B272" s="16" t="s">
        <v>49</v>
      </c>
      <c r="C272" s="16" t="s">
        <v>50</v>
      </c>
      <c r="D272" s="16" t="s">
        <v>51</v>
      </c>
      <c r="E272" s="16" t="s">
        <v>52</v>
      </c>
      <c r="F272" s="16" t="s">
        <v>53</v>
      </c>
      <c r="G272" s="16" t="s">
        <v>173</v>
      </c>
      <c r="H272" s="22" t="s">
        <v>55</v>
      </c>
      <c r="I272" s="148" t="s">
        <v>312</v>
      </c>
      <c r="J272" s="11">
        <v>1</v>
      </c>
      <c r="K272" s="12" t="s">
        <v>2</v>
      </c>
      <c r="L272" s="13">
        <v>1</v>
      </c>
      <c r="M272" s="14">
        <v>0</v>
      </c>
      <c r="N272" s="14">
        <v>1</v>
      </c>
      <c r="O272" s="9">
        <v>1001</v>
      </c>
      <c r="P272" s="9" t="s">
        <v>188</v>
      </c>
      <c r="Q272" s="14">
        <v>1</v>
      </c>
      <c r="R272" s="9">
        <v>0</v>
      </c>
      <c r="S272" s="9">
        <v>0</v>
      </c>
      <c r="T272" s="8" t="s">
        <v>58</v>
      </c>
      <c r="U272" s="85">
        <v>53</v>
      </c>
      <c r="V272" s="8">
        <v>531404</v>
      </c>
      <c r="W272" s="16" t="s">
        <v>261</v>
      </c>
      <c r="X272" s="127">
        <v>0</v>
      </c>
      <c r="Y272" s="146">
        <f>500-500</f>
        <v>0</v>
      </c>
      <c r="Z272" s="17">
        <v>0</v>
      </c>
      <c r="AA272" s="17">
        <v>0</v>
      </c>
      <c r="AB272" s="17">
        <v>0</v>
      </c>
      <c r="AC272" s="17">
        <v>0</v>
      </c>
      <c r="AD272" s="17">
        <v>0</v>
      </c>
      <c r="AE272" s="17">
        <v>0</v>
      </c>
      <c r="AF272" s="17">
        <v>0</v>
      </c>
      <c r="AG272" s="17">
        <v>0</v>
      </c>
      <c r="AH272" s="17">
        <v>0</v>
      </c>
      <c r="AI272" s="17">
        <v>0</v>
      </c>
      <c r="AJ272" s="107">
        <v>0</v>
      </c>
      <c r="AK272" s="17">
        <v>0</v>
      </c>
      <c r="AL272" s="17">
        <v>0</v>
      </c>
      <c r="AM272" s="17">
        <v>0</v>
      </c>
      <c r="AN272" s="17">
        <v>0</v>
      </c>
      <c r="AO272" s="17">
        <v>0</v>
      </c>
      <c r="AP272" s="17">
        <v>0</v>
      </c>
      <c r="AQ272" s="17">
        <v>0</v>
      </c>
      <c r="AR272" s="17">
        <v>0</v>
      </c>
      <c r="AS272" s="17">
        <v>0</v>
      </c>
      <c r="AT272" s="17">
        <v>0</v>
      </c>
      <c r="AU272" s="17">
        <v>0</v>
      </c>
      <c r="AV272" s="17">
        <v>0</v>
      </c>
      <c r="AW272" s="17">
        <v>0</v>
      </c>
      <c r="AX272" s="19">
        <f t="shared" si="28"/>
        <v>0</v>
      </c>
      <c r="AY272" s="10" t="str">
        <f t="shared" si="30"/>
        <v>OK</v>
      </c>
      <c r="AZ272" s="10">
        <f t="shared" si="27"/>
        <v>0</v>
      </c>
      <c r="BA272" s="10">
        <f t="shared" si="29"/>
        <v>0</v>
      </c>
      <c r="BB272" s="17">
        <v>0</v>
      </c>
      <c r="BC272" s="113">
        <f t="shared" si="31"/>
        <v>0</v>
      </c>
    </row>
    <row r="273" spans="1:55" s="118" customFormat="1" ht="13.5" customHeight="1">
      <c r="A273" s="16" t="s">
        <v>48</v>
      </c>
      <c r="B273" s="16" t="s">
        <v>49</v>
      </c>
      <c r="C273" s="16" t="s">
        <v>50</v>
      </c>
      <c r="D273" s="16" t="s">
        <v>51</v>
      </c>
      <c r="E273" s="16" t="s">
        <v>52</v>
      </c>
      <c r="F273" s="16" t="s">
        <v>53</v>
      </c>
      <c r="G273" s="16" t="s">
        <v>173</v>
      </c>
      <c r="H273" s="22" t="s">
        <v>55</v>
      </c>
      <c r="I273" s="133" t="s">
        <v>315</v>
      </c>
      <c r="J273" s="11">
        <v>1</v>
      </c>
      <c r="K273" s="12" t="s">
        <v>2</v>
      </c>
      <c r="L273" s="13">
        <v>1</v>
      </c>
      <c r="M273" s="14">
        <v>0</v>
      </c>
      <c r="N273" s="14">
        <v>1</v>
      </c>
      <c r="O273" s="9">
        <v>1001</v>
      </c>
      <c r="P273" s="9" t="s">
        <v>188</v>
      </c>
      <c r="Q273" s="14">
        <v>1</v>
      </c>
      <c r="R273" s="9">
        <v>0</v>
      </c>
      <c r="S273" s="9">
        <v>0</v>
      </c>
      <c r="T273" s="8" t="s">
        <v>58</v>
      </c>
      <c r="U273" s="85">
        <v>53</v>
      </c>
      <c r="V273" s="8">
        <v>530804</v>
      </c>
      <c r="W273" s="16" t="s">
        <v>105</v>
      </c>
      <c r="X273" s="127">
        <v>0</v>
      </c>
      <c r="Y273" s="132">
        <f>50-50</f>
        <v>0</v>
      </c>
      <c r="Z273" s="17">
        <v>0</v>
      </c>
      <c r="AA273" s="17">
        <v>0</v>
      </c>
      <c r="AB273" s="17">
        <v>0</v>
      </c>
      <c r="AC273" s="17">
        <v>0</v>
      </c>
      <c r="AD273" s="17">
        <v>0</v>
      </c>
      <c r="AE273" s="17">
        <v>0</v>
      </c>
      <c r="AF273" s="17">
        <v>0</v>
      </c>
      <c r="AG273" s="17">
        <v>0</v>
      </c>
      <c r="AH273" s="17">
        <v>0</v>
      </c>
      <c r="AI273" s="17">
        <v>0</v>
      </c>
      <c r="AJ273" s="107">
        <v>0</v>
      </c>
      <c r="AK273" s="17">
        <v>0</v>
      </c>
      <c r="AL273" s="17">
        <v>0</v>
      </c>
      <c r="AM273" s="17">
        <v>0</v>
      </c>
      <c r="AN273" s="17">
        <v>0</v>
      </c>
      <c r="AO273" s="17">
        <v>0</v>
      </c>
      <c r="AP273" s="17">
        <v>0</v>
      </c>
      <c r="AQ273" s="17">
        <v>0</v>
      </c>
      <c r="AR273" s="17">
        <v>0</v>
      </c>
      <c r="AS273" s="17">
        <v>0</v>
      </c>
      <c r="AT273" s="17">
        <v>0</v>
      </c>
      <c r="AU273" s="17">
        <v>0</v>
      </c>
      <c r="AV273" s="17">
        <v>0</v>
      </c>
      <c r="AW273" s="17">
        <v>0</v>
      </c>
      <c r="AX273" s="19">
        <f t="shared" si="28"/>
        <v>0</v>
      </c>
      <c r="AY273" s="10" t="str">
        <f t="shared" si="30"/>
        <v>OK</v>
      </c>
      <c r="AZ273" s="10">
        <f t="shared" si="27"/>
        <v>0</v>
      </c>
      <c r="BA273" s="10">
        <f t="shared" si="29"/>
        <v>0</v>
      </c>
      <c r="BB273" s="17">
        <v>0</v>
      </c>
      <c r="BC273" s="113">
        <f t="shared" si="31"/>
        <v>0</v>
      </c>
    </row>
    <row r="274" spans="1:55" s="118" customFormat="1" ht="13.5" customHeight="1">
      <c r="A274" s="16" t="s">
        <v>48</v>
      </c>
      <c r="B274" s="16" t="s">
        <v>49</v>
      </c>
      <c r="C274" s="16" t="s">
        <v>50</v>
      </c>
      <c r="D274" s="16" t="s">
        <v>51</v>
      </c>
      <c r="E274" s="16" t="s">
        <v>52</v>
      </c>
      <c r="F274" s="16" t="s">
        <v>53</v>
      </c>
      <c r="G274" s="16" t="s">
        <v>173</v>
      </c>
      <c r="H274" s="22" t="s">
        <v>55</v>
      </c>
      <c r="I274" s="133" t="s">
        <v>319</v>
      </c>
      <c r="J274" s="11">
        <v>1</v>
      </c>
      <c r="K274" s="12" t="s">
        <v>2</v>
      </c>
      <c r="L274" s="13">
        <v>1</v>
      </c>
      <c r="M274" s="14">
        <v>0</v>
      </c>
      <c r="N274" s="14">
        <v>1</v>
      </c>
      <c r="O274" s="9">
        <v>1001</v>
      </c>
      <c r="P274" s="9" t="s">
        <v>188</v>
      </c>
      <c r="Q274" s="14">
        <v>1</v>
      </c>
      <c r="R274" s="9">
        <v>0</v>
      </c>
      <c r="S274" s="9">
        <v>0</v>
      </c>
      <c r="T274" s="8" t="s">
        <v>58</v>
      </c>
      <c r="U274" s="85">
        <v>53</v>
      </c>
      <c r="V274" s="8">
        <v>531406</v>
      </c>
      <c r="W274" s="16" t="s">
        <v>133</v>
      </c>
      <c r="X274" s="127">
        <v>0</v>
      </c>
      <c r="Y274" s="132">
        <f>100-100</f>
        <v>0</v>
      </c>
      <c r="Z274" s="17">
        <v>0</v>
      </c>
      <c r="AA274" s="17">
        <v>0</v>
      </c>
      <c r="AB274" s="17">
        <v>0</v>
      </c>
      <c r="AC274" s="17">
        <v>0</v>
      </c>
      <c r="AD274" s="17">
        <v>0</v>
      </c>
      <c r="AE274" s="17">
        <v>0</v>
      </c>
      <c r="AF274" s="17">
        <v>0</v>
      </c>
      <c r="AG274" s="17">
        <v>0</v>
      </c>
      <c r="AH274" s="17">
        <v>0</v>
      </c>
      <c r="AI274" s="17">
        <v>0</v>
      </c>
      <c r="AJ274" s="107">
        <v>0</v>
      </c>
      <c r="AK274" s="17">
        <v>0</v>
      </c>
      <c r="AL274" s="17">
        <v>0</v>
      </c>
      <c r="AM274" s="17">
        <v>0</v>
      </c>
      <c r="AN274" s="17">
        <v>0</v>
      </c>
      <c r="AO274" s="17">
        <v>0</v>
      </c>
      <c r="AP274" s="17">
        <v>0</v>
      </c>
      <c r="AQ274" s="17">
        <v>0</v>
      </c>
      <c r="AR274" s="17">
        <v>0</v>
      </c>
      <c r="AS274" s="17">
        <v>0</v>
      </c>
      <c r="AT274" s="17">
        <v>0</v>
      </c>
      <c r="AU274" s="17">
        <v>0</v>
      </c>
      <c r="AV274" s="17">
        <v>0</v>
      </c>
      <c r="AW274" s="17">
        <v>0</v>
      </c>
      <c r="AX274" s="19">
        <f t="shared" si="28"/>
        <v>0</v>
      </c>
      <c r="AY274" s="10" t="str">
        <f t="shared" si="30"/>
        <v>OK</v>
      </c>
      <c r="AZ274" s="10">
        <f t="shared" si="27"/>
        <v>0</v>
      </c>
      <c r="BA274" s="10">
        <f t="shared" si="29"/>
        <v>0</v>
      </c>
      <c r="BB274" s="17">
        <v>0</v>
      </c>
      <c r="BC274" s="113">
        <f t="shared" si="31"/>
        <v>0</v>
      </c>
    </row>
    <row r="275" spans="1:55" s="118" customFormat="1" ht="13.5" customHeight="1">
      <c r="A275" s="16" t="s">
        <v>48</v>
      </c>
      <c r="B275" s="16" t="s">
        <v>49</v>
      </c>
      <c r="C275" s="16" t="s">
        <v>50</v>
      </c>
      <c r="D275" s="16" t="s">
        <v>51</v>
      </c>
      <c r="E275" s="16" t="s">
        <v>52</v>
      </c>
      <c r="F275" s="16" t="s">
        <v>53</v>
      </c>
      <c r="G275" s="16" t="s">
        <v>54</v>
      </c>
      <c r="H275" s="22" t="s">
        <v>55</v>
      </c>
      <c r="I275" s="63" t="s">
        <v>56</v>
      </c>
      <c r="J275" s="11">
        <v>1</v>
      </c>
      <c r="K275" s="12" t="s">
        <v>2</v>
      </c>
      <c r="L275" s="13">
        <v>1</v>
      </c>
      <c r="M275" s="14">
        <v>0</v>
      </c>
      <c r="N275" s="14">
        <v>1</v>
      </c>
      <c r="O275" s="9">
        <v>2101</v>
      </c>
      <c r="P275" s="9" t="s">
        <v>229</v>
      </c>
      <c r="Q275" s="14">
        <v>1</v>
      </c>
      <c r="R275" s="9">
        <v>0</v>
      </c>
      <c r="S275" s="9">
        <v>0</v>
      </c>
      <c r="T275" s="8" t="s">
        <v>58</v>
      </c>
      <c r="U275" s="85">
        <v>53</v>
      </c>
      <c r="V275" s="8">
        <v>530101</v>
      </c>
      <c r="W275" s="16" t="s">
        <v>59</v>
      </c>
      <c r="X275" s="18">
        <v>100</v>
      </c>
      <c r="Y275" s="79">
        <f>100-61.01</f>
        <v>38.99</v>
      </c>
      <c r="Z275" s="17">
        <v>38.99</v>
      </c>
      <c r="AA275" s="17">
        <v>38.99</v>
      </c>
      <c r="AB275" s="17">
        <v>0</v>
      </c>
      <c r="AC275" s="17">
        <v>0</v>
      </c>
      <c r="AD275" s="17">
        <v>0</v>
      </c>
      <c r="AE275" s="17">
        <v>0</v>
      </c>
      <c r="AF275" s="17">
        <v>0</v>
      </c>
      <c r="AG275" s="17">
        <v>0</v>
      </c>
      <c r="AH275" s="17">
        <v>0</v>
      </c>
      <c r="AI275" s="17">
        <v>0</v>
      </c>
      <c r="AJ275" s="107">
        <v>0</v>
      </c>
      <c r="AK275" s="17">
        <v>0</v>
      </c>
      <c r="AL275" s="17">
        <v>0</v>
      </c>
      <c r="AM275" s="17">
        <v>0</v>
      </c>
      <c r="AN275" s="17">
        <v>0</v>
      </c>
      <c r="AO275" s="17">
        <v>0</v>
      </c>
      <c r="AP275" s="17">
        <v>0</v>
      </c>
      <c r="AQ275" s="17">
        <v>0</v>
      </c>
      <c r="AR275" s="17">
        <v>0</v>
      </c>
      <c r="AS275" s="17">
        <v>0</v>
      </c>
      <c r="AT275" s="17">
        <v>0</v>
      </c>
      <c r="AU275" s="17">
        <v>0</v>
      </c>
      <c r="AV275" s="17">
        <v>0</v>
      </c>
      <c r="AW275" s="17">
        <v>0</v>
      </c>
      <c r="AX275" s="19">
        <f t="shared" si="28"/>
        <v>38.99</v>
      </c>
      <c r="AY275" s="10" t="str">
        <f t="shared" si="30"/>
        <v>OK</v>
      </c>
      <c r="AZ275" s="10">
        <f t="shared" si="27"/>
        <v>38.99</v>
      </c>
      <c r="BA275" s="10">
        <f t="shared" si="29"/>
        <v>0</v>
      </c>
      <c r="BB275" s="17">
        <v>38.99</v>
      </c>
      <c r="BC275" s="113">
        <f t="shared" si="31"/>
        <v>0</v>
      </c>
    </row>
    <row r="276" spans="1:55" s="118" customFormat="1" ht="13.5" customHeight="1">
      <c r="A276" s="16" t="s">
        <v>48</v>
      </c>
      <c r="B276" s="16" t="s">
        <v>49</v>
      </c>
      <c r="C276" s="16" t="s">
        <v>50</v>
      </c>
      <c r="D276" s="16" t="s">
        <v>51</v>
      </c>
      <c r="E276" s="16" t="s">
        <v>52</v>
      </c>
      <c r="F276" s="16" t="s">
        <v>53</v>
      </c>
      <c r="G276" s="16" t="s">
        <v>54</v>
      </c>
      <c r="H276" s="22" t="s">
        <v>55</v>
      </c>
      <c r="I276" s="23" t="s">
        <v>60</v>
      </c>
      <c r="J276" s="11">
        <v>1</v>
      </c>
      <c r="K276" s="12" t="s">
        <v>2</v>
      </c>
      <c r="L276" s="13">
        <v>1</v>
      </c>
      <c r="M276" s="14">
        <v>0</v>
      </c>
      <c r="N276" s="14">
        <v>1</v>
      </c>
      <c r="O276" s="9">
        <v>2101</v>
      </c>
      <c r="P276" s="9" t="s">
        <v>229</v>
      </c>
      <c r="Q276" s="14">
        <v>1</v>
      </c>
      <c r="R276" s="9">
        <v>0</v>
      </c>
      <c r="S276" s="9">
        <v>0</v>
      </c>
      <c r="T276" s="8" t="s">
        <v>58</v>
      </c>
      <c r="U276" s="85">
        <v>53</v>
      </c>
      <c r="V276" s="8">
        <v>530101</v>
      </c>
      <c r="W276" s="16" t="s">
        <v>59</v>
      </c>
      <c r="X276" s="18">
        <v>605</v>
      </c>
      <c r="Y276" s="18">
        <v>605</v>
      </c>
      <c r="Z276" s="17">
        <v>0</v>
      </c>
      <c r="AA276" s="17">
        <v>0</v>
      </c>
      <c r="AB276" s="17">
        <v>55</v>
      </c>
      <c r="AC276" s="17">
        <v>27.04</v>
      </c>
      <c r="AD276" s="17">
        <v>55</v>
      </c>
      <c r="AE276" s="17">
        <v>70.48</v>
      </c>
      <c r="AF276" s="17">
        <v>55</v>
      </c>
      <c r="AG276" s="17">
        <v>32.94</v>
      </c>
      <c r="AH276" s="17">
        <v>55</v>
      </c>
      <c r="AI276" s="17">
        <v>27.04</v>
      </c>
      <c r="AJ276" s="107">
        <v>55</v>
      </c>
      <c r="AK276" s="17">
        <v>32.94</v>
      </c>
      <c r="AL276" s="17">
        <v>55</v>
      </c>
      <c r="AM276" s="17">
        <v>68.3</v>
      </c>
      <c r="AN276" s="17">
        <v>55</v>
      </c>
      <c r="AO276" s="17">
        <v>11.44</v>
      </c>
      <c r="AP276" s="17">
        <v>55</v>
      </c>
      <c r="AQ276" s="17">
        <v>0</v>
      </c>
      <c r="AR276" s="17">
        <v>55</v>
      </c>
      <c r="AS276" s="17">
        <v>88.38</v>
      </c>
      <c r="AT276" s="17">
        <v>110</v>
      </c>
      <c r="AU276" s="17">
        <v>129.53</v>
      </c>
      <c r="AV276" s="17">
        <v>0</v>
      </c>
      <c r="AW276" s="17">
        <v>0</v>
      </c>
      <c r="AX276" s="19">
        <f t="shared" si="28"/>
        <v>605</v>
      </c>
      <c r="AY276" s="10" t="str">
        <f t="shared" si="30"/>
        <v>OK</v>
      </c>
      <c r="AZ276" s="10">
        <f t="shared" si="27"/>
        <v>488.09000000000003</v>
      </c>
      <c r="BA276" s="10">
        <f t="shared" si="29"/>
        <v>116.91</v>
      </c>
      <c r="BB276" s="17">
        <v>605</v>
      </c>
      <c r="BC276" s="113">
        <f t="shared" si="31"/>
        <v>0</v>
      </c>
    </row>
    <row r="277" spans="1:55" s="118" customFormat="1" ht="13.5" customHeight="1">
      <c r="A277" s="16" t="s">
        <v>48</v>
      </c>
      <c r="B277" s="16" t="s">
        <v>49</v>
      </c>
      <c r="C277" s="16" t="s">
        <v>50</v>
      </c>
      <c r="D277" s="16" t="s">
        <v>51</v>
      </c>
      <c r="E277" s="16" t="s">
        <v>52</v>
      </c>
      <c r="F277" s="16" t="s">
        <v>53</v>
      </c>
      <c r="G277" s="16" t="s">
        <v>54</v>
      </c>
      <c r="H277" s="22" t="s">
        <v>55</v>
      </c>
      <c r="I277" s="139" t="s">
        <v>61</v>
      </c>
      <c r="J277" s="11">
        <v>1</v>
      </c>
      <c r="K277" s="12" t="s">
        <v>2</v>
      </c>
      <c r="L277" s="13">
        <v>1</v>
      </c>
      <c r="M277" s="14">
        <v>0</v>
      </c>
      <c r="N277" s="14">
        <v>1</v>
      </c>
      <c r="O277" s="9">
        <v>2101</v>
      </c>
      <c r="P277" s="9" t="s">
        <v>229</v>
      </c>
      <c r="Q277" s="14">
        <v>1</v>
      </c>
      <c r="R277" s="9">
        <v>0</v>
      </c>
      <c r="S277" s="9">
        <v>0</v>
      </c>
      <c r="T277" s="8" t="s">
        <v>58</v>
      </c>
      <c r="U277" s="85">
        <v>53</v>
      </c>
      <c r="V277" s="8">
        <v>530104</v>
      </c>
      <c r="W277" s="16" t="s">
        <v>62</v>
      </c>
      <c r="X277" s="18">
        <v>7500</v>
      </c>
      <c r="Y277" s="55">
        <f>7500-129.29-2.05</f>
        <v>7368.66</v>
      </c>
      <c r="Z277" s="17">
        <v>7368.66</v>
      </c>
      <c r="AA277" s="17">
        <v>7368.66</v>
      </c>
      <c r="AB277" s="17">
        <v>0</v>
      </c>
      <c r="AC277" s="17">
        <v>0</v>
      </c>
      <c r="AD277" s="17">
        <v>0</v>
      </c>
      <c r="AE277" s="17">
        <v>0</v>
      </c>
      <c r="AF277" s="17">
        <v>0</v>
      </c>
      <c r="AG277" s="17">
        <v>0</v>
      </c>
      <c r="AH277" s="17">
        <v>0</v>
      </c>
      <c r="AI277" s="17">
        <v>0</v>
      </c>
      <c r="AJ277" s="107">
        <v>0</v>
      </c>
      <c r="AK277" s="17">
        <v>0</v>
      </c>
      <c r="AL277" s="17">
        <v>0</v>
      </c>
      <c r="AM277" s="17">
        <v>0</v>
      </c>
      <c r="AN277" s="17">
        <v>0</v>
      </c>
      <c r="AO277" s="17">
        <v>0</v>
      </c>
      <c r="AP277" s="17">
        <v>0</v>
      </c>
      <c r="AQ277" s="17">
        <v>0</v>
      </c>
      <c r="AR277" s="17">
        <v>0</v>
      </c>
      <c r="AS277" s="17">
        <v>0</v>
      </c>
      <c r="AT277" s="17">
        <v>0</v>
      </c>
      <c r="AU277" s="17">
        <v>0</v>
      </c>
      <c r="AV277" s="17">
        <v>0</v>
      </c>
      <c r="AW277" s="17">
        <v>0</v>
      </c>
      <c r="AX277" s="19">
        <f t="shared" si="28"/>
        <v>7368.66</v>
      </c>
      <c r="AY277" s="10" t="str">
        <f t="shared" si="30"/>
        <v>OK</v>
      </c>
      <c r="AZ277" s="10">
        <f t="shared" si="27"/>
        <v>7368.66</v>
      </c>
      <c r="BA277" s="10">
        <f t="shared" si="29"/>
        <v>0</v>
      </c>
      <c r="BB277" s="17">
        <f>7370.71-2.05</f>
        <v>7368.66</v>
      </c>
      <c r="BC277" s="113">
        <f t="shared" si="31"/>
        <v>0</v>
      </c>
    </row>
    <row r="278" spans="1:55" s="118" customFormat="1" ht="13.5" customHeight="1">
      <c r="A278" s="16" t="s">
        <v>48</v>
      </c>
      <c r="B278" s="16" t="s">
        <v>49</v>
      </c>
      <c r="C278" s="16" t="s">
        <v>50</v>
      </c>
      <c r="D278" s="16" t="s">
        <v>51</v>
      </c>
      <c r="E278" s="16" t="s">
        <v>52</v>
      </c>
      <c r="F278" s="16" t="s">
        <v>53</v>
      </c>
      <c r="G278" s="16" t="s">
        <v>54</v>
      </c>
      <c r="H278" s="22" t="s">
        <v>55</v>
      </c>
      <c r="I278" s="87" t="s">
        <v>63</v>
      </c>
      <c r="J278" s="11">
        <v>1</v>
      </c>
      <c r="K278" s="12" t="s">
        <v>2</v>
      </c>
      <c r="L278" s="13">
        <v>1</v>
      </c>
      <c r="M278" s="14">
        <v>0</v>
      </c>
      <c r="N278" s="14">
        <v>1</v>
      </c>
      <c r="O278" s="9">
        <v>2101</v>
      </c>
      <c r="P278" s="9" t="s">
        <v>229</v>
      </c>
      <c r="Q278" s="14">
        <v>1</v>
      </c>
      <c r="R278" s="9">
        <v>0</v>
      </c>
      <c r="S278" s="9">
        <v>0</v>
      </c>
      <c r="T278" s="8" t="s">
        <v>58</v>
      </c>
      <c r="U278" s="85">
        <v>53</v>
      </c>
      <c r="V278" s="8">
        <v>530104</v>
      </c>
      <c r="W278" s="16" t="s">
        <v>62</v>
      </c>
      <c r="X278" s="18">
        <v>52500</v>
      </c>
      <c r="Y278" s="89">
        <f>52500+3255.74+565.31+18530.36+8000</f>
        <v>82851.41</v>
      </c>
      <c r="Z278" s="17">
        <v>0</v>
      </c>
      <c r="AA278" s="17">
        <v>0</v>
      </c>
      <c r="AB278" s="17">
        <v>7500</v>
      </c>
      <c r="AC278" s="17">
        <v>7173.64</v>
      </c>
      <c r="AD278" s="17">
        <v>7500</v>
      </c>
      <c r="AE278" s="17">
        <v>6629.63</v>
      </c>
      <c r="AF278" s="17">
        <v>7500</v>
      </c>
      <c r="AG278" s="17">
        <v>7079.61</v>
      </c>
      <c r="AH278" s="17">
        <v>7500</v>
      </c>
      <c r="AI278" s="17">
        <v>7401.28</v>
      </c>
      <c r="AJ278" s="107">
        <v>7500</v>
      </c>
      <c r="AK278" s="17">
        <v>7182.03</v>
      </c>
      <c r="AL278" s="17">
        <v>7500</v>
      </c>
      <c r="AM278" s="17">
        <v>7568.72</v>
      </c>
      <c r="AN278" s="17">
        <v>5970.28</v>
      </c>
      <c r="AO278" s="17">
        <v>7308.26</v>
      </c>
      <c r="AP278" s="17">
        <v>5970.28</v>
      </c>
      <c r="AQ278" s="17">
        <v>7571</v>
      </c>
      <c r="AR278" s="17">
        <v>5970.28</v>
      </c>
      <c r="AS278" s="17">
        <v>7789.79</v>
      </c>
      <c r="AT278" s="17">
        <v>5970.28</v>
      </c>
      <c r="AU278" s="17">
        <v>8312.45</v>
      </c>
      <c r="AV278" s="17">
        <v>13970.290000000008</v>
      </c>
      <c r="AW278" s="17">
        <v>7939.58</v>
      </c>
      <c r="AX278" s="19">
        <f t="shared" si="28"/>
        <v>82851.41</v>
      </c>
      <c r="AY278" s="10" t="str">
        <f t="shared" si="30"/>
        <v>OK</v>
      </c>
      <c r="AZ278" s="10">
        <f t="shared" si="27"/>
        <v>81955.99</v>
      </c>
      <c r="BA278" s="10">
        <f t="shared" si="29"/>
        <v>895.4200000000073</v>
      </c>
      <c r="BB278" s="17">
        <f>52500-24215.84+54567.25</f>
        <v>82851.41</v>
      </c>
      <c r="BC278" s="113">
        <f t="shared" si="31"/>
        <v>0</v>
      </c>
    </row>
    <row r="279" spans="1:55" s="118" customFormat="1" ht="13.5" customHeight="1">
      <c r="A279" s="16" t="s">
        <v>48</v>
      </c>
      <c r="B279" s="16" t="s">
        <v>49</v>
      </c>
      <c r="C279" s="16" t="s">
        <v>50</v>
      </c>
      <c r="D279" s="16" t="s">
        <v>51</v>
      </c>
      <c r="E279" s="16" t="s">
        <v>52</v>
      </c>
      <c r="F279" s="16" t="s">
        <v>53</v>
      </c>
      <c r="G279" s="16" t="s">
        <v>54</v>
      </c>
      <c r="H279" s="22" t="s">
        <v>55</v>
      </c>
      <c r="I279" s="23" t="s">
        <v>64</v>
      </c>
      <c r="J279" s="11">
        <v>2</v>
      </c>
      <c r="K279" s="12" t="s">
        <v>2</v>
      </c>
      <c r="L279" s="13">
        <v>1</v>
      </c>
      <c r="M279" s="14">
        <v>0</v>
      </c>
      <c r="N279" s="14">
        <v>1</v>
      </c>
      <c r="O279" s="9">
        <v>2101</v>
      </c>
      <c r="P279" s="9" t="s">
        <v>229</v>
      </c>
      <c r="Q279" s="14">
        <v>1</v>
      </c>
      <c r="R279" s="9">
        <v>0</v>
      </c>
      <c r="S279" s="9">
        <v>0</v>
      </c>
      <c r="T279" s="8" t="s">
        <v>58</v>
      </c>
      <c r="U279" s="85">
        <v>53</v>
      </c>
      <c r="V279" s="8">
        <v>530106</v>
      </c>
      <c r="W279" s="16" t="s">
        <v>65</v>
      </c>
      <c r="X279" s="18">
        <v>112</v>
      </c>
      <c r="Y279" s="65">
        <f>112-77.5-3.7</f>
        <v>30.8</v>
      </c>
      <c r="Z279" s="17">
        <v>30.8</v>
      </c>
      <c r="AA279" s="17">
        <v>30.8</v>
      </c>
      <c r="AB279" s="17">
        <v>0</v>
      </c>
      <c r="AC279" s="17">
        <v>0</v>
      </c>
      <c r="AD279" s="17">
        <v>0</v>
      </c>
      <c r="AE279" s="17">
        <v>0</v>
      </c>
      <c r="AF279" s="17">
        <v>0</v>
      </c>
      <c r="AG279" s="17">
        <v>0</v>
      </c>
      <c r="AH279" s="17">
        <v>0</v>
      </c>
      <c r="AI279" s="17">
        <v>0</v>
      </c>
      <c r="AJ279" s="107">
        <v>0</v>
      </c>
      <c r="AK279" s="17">
        <v>0</v>
      </c>
      <c r="AL279" s="17">
        <v>0</v>
      </c>
      <c r="AM279" s="17">
        <v>0</v>
      </c>
      <c r="AN279" s="17">
        <v>0</v>
      </c>
      <c r="AO279" s="17">
        <v>0</v>
      </c>
      <c r="AP279" s="17">
        <v>0</v>
      </c>
      <c r="AQ279" s="17">
        <v>0</v>
      </c>
      <c r="AR279" s="17">
        <v>0</v>
      </c>
      <c r="AS279" s="17">
        <v>0</v>
      </c>
      <c r="AT279" s="17">
        <v>0</v>
      </c>
      <c r="AU279" s="17">
        <v>0</v>
      </c>
      <c r="AV279" s="17">
        <v>0</v>
      </c>
      <c r="AW279" s="17">
        <v>0</v>
      </c>
      <c r="AX279" s="19">
        <f t="shared" si="28"/>
        <v>30.8</v>
      </c>
      <c r="AY279" s="10" t="str">
        <f>IF(AX279=Y279,"OK",Y279-AX279)</f>
        <v>OK</v>
      </c>
      <c r="AZ279" s="10">
        <f t="shared" si="27"/>
        <v>30.8</v>
      </c>
      <c r="BA279" s="10">
        <f t="shared" si="29"/>
        <v>0</v>
      </c>
      <c r="BB279" s="17">
        <v>30.8</v>
      </c>
      <c r="BC279" s="113">
        <f t="shared" si="31"/>
        <v>0</v>
      </c>
    </row>
    <row r="280" spans="1:55" s="118" customFormat="1" ht="13.5" customHeight="1">
      <c r="A280" s="16" t="s">
        <v>48</v>
      </c>
      <c r="B280" s="16" t="s">
        <v>49</v>
      </c>
      <c r="C280" s="16" t="s">
        <v>50</v>
      </c>
      <c r="D280" s="16" t="s">
        <v>51</v>
      </c>
      <c r="E280" s="16" t="s">
        <v>52</v>
      </c>
      <c r="F280" s="16" t="s">
        <v>53</v>
      </c>
      <c r="G280" s="16" t="s">
        <v>54</v>
      </c>
      <c r="H280" s="22" t="s">
        <v>55</v>
      </c>
      <c r="I280" s="134" t="s">
        <v>66</v>
      </c>
      <c r="J280" s="11">
        <v>1</v>
      </c>
      <c r="K280" s="12" t="s">
        <v>2</v>
      </c>
      <c r="L280" s="13">
        <v>1</v>
      </c>
      <c r="M280" s="14">
        <v>0</v>
      </c>
      <c r="N280" s="14">
        <v>1</v>
      </c>
      <c r="O280" s="9">
        <v>2101</v>
      </c>
      <c r="P280" s="9" t="s">
        <v>229</v>
      </c>
      <c r="Q280" s="14">
        <v>1</v>
      </c>
      <c r="R280" s="9">
        <v>0</v>
      </c>
      <c r="S280" s="9">
        <v>0</v>
      </c>
      <c r="T280" s="8" t="s">
        <v>58</v>
      </c>
      <c r="U280" s="85">
        <v>53</v>
      </c>
      <c r="V280" s="8">
        <v>530106</v>
      </c>
      <c r="W280" s="16" t="s">
        <v>65</v>
      </c>
      <c r="X280" s="18">
        <v>529.76</v>
      </c>
      <c r="Y280" s="132">
        <f>529.76+77.5-250.12-144.04-55</f>
        <v>158.1</v>
      </c>
      <c r="Z280" s="17">
        <v>0</v>
      </c>
      <c r="AA280" s="17">
        <v>0</v>
      </c>
      <c r="AB280" s="17">
        <v>0</v>
      </c>
      <c r="AC280" s="17">
        <v>0</v>
      </c>
      <c r="AD280" s="17">
        <v>49.29</v>
      </c>
      <c r="AE280" s="17">
        <v>6</v>
      </c>
      <c r="AF280" s="17">
        <v>49.29</v>
      </c>
      <c r="AG280" s="17">
        <v>15</v>
      </c>
      <c r="AH280" s="17">
        <v>49.29</v>
      </c>
      <c r="AI280" s="17">
        <v>21</v>
      </c>
      <c r="AJ280" s="107">
        <v>10.23</v>
      </c>
      <c r="AK280" s="17">
        <v>18</v>
      </c>
      <c r="AL280" s="17"/>
      <c r="AM280" s="17">
        <v>15.7</v>
      </c>
      <c r="AN280" s="17">
        <v>0</v>
      </c>
      <c r="AO280" s="17">
        <v>16.4</v>
      </c>
      <c r="AP280" s="17">
        <v>0</v>
      </c>
      <c r="AQ280" s="17">
        <v>21</v>
      </c>
      <c r="AR280" s="17">
        <v>0</v>
      </c>
      <c r="AS280" s="17">
        <v>30</v>
      </c>
      <c r="AT280" s="17">
        <v>0</v>
      </c>
      <c r="AU280" s="17">
        <v>9</v>
      </c>
      <c r="AV280" s="17">
        <v>0</v>
      </c>
      <c r="AW280" s="17">
        <v>6</v>
      </c>
      <c r="AX280" s="19">
        <f t="shared" si="28"/>
        <v>158.1</v>
      </c>
      <c r="AY280" s="10" t="str">
        <f aca="true" t="shared" si="32" ref="AY280:AY302">IF(AX280=Y280,"OK",Y280-AX280)</f>
        <v>OK</v>
      </c>
      <c r="AZ280" s="10">
        <f t="shared" si="27"/>
        <v>158.1</v>
      </c>
      <c r="BA280" s="10">
        <f t="shared" si="29"/>
        <v>0</v>
      </c>
      <c r="BB280" s="17">
        <f>357.14-144.04</f>
        <v>213.1</v>
      </c>
      <c r="BC280" s="113">
        <f t="shared" si="31"/>
        <v>-55</v>
      </c>
    </row>
    <row r="281" spans="1:55" s="118" customFormat="1" ht="13.5" customHeight="1">
      <c r="A281" s="16" t="s">
        <v>48</v>
      </c>
      <c r="B281" s="16" t="s">
        <v>49</v>
      </c>
      <c r="C281" s="16" t="s">
        <v>50</v>
      </c>
      <c r="D281" s="16" t="s">
        <v>51</v>
      </c>
      <c r="E281" s="16" t="s">
        <v>52</v>
      </c>
      <c r="F281" s="16" t="s">
        <v>53</v>
      </c>
      <c r="G281" s="16" t="s">
        <v>54</v>
      </c>
      <c r="H281" s="22" t="s">
        <v>55</v>
      </c>
      <c r="I281" s="23" t="s">
        <v>67</v>
      </c>
      <c r="J281" s="11">
        <v>1</v>
      </c>
      <c r="K281" s="12" t="s">
        <v>2</v>
      </c>
      <c r="L281" s="13">
        <v>1</v>
      </c>
      <c r="M281" s="14">
        <v>0</v>
      </c>
      <c r="N281" s="14">
        <v>1</v>
      </c>
      <c r="O281" s="9">
        <v>2101</v>
      </c>
      <c r="P281" s="9" t="s">
        <v>229</v>
      </c>
      <c r="Q281" s="14">
        <v>1</v>
      </c>
      <c r="R281" s="9">
        <v>0</v>
      </c>
      <c r="S281" s="9">
        <v>0</v>
      </c>
      <c r="T281" s="8" t="s">
        <v>58</v>
      </c>
      <c r="U281" s="85">
        <v>53</v>
      </c>
      <c r="V281" s="8">
        <v>530201</v>
      </c>
      <c r="W281" s="16" t="s">
        <v>68</v>
      </c>
      <c r="X281" s="18">
        <v>5640</v>
      </c>
      <c r="Y281" s="71">
        <f>5640-0.71</f>
        <v>5639.29</v>
      </c>
      <c r="Z281" s="17">
        <v>5639.29</v>
      </c>
      <c r="AA281" s="17">
        <v>5639.29</v>
      </c>
      <c r="AB281" s="17">
        <v>0</v>
      </c>
      <c r="AC281" s="17">
        <v>0</v>
      </c>
      <c r="AD281" s="17">
        <v>0</v>
      </c>
      <c r="AE281" s="17">
        <v>0</v>
      </c>
      <c r="AF281" s="17">
        <v>0</v>
      </c>
      <c r="AG281" s="17">
        <v>0</v>
      </c>
      <c r="AH281" s="17">
        <v>0</v>
      </c>
      <c r="AI281" s="17">
        <v>0</v>
      </c>
      <c r="AJ281" s="107">
        <v>0</v>
      </c>
      <c r="AK281" s="17">
        <v>0</v>
      </c>
      <c r="AL281" s="17">
        <v>0</v>
      </c>
      <c r="AM281" s="17">
        <v>0</v>
      </c>
      <c r="AN281" s="17">
        <v>0</v>
      </c>
      <c r="AO281" s="17">
        <v>0</v>
      </c>
      <c r="AP281" s="17">
        <v>0</v>
      </c>
      <c r="AQ281" s="17">
        <v>0</v>
      </c>
      <c r="AR281" s="17">
        <v>0</v>
      </c>
      <c r="AS281" s="17">
        <v>0</v>
      </c>
      <c r="AT281" s="17">
        <v>0</v>
      </c>
      <c r="AU281" s="17">
        <v>0</v>
      </c>
      <c r="AV281" s="17">
        <v>0</v>
      </c>
      <c r="AW281" s="17">
        <v>0</v>
      </c>
      <c r="AX281" s="19">
        <f t="shared" si="28"/>
        <v>5639.29</v>
      </c>
      <c r="AY281" s="10" t="str">
        <f t="shared" si="32"/>
        <v>OK</v>
      </c>
      <c r="AZ281" s="10">
        <f t="shared" si="27"/>
        <v>5639.29</v>
      </c>
      <c r="BA281" s="10">
        <f t="shared" si="29"/>
        <v>0</v>
      </c>
      <c r="BB281" s="17">
        <v>5639.29</v>
      </c>
      <c r="BC281" s="113">
        <f t="shared" si="31"/>
        <v>0</v>
      </c>
    </row>
    <row r="282" spans="1:55" s="118" customFormat="1" ht="13.5" customHeight="1">
      <c r="A282" s="16" t="s">
        <v>48</v>
      </c>
      <c r="B282" s="16" t="s">
        <v>49</v>
      </c>
      <c r="C282" s="16" t="s">
        <v>50</v>
      </c>
      <c r="D282" s="16" t="s">
        <v>51</v>
      </c>
      <c r="E282" s="16" t="s">
        <v>52</v>
      </c>
      <c r="F282" s="16" t="s">
        <v>53</v>
      </c>
      <c r="G282" s="16" t="s">
        <v>54</v>
      </c>
      <c r="H282" s="22" t="s">
        <v>55</v>
      </c>
      <c r="I282" s="147" t="s">
        <v>69</v>
      </c>
      <c r="J282" s="11">
        <v>1</v>
      </c>
      <c r="K282" s="12" t="s">
        <v>2</v>
      </c>
      <c r="L282" s="13">
        <v>1</v>
      </c>
      <c r="M282" s="14">
        <v>0</v>
      </c>
      <c r="N282" s="14">
        <v>1</v>
      </c>
      <c r="O282" s="9">
        <v>2101</v>
      </c>
      <c r="P282" s="9" t="s">
        <v>229</v>
      </c>
      <c r="Q282" s="14">
        <v>1</v>
      </c>
      <c r="R282" s="9">
        <v>0</v>
      </c>
      <c r="S282" s="9">
        <v>0</v>
      </c>
      <c r="T282" s="8" t="s">
        <v>58</v>
      </c>
      <c r="U282" s="85">
        <v>53</v>
      </c>
      <c r="V282" s="8">
        <v>530201</v>
      </c>
      <c r="W282" s="16" t="s">
        <v>68</v>
      </c>
      <c r="X282" s="18">
        <v>72655</v>
      </c>
      <c r="Y282" s="146">
        <f>72655-3255.03+0.01-9774.89</f>
        <v>59625.09</v>
      </c>
      <c r="Z282" s="17">
        <v>0</v>
      </c>
      <c r="AA282" s="17">
        <v>1841.38</v>
      </c>
      <c r="AB282" s="17">
        <v>6605</v>
      </c>
      <c r="AC282" s="17">
        <v>0</v>
      </c>
      <c r="AD282" s="17">
        <v>6605</v>
      </c>
      <c r="AE282" s="17">
        <v>5778.37</v>
      </c>
      <c r="AF282" s="17">
        <v>6605</v>
      </c>
      <c r="AG282" s="17">
        <v>5778.37</v>
      </c>
      <c r="AH282" s="17">
        <v>6605</v>
      </c>
      <c r="AI282" s="17">
        <v>5778.37</v>
      </c>
      <c r="AJ282" s="107">
        <v>6605</v>
      </c>
      <c r="AK282" s="17">
        <v>5778.37</v>
      </c>
      <c r="AL282" s="17">
        <v>6605</v>
      </c>
      <c r="AM282" s="17">
        <v>5778.37</v>
      </c>
      <c r="AN282" s="17">
        <v>6605</v>
      </c>
      <c r="AO282" s="17">
        <v>5778.37</v>
      </c>
      <c r="AP282" s="17">
        <v>6605</v>
      </c>
      <c r="AQ282" s="17">
        <v>5778.37</v>
      </c>
      <c r="AR282" s="17">
        <v>6605</v>
      </c>
      <c r="AS282" s="17">
        <v>5778.37</v>
      </c>
      <c r="AT282" s="17">
        <v>180.0899999999965</v>
      </c>
      <c r="AU282" s="17">
        <v>5778.37</v>
      </c>
      <c r="AV282" s="17">
        <v>0</v>
      </c>
      <c r="AW282" s="17">
        <v>5778.37</v>
      </c>
      <c r="AX282" s="19">
        <f t="shared" si="28"/>
        <v>59625.09</v>
      </c>
      <c r="AY282" s="10" t="str">
        <f t="shared" si="32"/>
        <v>OK</v>
      </c>
      <c r="AZ282" s="10">
        <f t="shared" si="27"/>
        <v>59625.08000000001</v>
      </c>
      <c r="BA282" s="10">
        <f t="shared" si="29"/>
        <v>0.010000000003856258</v>
      </c>
      <c r="BB282" s="17">
        <f>1841.38+67558.59-9774.89</f>
        <v>59625.08</v>
      </c>
      <c r="BC282" s="113">
        <f t="shared" si="31"/>
        <v>0.00999999999476131</v>
      </c>
    </row>
    <row r="283" spans="1:55" s="118" customFormat="1" ht="13.5" customHeight="1">
      <c r="A283" s="16" t="s">
        <v>48</v>
      </c>
      <c r="B283" s="16" t="s">
        <v>49</v>
      </c>
      <c r="C283" s="16" t="s">
        <v>50</v>
      </c>
      <c r="D283" s="16" t="s">
        <v>51</v>
      </c>
      <c r="E283" s="16" t="s">
        <v>52</v>
      </c>
      <c r="F283" s="16" t="s">
        <v>53</v>
      </c>
      <c r="G283" s="16" t="s">
        <v>54</v>
      </c>
      <c r="H283" s="22" t="s">
        <v>55</v>
      </c>
      <c r="I283" s="134" t="s">
        <v>70</v>
      </c>
      <c r="J283" s="11">
        <v>1</v>
      </c>
      <c r="K283" s="12" t="s">
        <v>2</v>
      </c>
      <c r="L283" s="13">
        <v>1</v>
      </c>
      <c r="M283" s="14">
        <v>0</v>
      </c>
      <c r="N283" s="14">
        <v>1</v>
      </c>
      <c r="O283" s="9">
        <v>2101</v>
      </c>
      <c r="P283" s="9" t="s">
        <v>229</v>
      </c>
      <c r="Q283" s="14">
        <v>1</v>
      </c>
      <c r="R283" s="9">
        <v>0</v>
      </c>
      <c r="S283" s="9">
        <v>0</v>
      </c>
      <c r="T283" s="8" t="s">
        <v>58</v>
      </c>
      <c r="U283" s="85">
        <v>53</v>
      </c>
      <c r="V283" s="8">
        <v>530203</v>
      </c>
      <c r="W283" s="16" t="s">
        <v>71</v>
      </c>
      <c r="X283" s="18">
        <v>600.3199999999996</v>
      </c>
      <c r="Y283" s="132">
        <f>600.32-64.72</f>
        <v>535.6</v>
      </c>
      <c r="Z283" s="17">
        <v>0</v>
      </c>
      <c r="AA283" s="17">
        <v>0</v>
      </c>
      <c r="AB283" s="17">
        <v>0</v>
      </c>
      <c r="AC283" s="17">
        <v>0</v>
      </c>
      <c r="AD283" s="17">
        <v>0</v>
      </c>
      <c r="AE283" s="17">
        <v>0</v>
      </c>
      <c r="AF283" s="17">
        <v>0</v>
      </c>
      <c r="AG283" s="17">
        <v>0</v>
      </c>
      <c r="AH283" s="17">
        <v>0</v>
      </c>
      <c r="AI283" s="17">
        <v>0</v>
      </c>
      <c r="AJ283" s="107">
        <v>0</v>
      </c>
      <c r="AK283" s="17">
        <v>0</v>
      </c>
      <c r="AL283" s="17">
        <v>0</v>
      </c>
      <c r="AM283" s="17">
        <v>0</v>
      </c>
      <c r="AN283" s="17">
        <v>535.6</v>
      </c>
      <c r="AO283" s="17">
        <v>535.6</v>
      </c>
      <c r="AP283" s="17">
        <v>0</v>
      </c>
      <c r="AQ283" s="17">
        <v>0</v>
      </c>
      <c r="AR283" s="17">
        <v>0</v>
      </c>
      <c r="AS283" s="17">
        <v>0</v>
      </c>
      <c r="AT283" s="17">
        <v>0</v>
      </c>
      <c r="AU283" s="17">
        <v>0</v>
      </c>
      <c r="AV283" s="17">
        <v>0</v>
      </c>
      <c r="AW283" s="17">
        <v>0</v>
      </c>
      <c r="AX283" s="19">
        <f t="shared" si="28"/>
        <v>535.6</v>
      </c>
      <c r="AY283" s="10" t="str">
        <f t="shared" si="32"/>
        <v>OK</v>
      </c>
      <c r="AZ283" s="10">
        <f t="shared" si="27"/>
        <v>535.6</v>
      </c>
      <c r="BA283" s="10">
        <f t="shared" si="29"/>
        <v>0</v>
      </c>
      <c r="BB283" s="17">
        <v>535.6</v>
      </c>
      <c r="BC283" s="113">
        <f t="shared" si="31"/>
        <v>0</v>
      </c>
    </row>
    <row r="284" spans="1:55" s="118" customFormat="1" ht="13.5" customHeight="1">
      <c r="A284" s="16" t="s">
        <v>48</v>
      </c>
      <c r="B284" s="16" t="s">
        <v>49</v>
      </c>
      <c r="C284" s="16" t="s">
        <v>74</v>
      </c>
      <c r="D284" s="16" t="s">
        <v>75</v>
      </c>
      <c r="E284" s="16" t="s">
        <v>52</v>
      </c>
      <c r="F284" s="16" t="s">
        <v>53</v>
      </c>
      <c r="G284" s="16" t="s">
        <v>306</v>
      </c>
      <c r="H284" s="22" t="s">
        <v>76</v>
      </c>
      <c r="I284" s="134" t="s">
        <v>230</v>
      </c>
      <c r="J284" s="11">
        <v>1</v>
      </c>
      <c r="K284" s="12" t="s">
        <v>2</v>
      </c>
      <c r="L284" s="13">
        <v>1</v>
      </c>
      <c r="M284" s="14">
        <v>0</v>
      </c>
      <c r="N284" s="14">
        <v>1</v>
      </c>
      <c r="O284" s="9">
        <v>2101</v>
      </c>
      <c r="P284" s="9" t="s">
        <v>229</v>
      </c>
      <c r="Q284" s="14">
        <v>1</v>
      </c>
      <c r="R284" s="9">
        <v>0</v>
      </c>
      <c r="S284" s="9">
        <v>0</v>
      </c>
      <c r="T284" s="8" t="s">
        <v>58</v>
      </c>
      <c r="U284" s="85">
        <v>53</v>
      </c>
      <c r="V284" s="8">
        <v>530204</v>
      </c>
      <c r="W284" s="16" t="s">
        <v>73</v>
      </c>
      <c r="X284" s="18">
        <v>300.1599999999998</v>
      </c>
      <c r="Y284" s="132">
        <f>300.16-0.16</f>
        <v>300</v>
      </c>
      <c r="Z284" s="17">
        <v>0</v>
      </c>
      <c r="AA284" s="17">
        <v>0</v>
      </c>
      <c r="AB284" s="17">
        <v>0</v>
      </c>
      <c r="AC284" s="17">
        <v>0</v>
      </c>
      <c r="AD284" s="17">
        <v>0</v>
      </c>
      <c r="AE284" s="17">
        <v>0</v>
      </c>
      <c r="AF284" s="17">
        <v>0</v>
      </c>
      <c r="AG284" s="17">
        <v>0</v>
      </c>
      <c r="AH284" s="17">
        <v>0</v>
      </c>
      <c r="AI284" s="17">
        <v>0</v>
      </c>
      <c r="AJ284" s="107">
        <v>0</v>
      </c>
      <c r="AK284" s="17">
        <v>0</v>
      </c>
      <c r="AL284" s="17">
        <v>300</v>
      </c>
      <c r="AM284" s="17">
        <v>300</v>
      </c>
      <c r="AN284" s="17">
        <v>0</v>
      </c>
      <c r="AO284" s="17">
        <v>0</v>
      </c>
      <c r="AP284" s="17">
        <v>0</v>
      </c>
      <c r="AQ284" s="17">
        <v>0</v>
      </c>
      <c r="AR284" s="17">
        <v>0</v>
      </c>
      <c r="AS284" s="17">
        <v>0</v>
      </c>
      <c r="AT284" s="17">
        <v>0</v>
      </c>
      <c r="AU284" s="17">
        <v>0</v>
      </c>
      <c r="AV284" s="17">
        <v>0</v>
      </c>
      <c r="AW284" s="17">
        <v>0</v>
      </c>
      <c r="AX284" s="19">
        <f t="shared" si="28"/>
        <v>300</v>
      </c>
      <c r="AY284" s="10" t="str">
        <f t="shared" si="32"/>
        <v>OK</v>
      </c>
      <c r="AZ284" s="10">
        <f t="shared" si="27"/>
        <v>300</v>
      </c>
      <c r="BA284" s="10">
        <f t="shared" si="29"/>
        <v>0</v>
      </c>
      <c r="BB284" s="17">
        <v>300</v>
      </c>
      <c r="BC284" s="113">
        <f t="shared" si="31"/>
        <v>0</v>
      </c>
    </row>
    <row r="285" spans="1:55" s="118" customFormat="1" ht="13.5" customHeight="1">
      <c r="A285" s="16" t="s">
        <v>48</v>
      </c>
      <c r="B285" s="16" t="s">
        <v>49</v>
      </c>
      <c r="C285" s="16" t="s">
        <v>50</v>
      </c>
      <c r="D285" s="16" t="s">
        <v>51</v>
      </c>
      <c r="E285" s="16" t="s">
        <v>52</v>
      </c>
      <c r="F285" s="16" t="s">
        <v>53</v>
      </c>
      <c r="G285" s="16" t="s">
        <v>54</v>
      </c>
      <c r="H285" s="22" t="s">
        <v>55</v>
      </c>
      <c r="I285" s="63" t="s">
        <v>275</v>
      </c>
      <c r="J285" s="11">
        <v>3</v>
      </c>
      <c r="K285" s="12" t="s">
        <v>2</v>
      </c>
      <c r="L285" s="13">
        <v>1</v>
      </c>
      <c r="M285" s="14">
        <v>0</v>
      </c>
      <c r="N285" s="14">
        <v>1</v>
      </c>
      <c r="O285" s="9">
        <v>2101</v>
      </c>
      <c r="P285" s="9" t="s">
        <v>229</v>
      </c>
      <c r="Q285" s="14">
        <v>1</v>
      </c>
      <c r="R285" s="9">
        <v>0</v>
      </c>
      <c r="S285" s="9">
        <v>0</v>
      </c>
      <c r="T285" s="8" t="s">
        <v>58</v>
      </c>
      <c r="U285" s="85">
        <v>53</v>
      </c>
      <c r="V285" s="8">
        <v>530204</v>
      </c>
      <c r="W285" s="16" t="s">
        <v>73</v>
      </c>
      <c r="X285" s="18">
        <v>240.8</v>
      </c>
      <c r="Y285" s="89">
        <f>240.8-40.8-115.85</f>
        <v>84.15</v>
      </c>
      <c r="Z285" s="17">
        <v>0</v>
      </c>
      <c r="AA285" s="17">
        <v>0</v>
      </c>
      <c r="AB285" s="17">
        <v>0</v>
      </c>
      <c r="AC285" s="17">
        <v>0</v>
      </c>
      <c r="AD285" s="17">
        <v>0</v>
      </c>
      <c r="AE285" s="17">
        <v>0</v>
      </c>
      <c r="AF285" s="17">
        <v>0</v>
      </c>
      <c r="AG285" s="17">
        <v>0</v>
      </c>
      <c r="AH285" s="17">
        <v>0</v>
      </c>
      <c r="AI285" s="17">
        <v>0</v>
      </c>
      <c r="AJ285" s="107">
        <v>84.15</v>
      </c>
      <c r="AK285" s="17">
        <v>0</v>
      </c>
      <c r="AL285" s="17">
        <v>0</v>
      </c>
      <c r="AM285" s="17">
        <v>84.15</v>
      </c>
      <c r="AN285" s="17">
        <v>0</v>
      </c>
      <c r="AO285" s="17">
        <v>0</v>
      </c>
      <c r="AP285" s="17">
        <v>0</v>
      </c>
      <c r="AQ285" s="17">
        <v>0</v>
      </c>
      <c r="AR285" s="17">
        <v>0</v>
      </c>
      <c r="AS285" s="17">
        <v>0</v>
      </c>
      <c r="AT285" s="17">
        <v>0</v>
      </c>
      <c r="AU285" s="17">
        <v>0</v>
      </c>
      <c r="AV285" s="17">
        <v>0</v>
      </c>
      <c r="AW285" s="17">
        <v>0</v>
      </c>
      <c r="AX285" s="19">
        <f t="shared" si="28"/>
        <v>84.15</v>
      </c>
      <c r="AY285" s="10" t="str">
        <f t="shared" si="32"/>
        <v>OK</v>
      </c>
      <c r="AZ285" s="10">
        <f t="shared" si="27"/>
        <v>84.15</v>
      </c>
      <c r="BA285" s="10">
        <f t="shared" si="29"/>
        <v>0</v>
      </c>
      <c r="BB285" s="17">
        <v>84.15</v>
      </c>
      <c r="BC285" s="113">
        <f t="shared" si="31"/>
        <v>0</v>
      </c>
    </row>
    <row r="286" spans="1:55" s="118" customFormat="1" ht="13.5" customHeight="1">
      <c r="A286" s="16" t="s">
        <v>48</v>
      </c>
      <c r="B286" s="16" t="s">
        <v>49</v>
      </c>
      <c r="C286" s="16" t="s">
        <v>50</v>
      </c>
      <c r="D286" s="16" t="s">
        <v>51</v>
      </c>
      <c r="E286" s="16" t="s">
        <v>52</v>
      </c>
      <c r="F286" s="16" t="s">
        <v>53</v>
      </c>
      <c r="G286" s="16" t="s">
        <v>54</v>
      </c>
      <c r="H286" s="22" t="s">
        <v>55</v>
      </c>
      <c r="I286" s="23" t="s">
        <v>72</v>
      </c>
      <c r="J286" s="11">
        <v>1</v>
      </c>
      <c r="K286" s="12" t="s">
        <v>2</v>
      </c>
      <c r="L286" s="13">
        <v>1</v>
      </c>
      <c r="M286" s="14">
        <v>0</v>
      </c>
      <c r="N286" s="14">
        <v>1</v>
      </c>
      <c r="O286" s="9">
        <v>2101</v>
      </c>
      <c r="P286" s="9" t="s">
        <v>229</v>
      </c>
      <c r="Q286" s="14">
        <v>1</v>
      </c>
      <c r="R286" s="9">
        <v>0</v>
      </c>
      <c r="S286" s="9">
        <v>0</v>
      </c>
      <c r="T286" s="8" t="s">
        <v>58</v>
      </c>
      <c r="U286" s="85">
        <v>53</v>
      </c>
      <c r="V286" s="8">
        <v>530204</v>
      </c>
      <c r="W286" s="16" t="s">
        <v>73</v>
      </c>
      <c r="X286" s="18">
        <v>150</v>
      </c>
      <c r="Y286" s="18">
        <v>150</v>
      </c>
      <c r="Z286" s="17">
        <v>0</v>
      </c>
      <c r="AA286" s="17">
        <v>0</v>
      </c>
      <c r="AB286" s="17">
        <v>0</v>
      </c>
      <c r="AC286" s="17">
        <v>0</v>
      </c>
      <c r="AD286" s="17">
        <v>0</v>
      </c>
      <c r="AE286" s="17">
        <v>0</v>
      </c>
      <c r="AF286" s="17">
        <v>0</v>
      </c>
      <c r="AG286" s="17">
        <v>0</v>
      </c>
      <c r="AH286" s="17">
        <v>0</v>
      </c>
      <c r="AI286" s="17">
        <v>0</v>
      </c>
      <c r="AJ286" s="108">
        <v>35.71</v>
      </c>
      <c r="AK286" s="17">
        <v>0</v>
      </c>
      <c r="AL286" s="17">
        <v>0</v>
      </c>
      <c r="AM286" s="17">
        <v>0</v>
      </c>
      <c r="AN286" s="59">
        <v>44.65</v>
      </c>
      <c r="AO286" s="17">
        <v>0</v>
      </c>
      <c r="AP286" s="17">
        <v>0</v>
      </c>
      <c r="AQ286" s="17">
        <v>0</v>
      </c>
      <c r="AR286" s="59">
        <v>69.64</v>
      </c>
      <c r="AS286" s="17">
        <v>95.2</v>
      </c>
      <c r="AT286" s="17">
        <f>Z286/3</f>
        <v>0</v>
      </c>
      <c r="AU286" s="17">
        <v>0</v>
      </c>
      <c r="AV286" s="17">
        <v>0</v>
      </c>
      <c r="AW286" s="17">
        <v>54.8</v>
      </c>
      <c r="AX286" s="19">
        <f t="shared" si="28"/>
        <v>150</v>
      </c>
      <c r="AY286" s="10" t="str">
        <f t="shared" si="32"/>
        <v>OK</v>
      </c>
      <c r="AZ286" s="10">
        <f t="shared" si="27"/>
        <v>150</v>
      </c>
      <c r="BA286" s="10">
        <f t="shared" si="29"/>
        <v>0</v>
      </c>
      <c r="BB286" s="17">
        <v>0</v>
      </c>
      <c r="BC286" s="113">
        <f t="shared" si="31"/>
        <v>150</v>
      </c>
    </row>
    <row r="287" spans="1:55" s="118" customFormat="1" ht="13.5" customHeight="1">
      <c r="A287" s="16" t="s">
        <v>48</v>
      </c>
      <c r="B287" s="16" t="s">
        <v>49</v>
      </c>
      <c r="C287" s="16" t="s">
        <v>74</v>
      </c>
      <c r="D287" s="16" t="s">
        <v>75</v>
      </c>
      <c r="E287" s="16" t="s">
        <v>52</v>
      </c>
      <c r="F287" s="16" t="s">
        <v>53</v>
      </c>
      <c r="G287" s="16" t="s">
        <v>306</v>
      </c>
      <c r="H287" s="22" t="s">
        <v>76</v>
      </c>
      <c r="I287" s="134" t="s">
        <v>231</v>
      </c>
      <c r="J287" s="11">
        <v>2</v>
      </c>
      <c r="K287" s="12" t="s">
        <v>2</v>
      </c>
      <c r="L287" s="13">
        <v>1</v>
      </c>
      <c r="M287" s="14">
        <v>0</v>
      </c>
      <c r="N287" s="14">
        <v>1</v>
      </c>
      <c r="O287" s="9">
        <v>2101</v>
      </c>
      <c r="P287" s="9" t="s">
        <v>229</v>
      </c>
      <c r="Q287" s="14">
        <v>1</v>
      </c>
      <c r="R287" s="9">
        <v>0</v>
      </c>
      <c r="S287" s="9">
        <v>0</v>
      </c>
      <c r="T287" s="8" t="s">
        <v>58</v>
      </c>
      <c r="U287" s="85">
        <v>53</v>
      </c>
      <c r="V287" s="8">
        <v>530204</v>
      </c>
      <c r="W287" s="16" t="s">
        <v>73</v>
      </c>
      <c r="X287" s="18">
        <v>1367.5199999999998</v>
      </c>
      <c r="Y287" s="132">
        <f>1367.52-1367.52</f>
        <v>0</v>
      </c>
      <c r="Z287" s="17">
        <v>0</v>
      </c>
      <c r="AA287" s="17">
        <v>0</v>
      </c>
      <c r="AB287" s="17">
        <v>0</v>
      </c>
      <c r="AC287" s="17">
        <v>0</v>
      </c>
      <c r="AD287" s="17">
        <v>0</v>
      </c>
      <c r="AE287" s="17">
        <v>0</v>
      </c>
      <c r="AF287" s="80">
        <v>0</v>
      </c>
      <c r="AG287" s="17">
        <v>0</v>
      </c>
      <c r="AH287" s="17">
        <v>0</v>
      </c>
      <c r="AI287" s="17">
        <v>0</v>
      </c>
      <c r="AJ287" s="107">
        <v>0</v>
      </c>
      <c r="AK287" s="17">
        <v>0</v>
      </c>
      <c r="AL287" s="17">
        <v>0</v>
      </c>
      <c r="AM287" s="17">
        <v>0</v>
      </c>
      <c r="AN287" s="59">
        <v>0</v>
      </c>
      <c r="AO287" s="17">
        <v>0</v>
      </c>
      <c r="AP287" s="59">
        <v>0</v>
      </c>
      <c r="AQ287" s="17">
        <v>0</v>
      </c>
      <c r="AR287" s="17">
        <v>0</v>
      </c>
      <c r="AS287" s="17">
        <v>0</v>
      </c>
      <c r="AT287" s="17">
        <v>0</v>
      </c>
      <c r="AU287" s="17">
        <v>0</v>
      </c>
      <c r="AV287" s="17">
        <v>0</v>
      </c>
      <c r="AW287" s="17">
        <v>0</v>
      </c>
      <c r="AX287" s="19">
        <f t="shared" si="28"/>
        <v>0</v>
      </c>
      <c r="AY287" s="10" t="str">
        <f t="shared" si="32"/>
        <v>OK</v>
      </c>
      <c r="AZ287" s="10">
        <f t="shared" si="27"/>
        <v>0</v>
      </c>
      <c r="BA287" s="10">
        <f t="shared" si="29"/>
        <v>0</v>
      </c>
      <c r="BB287" s="17">
        <v>0</v>
      </c>
      <c r="BC287" s="113">
        <f t="shared" si="31"/>
        <v>0</v>
      </c>
    </row>
    <row r="288" spans="1:55" s="118" customFormat="1" ht="13.5" customHeight="1">
      <c r="A288" s="16" t="s">
        <v>48</v>
      </c>
      <c r="B288" s="16" t="s">
        <v>49</v>
      </c>
      <c r="C288" s="16" t="s">
        <v>74</v>
      </c>
      <c r="D288" s="16" t="s">
        <v>75</v>
      </c>
      <c r="E288" s="16" t="s">
        <v>52</v>
      </c>
      <c r="F288" s="16" t="s">
        <v>53</v>
      </c>
      <c r="G288" s="16" t="s">
        <v>306</v>
      </c>
      <c r="H288" s="22" t="s">
        <v>76</v>
      </c>
      <c r="I288" s="63" t="s">
        <v>232</v>
      </c>
      <c r="J288" s="11">
        <v>2</v>
      </c>
      <c r="K288" s="12" t="s">
        <v>2</v>
      </c>
      <c r="L288" s="13">
        <v>1</v>
      </c>
      <c r="M288" s="14">
        <v>0</v>
      </c>
      <c r="N288" s="14">
        <v>1</v>
      </c>
      <c r="O288" s="9">
        <v>2101</v>
      </c>
      <c r="P288" s="9" t="s">
        <v>229</v>
      </c>
      <c r="Q288" s="14">
        <v>1</v>
      </c>
      <c r="R288" s="9">
        <v>0</v>
      </c>
      <c r="S288" s="9">
        <v>0</v>
      </c>
      <c r="T288" s="8" t="s">
        <v>58</v>
      </c>
      <c r="U288" s="85">
        <v>53</v>
      </c>
      <c r="V288" s="8">
        <v>530207</v>
      </c>
      <c r="W288" s="16" t="s">
        <v>78</v>
      </c>
      <c r="X288" s="18">
        <v>302.3999999999998</v>
      </c>
      <c r="Y288" s="79">
        <f>302.4-302.4</f>
        <v>0</v>
      </c>
      <c r="Z288" s="17">
        <v>0</v>
      </c>
      <c r="AA288" s="17">
        <v>0</v>
      </c>
      <c r="AB288" s="17">
        <v>0</v>
      </c>
      <c r="AC288" s="17">
        <v>0</v>
      </c>
      <c r="AD288" s="76">
        <v>0</v>
      </c>
      <c r="AE288" s="17">
        <v>0</v>
      </c>
      <c r="AF288" s="17">
        <v>0</v>
      </c>
      <c r="AG288" s="17">
        <v>0</v>
      </c>
      <c r="AH288" s="17">
        <v>0</v>
      </c>
      <c r="AI288" s="17">
        <v>0</v>
      </c>
      <c r="AJ288" s="107">
        <v>0</v>
      </c>
      <c r="AK288" s="17">
        <v>0</v>
      </c>
      <c r="AL288" s="17">
        <v>0</v>
      </c>
      <c r="AM288" s="17">
        <v>0</v>
      </c>
      <c r="AN288" s="17">
        <v>0</v>
      </c>
      <c r="AO288" s="17">
        <v>0</v>
      </c>
      <c r="AP288" s="17">
        <v>0</v>
      </c>
      <c r="AQ288" s="17">
        <v>0</v>
      </c>
      <c r="AR288" s="17">
        <v>0</v>
      </c>
      <c r="AS288" s="17">
        <v>0</v>
      </c>
      <c r="AT288" s="17">
        <v>0</v>
      </c>
      <c r="AU288" s="17">
        <v>0</v>
      </c>
      <c r="AV288" s="17">
        <v>0</v>
      </c>
      <c r="AW288" s="17">
        <v>0</v>
      </c>
      <c r="AX288" s="19">
        <f t="shared" si="28"/>
        <v>0</v>
      </c>
      <c r="AY288" s="10" t="str">
        <f t="shared" si="32"/>
        <v>OK</v>
      </c>
      <c r="AZ288" s="10">
        <f t="shared" si="27"/>
        <v>0</v>
      </c>
      <c r="BA288" s="10">
        <f t="shared" si="29"/>
        <v>0</v>
      </c>
      <c r="BB288" s="17">
        <v>0</v>
      </c>
      <c r="BC288" s="113">
        <f t="shared" si="31"/>
        <v>0</v>
      </c>
    </row>
    <row r="289" spans="1:55" s="118" customFormat="1" ht="13.5" customHeight="1">
      <c r="A289" s="16" t="s">
        <v>48</v>
      </c>
      <c r="B289" s="16" t="s">
        <v>49</v>
      </c>
      <c r="C289" s="16" t="s">
        <v>50</v>
      </c>
      <c r="D289" s="16" t="s">
        <v>51</v>
      </c>
      <c r="E289" s="16" t="s">
        <v>52</v>
      </c>
      <c r="F289" s="16" t="s">
        <v>53</v>
      </c>
      <c r="G289" s="16" t="s">
        <v>54</v>
      </c>
      <c r="H289" s="22" t="s">
        <v>55</v>
      </c>
      <c r="I289" s="134" t="s">
        <v>79</v>
      </c>
      <c r="J289" s="11">
        <v>1</v>
      </c>
      <c r="K289" s="12" t="s">
        <v>2</v>
      </c>
      <c r="L289" s="13">
        <v>1</v>
      </c>
      <c r="M289" s="14">
        <v>0</v>
      </c>
      <c r="N289" s="14">
        <v>1</v>
      </c>
      <c r="O289" s="9">
        <v>2101</v>
      </c>
      <c r="P289" s="9" t="s">
        <v>229</v>
      </c>
      <c r="Q289" s="14">
        <v>1</v>
      </c>
      <c r="R289" s="9">
        <v>0</v>
      </c>
      <c r="S289" s="9">
        <v>0</v>
      </c>
      <c r="T289" s="8" t="s">
        <v>58</v>
      </c>
      <c r="U289" s="85">
        <v>53</v>
      </c>
      <c r="V289" s="8">
        <v>530209</v>
      </c>
      <c r="W289" s="16" t="s">
        <v>80</v>
      </c>
      <c r="X289" s="18">
        <v>3821.4399999999996</v>
      </c>
      <c r="Y289" s="132">
        <f>3821.44-1.39-409.29</f>
        <v>3410.76</v>
      </c>
      <c r="Z289" s="17">
        <v>3410.76</v>
      </c>
      <c r="AA289" s="17">
        <v>3410.76</v>
      </c>
      <c r="AB289" s="17">
        <v>0</v>
      </c>
      <c r="AC289" s="17">
        <v>0</v>
      </c>
      <c r="AD289" s="17">
        <v>0</v>
      </c>
      <c r="AE289" s="17">
        <v>0</v>
      </c>
      <c r="AF289" s="17">
        <v>0</v>
      </c>
      <c r="AG289" s="17">
        <v>0</v>
      </c>
      <c r="AH289" s="17">
        <v>0</v>
      </c>
      <c r="AI289" s="17">
        <v>0</v>
      </c>
      <c r="AJ289" s="107">
        <v>0</v>
      </c>
      <c r="AK289" s="17">
        <v>0</v>
      </c>
      <c r="AL289" s="17">
        <v>0</v>
      </c>
      <c r="AM289" s="17">
        <v>0</v>
      </c>
      <c r="AN289" s="17">
        <v>0</v>
      </c>
      <c r="AO289" s="17">
        <v>0</v>
      </c>
      <c r="AP289" s="17">
        <v>0</v>
      </c>
      <c r="AQ289" s="17">
        <v>0</v>
      </c>
      <c r="AR289" s="17">
        <v>0</v>
      </c>
      <c r="AS289" s="17">
        <v>0</v>
      </c>
      <c r="AT289" s="17">
        <v>0</v>
      </c>
      <c r="AU289" s="17">
        <v>0</v>
      </c>
      <c r="AV289" s="17">
        <v>0</v>
      </c>
      <c r="AW289" s="17">
        <v>0</v>
      </c>
      <c r="AX289" s="19">
        <f t="shared" si="28"/>
        <v>3410.76</v>
      </c>
      <c r="AY289" s="10" t="str">
        <f t="shared" si="32"/>
        <v>OK</v>
      </c>
      <c r="AZ289" s="10">
        <f t="shared" si="27"/>
        <v>3410.76</v>
      </c>
      <c r="BA289" s="10">
        <f t="shared" si="29"/>
        <v>0</v>
      </c>
      <c r="BB289" s="17">
        <v>3410.76</v>
      </c>
      <c r="BC289" s="113">
        <f t="shared" si="31"/>
        <v>0</v>
      </c>
    </row>
    <row r="290" spans="1:55" s="118" customFormat="1" ht="13.5" customHeight="1">
      <c r="A290" s="16" t="s">
        <v>48</v>
      </c>
      <c r="B290" s="16" t="s">
        <v>49</v>
      </c>
      <c r="C290" s="16" t="s">
        <v>50</v>
      </c>
      <c r="D290" s="16" t="s">
        <v>51</v>
      </c>
      <c r="E290" s="16" t="s">
        <v>52</v>
      </c>
      <c r="F290" s="16" t="s">
        <v>53</v>
      </c>
      <c r="G290" s="16" t="s">
        <v>54</v>
      </c>
      <c r="H290" s="22" t="s">
        <v>55</v>
      </c>
      <c r="I290" s="147" t="s">
        <v>81</v>
      </c>
      <c r="J290" s="11">
        <v>1</v>
      </c>
      <c r="K290" s="12" t="s">
        <v>2</v>
      </c>
      <c r="L290" s="13">
        <v>1</v>
      </c>
      <c r="M290" s="14">
        <v>0</v>
      </c>
      <c r="N290" s="14">
        <v>1</v>
      </c>
      <c r="O290" s="9">
        <v>2101</v>
      </c>
      <c r="P290" s="9" t="s">
        <v>229</v>
      </c>
      <c r="Q290" s="14">
        <v>1</v>
      </c>
      <c r="R290" s="9">
        <v>0</v>
      </c>
      <c r="S290" s="9">
        <v>0</v>
      </c>
      <c r="T290" s="8" t="s">
        <v>58</v>
      </c>
      <c r="U290" s="85">
        <v>53</v>
      </c>
      <c r="V290" s="8">
        <v>530209</v>
      </c>
      <c r="W290" s="16" t="s">
        <v>80</v>
      </c>
      <c r="X290" s="18">
        <v>25011.84</v>
      </c>
      <c r="Y290" s="146">
        <f>25011.84+17963.74-2046.46-1834.23-2878.98+1302.45</f>
        <v>37518.35999999999</v>
      </c>
      <c r="Z290" s="17">
        <v>0</v>
      </c>
      <c r="AA290" s="17">
        <v>0</v>
      </c>
      <c r="AB290" s="17">
        <v>3722</v>
      </c>
      <c r="AC290" s="17">
        <v>3410.76</v>
      </c>
      <c r="AD290" s="17">
        <v>3722</v>
      </c>
      <c r="AE290" s="17">
        <v>3410.76</v>
      </c>
      <c r="AF290" s="17">
        <v>3722</v>
      </c>
      <c r="AG290" s="17">
        <v>3410.76</v>
      </c>
      <c r="AH290" s="17">
        <v>3722</v>
      </c>
      <c r="AI290" s="17">
        <v>3410.76</v>
      </c>
      <c r="AJ290" s="107">
        <v>3722</v>
      </c>
      <c r="AK290" s="17">
        <v>3410.76</v>
      </c>
      <c r="AL290" s="17">
        <v>3722</v>
      </c>
      <c r="AM290" s="17">
        <v>3410.76</v>
      </c>
      <c r="AN290" s="17">
        <v>3207.81</v>
      </c>
      <c r="AO290" s="17">
        <v>3410.76</v>
      </c>
      <c r="AP290" s="17">
        <v>3207.81</v>
      </c>
      <c r="AQ290" s="17">
        <v>3410.76</v>
      </c>
      <c r="AR290" s="17">
        <v>3207.81</v>
      </c>
      <c r="AS290" s="17">
        <v>3410.76</v>
      </c>
      <c r="AT290" s="17">
        <v>3207.81</v>
      </c>
      <c r="AU290" s="17">
        <v>3410.76</v>
      </c>
      <c r="AV290" s="17">
        <v>2355.119999999988</v>
      </c>
      <c r="AW290" s="17">
        <v>3410.76</v>
      </c>
      <c r="AX290" s="19">
        <f t="shared" si="28"/>
        <v>37518.35999999999</v>
      </c>
      <c r="AY290" s="10" t="str">
        <f t="shared" si="32"/>
        <v>OK</v>
      </c>
      <c r="AZ290" s="10">
        <f t="shared" si="27"/>
        <v>37518.360000000015</v>
      </c>
      <c r="BA290" s="10">
        <f t="shared" si="29"/>
        <v>-1.6370904631912708E-11</v>
      </c>
      <c r="BB290" s="17">
        <f>20464.56+20464.56-3410.76</f>
        <v>37518.36</v>
      </c>
      <c r="BC290" s="113">
        <f t="shared" si="31"/>
        <v>0</v>
      </c>
    </row>
    <row r="291" spans="1:55" s="118" customFormat="1" ht="13.5" customHeight="1">
      <c r="A291" s="16" t="s">
        <v>48</v>
      </c>
      <c r="B291" s="16" t="s">
        <v>49</v>
      </c>
      <c r="C291" s="16" t="s">
        <v>50</v>
      </c>
      <c r="D291" s="16" t="s">
        <v>51</v>
      </c>
      <c r="E291" s="16" t="s">
        <v>52</v>
      </c>
      <c r="F291" s="16" t="s">
        <v>53</v>
      </c>
      <c r="G291" s="16" t="s">
        <v>54</v>
      </c>
      <c r="H291" s="22" t="s">
        <v>55</v>
      </c>
      <c r="I291" s="147" t="s">
        <v>84</v>
      </c>
      <c r="J291" s="11">
        <v>1</v>
      </c>
      <c r="K291" s="12" t="s">
        <v>2</v>
      </c>
      <c r="L291" s="13">
        <v>1</v>
      </c>
      <c r="M291" s="14">
        <v>0</v>
      </c>
      <c r="N291" s="14">
        <v>1</v>
      </c>
      <c r="O291" s="9">
        <v>2101</v>
      </c>
      <c r="P291" s="9" t="s">
        <v>229</v>
      </c>
      <c r="Q291" s="14">
        <v>1</v>
      </c>
      <c r="R291" s="9">
        <v>0</v>
      </c>
      <c r="S291" s="9">
        <v>0</v>
      </c>
      <c r="T291" s="8" t="s">
        <v>58</v>
      </c>
      <c r="U291" s="85">
        <v>53</v>
      </c>
      <c r="V291" s="8">
        <v>530301</v>
      </c>
      <c r="W291" s="16" t="s">
        <v>83</v>
      </c>
      <c r="X291" s="18">
        <v>100</v>
      </c>
      <c r="Y291" s="146">
        <f>100-50</f>
        <v>50</v>
      </c>
      <c r="Z291" s="17">
        <v>0</v>
      </c>
      <c r="AA291" s="17">
        <v>0</v>
      </c>
      <c r="AB291" s="17">
        <v>0</v>
      </c>
      <c r="AC291" s="17">
        <v>0</v>
      </c>
      <c r="AD291" s="17">
        <v>0</v>
      </c>
      <c r="AE291" s="17">
        <v>0</v>
      </c>
      <c r="AF291" s="76">
        <f>X291/4</f>
        <v>25</v>
      </c>
      <c r="AG291" s="17">
        <v>0</v>
      </c>
      <c r="AH291" s="17">
        <v>0</v>
      </c>
      <c r="AI291" s="17">
        <v>0</v>
      </c>
      <c r="AJ291" s="107">
        <v>25</v>
      </c>
      <c r="AK291" s="17">
        <v>0</v>
      </c>
      <c r="AL291" s="17">
        <v>0</v>
      </c>
      <c r="AM291" s="17">
        <v>0</v>
      </c>
      <c r="AN291" s="17">
        <v>0</v>
      </c>
      <c r="AO291" s="17">
        <v>0</v>
      </c>
      <c r="AP291" s="17">
        <v>0</v>
      </c>
      <c r="AQ291" s="17">
        <v>0</v>
      </c>
      <c r="AR291" s="17">
        <v>0</v>
      </c>
      <c r="AS291" s="17">
        <v>0</v>
      </c>
      <c r="AT291" s="17">
        <v>0</v>
      </c>
      <c r="AU291" s="17">
        <v>0</v>
      </c>
      <c r="AV291" s="17">
        <v>0</v>
      </c>
      <c r="AW291" s="17">
        <v>0</v>
      </c>
      <c r="AX291" s="19">
        <f t="shared" si="28"/>
        <v>50</v>
      </c>
      <c r="AY291" s="10" t="str">
        <f t="shared" si="32"/>
        <v>OK</v>
      </c>
      <c r="AZ291" s="10">
        <f t="shared" si="27"/>
        <v>0</v>
      </c>
      <c r="BA291" s="10">
        <f t="shared" si="29"/>
        <v>50</v>
      </c>
      <c r="BB291" s="17">
        <v>50</v>
      </c>
      <c r="BC291" s="113">
        <f t="shared" si="31"/>
        <v>0</v>
      </c>
    </row>
    <row r="292" spans="1:55" s="118" customFormat="1" ht="13.5" customHeight="1">
      <c r="A292" s="16" t="s">
        <v>48</v>
      </c>
      <c r="B292" s="16" t="s">
        <v>49</v>
      </c>
      <c r="C292" s="16" t="s">
        <v>50</v>
      </c>
      <c r="D292" s="16" t="s">
        <v>51</v>
      </c>
      <c r="E292" s="16" t="s">
        <v>52</v>
      </c>
      <c r="F292" s="16" t="s">
        <v>53</v>
      </c>
      <c r="G292" s="16" t="s">
        <v>54</v>
      </c>
      <c r="H292" s="22" t="s">
        <v>55</v>
      </c>
      <c r="I292" s="143" t="s">
        <v>85</v>
      </c>
      <c r="J292" s="11">
        <v>1</v>
      </c>
      <c r="K292" s="12" t="s">
        <v>2</v>
      </c>
      <c r="L292" s="13">
        <v>1</v>
      </c>
      <c r="M292" s="14">
        <v>0</v>
      </c>
      <c r="N292" s="14">
        <v>1</v>
      </c>
      <c r="O292" s="9">
        <v>2101</v>
      </c>
      <c r="P292" s="9" t="s">
        <v>229</v>
      </c>
      <c r="Q292" s="14">
        <v>1</v>
      </c>
      <c r="R292" s="9">
        <v>0</v>
      </c>
      <c r="S292" s="9">
        <v>0</v>
      </c>
      <c r="T292" s="8" t="s">
        <v>58</v>
      </c>
      <c r="U292" s="85">
        <v>53</v>
      </c>
      <c r="V292" s="8">
        <v>530303</v>
      </c>
      <c r="W292" s="16" t="s">
        <v>86</v>
      </c>
      <c r="X292" s="18">
        <v>1500</v>
      </c>
      <c r="Y292" s="144">
        <f>1500+1374.4+531.78</f>
        <v>3406.1800000000003</v>
      </c>
      <c r="Z292" s="17">
        <v>0</v>
      </c>
      <c r="AA292" s="17">
        <v>0</v>
      </c>
      <c r="AB292" s="17">
        <v>0</v>
      </c>
      <c r="AC292" s="17">
        <v>0</v>
      </c>
      <c r="AD292" s="17">
        <v>150</v>
      </c>
      <c r="AE292" s="17">
        <v>224.4</v>
      </c>
      <c r="AF292" s="76">
        <v>150</v>
      </c>
      <c r="AG292" s="17">
        <v>281.4</v>
      </c>
      <c r="AH292" s="17">
        <v>150</v>
      </c>
      <c r="AI292" s="17">
        <v>559.59</v>
      </c>
      <c r="AJ292" s="107">
        <v>150</v>
      </c>
      <c r="AK292" s="17">
        <v>335.09</v>
      </c>
      <c r="AL292" s="17">
        <v>150</v>
      </c>
      <c r="AM292" s="17">
        <v>0</v>
      </c>
      <c r="AN292" s="17">
        <v>150</v>
      </c>
      <c r="AO292" s="17">
        <v>395.83</v>
      </c>
      <c r="AP292" s="17">
        <v>150</v>
      </c>
      <c r="AQ292" s="17">
        <v>411.87</v>
      </c>
      <c r="AR292" s="17">
        <v>150</v>
      </c>
      <c r="AS292" s="17">
        <v>598</v>
      </c>
      <c r="AT292" s="17">
        <v>2206.1800000000003</v>
      </c>
      <c r="AU292" s="17">
        <v>240</v>
      </c>
      <c r="AV292" s="17">
        <v>0</v>
      </c>
      <c r="AW292" s="17">
        <v>184</v>
      </c>
      <c r="AX292" s="19">
        <f t="shared" si="28"/>
        <v>3406.1800000000003</v>
      </c>
      <c r="AY292" s="10" t="str">
        <f t="shared" si="32"/>
        <v>OK</v>
      </c>
      <c r="AZ292" s="10">
        <f t="shared" si="27"/>
        <v>3230.18</v>
      </c>
      <c r="BA292" s="10">
        <f t="shared" si="29"/>
        <v>176.00000000000045</v>
      </c>
      <c r="BB292" s="17">
        <f>1500-99.52+1473.92-68.22+600</f>
        <v>3406.1800000000003</v>
      </c>
      <c r="BC292" s="113">
        <f t="shared" si="31"/>
        <v>0</v>
      </c>
    </row>
    <row r="293" spans="1:55" s="118" customFormat="1" ht="13.5" customHeight="1">
      <c r="A293" s="16" t="s">
        <v>48</v>
      </c>
      <c r="B293" s="16" t="s">
        <v>49</v>
      </c>
      <c r="C293" s="16" t="s">
        <v>50</v>
      </c>
      <c r="D293" s="16" t="s">
        <v>51</v>
      </c>
      <c r="E293" s="16" t="s">
        <v>52</v>
      </c>
      <c r="F293" s="16" t="s">
        <v>53</v>
      </c>
      <c r="G293" s="16" t="s">
        <v>54</v>
      </c>
      <c r="H293" s="22" t="s">
        <v>55</v>
      </c>
      <c r="I293" s="147" t="s">
        <v>233</v>
      </c>
      <c r="J293" s="11">
        <v>1</v>
      </c>
      <c r="K293" s="12" t="s">
        <v>2</v>
      </c>
      <c r="L293" s="13">
        <v>1</v>
      </c>
      <c r="M293" s="14">
        <v>0</v>
      </c>
      <c r="N293" s="14">
        <v>1</v>
      </c>
      <c r="O293" s="9">
        <v>2101</v>
      </c>
      <c r="P293" s="9" t="s">
        <v>229</v>
      </c>
      <c r="Q293" s="14">
        <v>1</v>
      </c>
      <c r="R293" s="9">
        <v>0</v>
      </c>
      <c r="S293" s="9">
        <v>0</v>
      </c>
      <c r="T293" s="8" t="s">
        <v>58</v>
      </c>
      <c r="U293" s="85">
        <v>53</v>
      </c>
      <c r="V293" s="8">
        <v>530402</v>
      </c>
      <c r="W293" s="16" t="s">
        <v>88</v>
      </c>
      <c r="X293" s="18">
        <v>3300.6399999999985</v>
      </c>
      <c r="Y293" s="146">
        <f>3300.64+3523.36-823</f>
        <v>6001</v>
      </c>
      <c r="Z293" s="17">
        <v>0</v>
      </c>
      <c r="AA293" s="17">
        <v>0</v>
      </c>
      <c r="AB293" s="17">
        <v>0</v>
      </c>
      <c r="AC293" s="17">
        <v>0</v>
      </c>
      <c r="AD293" s="17">
        <v>0</v>
      </c>
      <c r="AE293" s="17">
        <v>0</v>
      </c>
      <c r="AF293" s="17">
        <v>0</v>
      </c>
      <c r="AG293" s="17">
        <v>0</v>
      </c>
      <c r="AH293" s="17">
        <v>0</v>
      </c>
      <c r="AI293" s="17">
        <v>0</v>
      </c>
      <c r="AJ293" s="107">
        <v>0</v>
      </c>
      <c r="AK293" s="17">
        <v>0</v>
      </c>
      <c r="AL293" s="17">
        <v>0</v>
      </c>
      <c r="AM293" s="17">
        <v>0</v>
      </c>
      <c r="AN293" s="17">
        <v>0</v>
      </c>
      <c r="AO293" s="17">
        <v>0</v>
      </c>
      <c r="AP293" s="17">
        <v>0</v>
      </c>
      <c r="AQ293" s="17">
        <v>0</v>
      </c>
      <c r="AR293" s="17">
        <v>0</v>
      </c>
      <c r="AS293" s="17">
        <v>0</v>
      </c>
      <c r="AT293" s="17">
        <v>6001</v>
      </c>
      <c r="AU293" s="17">
        <v>0</v>
      </c>
      <c r="AV293" s="17">
        <v>0</v>
      </c>
      <c r="AW293" s="17">
        <v>6001</v>
      </c>
      <c r="AX293" s="19">
        <f t="shared" si="28"/>
        <v>6001</v>
      </c>
      <c r="AY293" s="10" t="str">
        <f t="shared" si="32"/>
        <v>OK</v>
      </c>
      <c r="AZ293" s="10">
        <f t="shared" si="27"/>
        <v>6001</v>
      </c>
      <c r="BA293" s="10">
        <f t="shared" si="29"/>
        <v>0</v>
      </c>
      <c r="BB293" s="17">
        <v>6001</v>
      </c>
      <c r="BC293" s="113">
        <f t="shared" si="31"/>
        <v>0</v>
      </c>
    </row>
    <row r="294" spans="1:55" s="118" customFormat="1" ht="13.5" customHeight="1">
      <c r="A294" s="16" t="s">
        <v>48</v>
      </c>
      <c r="B294" s="16" t="s">
        <v>49</v>
      </c>
      <c r="C294" s="16" t="s">
        <v>50</v>
      </c>
      <c r="D294" s="16" t="s">
        <v>51</v>
      </c>
      <c r="E294" s="16" t="s">
        <v>52</v>
      </c>
      <c r="F294" s="16" t="s">
        <v>53</v>
      </c>
      <c r="G294" s="16" t="s">
        <v>54</v>
      </c>
      <c r="H294" s="22" t="s">
        <v>55</v>
      </c>
      <c r="I294" s="134" t="s">
        <v>90</v>
      </c>
      <c r="J294" s="11">
        <v>1</v>
      </c>
      <c r="K294" s="12" t="s">
        <v>2</v>
      </c>
      <c r="L294" s="13">
        <v>1</v>
      </c>
      <c r="M294" s="14">
        <v>0</v>
      </c>
      <c r="N294" s="14">
        <v>1</v>
      </c>
      <c r="O294" s="9">
        <v>2101</v>
      </c>
      <c r="P294" s="9" t="s">
        <v>229</v>
      </c>
      <c r="Q294" s="14">
        <v>1</v>
      </c>
      <c r="R294" s="9">
        <v>0</v>
      </c>
      <c r="S294" s="9">
        <v>0</v>
      </c>
      <c r="T294" s="8" t="s">
        <v>58</v>
      </c>
      <c r="U294" s="85">
        <v>53</v>
      </c>
      <c r="V294" s="8">
        <v>530403</v>
      </c>
      <c r="W294" s="16" t="s">
        <v>91</v>
      </c>
      <c r="X294" s="18">
        <v>1000.1599999999996</v>
      </c>
      <c r="Y294" s="132">
        <f>1000.16-0.91</f>
        <v>999.25</v>
      </c>
      <c r="Z294" s="17">
        <v>0</v>
      </c>
      <c r="AA294" s="17">
        <v>0</v>
      </c>
      <c r="AB294" s="17">
        <v>0</v>
      </c>
      <c r="AC294" s="17">
        <v>0</v>
      </c>
      <c r="AD294" s="17">
        <v>0</v>
      </c>
      <c r="AE294" s="17">
        <v>0</v>
      </c>
      <c r="AF294" s="17">
        <v>0</v>
      </c>
      <c r="AG294" s="17">
        <v>0</v>
      </c>
      <c r="AH294" s="17">
        <v>0</v>
      </c>
      <c r="AI294" s="17">
        <v>0</v>
      </c>
      <c r="AJ294" s="107">
        <v>0</v>
      </c>
      <c r="AK294" s="17">
        <v>0</v>
      </c>
      <c r="AL294" s="17">
        <v>0</v>
      </c>
      <c r="AM294" s="17">
        <v>0</v>
      </c>
      <c r="AN294" s="17">
        <v>0</v>
      </c>
      <c r="AO294" s="17">
        <v>0</v>
      </c>
      <c r="AP294" s="17">
        <v>999.25</v>
      </c>
      <c r="AQ294" s="17">
        <v>999.25</v>
      </c>
      <c r="AR294" s="17">
        <v>0</v>
      </c>
      <c r="AS294" s="17">
        <v>0</v>
      </c>
      <c r="AT294" s="17">
        <v>0</v>
      </c>
      <c r="AU294" s="17">
        <v>0</v>
      </c>
      <c r="AV294" s="17">
        <v>0</v>
      </c>
      <c r="AW294" s="17">
        <v>0</v>
      </c>
      <c r="AX294" s="19">
        <f t="shared" si="28"/>
        <v>999.25</v>
      </c>
      <c r="AY294" s="10" t="str">
        <f t="shared" si="32"/>
        <v>OK</v>
      </c>
      <c r="AZ294" s="10">
        <f t="shared" si="27"/>
        <v>999.25</v>
      </c>
      <c r="BA294" s="10">
        <f t="shared" si="29"/>
        <v>0</v>
      </c>
      <c r="BB294" s="17">
        <v>999.25</v>
      </c>
      <c r="BC294" s="113">
        <f t="shared" si="31"/>
        <v>0</v>
      </c>
    </row>
    <row r="295" spans="1:55" s="118" customFormat="1" ht="13.5" customHeight="1">
      <c r="A295" s="16" t="s">
        <v>48</v>
      </c>
      <c r="B295" s="16" t="s">
        <v>49</v>
      </c>
      <c r="C295" s="16" t="s">
        <v>50</v>
      </c>
      <c r="D295" s="16" t="s">
        <v>51</v>
      </c>
      <c r="E295" s="16" t="s">
        <v>52</v>
      </c>
      <c r="F295" s="16" t="s">
        <v>53</v>
      </c>
      <c r="G295" s="16" t="s">
        <v>54</v>
      </c>
      <c r="H295" s="22" t="s">
        <v>55</v>
      </c>
      <c r="I295" s="142" t="s">
        <v>92</v>
      </c>
      <c r="J295" s="11">
        <v>1</v>
      </c>
      <c r="K295" s="12" t="s">
        <v>2</v>
      </c>
      <c r="L295" s="13">
        <v>1</v>
      </c>
      <c r="M295" s="14">
        <v>0</v>
      </c>
      <c r="N295" s="14">
        <v>1</v>
      </c>
      <c r="O295" s="9">
        <v>2101</v>
      </c>
      <c r="P295" s="9" t="s">
        <v>229</v>
      </c>
      <c r="Q295" s="14">
        <v>1</v>
      </c>
      <c r="R295" s="9">
        <v>0</v>
      </c>
      <c r="S295" s="9">
        <v>0</v>
      </c>
      <c r="T295" s="8" t="s">
        <v>58</v>
      </c>
      <c r="U295" s="85">
        <v>53</v>
      </c>
      <c r="V295" s="8">
        <v>530404</v>
      </c>
      <c r="W295" s="16" t="s">
        <v>93</v>
      </c>
      <c r="X295" s="18">
        <v>350.56</v>
      </c>
      <c r="Y295" s="141">
        <f>350.56-70.56-280</f>
        <v>0</v>
      </c>
      <c r="Z295" s="17">
        <v>0</v>
      </c>
      <c r="AA295" s="17">
        <v>0</v>
      </c>
      <c r="AB295" s="17">
        <v>0</v>
      </c>
      <c r="AC295" s="17">
        <v>0</v>
      </c>
      <c r="AD295" s="17">
        <v>0</v>
      </c>
      <c r="AE295" s="17">
        <v>0</v>
      </c>
      <c r="AF295" s="17">
        <v>0</v>
      </c>
      <c r="AG295" s="17">
        <v>0</v>
      </c>
      <c r="AH295" s="17">
        <v>0</v>
      </c>
      <c r="AI295" s="17">
        <v>0</v>
      </c>
      <c r="AJ295" s="107">
        <v>0</v>
      </c>
      <c r="AK295" s="17">
        <v>0</v>
      </c>
      <c r="AL295" s="17">
        <v>0</v>
      </c>
      <c r="AM295" s="17">
        <v>0</v>
      </c>
      <c r="AN295" s="17">
        <v>0</v>
      </c>
      <c r="AO295" s="17">
        <v>0</v>
      </c>
      <c r="AP295" s="17">
        <v>0</v>
      </c>
      <c r="AQ295" s="17">
        <v>0</v>
      </c>
      <c r="AR295" s="17">
        <v>0</v>
      </c>
      <c r="AS295" s="17"/>
      <c r="AT295" s="17">
        <v>0</v>
      </c>
      <c r="AU295" s="17"/>
      <c r="AV295" s="17">
        <v>0</v>
      </c>
      <c r="AW295" s="17">
        <v>0</v>
      </c>
      <c r="AX295" s="19">
        <f t="shared" si="28"/>
        <v>0</v>
      </c>
      <c r="AY295" s="10" t="str">
        <f t="shared" si="32"/>
        <v>OK</v>
      </c>
      <c r="AZ295" s="10">
        <f t="shared" si="27"/>
        <v>0</v>
      </c>
      <c r="BA295" s="10">
        <f t="shared" si="29"/>
        <v>0</v>
      </c>
      <c r="BB295" s="17">
        <v>280</v>
      </c>
      <c r="BC295" s="113">
        <f t="shared" si="31"/>
        <v>-280</v>
      </c>
    </row>
    <row r="296" spans="1:55" s="118" customFormat="1" ht="13.5" customHeight="1">
      <c r="A296" s="16" t="s">
        <v>48</v>
      </c>
      <c r="B296" s="16" t="s">
        <v>49</v>
      </c>
      <c r="C296" s="16" t="s">
        <v>50</v>
      </c>
      <c r="D296" s="16" t="s">
        <v>51</v>
      </c>
      <c r="E296" s="16" t="s">
        <v>52</v>
      </c>
      <c r="F296" s="16" t="s">
        <v>53</v>
      </c>
      <c r="G296" s="16" t="s">
        <v>54</v>
      </c>
      <c r="H296" s="22" t="s">
        <v>55</v>
      </c>
      <c r="I296" s="23" t="s">
        <v>234</v>
      </c>
      <c r="J296" s="11">
        <v>3</v>
      </c>
      <c r="K296" s="12" t="s">
        <v>2</v>
      </c>
      <c r="L296" s="13">
        <v>1</v>
      </c>
      <c r="M296" s="14">
        <v>0</v>
      </c>
      <c r="N296" s="14">
        <v>1</v>
      </c>
      <c r="O296" s="9">
        <v>2101</v>
      </c>
      <c r="P296" s="9" t="s">
        <v>229</v>
      </c>
      <c r="Q296" s="14">
        <v>1</v>
      </c>
      <c r="R296" s="9">
        <v>0</v>
      </c>
      <c r="S296" s="9">
        <v>0</v>
      </c>
      <c r="T296" s="8" t="s">
        <v>58</v>
      </c>
      <c r="U296" s="85">
        <v>53</v>
      </c>
      <c r="V296" s="8">
        <v>530404</v>
      </c>
      <c r="W296" s="16" t="s">
        <v>93</v>
      </c>
      <c r="X296" s="18">
        <v>400.9599999999998</v>
      </c>
      <c r="Y296" s="89">
        <f>400.96-43.96</f>
        <v>357</v>
      </c>
      <c r="Z296" s="17">
        <v>0</v>
      </c>
      <c r="AA296" s="17">
        <v>0</v>
      </c>
      <c r="AB296" s="17">
        <v>0</v>
      </c>
      <c r="AC296" s="17">
        <v>0</v>
      </c>
      <c r="AD296" s="17">
        <v>0</v>
      </c>
      <c r="AE296" s="17">
        <v>0</v>
      </c>
      <c r="AF296" s="17">
        <v>0</v>
      </c>
      <c r="AG296" s="17">
        <v>0</v>
      </c>
      <c r="AH296" s="80">
        <v>0</v>
      </c>
      <c r="AI296" s="17">
        <v>0</v>
      </c>
      <c r="AJ296" s="108">
        <v>357</v>
      </c>
      <c r="AK296" s="17">
        <v>357</v>
      </c>
      <c r="AL296" s="17">
        <v>0</v>
      </c>
      <c r="AM296" s="17">
        <v>0</v>
      </c>
      <c r="AN296" s="17">
        <v>0</v>
      </c>
      <c r="AO296" s="17">
        <v>0</v>
      </c>
      <c r="AP296" s="17">
        <v>0</v>
      </c>
      <c r="AQ296" s="17">
        <v>0</v>
      </c>
      <c r="AR296" s="17">
        <v>0</v>
      </c>
      <c r="AS296" s="17">
        <v>0</v>
      </c>
      <c r="AT296" s="17">
        <v>0</v>
      </c>
      <c r="AU296" s="17">
        <v>0</v>
      </c>
      <c r="AV296" s="17">
        <v>0</v>
      </c>
      <c r="AW296" s="17">
        <v>0</v>
      </c>
      <c r="AX296" s="19">
        <f t="shared" si="28"/>
        <v>357</v>
      </c>
      <c r="AY296" s="10" t="str">
        <f t="shared" si="32"/>
        <v>OK</v>
      </c>
      <c r="AZ296" s="10">
        <f t="shared" si="27"/>
        <v>357</v>
      </c>
      <c r="BA296" s="10">
        <f t="shared" si="29"/>
        <v>0</v>
      </c>
      <c r="BB296" s="17">
        <v>357</v>
      </c>
      <c r="BC296" s="113">
        <f t="shared" si="31"/>
        <v>0</v>
      </c>
    </row>
    <row r="297" spans="1:55" s="118" customFormat="1" ht="13.5" customHeight="1">
      <c r="A297" s="16" t="s">
        <v>48</v>
      </c>
      <c r="B297" s="16" t="s">
        <v>49</v>
      </c>
      <c r="C297" s="16" t="s">
        <v>50</v>
      </c>
      <c r="D297" s="16" t="s">
        <v>51</v>
      </c>
      <c r="E297" s="16" t="s">
        <v>52</v>
      </c>
      <c r="F297" s="16" t="s">
        <v>53</v>
      </c>
      <c r="G297" s="16" t="s">
        <v>54</v>
      </c>
      <c r="H297" s="22" t="s">
        <v>55</v>
      </c>
      <c r="I297" s="23" t="s">
        <v>94</v>
      </c>
      <c r="J297" s="11">
        <v>1</v>
      </c>
      <c r="K297" s="12" t="s">
        <v>2</v>
      </c>
      <c r="L297" s="13">
        <v>1</v>
      </c>
      <c r="M297" s="14">
        <v>0</v>
      </c>
      <c r="N297" s="14">
        <v>1</v>
      </c>
      <c r="O297" s="9">
        <v>2101</v>
      </c>
      <c r="P297" s="9" t="s">
        <v>229</v>
      </c>
      <c r="Q297" s="14">
        <v>1</v>
      </c>
      <c r="R297" s="9">
        <v>0</v>
      </c>
      <c r="S297" s="9">
        <v>0</v>
      </c>
      <c r="T297" s="8" t="s">
        <v>58</v>
      </c>
      <c r="U297" s="85">
        <v>53</v>
      </c>
      <c r="V297" s="8">
        <v>530404</v>
      </c>
      <c r="W297" s="16" t="s">
        <v>93</v>
      </c>
      <c r="X297" s="18">
        <v>2106.72</v>
      </c>
      <c r="Y297" s="65">
        <f>2106.72-270.72</f>
        <v>1835.9999999999998</v>
      </c>
      <c r="Z297" s="17">
        <v>0</v>
      </c>
      <c r="AA297" s="17">
        <v>0</v>
      </c>
      <c r="AB297" s="17">
        <v>0</v>
      </c>
      <c r="AC297" s="17">
        <v>0</v>
      </c>
      <c r="AD297" s="17">
        <v>171</v>
      </c>
      <c r="AE297" s="17">
        <v>153</v>
      </c>
      <c r="AF297" s="17">
        <v>171</v>
      </c>
      <c r="AG297" s="17">
        <v>306</v>
      </c>
      <c r="AH297" s="17">
        <v>171</v>
      </c>
      <c r="AI297" s="17">
        <v>153</v>
      </c>
      <c r="AJ297" s="107">
        <v>171</v>
      </c>
      <c r="AK297" s="17">
        <v>153</v>
      </c>
      <c r="AL297" s="17">
        <v>171</v>
      </c>
      <c r="AM297" s="17">
        <v>153</v>
      </c>
      <c r="AN297" s="17">
        <v>171</v>
      </c>
      <c r="AO297" s="17">
        <v>153</v>
      </c>
      <c r="AP297" s="17">
        <v>171</v>
      </c>
      <c r="AQ297" s="17">
        <v>153</v>
      </c>
      <c r="AR297" s="17">
        <v>171</v>
      </c>
      <c r="AS297" s="17">
        <v>153</v>
      </c>
      <c r="AT297" s="17">
        <v>171</v>
      </c>
      <c r="AU297" s="17">
        <v>153</v>
      </c>
      <c r="AV297" s="17">
        <v>296.9999999999998</v>
      </c>
      <c r="AW297" s="17">
        <v>306</v>
      </c>
      <c r="AX297" s="19">
        <f t="shared" si="28"/>
        <v>1835.9999999999998</v>
      </c>
      <c r="AY297" s="10" t="str">
        <f t="shared" si="32"/>
        <v>OK</v>
      </c>
      <c r="AZ297" s="10">
        <f t="shared" si="27"/>
        <v>1836</v>
      </c>
      <c r="BA297" s="10">
        <f t="shared" si="29"/>
        <v>0</v>
      </c>
      <c r="BB297" s="17">
        <v>1836</v>
      </c>
      <c r="BC297" s="113">
        <f t="shared" si="31"/>
        <v>0</v>
      </c>
    </row>
    <row r="298" spans="1:55" s="118" customFormat="1" ht="13.5" customHeight="1">
      <c r="A298" s="16" t="s">
        <v>48</v>
      </c>
      <c r="B298" s="16" t="s">
        <v>49</v>
      </c>
      <c r="C298" s="16" t="s">
        <v>50</v>
      </c>
      <c r="D298" s="16" t="s">
        <v>51</v>
      </c>
      <c r="E298" s="16" t="s">
        <v>52</v>
      </c>
      <c r="F298" s="16" t="s">
        <v>53</v>
      </c>
      <c r="G298" s="16" t="s">
        <v>54</v>
      </c>
      <c r="H298" s="22" t="s">
        <v>55</v>
      </c>
      <c r="I298" s="134" t="s">
        <v>235</v>
      </c>
      <c r="J298" s="11">
        <v>1</v>
      </c>
      <c r="K298" s="12" t="s">
        <v>2</v>
      </c>
      <c r="L298" s="13">
        <v>1</v>
      </c>
      <c r="M298" s="14">
        <v>0</v>
      </c>
      <c r="N298" s="14">
        <v>1</v>
      </c>
      <c r="O298" s="9">
        <v>2101</v>
      </c>
      <c r="P298" s="9" t="s">
        <v>229</v>
      </c>
      <c r="Q298" s="14">
        <v>1</v>
      </c>
      <c r="R298" s="9">
        <v>0</v>
      </c>
      <c r="S298" s="9">
        <v>0</v>
      </c>
      <c r="T298" s="8" t="s">
        <v>58</v>
      </c>
      <c r="U298" s="85">
        <v>53</v>
      </c>
      <c r="V298" s="8">
        <v>530405</v>
      </c>
      <c r="W298" s="16" t="s">
        <v>96</v>
      </c>
      <c r="X298" s="18">
        <v>1903.9999999999995</v>
      </c>
      <c r="Y298" s="132">
        <f>1904-38.08-199.92</f>
        <v>1666</v>
      </c>
      <c r="Z298" s="17">
        <v>0</v>
      </c>
      <c r="AA298" s="17">
        <v>0</v>
      </c>
      <c r="AB298" s="17">
        <v>0</v>
      </c>
      <c r="AC298" s="17">
        <v>0</v>
      </c>
      <c r="AD298" s="17">
        <v>0</v>
      </c>
      <c r="AE298" s="17">
        <v>0</v>
      </c>
      <c r="AF298" s="59">
        <v>851.44</v>
      </c>
      <c r="AG298" s="17">
        <v>842.44</v>
      </c>
      <c r="AH298" s="17">
        <v>0</v>
      </c>
      <c r="AI298" s="17">
        <v>197</v>
      </c>
      <c r="AJ298" s="107">
        <v>0</v>
      </c>
      <c r="AK298" s="17">
        <v>0</v>
      </c>
      <c r="AL298" s="17">
        <v>197</v>
      </c>
      <c r="AM298" s="17">
        <v>100</v>
      </c>
      <c r="AN298" s="17">
        <v>0</v>
      </c>
      <c r="AO298" s="17">
        <v>0</v>
      </c>
      <c r="AP298" s="17">
        <v>226.06</v>
      </c>
      <c r="AQ298" s="17">
        <v>362.06</v>
      </c>
      <c r="AR298" s="17">
        <v>0</v>
      </c>
      <c r="AS298" s="17">
        <v>0</v>
      </c>
      <c r="AT298" s="17">
        <v>0</v>
      </c>
      <c r="AU298" s="17">
        <v>52</v>
      </c>
      <c r="AV298" s="17">
        <v>391.5</v>
      </c>
      <c r="AW298" s="17">
        <v>112.5</v>
      </c>
      <c r="AX298" s="19">
        <f t="shared" si="28"/>
        <v>1666</v>
      </c>
      <c r="AY298" s="10" t="str">
        <f t="shared" si="32"/>
        <v>OK</v>
      </c>
      <c r="AZ298" s="10">
        <f t="shared" si="27"/>
        <v>1666</v>
      </c>
      <c r="BA298" s="10">
        <f t="shared" si="29"/>
        <v>0</v>
      </c>
      <c r="BB298" s="17">
        <v>1666</v>
      </c>
      <c r="BC298" s="113">
        <f t="shared" si="31"/>
        <v>0</v>
      </c>
    </row>
    <row r="299" spans="1:55" s="118" customFormat="1" ht="13.5" customHeight="1">
      <c r="A299" s="16" t="s">
        <v>48</v>
      </c>
      <c r="B299" s="16" t="s">
        <v>49</v>
      </c>
      <c r="C299" s="16" t="s">
        <v>50</v>
      </c>
      <c r="D299" s="16" t="s">
        <v>51</v>
      </c>
      <c r="E299" s="16" t="s">
        <v>52</v>
      </c>
      <c r="F299" s="16" t="s">
        <v>53</v>
      </c>
      <c r="G299" s="16" t="s">
        <v>54</v>
      </c>
      <c r="H299" s="22" t="s">
        <v>55</v>
      </c>
      <c r="I299" s="23" t="s">
        <v>236</v>
      </c>
      <c r="J299" s="11">
        <v>1</v>
      </c>
      <c r="K299" s="12" t="s">
        <v>2</v>
      </c>
      <c r="L299" s="13">
        <v>1</v>
      </c>
      <c r="M299" s="14">
        <v>0</v>
      </c>
      <c r="N299" s="14">
        <v>1</v>
      </c>
      <c r="O299" s="9">
        <v>2101</v>
      </c>
      <c r="P299" s="9" t="s">
        <v>229</v>
      </c>
      <c r="Q299" s="14">
        <v>1</v>
      </c>
      <c r="R299" s="9">
        <v>0</v>
      </c>
      <c r="S299" s="9">
        <v>0</v>
      </c>
      <c r="T299" s="8" t="s">
        <v>58</v>
      </c>
      <c r="U299" s="85">
        <v>53</v>
      </c>
      <c r="V299" s="8">
        <v>530405</v>
      </c>
      <c r="W299" s="16" t="s">
        <v>96</v>
      </c>
      <c r="X299" s="18">
        <v>100</v>
      </c>
      <c r="Y299" s="18">
        <v>100</v>
      </c>
      <c r="Z299" s="17">
        <v>0</v>
      </c>
      <c r="AA299" s="17">
        <v>0</v>
      </c>
      <c r="AB299" s="17">
        <v>0</v>
      </c>
      <c r="AC299" s="17">
        <v>0</v>
      </c>
      <c r="AD299" s="17">
        <v>0</v>
      </c>
      <c r="AE299" s="17">
        <v>0</v>
      </c>
      <c r="AF299" s="59">
        <v>39.29</v>
      </c>
      <c r="AG299" s="17">
        <v>44</v>
      </c>
      <c r="AH299" s="17">
        <v>0</v>
      </c>
      <c r="AI299" s="17">
        <v>19</v>
      </c>
      <c r="AJ299" s="108">
        <v>25.89</v>
      </c>
      <c r="AK299" s="17">
        <v>0</v>
      </c>
      <c r="AL299" s="17">
        <v>0</v>
      </c>
      <c r="AM299" s="17">
        <v>0</v>
      </c>
      <c r="AN299" s="59">
        <v>34.81999999999999</v>
      </c>
      <c r="AO299" s="17">
        <v>27</v>
      </c>
      <c r="AP299" s="17">
        <v>0</v>
      </c>
      <c r="AQ299" s="17">
        <v>0</v>
      </c>
      <c r="AR299" s="17">
        <v>0</v>
      </c>
      <c r="AS299" s="17">
        <v>0</v>
      </c>
      <c r="AT299" s="17">
        <v>0</v>
      </c>
      <c r="AU299" s="17">
        <v>0</v>
      </c>
      <c r="AV299" s="17">
        <v>0</v>
      </c>
      <c r="AW299" s="17">
        <v>10</v>
      </c>
      <c r="AX299" s="19">
        <f t="shared" si="28"/>
        <v>100</v>
      </c>
      <c r="AY299" s="10" t="str">
        <f t="shared" si="32"/>
        <v>OK</v>
      </c>
      <c r="AZ299" s="10">
        <f t="shared" si="27"/>
        <v>100</v>
      </c>
      <c r="BA299" s="10">
        <f t="shared" si="29"/>
        <v>0</v>
      </c>
      <c r="BB299" s="17">
        <v>63</v>
      </c>
      <c r="BC299" s="113">
        <f t="shared" si="31"/>
        <v>37</v>
      </c>
    </row>
    <row r="300" spans="1:55" s="118" customFormat="1" ht="13.5" customHeight="1">
      <c r="A300" s="16" t="s">
        <v>48</v>
      </c>
      <c r="B300" s="16" t="s">
        <v>49</v>
      </c>
      <c r="C300" s="16" t="s">
        <v>74</v>
      </c>
      <c r="D300" s="16" t="s">
        <v>75</v>
      </c>
      <c r="E300" s="16" t="s">
        <v>52</v>
      </c>
      <c r="F300" s="16" t="s">
        <v>53</v>
      </c>
      <c r="G300" s="16" t="s">
        <v>306</v>
      </c>
      <c r="H300" s="22" t="s">
        <v>76</v>
      </c>
      <c r="I300" s="23" t="s">
        <v>237</v>
      </c>
      <c r="J300" s="11">
        <v>1</v>
      </c>
      <c r="K300" s="12" t="s">
        <v>2</v>
      </c>
      <c r="L300" s="13">
        <v>1</v>
      </c>
      <c r="M300" s="14">
        <v>0</v>
      </c>
      <c r="N300" s="14">
        <v>1</v>
      </c>
      <c r="O300" s="9">
        <v>2101</v>
      </c>
      <c r="P300" s="9" t="s">
        <v>229</v>
      </c>
      <c r="Q300" s="14">
        <v>1</v>
      </c>
      <c r="R300" s="9">
        <v>0</v>
      </c>
      <c r="S300" s="9">
        <v>0</v>
      </c>
      <c r="T300" s="8" t="s">
        <v>58</v>
      </c>
      <c r="U300" s="85">
        <v>53</v>
      </c>
      <c r="V300" s="8">
        <v>530704</v>
      </c>
      <c r="W300" s="16" t="s">
        <v>227</v>
      </c>
      <c r="X300" s="18">
        <v>299.04</v>
      </c>
      <c r="Y300" s="124">
        <f>299.04-299.04</f>
        <v>0</v>
      </c>
      <c r="Z300" s="17">
        <v>0</v>
      </c>
      <c r="AA300" s="17">
        <v>0</v>
      </c>
      <c r="AB300" s="17">
        <v>0</v>
      </c>
      <c r="AC300" s="17">
        <v>0</v>
      </c>
      <c r="AD300" s="17">
        <v>0</v>
      </c>
      <c r="AE300" s="17">
        <v>0</v>
      </c>
      <c r="AF300" s="17">
        <v>0</v>
      </c>
      <c r="AG300" s="17">
        <v>0</v>
      </c>
      <c r="AH300" s="80">
        <v>0</v>
      </c>
      <c r="AI300" s="17">
        <v>0</v>
      </c>
      <c r="AJ300" s="108">
        <v>0</v>
      </c>
      <c r="AK300" s="17">
        <v>0</v>
      </c>
      <c r="AL300" s="17">
        <v>0</v>
      </c>
      <c r="AM300" s="17">
        <v>0</v>
      </c>
      <c r="AN300" s="17">
        <v>0</v>
      </c>
      <c r="AO300" s="17">
        <v>0</v>
      </c>
      <c r="AP300" s="17">
        <v>0</v>
      </c>
      <c r="AQ300" s="17">
        <v>0</v>
      </c>
      <c r="AR300" s="17">
        <v>0</v>
      </c>
      <c r="AS300" s="17">
        <v>0</v>
      </c>
      <c r="AT300" s="17">
        <v>0</v>
      </c>
      <c r="AU300" s="17">
        <v>0</v>
      </c>
      <c r="AV300" s="17">
        <v>0</v>
      </c>
      <c r="AW300" s="17">
        <v>0</v>
      </c>
      <c r="AX300" s="19">
        <f t="shared" si="28"/>
        <v>0</v>
      </c>
      <c r="AY300" s="10" t="str">
        <f t="shared" si="32"/>
        <v>OK</v>
      </c>
      <c r="AZ300" s="10">
        <f t="shared" si="27"/>
        <v>0</v>
      </c>
      <c r="BA300" s="10">
        <f t="shared" si="29"/>
        <v>0</v>
      </c>
      <c r="BB300" s="17">
        <v>0</v>
      </c>
      <c r="BC300" s="113">
        <f t="shared" si="31"/>
        <v>0</v>
      </c>
    </row>
    <row r="301" spans="1:55" s="118" customFormat="1" ht="13.5" customHeight="1">
      <c r="A301" s="16" t="s">
        <v>48</v>
      </c>
      <c r="B301" s="16" t="s">
        <v>49</v>
      </c>
      <c r="C301" s="16" t="s">
        <v>50</v>
      </c>
      <c r="D301" s="16" t="s">
        <v>51</v>
      </c>
      <c r="E301" s="16" t="s">
        <v>52</v>
      </c>
      <c r="F301" s="16" t="s">
        <v>53</v>
      </c>
      <c r="G301" s="16" t="s">
        <v>54</v>
      </c>
      <c r="H301" s="22" t="s">
        <v>55</v>
      </c>
      <c r="I301" s="134" t="s">
        <v>98</v>
      </c>
      <c r="J301" s="11">
        <v>1</v>
      </c>
      <c r="K301" s="12" t="s">
        <v>2</v>
      </c>
      <c r="L301" s="13">
        <v>1</v>
      </c>
      <c r="M301" s="14">
        <v>0</v>
      </c>
      <c r="N301" s="14">
        <v>1</v>
      </c>
      <c r="O301" s="9">
        <v>2101</v>
      </c>
      <c r="P301" s="9" t="s">
        <v>229</v>
      </c>
      <c r="Q301" s="14">
        <v>1</v>
      </c>
      <c r="R301" s="9">
        <v>0</v>
      </c>
      <c r="S301" s="9">
        <v>0</v>
      </c>
      <c r="T301" s="8" t="s">
        <v>58</v>
      </c>
      <c r="U301" s="85">
        <v>53</v>
      </c>
      <c r="V301" s="8">
        <v>530802</v>
      </c>
      <c r="W301" s="16" t="s">
        <v>99</v>
      </c>
      <c r="X301" s="18">
        <v>1990.2399999999996</v>
      </c>
      <c r="Y301" s="132">
        <f>1990.24-915.26</f>
        <v>1074.98</v>
      </c>
      <c r="Z301" s="17">
        <v>0</v>
      </c>
      <c r="AA301" s="17">
        <v>0</v>
      </c>
      <c r="AB301" s="17">
        <v>0</v>
      </c>
      <c r="AC301" s="17">
        <v>0</v>
      </c>
      <c r="AD301" s="17">
        <v>0</v>
      </c>
      <c r="AE301" s="17">
        <v>0</v>
      </c>
      <c r="AF301" s="17">
        <v>0</v>
      </c>
      <c r="AG301" s="17">
        <v>0</v>
      </c>
      <c r="AH301" s="17">
        <v>0</v>
      </c>
      <c r="AI301" s="17">
        <v>0</v>
      </c>
      <c r="AJ301" s="83">
        <v>0</v>
      </c>
      <c r="AK301" s="17">
        <v>0</v>
      </c>
      <c r="AL301" s="17">
        <v>0</v>
      </c>
      <c r="AM301" s="17">
        <v>0</v>
      </c>
      <c r="AN301" s="59">
        <v>0</v>
      </c>
      <c r="AO301" s="17">
        <v>0</v>
      </c>
      <c r="AP301" s="59">
        <v>1074.98</v>
      </c>
      <c r="AQ301" s="17">
        <v>828.75</v>
      </c>
      <c r="AR301" s="17">
        <v>0</v>
      </c>
      <c r="AS301" s="17">
        <v>0</v>
      </c>
      <c r="AT301" s="17">
        <v>0</v>
      </c>
      <c r="AU301" s="17">
        <v>0</v>
      </c>
      <c r="AV301" s="17">
        <v>0</v>
      </c>
      <c r="AW301" s="17">
        <v>246.04</v>
      </c>
      <c r="AX301" s="19">
        <f t="shared" si="28"/>
        <v>1074.98</v>
      </c>
      <c r="AY301" s="10" t="str">
        <f t="shared" si="32"/>
        <v>OK</v>
      </c>
      <c r="AZ301" s="10">
        <f t="shared" si="27"/>
        <v>1074.79</v>
      </c>
      <c r="BA301" s="10">
        <f t="shared" si="29"/>
        <v>0.19000000000002615</v>
      </c>
      <c r="BB301" s="17">
        <f>825.48+249.5</f>
        <v>1074.98</v>
      </c>
      <c r="BC301" s="113">
        <f t="shared" si="31"/>
        <v>0</v>
      </c>
    </row>
    <row r="302" spans="1:55" s="118" customFormat="1" ht="13.5" customHeight="1">
      <c r="A302" s="16" t="s">
        <v>48</v>
      </c>
      <c r="B302" s="16" t="s">
        <v>49</v>
      </c>
      <c r="C302" s="16" t="s">
        <v>50</v>
      </c>
      <c r="D302" s="16" t="s">
        <v>51</v>
      </c>
      <c r="E302" s="16" t="s">
        <v>52</v>
      </c>
      <c r="F302" s="16" t="s">
        <v>53</v>
      </c>
      <c r="G302" s="16" t="s">
        <v>54</v>
      </c>
      <c r="H302" s="22" t="s">
        <v>55</v>
      </c>
      <c r="I302" s="134" t="s">
        <v>238</v>
      </c>
      <c r="J302" s="11">
        <v>1</v>
      </c>
      <c r="K302" s="12" t="s">
        <v>2</v>
      </c>
      <c r="L302" s="13">
        <v>1</v>
      </c>
      <c r="M302" s="14">
        <v>0</v>
      </c>
      <c r="N302" s="14">
        <v>1</v>
      </c>
      <c r="O302" s="9">
        <v>2101</v>
      </c>
      <c r="P302" s="9" t="s">
        <v>229</v>
      </c>
      <c r="Q302" s="14">
        <v>1</v>
      </c>
      <c r="R302" s="9">
        <v>0</v>
      </c>
      <c r="S302" s="9">
        <v>0</v>
      </c>
      <c r="T302" s="8" t="s">
        <v>58</v>
      </c>
      <c r="U302" s="85">
        <v>53</v>
      </c>
      <c r="V302" s="8">
        <v>530803</v>
      </c>
      <c r="W302" s="16" t="s">
        <v>101</v>
      </c>
      <c r="X302" s="18">
        <v>671.9999999999999</v>
      </c>
      <c r="Y302" s="132">
        <f>672-107.37-60.5</f>
        <v>504.13</v>
      </c>
      <c r="Z302" s="17">
        <v>0</v>
      </c>
      <c r="AA302" s="17">
        <v>0</v>
      </c>
      <c r="AB302" s="17">
        <v>0</v>
      </c>
      <c r="AC302" s="17">
        <v>0</v>
      </c>
      <c r="AD302" s="17">
        <v>0</v>
      </c>
      <c r="AE302" s="17">
        <v>0</v>
      </c>
      <c r="AF302" s="59">
        <v>207.45</v>
      </c>
      <c r="AG302" s="17">
        <v>111.58</v>
      </c>
      <c r="AH302" s="17">
        <v>0</v>
      </c>
      <c r="AI302" s="17">
        <v>82</v>
      </c>
      <c r="AJ302" s="107">
        <v>0</v>
      </c>
      <c r="AK302" s="17">
        <v>0</v>
      </c>
      <c r="AL302" s="17">
        <v>82</v>
      </c>
      <c r="AM302" s="17">
        <v>83.8</v>
      </c>
      <c r="AN302" s="17">
        <v>0</v>
      </c>
      <c r="AO302" s="17">
        <v>0</v>
      </c>
      <c r="AP302" s="17">
        <v>57.46</v>
      </c>
      <c r="AQ302" s="17">
        <v>176.29</v>
      </c>
      <c r="AR302" s="17">
        <v>0</v>
      </c>
      <c r="AS302" s="17">
        <v>0</v>
      </c>
      <c r="AT302" s="17">
        <v>0</v>
      </c>
      <c r="AU302" s="17">
        <v>50.46</v>
      </c>
      <c r="AV302" s="17">
        <v>157.22000000000003</v>
      </c>
      <c r="AW302" s="17">
        <v>0</v>
      </c>
      <c r="AX302" s="19">
        <f t="shared" si="28"/>
        <v>504.13</v>
      </c>
      <c r="AY302" s="10" t="str">
        <f t="shared" si="32"/>
        <v>OK</v>
      </c>
      <c r="AZ302" s="10">
        <f t="shared" si="27"/>
        <v>504.12999999999994</v>
      </c>
      <c r="BA302" s="10">
        <f t="shared" si="29"/>
        <v>2.842170943040401E-14</v>
      </c>
      <c r="BB302" s="17">
        <v>504.13</v>
      </c>
      <c r="BC302" s="113">
        <f t="shared" si="31"/>
        <v>0</v>
      </c>
    </row>
    <row r="303" spans="1:55" s="118" customFormat="1" ht="13.5" customHeight="1">
      <c r="A303" s="16" t="s">
        <v>48</v>
      </c>
      <c r="B303" s="16" t="s">
        <v>49</v>
      </c>
      <c r="C303" s="16" t="s">
        <v>50</v>
      </c>
      <c r="D303" s="16" t="s">
        <v>51</v>
      </c>
      <c r="E303" s="16" t="s">
        <v>52</v>
      </c>
      <c r="F303" s="16" t="s">
        <v>53</v>
      </c>
      <c r="G303" s="16" t="s">
        <v>54</v>
      </c>
      <c r="H303" s="22" t="s">
        <v>55</v>
      </c>
      <c r="I303" s="23" t="s">
        <v>239</v>
      </c>
      <c r="J303" s="11">
        <v>1</v>
      </c>
      <c r="K303" s="12" t="s">
        <v>2</v>
      </c>
      <c r="L303" s="13">
        <v>1</v>
      </c>
      <c r="M303" s="14">
        <v>0</v>
      </c>
      <c r="N303" s="14">
        <v>1</v>
      </c>
      <c r="O303" s="9">
        <v>2101</v>
      </c>
      <c r="P303" s="9" t="s">
        <v>229</v>
      </c>
      <c r="Q303" s="14">
        <v>1</v>
      </c>
      <c r="R303" s="9">
        <v>0</v>
      </c>
      <c r="S303" s="9">
        <v>0</v>
      </c>
      <c r="T303" s="8" t="s">
        <v>58</v>
      </c>
      <c r="U303" s="85">
        <v>53</v>
      </c>
      <c r="V303" s="8">
        <v>530803</v>
      </c>
      <c r="W303" s="16" t="s">
        <v>101</v>
      </c>
      <c r="X303" s="18">
        <v>2005.92</v>
      </c>
      <c r="Y303" s="89">
        <f>2005.92-0.92</f>
        <v>2005</v>
      </c>
      <c r="Z303" s="17">
        <v>0</v>
      </c>
      <c r="AA303" s="17">
        <v>0</v>
      </c>
      <c r="AB303" s="17">
        <v>0</v>
      </c>
      <c r="AC303" s="17">
        <v>0</v>
      </c>
      <c r="AD303" s="17">
        <v>0</v>
      </c>
      <c r="AE303" s="17">
        <v>300</v>
      </c>
      <c r="AF303" s="17">
        <v>199</v>
      </c>
      <c r="AG303" s="17">
        <v>0</v>
      </c>
      <c r="AH303" s="17">
        <v>199</v>
      </c>
      <c r="AI303" s="17">
        <v>500</v>
      </c>
      <c r="AJ303" s="107">
        <v>199</v>
      </c>
      <c r="AK303" s="17">
        <v>446.43</v>
      </c>
      <c r="AL303" s="17">
        <v>199</v>
      </c>
      <c r="AM303" s="17">
        <v>0</v>
      </c>
      <c r="AN303" s="17">
        <v>199</v>
      </c>
      <c r="AO303" s="17">
        <v>0</v>
      </c>
      <c r="AP303" s="17">
        <v>199</v>
      </c>
      <c r="AQ303" s="17">
        <v>543.74</v>
      </c>
      <c r="AR303" s="17">
        <v>0</v>
      </c>
      <c r="AS303" s="17">
        <v>0</v>
      </c>
      <c r="AT303" s="17">
        <v>0</v>
      </c>
      <c r="AU303" s="17">
        <v>0</v>
      </c>
      <c r="AV303" s="17">
        <v>811</v>
      </c>
      <c r="AW303" s="17">
        <v>214.82</v>
      </c>
      <c r="AX303" s="19">
        <f t="shared" si="28"/>
        <v>2005</v>
      </c>
      <c r="AY303" s="10" t="str">
        <f>IF(AX303=Y303,"OK",Y303-AX303)</f>
        <v>OK</v>
      </c>
      <c r="AZ303" s="10">
        <f t="shared" si="27"/>
        <v>2004.99</v>
      </c>
      <c r="BA303" s="10">
        <f t="shared" si="29"/>
        <v>0.009999999999934062</v>
      </c>
      <c r="BB303" s="17">
        <f>2005</f>
        <v>2005</v>
      </c>
      <c r="BC303" s="113">
        <f t="shared" si="31"/>
        <v>0</v>
      </c>
    </row>
    <row r="304" spans="1:55" s="118" customFormat="1" ht="13.5" customHeight="1">
      <c r="A304" s="16" t="s">
        <v>48</v>
      </c>
      <c r="B304" s="16" t="s">
        <v>49</v>
      </c>
      <c r="C304" s="16" t="s">
        <v>50</v>
      </c>
      <c r="D304" s="16" t="s">
        <v>51</v>
      </c>
      <c r="E304" s="16" t="s">
        <v>52</v>
      </c>
      <c r="F304" s="16" t="s">
        <v>53</v>
      </c>
      <c r="G304" s="16" t="s">
        <v>54</v>
      </c>
      <c r="H304" s="22" t="s">
        <v>55</v>
      </c>
      <c r="I304" s="23" t="s">
        <v>240</v>
      </c>
      <c r="J304" s="11">
        <v>1</v>
      </c>
      <c r="K304" s="12" t="s">
        <v>2</v>
      </c>
      <c r="L304" s="13">
        <v>1</v>
      </c>
      <c r="M304" s="14">
        <v>0</v>
      </c>
      <c r="N304" s="14">
        <v>1</v>
      </c>
      <c r="O304" s="9">
        <v>2101</v>
      </c>
      <c r="P304" s="9" t="s">
        <v>229</v>
      </c>
      <c r="Q304" s="14">
        <v>1</v>
      </c>
      <c r="R304" s="9">
        <v>0</v>
      </c>
      <c r="S304" s="9">
        <v>0</v>
      </c>
      <c r="T304" s="8" t="s">
        <v>58</v>
      </c>
      <c r="U304" s="85">
        <v>53</v>
      </c>
      <c r="V304" s="8">
        <v>530803</v>
      </c>
      <c r="W304" s="16" t="s">
        <v>101</v>
      </c>
      <c r="X304" s="18">
        <v>100</v>
      </c>
      <c r="Y304" s="18">
        <v>100</v>
      </c>
      <c r="Z304" s="17">
        <v>0</v>
      </c>
      <c r="AA304" s="17">
        <v>0</v>
      </c>
      <c r="AB304" s="17">
        <v>0</v>
      </c>
      <c r="AC304" s="17">
        <v>0</v>
      </c>
      <c r="AD304" s="17">
        <v>0</v>
      </c>
      <c r="AE304" s="17">
        <v>53.75</v>
      </c>
      <c r="AF304" s="17">
        <v>0</v>
      </c>
      <c r="AG304" s="17">
        <v>0</v>
      </c>
      <c r="AH304" s="17">
        <v>0</v>
      </c>
      <c r="AI304" s="17">
        <v>0</v>
      </c>
      <c r="AJ304" s="107">
        <v>0</v>
      </c>
      <c r="AK304" s="17">
        <v>0</v>
      </c>
      <c r="AL304" s="17">
        <v>25</v>
      </c>
      <c r="AM304" s="17">
        <v>0</v>
      </c>
      <c r="AN304" s="17">
        <v>0</v>
      </c>
      <c r="AO304" s="17">
        <v>12</v>
      </c>
      <c r="AP304" s="17">
        <v>25</v>
      </c>
      <c r="AQ304" s="17">
        <v>0</v>
      </c>
      <c r="AR304" s="17">
        <v>0</v>
      </c>
      <c r="AS304" s="17">
        <v>0</v>
      </c>
      <c r="AT304" s="17">
        <v>25</v>
      </c>
      <c r="AU304" s="17">
        <v>0</v>
      </c>
      <c r="AV304" s="17">
        <v>25</v>
      </c>
      <c r="AW304" s="17">
        <v>0</v>
      </c>
      <c r="AX304" s="19">
        <f t="shared" si="28"/>
        <v>100</v>
      </c>
      <c r="AY304" s="10" t="str">
        <f aca="true" t="shared" si="33" ref="AY304:AY311">IF(AX304=Y304,"OK",Y304-AX304)</f>
        <v>OK</v>
      </c>
      <c r="AZ304" s="10">
        <f t="shared" si="27"/>
        <v>65.75</v>
      </c>
      <c r="BA304" s="10">
        <f t="shared" si="29"/>
        <v>34.25</v>
      </c>
      <c r="BB304" s="17">
        <f>100-46.25+46.25-34.25+34.25</f>
        <v>100</v>
      </c>
      <c r="BC304" s="113">
        <f t="shared" si="31"/>
        <v>0</v>
      </c>
    </row>
    <row r="305" spans="1:55" s="118" customFormat="1" ht="13.5" customHeight="1">
      <c r="A305" s="16" t="s">
        <v>48</v>
      </c>
      <c r="B305" s="16" t="s">
        <v>49</v>
      </c>
      <c r="C305" s="16" t="s">
        <v>50</v>
      </c>
      <c r="D305" s="16" t="s">
        <v>51</v>
      </c>
      <c r="E305" s="16" t="s">
        <v>52</v>
      </c>
      <c r="F305" s="16" t="s">
        <v>53</v>
      </c>
      <c r="G305" s="16" t="s">
        <v>54</v>
      </c>
      <c r="H305" s="22" t="s">
        <v>55</v>
      </c>
      <c r="I305" s="23" t="s">
        <v>103</v>
      </c>
      <c r="J305" s="11">
        <v>1</v>
      </c>
      <c r="K305" s="12" t="s">
        <v>2</v>
      </c>
      <c r="L305" s="13">
        <v>1</v>
      </c>
      <c r="M305" s="14">
        <v>0</v>
      </c>
      <c r="N305" s="14">
        <v>1</v>
      </c>
      <c r="O305" s="9">
        <v>2101</v>
      </c>
      <c r="P305" s="9" t="s">
        <v>229</v>
      </c>
      <c r="Q305" s="14">
        <v>1</v>
      </c>
      <c r="R305" s="9">
        <v>0</v>
      </c>
      <c r="S305" s="9">
        <v>0</v>
      </c>
      <c r="T305" s="8" t="s">
        <v>58</v>
      </c>
      <c r="U305" s="85">
        <v>53</v>
      </c>
      <c r="V305" s="8">
        <v>530803</v>
      </c>
      <c r="W305" s="16" t="s">
        <v>101</v>
      </c>
      <c r="X305" s="18">
        <v>500.6399999999998</v>
      </c>
      <c r="Y305" s="18">
        <v>500.6399999999998</v>
      </c>
      <c r="Z305" s="17">
        <v>0</v>
      </c>
      <c r="AA305" s="17">
        <v>0</v>
      </c>
      <c r="AB305" s="17">
        <v>0</v>
      </c>
      <c r="AC305" s="17">
        <v>0</v>
      </c>
      <c r="AD305" s="17">
        <v>0</v>
      </c>
      <c r="AE305" s="17">
        <v>0</v>
      </c>
      <c r="AF305" s="17">
        <v>0</v>
      </c>
      <c r="AG305" s="17">
        <v>0</v>
      </c>
      <c r="AH305" s="17">
        <v>0</v>
      </c>
      <c r="AI305" s="17">
        <v>0</v>
      </c>
      <c r="AJ305" s="107">
        <v>0</v>
      </c>
      <c r="AK305" s="17">
        <v>447</v>
      </c>
      <c r="AL305" s="17">
        <v>0</v>
      </c>
      <c r="AM305" s="17">
        <v>0</v>
      </c>
      <c r="AN305" s="17">
        <v>0</v>
      </c>
      <c r="AO305" s="17">
        <v>0</v>
      </c>
      <c r="AP305" s="17">
        <v>500.6399999999998</v>
      </c>
      <c r="AQ305" s="17">
        <v>0</v>
      </c>
      <c r="AR305" s="17">
        <v>0</v>
      </c>
      <c r="AS305" s="17">
        <v>0</v>
      </c>
      <c r="AT305" s="17">
        <v>0</v>
      </c>
      <c r="AU305" s="17">
        <v>0</v>
      </c>
      <c r="AV305" s="17">
        <v>0</v>
      </c>
      <c r="AW305" s="17">
        <v>53.64</v>
      </c>
      <c r="AX305" s="19">
        <f t="shared" si="28"/>
        <v>500.6399999999998</v>
      </c>
      <c r="AY305" s="10" t="str">
        <f t="shared" si="33"/>
        <v>OK</v>
      </c>
      <c r="AZ305" s="10">
        <f t="shared" si="27"/>
        <v>500.64</v>
      </c>
      <c r="BA305" s="10">
        <f t="shared" si="29"/>
        <v>-1.8474111129762605E-13</v>
      </c>
      <c r="BB305" s="17">
        <v>500.64</v>
      </c>
      <c r="BC305" s="113">
        <f t="shared" si="31"/>
        <v>0</v>
      </c>
    </row>
    <row r="306" spans="1:55" s="118" customFormat="1" ht="13.5" customHeight="1">
      <c r="A306" s="16" t="s">
        <v>48</v>
      </c>
      <c r="B306" s="16" t="s">
        <v>49</v>
      </c>
      <c r="C306" s="16" t="s">
        <v>50</v>
      </c>
      <c r="D306" s="16" t="s">
        <v>51</v>
      </c>
      <c r="E306" s="16" t="s">
        <v>52</v>
      </c>
      <c r="F306" s="16" t="s">
        <v>53</v>
      </c>
      <c r="G306" s="16" t="s">
        <v>54</v>
      </c>
      <c r="H306" s="22" t="s">
        <v>55</v>
      </c>
      <c r="I306" s="134" t="s">
        <v>104</v>
      </c>
      <c r="J306" s="11">
        <v>2</v>
      </c>
      <c r="K306" s="12" t="s">
        <v>2</v>
      </c>
      <c r="L306" s="13">
        <v>1</v>
      </c>
      <c r="M306" s="14">
        <v>0</v>
      </c>
      <c r="N306" s="14">
        <v>1</v>
      </c>
      <c r="O306" s="9">
        <v>2101</v>
      </c>
      <c r="P306" s="9" t="s">
        <v>229</v>
      </c>
      <c r="Q306" s="14">
        <v>1</v>
      </c>
      <c r="R306" s="9">
        <v>0</v>
      </c>
      <c r="S306" s="9">
        <v>0</v>
      </c>
      <c r="T306" s="8" t="s">
        <v>58</v>
      </c>
      <c r="U306" s="85">
        <v>53</v>
      </c>
      <c r="V306" s="8">
        <v>530804</v>
      </c>
      <c r="W306" s="16" t="s">
        <v>105</v>
      </c>
      <c r="X306" s="18">
        <v>112</v>
      </c>
      <c r="Y306" s="132">
        <f>112+100-161</f>
        <v>51</v>
      </c>
      <c r="Z306" s="17">
        <v>0</v>
      </c>
      <c r="AA306" s="17">
        <v>0</v>
      </c>
      <c r="AB306" s="17">
        <v>0</v>
      </c>
      <c r="AC306" s="17">
        <v>0</v>
      </c>
      <c r="AD306" s="17">
        <v>0</v>
      </c>
      <c r="AE306" s="17">
        <v>0</v>
      </c>
      <c r="AF306" s="17">
        <v>0</v>
      </c>
      <c r="AG306" s="17">
        <v>0</v>
      </c>
      <c r="AH306" s="17">
        <v>0</v>
      </c>
      <c r="AI306" s="17">
        <v>0</v>
      </c>
      <c r="AJ306" s="83">
        <v>0</v>
      </c>
      <c r="AK306" s="17">
        <v>51</v>
      </c>
      <c r="AL306" s="59">
        <v>51</v>
      </c>
      <c r="AM306" s="17">
        <v>0</v>
      </c>
      <c r="AN306" s="17">
        <v>0</v>
      </c>
      <c r="AO306" s="17">
        <v>0</v>
      </c>
      <c r="AP306" s="17">
        <v>0</v>
      </c>
      <c r="AQ306" s="17">
        <v>0</v>
      </c>
      <c r="AR306" s="17">
        <v>0</v>
      </c>
      <c r="AS306" s="17">
        <v>0</v>
      </c>
      <c r="AT306" s="17">
        <v>0</v>
      </c>
      <c r="AU306" s="17">
        <v>0</v>
      </c>
      <c r="AV306" s="17">
        <v>0</v>
      </c>
      <c r="AW306" s="17">
        <v>0</v>
      </c>
      <c r="AX306" s="19">
        <f t="shared" si="28"/>
        <v>51</v>
      </c>
      <c r="AY306" s="10" t="str">
        <f t="shared" si="33"/>
        <v>OK</v>
      </c>
      <c r="AZ306" s="10">
        <f t="shared" si="27"/>
        <v>51</v>
      </c>
      <c r="BA306" s="10">
        <f t="shared" si="29"/>
        <v>0</v>
      </c>
      <c r="BB306" s="17">
        <v>51</v>
      </c>
      <c r="BC306" s="113">
        <f t="shared" si="31"/>
        <v>0</v>
      </c>
    </row>
    <row r="307" spans="1:55" s="118" customFormat="1" ht="13.5" customHeight="1">
      <c r="A307" s="16" t="s">
        <v>48</v>
      </c>
      <c r="B307" s="16" t="s">
        <v>49</v>
      </c>
      <c r="C307" s="16" t="s">
        <v>50</v>
      </c>
      <c r="D307" s="16" t="s">
        <v>51</v>
      </c>
      <c r="E307" s="16" t="s">
        <v>52</v>
      </c>
      <c r="F307" s="16" t="s">
        <v>53</v>
      </c>
      <c r="G307" s="16" t="s">
        <v>54</v>
      </c>
      <c r="H307" s="22" t="s">
        <v>55</v>
      </c>
      <c r="I307" s="134" t="s">
        <v>106</v>
      </c>
      <c r="J307" s="11">
        <v>1</v>
      </c>
      <c r="K307" s="12" t="s">
        <v>2</v>
      </c>
      <c r="L307" s="13">
        <v>1</v>
      </c>
      <c r="M307" s="14">
        <v>0</v>
      </c>
      <c r="N307" s="14">
        <v>1</v>
      </c>
      <c r="O307" s="9">
        <v>2101</v>
      </c>
      <c r="P307" s="9" t="s">
        <v>229</v>
      </c>
      <c r="Q307" s="14">
        <v>1</v>
      </c>
      <c r="R307" s="9">
        <v>0</v>
      </c>
      <c r="S307" s="9">
        <v>0</v>
      </c>
      <c r="T307" s="8" t="s">
        <v>58</v>
      </c>
      <c r="U307" s="85">
        <v>53</v>
      </c>
      <c r="V307" s="8">
        <v>530804</v>
      </c>
      <c r="W307" s="16" t="s">
        <v>105</v>
      </c>
      <c r="X307" s="18">
        <v>1500.7999999999993</v>
      </c>
      <c r="Y307" s="132">
        <f>1500.8-621.58+472.5</f>
        <v>1351.7199999999998</v>
      </c>
      <c r="Z307" s="17">
        <v>0</v>
      </c>
      <c r="AA307" s="17">
        <v>0</v>
      </c>
      <c r="AB307" s="17">
        <v>0</v>
      </c>
      <c r="AC307" s="17">
        <v>0</v>
      </c>
      <c r="AD307" s="17">
        <v>0</v>
      </c>
      <c r="AE307" s="17">
        <v>0</v>
      </c>
      <c r="AF307" s="17">
        <v>0</v>
      </c>
      <c r="AG307" s="17">
        <v>0</v>
      </c>
      <c r="AH307" s="17">
        <v>0</v>
      </c>
      <c r="AI307" s="17">
        <v>0</v>
      </c>
      <c r="AJ307" s="107">
        <v>0</v>
      </c>
      <c r="AK307" s="17">
        <v>319.62</v>
      </c>
      <c r="AL307" s="17">
        <v>1351.7199999999998</v>
      </c>
      <c r="AM307" s="17">
        <v>559.5999999999999</v>
      </c>
      <c r="AN307" s="17">
        <v>0</v>
      </c>
      <c r="AO307" s="17">
        <v>0</v>
      </c>
      <c r="AP307" s="17">
        <v>0</v>
      </c>
      <c r="AQ307" s="17">
        <v>472.5</v>
      </c>
      <c r="AR307" s="17">
        <v>0</v>
      </c>
      <c r="AS307" s="17">
        <v>0</v>
      </c>
      <c r="AT307" s="17">
        <v>0</v>
      </c>
      <c r="AU307" s="17">
        <v>0</v>
      </c>
      <c r="AV307" s="17">
        <v>0</v>
      </c>
      <c r="AW307" s="17">
        <v>0</v>
      </c>
      <c r="AX307" s="19">
        <f t="shared" si="28"/>
        <v>1351.7199999999998</v>
      </c>
      <c r="AY307" s="10" t="str">
        <f t="shared" si="33"/>
        <v>OK</v>
      </c>
      <c r="AZ307" s="10">
        <f t="shared" si="27"/>
        <v>1351.7199999999998</v>
      </c>
      <c r="BA307" s="10">
        <f t="shared" si="29"/>
        <v>0</v>
      </c>
      <c r="BB307" s="17">
        <f>1041.96+472.5-162.74</f>
        <v>1351.72</v>
      </c>
      <c r="BC307" s="113">
        <f t="shared" si="31"/>
        <v>0</v>
      </c>
    </row>
    <row r="308" spans="1:55" s="119" customFormat="1" ht="13.5" customHeight="1">
      <c r="A308" s="16" t="s">
        <v>48</v>
      </c>
      <c r="B308" s="16" t="s">
        <v>49</v>
      </c>
      <c r="C308" s="16" t="s">
        <v>74</v>
      </c>
      <c r="D308" s="16" t="s">
        <v>75</v>
      </c>
      <c r="E308" s="16" t="s">
        <v>52</v>
      </c>
      <c r="F308" s="16" t="s">
        <v>53</v>
      </c>
      <c r="G308" s="16" t="s">
        <v>306</v>
      </c>
      <c r="H308" s="16" t="s">
        <v>76</v>
      </c>
      <c r="I308" s="23" t="s">
        <v>241</v>
      </c>
      <c r="J308" s="20">
        <v>2</v>
      </c>
      <c r="K308" s="12" t="s">
        <v>2</v>
      </c>
      <c r="L308" s="13">
        <v>1</v>
      </c>
      <c r="M308" s="14">
        <v>0</v>
      </c>
      <c r="N308" s="14">
        <v>1</v>
      </c>
      <c r="O308" s="9">
        <v>2101</v>
      </c>
      <c r="P308" s="9" t="s">
        <v>229</v>
      </c>
      <c r="Q308" s="14">
        <v>1</v>
      </c>
      <c r="R308" s="9">
        <v>0</v>
      </c>
      <c r="S308" s="9">
        <v>0</v>
      </c>
      <c r="T308" s="8" t="s">
        <v>58</v>
      </c>
      <c r="U308" s="85">
        <v>53</v>
      </c>
      <c r="V308" s="8">
        <v>530804</v>
      </c>
      <c r="W308" s="16" t="s">
        <v>105</v>
      </c>
      <c r="X308" s="18">
        <v>120.95999999999995</v>
      </c>
      <c r="Y308" s="89">
        <f>120.96-13.05</f>
        <v>107.91</v>
      </c>
      <c r="Z308" s="17">
        <v>0</v>
      </c>
      <c r="AA308" s="17">
        <v>0</v>
      </c>
      <c r="AB308" s="17">
        <v>0</v>
      </c>
      <c r="AC308" s="17">
        <v>0</v>
      </c>
      <c r="AD308" s="17">
        <v>0</v>
      </c>
      <c r="AE308" s="17">
        <v>0</v>
      </c>
      <c r="AF308" s="17">
        <v>107.91</v>
      </c>
      <c r="AG308" s="17">
        <v>0</v>
      </c>
      <c r="AH308" s="17">
        <v>0</v>
      </c>
      <c r="AI308" s="17">
        <v>107.91</v>
      </c>
      <c r="AJ308" s="107">
        <v>0</v>
      </c>
      <c r="AK308" s="17">
        <v>0</v>
      </c>
      <c r="AL308" s="17">
        <v>0</v>
      </c>
      <c r="AM308" s="17">
        <v>0</v>
      </c>
      <c r="AN308" s="17">
        <v>0</v>
      </c>
      <c r="AO308" s="17">
        <v>0</v>
      </c>
      <c r="AP308" s="17">
        <v>0</v>
      </c>
      <c r="AQ308" s="17">
        <v>0</v>
      </c>
      <c r="AR308" s="17">
        <v>0</v>
      </c>
      <c r="AS308" s="17">
        <v>0</v>
      </c>
      <c r="AT308" s="17">
        <v>0</v>
      </c>
      <c r="AU308" s="17">
        <v>0</v>
      </c>
      <c r="AV308" s="17">
        <v>0</v>
      </c>
      <c r="AW308" s="17">
        <v>0</v>
      </c>
      <c r="AX308" s="19">
        <f t="shared" si="28"/>
        <v>107.91</v>
      </c>
      <c r="AY308" s="10" t="str">
        <f t="shared" si="33"/>
        <v>OK</v>
      </c>
      <c r="AZ308" s="10">
        <f t="shared" si="27"/>
        <v>107.91</v>
      </c>
      <c r="BA308" s="10">
        <f t="shared" si="29"/>
        <v>0</v>
      </c>
      <c r="BB308" s="17">
        <v>107.91</v>
      </c>
      <c r="BC308" s="113">
        <f t="shared" si="31"/>
        <v>0</v>
      </c>
    </row>
    <row r="309" spans="1:55" s="119" customFormat="1" ht="13.5" customHeight="1">
      <c r="A309" s="16" t="s">
        <v>48</v>
      </c>
      <c r="B309" s="16" t="s">
        <v>49</v>
      </c>
      <c r="C309" s="16" t="s">
        <v>50</v>
      </c>
      <c r="D309" s="16" t="s">
        <v>51</v>
      </c>
      <c r="E309" s="16" t="s">
        <v>52</v>
      </c>
      <c r="F309" s="16" t="s">
        <v>53</v>
      </c>
      <c r="G309" s="16" t="s">
        <v>54</v>
      </c>
      <c r="H309" s="16" t="s">
        <v>55</v>
      </c>
      <c r="I309" s="134" t="s">
        <v>242</v>
      </c>
      <c r="J309" s="20">
        <v>1</v>
      </c>
      <c r="K309" s="12" t="s">
        <v>2</v>
      </c>
      <c r="L309" s="13">
        <v>1</v>
      </c>
      <c r="M309" s="14">
        <v>0</v>
      </c>
      <c r="N309" s="14">
        <v>1</v>
      </c>
      <c r="O309" s="9">
        <v>2101</v>
      </c>
      <c r="P309" s="9" t="s">
        <v>229</v>
      </c>
      <c r="Q309" s="14">
        <v>1</v>
      </c>
      <c r="R309" s="9">
        <v>0</v>
      </c>
      <c r="S309" s="9">
        <v>0</v>
      </c>
      <c r="T309" s="8" t="s">
        <v>58</v>
      </c>
      <c r="U309" s="85">
        <v>53</v>
      </c>
      <c r="V309" s="8">
        <v>530805</v>
      </c>
      <c r="W309" s="16" t="s">
        <v>108</v>
      </c>
      <c r="X309" s="18">
        <v>2000.3199999999993</v>
      </c>
      <c r="Y309" s="132">
        <f>2000.32-1547.37-0.88</f>
        <v>452.07000000000005</v>
      </c>
      <c r="Z309" s="17">
        <v>0</v>
      </c>
      <c r="AA309" s="17">
        <v>0</v>
      </c>
      <c r="AB309" s="17">
        <v>0</v>
      </c>
      <c r="AC309" s="17">
        <v>0</v>
      </c>
      <c r="AD309" s="17">
        <v>0</v>
      </c>
      <c r="AE309" s="17">
        <v>0</v>
      </c>
      <c r="AF309" s="17">
        <v>0</v>
      </c>
      <c r="AG309" s="17">
        <v>0</v>
      </c>
      <c r="AH309" s="17">
        <v>0</v>
      </c>
      <c r="AI309" s="17">
        <v>0</v>
      </c>
      <c r="AJ309" s="107">
        <v>0</v>
      </c>
      <c r="AK309" s="17">
        <v>165.68</v>
      </c>
      <c r="AL309" s="17">
        <v>452.07000000000005</v>
      </c>
      <c r="AM309" s="17">
        <v>286.39000000000004</v>
      </c>
      <c r="AN309" s="17">
        <v>0</v>
      </c>
      <c r="AO309" s="17">
        <v>0</v>
      </c>
      <c r="AP309" s="17">
        <v>0</v>
      </c>
      <c r="AQ309" s="17">
        <v>0</v>
      </c>
      <c r="AR309" s="17">
        <v>0</v>
      </c>
      <c r="AS309" s="17">
        <v>0</v>
      </c>
      <c r="AT309" s="17">
        <v>0</v>
      </c>
      <c r="AU309" s="17">
        <v>0</v>
      </c>
      <c r="AV309" s="17">
        <v>0</v>
      </c>
      <c r="AW309" s="17">
        <v>0</v>
      </c>
      <c r="AX309" s="19">
        <f t="shared" si="28"/>
        <v>452.07000000000005</v>
      </c>
      <c r="AY309" s="10" t="str">
        <f t="shared" si="33"/>
        <v>OK</v>
      </c>
      <c r="AZ309" s="10">
        <f t="shared" si="27"/>
        <v>452.07000000000005</v>
      </c>
      <c r="BA309" s="10">
        <f t="shared" si="29"/>
        <v>0</v>
      </c>
      <c r="BB309" s="17">
        <f>452.95-0.88</f>
        <v>452.07</v>
      </c>
      <c r="BC309" s="113">
        <f t="shared" si="31"/>
        <v>0</v>
      </c>
    </row>
    <row r="310" spans="1:55" s="119" customFormat="1" ht="13.5" customHeight="1">
      <c r="A310" s="16" t="s">
        <v>48</v>
      </c>
      <c r="B310" s="16" t="s">
        <v>49</v>
      </c>
      <c r="C310" s="16" t="s">
        <v>50</v>
      </c>
      <c r="D310" s="16" t="s">
        <v>51</v>
      </c>
      <c r="E310" s="16" t="s">
        <v>52</v>
      </c>
      <c r="F310" s="16" t="s">
        <v>53</v>
      </c>
      <c r="G310" s="16" t="s">
        <v>54</v>
      </c>
      <c r="H310" s="16" t="s">
        <v>55</v>
      </c>
      <c r="I310" s="66" t="s">
        <v>111</v>
      </c>
      <c r="J310" s="20">
        <v>1</v>
      </c>
      <c r="K310" s="12" t="s">
        <v>2</v>
      </c>
      <c r="L310" s="67">
        <v>1</v>
      </c>
      <c r="M310" s="14">
        <v>0</v>
      </c>
      <c r="N310" s="68">
        <v>1</v>
      </c>
      <c r="O310" s="9">
        <v>2101</v>
      </c>
      <c r="P310" s="69" t="s">
        <v>229</v>
      </c>
      <c r="Q310" s="14">
        <v>1</v>
      </c>
      <c r="R310" s="9">
        <v>0</v>
      </c>
      <c r="S310" s="9">
        <v>0</v>
      </c>
      <c r="T310" s="8" t="s">
        <v>58</v>
      </c>
      <c r="U310" s="85">
        <v>53</v>
      </c>
      <c r="V310" s="8">
        <v>530807</v>
      </c>
      <c r="W310" s="16" t="s">
        <v>110</v>
      </c>
      <c r="X310" s="18">
        <v>112</v>
      </c>
      <c r="Y310" s="73">
        <f>112-112</f>
        <v>0</v>
      </c>
      <c r="Z310" s="17">
        <v>0</v>
      </c>
      <c r="AA310" s="17">
        <v>0</v>
      </c>
      <c r="AB310" s="17">
        <v>0</v>
      </c>
      <c r="AC310" s="17">
        <v>0</v>
      </c>
      <c r="AD310" s="17">
        <v>0</v>
      </c>
      <c r="AE310" s="17">
        <v>0</v>
      </c>
      <c r="AF310" s="17">
        <v>0</v>
      </c>
      <c r="AG310" s="17">
        <v>0</v>
      </c>
      <c r="AH310" s="17">
        <v>0</v>
      </c>
      <c r="AI310" s="17">
        <v>0</v>
      </c>
      <c r="AJ310" s="107">
        <v>0</v>
      </c>
      <c r="AK310" s="17">
        <v>0</v>
      </c>
      <c r="AL310" s="17">
        <v>0</v>
      </c>
      <c r="AM310" s="17">
        <v>0</v>
      </c>
      <c r="AN310" s="17">
        <v>0</v>
      </c>
      <c r="AO310" s="17">
        <v>0</v>
      </c>
      <c r="AP310" s="17">
        <v>0</v>
      </c>
      <c r="AQ310" s="17">
        <v>0</v>
      </c>
      <c r="AR310" s="17">
        <v>0</v>
      </c>
      <c r="AS310" s="17">
        <v>0</v>
      </c>
      <c r="AT310" s="17">
        <v>0</v>
      </c>
      <c r="AU310" s="17">
        <v>0</v>
      </c>
      <c r="AV310" s="17">
        <v>0</v>
      </c>
      <c r="AW310" s="17">
        <v>0</v>
      </c>
      <c r="AX310" s="19">
        <f t="shared" si="28"/>
        <v>0</v>
      </c>
      <c r="AY310" s="10" t="str">
        <f t="shared" si="33"/>
        <v>OK</v>
      </c>
      <c r="AZ310" s="10">
        <f t="shared" si="27"/>
        <v>0</v>
      </c>
      <c r="BA310" s="10">
        <f t="shared" si="29"/>
        <v>0</v>
      </c>
      <c r="BB310" s="17">
        <v>0</v>
      </c>
      <c r="BC310" s="113">
        <f t="shared" si="31"/>
        <v>0</v>
      </c>
    </row>
    <row r="311" spans="1:55" s="119" customFormat="1" ht="13.5" customHeight="1">
      <c r="A311" s="16" t="s">
        <v>48</v>
      </c>
      <c r="B311" s="16" t="s">
        <v>49</v>
      </c>
      <c r="C311" s="16" t="s">
        <v>50</v>
      </c>
      <c r="D311" s="16" t="s">
        <v>51</v>
      </c>
      <c r="E311" s="16" t="s">
        <v>52</v>
      </c>
      <c r="F311" s="16" t="s">
        <v>53</v>
      </c>
      <c r="G311" s="16" t="s">
        <v>54</v>
      </c>
      <c r="H311" s="16" t="s">
        <v>55</v>
      </c>
      <c r="I311" s="66" t="s">
        <v>243</v>
      </c>
      <c r="J311" s="12">
        <v>1</v>
      </c>
      <c r="K311" s="12" t="s">
        <v>2</v>
      </c>
      <c r="L311" s="67">
        <v>1</v>
      </c>
      <c r="M311" s="14">
        <v>0</v>
      </c>
      <c r="N311" s="68">
        <v>1</v>
      </c>
      <c r="O311" s="9">
        <v>2101</v>
      </c>
      <c r="P311" s="69" t="s">
        <v>229</v>
      </c>
      <c r="Q311" s="14">
        <v>1</v>
      </c>
      <c r="R311" s="9">
        <v>0</v>
      </c>
      <c r="S311" s="9">
        <v>0</v>
      </c>
      <c r="T311" s="8" t="s">
        <v>58</v>
      </c>
      <c r="U311" s="85">
        <v>53</v>
      </c>
      <c r="V311" s="8">
        <v>530807</v>
      </c>
      <c r="W311" s="16" t="s">
        <v>110</v>
      </c>
      <c r="X311" s="18">
        <v>680.96</v>
      </c>
      <c r="Y311" s="70">
        <f>680.96-680.96</f>
        <v>0</v>
      </c>
      <c r="Z311" s="17">
        <v>0</v>
      </c>
      <c r="AA311" s="17">
        <v>0</v>
      </c>
      <c r="AB311" s="17">
        <v>0</v>
      </c>
      <c r="AC311" s="17">
        <v>0</v>
      </c>
      <c r="AD311" s="17">
        <v>0</v>
      </c>
      <c r="AE311" s="17">
        <v>0</v>
      </c>
      <c r="AF311" s="17">
        <v>0</v>
      </c>
      <c r="AG311" s="17">
        <v>0</v>
      </c>
      <c r="AH311" s="17">
        <v>0</v>
      </c>
      <c r="AI311" s="17">
        <v>0</v>
      </c>
      <c r="AJ311" s="107">
        <v>0</v>
      </c>
      <c r="AK311" s="17">
        <v>0</v>
      </c>
      <c r="AL311" s="17">
        <v>0</v>
      </c>
      <c r="AM311" s="17">
        <v>0</v>
      </c>
      <c r="AN311" s="17">
        <v>0</v>
      </c>
      <c r="AO311" s="17">
        <v>0</v>
      </c>
      <c r="AP311" s="17">
        <v>0</v>
      </c>
      <c r="AQ311" s="17">
        <v>0</v>
      </c>
      <c r="AR311" s="17">
        <v>0</v>
      </c>
      <c r="AS311" s="17">
        <v>0</v>
      </c>
      <c r="AT311" s="17">
        <v>0</v>
      </c>
      <c r="AU311" s="17">
        <v>0</v>
      </c>
      <c r="AV311" s="17">
        <v>0</v>
      </c>
      <c r="AW311" s="17">
        <v>0</v>
      </c>
      <c r="AX311" s="19">
        <f t="shared" si="28"/>
        <v>0</v>
      </c>
      <c r="AY311" s="10" t="str">
        <f t="shared" si="33"/>
        <v>OK</v>
      </c>
      <c r="AZ311" s="10">
        <f t="shared" si="27"/>
        <v>0</v>
      </c>
      <c r="BA311" s="10">
        <f t="shared" si="29"/>
        <v>0</v>
      </c>
      <c r="BB311" s="17">
        <v>0</v>
      </c>
      <c r="BC311" s="113">
        <f t="shared" si="31"/>
        <v>0</v>
      </c>
    </row>
    <row r="312" spans="1:55" s="119" customFormat="1" ht="13.5" customHeight="1">
      <c r="A312" s="16" t="s">
        <v>48</v>
      </c>
      <c r="B312" s="16" t="s">
        <v>49</v>
      </c>
      <c r="C312" s="16" t="s">
        <v>50</v>
      </c>
      <c r="D312" s="16" t="s">
        <v>51</v>
      </c>
      <c r="E312" s="16" t="s">
        <v>52</v>
      </c>
      <c r="F312" s="16" t="s">
        <v>53</v>
      </c>
      <c r="G312" s="16" t="s">
        <v>54</v>
      </c>
      <c r="H312" s="16" t="s">
        <v>55</v>
      </c>
      <c r="I312" s="134" t="s">
        <v>244</v>
      </c>
      <c r="J312" s="12">
        <v>1</v>
      </c>
      <c r="K312" s="12" t="s">
        <v>2</v>
      </c>
      <c r="L312" s="13">
        <v>1</v>
      </c>
      <c r="M312" s="14">
        <v>0</v>
      </c>
      <c r="N312" s="14">
        <v>1</v>
      </c>
      <c r="O312" s="9">
        <v>2101</v>
      </c>
      <c r="P312" s="9" t="s">
        <v>229</v>
      </c>
      <c r="Q312" s="14">
        <v>1</v>
      </c>
      <c r="R312" s="9">
        <v>0</v>
      </c>
      <c r="S312" s="9">
        <v>0</v>
      </c>
      <c r="T312" s="8" t="s">
        <v>58</v>
      </c>
      <c r="U312" s="85">
        <v>53</v>
      </c>
      <c r="V312" s="8">
        <v>530807</v>
      </c>
      <c r="W312" s="16" t="s">
        <v>110</v>
      </c>
      <c r="X312" s="18">
        <v>3000.4799999999996</v>
      </c>
      <c r="Y312" s="132">
        <f>3000.48+200-404.16-241.82</f>
        <v>2554.5</v>
      </c>
      <c r="Z312" s="17">
        <v>0</v>
      </c>
      <c r="AA312" s="17">
        <v>0</v>
      </c>
      <c r="AB312" s="17">
        <v>0</v>
      </c>
      <c r="AC312" s="17">
        <v>0</v>
      </c>
      <c r="AD312" s="17">
        <v>0</v>
      </c>
      <c r="AE312" s="17">
        <v>0</v>
      </c>
      <c r="AF312" s="17">
        <v>0</v>
      </c>
      <c r="AG312" s="17">
        <v>0</v>
      </c>
      <c r="AH312" s="17">
        <v>0</v>
      </c>
      <c r="AI312" s="17">
        <v>0</v>
      </c>
      <c r="AJ312" s="83">
        <v>0</v>
      </c>
      <c r="AK312" s="17">
        <v>0</v>
      </c>
      <c r="AL312" s="59">
        <v>2076.3199999999993</v>
      </c>
      <c r="AM312" s="17">
        <v>2554.5</v>
      </c>
      <c r="AN312" s="17">
        <v>0</v>
      </c>
      <c r="AO312" s="17">
        <v>0</v>
      </c>
      <c r="AP312" s="17">
        <v>0</v>
      </c>
      <c r="AQ312" s="17">
        <v>0</v>
      </c>
      <c r="AR312" s="17">
        <v>0</v>
      </c>
      <c r="AS312" s="17">
        <v>0</v>
      </c>
      <c r="AT312" s="17">
        <v>0</v>
      </c>
      <c r="AU312" s="17">
        <v>0</v>
      </c>
      <c r="AV312" s="17">
        <v>478.18000000000075</v>
      </c>
      <c r="AW312" s="17">
        <v>0</v>
      </c>
      <c r="AX312" s="19">
        <f t="shared" si="28"/>
        <v>2554.5</v>
      </c>
      <c r="AY312" s="10" t="str">
        <f>IF(AX312=Y312,"OK",Y312-AX312)</f>
        <v>OK</v>
      </c>
      <c r="AZ312" s="10">
        <f t="shared" si="27"/>
        <v>2554.5</v>
      </c>
      <c r="BA312" s="10">
        <f t="shared" si="29"/>
        <v>0</v>
      </c>
      <c r="BB312" s="17">
        <f>2796.32-241.82</f>
        <v>2554.5</v>
      </c>
      <c r="BC312" s="113">
        <f t="shared" si="31"/>
        <v>0</v>
      </c>
    </row>
    <row r="313" spans="1:55" s="119" customFormat="1" ht="13.5" customHeight="1">
      <c r="A313" s="16" t="s">
        <v>48</v>
      </c>
      <c r="B313" s="16" t="s">
        <v>49</v>
      </c>
      <c r="C313" s="16" t="s">
        <v>50</v>
      </c>
      <c r="D313" s="16" t="s">
        <v>51</v>
      </c>
      <c r="E313" s="16" t="s">
        <v>52</v>
      </c>
      <c r="F313" s="16" t="s">
        <v>53</v>
      </c>
      <c r="G313" s="16" t="s">
        <v>54</v>
      </c>
      <c r="H313" s="16" t="s">
        <v>55</v>
      </c>
      <c r="I313" s="63" t="s">
        <v>245</v>
      </c>
      <c r="J313" s="12">
        <v>2</v>
      </c>
      <c r="K313" s="12" t="s">
        <v>2</v>
      </c>
      <c r="L313" s="13">
        <v>1</v>
      </c>
      <c r="M313" s="14">
        <v>0</v>
      </c>
      <c r="N313" s="14">
        <v>1</v>
      </c>
      <c r="O313" s="9">
        <v>2101</v>
      </c>
      <c r="P313" s="9" t="s">
        <v>229</v>
      </c>
      <c r="Q313" s="14">
        <v>1</v>
      </c>
      <c r="R313" s="9">
        <v>0</v>
      </c>
      <c r="S313" s="9">
        <v>0</v>
      </c>
      <c r="T313" s="8" t="s">
        <v>58</v>
      </c>
      <c r="U313" s="85">
        <v>53</v>
      </c>
      <c r="V313" s="8">
        <v>530811</v>
      </c>
      <c r="W313" s="16" t="s">
        <v>254</v>
      </c>
      <c r="X313" s="18">
        <v>1000.1599999999996</v>
      </c>
      <c r="Y313" s="79">
        <f>1000.16-1000.16</f>
        <v>0</v>
      </c>
      <c r="Z313" s="17">
        <v>0</v>
      </c>
      <c r="AA313" s="17">
        <v>0</v>
      </c>
      <c r="AB313" s="17">
        <v>0</v>
      </c>
      <c r="AC313" s="17">
        <v>0</v>
      </c>
      <c r="AD313" s="17">
        <v>0</v>
      </c>
      <c r="AE313" s="17">
        <v>0</v>
      </c>
      <c r="AF313" s="17">
        <v>0</v>
      </c>
      <c r="AG313" s="17">
        <v>0</v>
      </c>
      <c r="AH313" s="17">
        <v>0</v>
      </c>
      <c r="AI313" s="17">
        <v>0</v>
      </c>
      <c r="AJ313" s="107">
        <v>0</v>
      </c>
      <c r="AK313" s="17">
        <v>0</v>
      </c>
      <c r="AL313" s="17">
        <v>0</v>
      </c>
      <c r="AM313" s="17">
        <v>0</v>
      </c>
      <c r="AN313" s="17">
        <v>0</v>
      </c>
      <c r="AO313" s="17">
        <v>0</v>
      </c>
      <c r="AP313" s="17">
        <v>0</v>
      </c>
      <c r="AQ313" s="17">
        <v>0</v>
      </c>
      <c r="AR313" s="17">
        <v>0</v>
      </c>
      <c r="AS313" s="17">
        <v>0</v>
      </c>
      <c r="AT313" s="17">
        <v>0</v>
      </c>
      <c r="AU313" s="17">
        <v>0</v>
      </c>
      <c r="AV313" s="17">
        <v>0</v>
      </c>
      <c r="AW313" s="17">
        <v>0</v>
      </c>
      <c r="AX313" s="19">
        <f t="shared" si="28"/>
        <v>0</v>
      </c>
      <c r="AY313" s="10" t="str">
        <f aca="true" t="shared" si="34" ref="AY313:AY323">IF(AX313=Y313,"OK",Y313-AX313)</f>
        <v>OK</v>
      </c>
      <c r="AZ313" s="10">
        <f t="shared" si="27"/>
        <v>0</v>
      </c>
      <c r="BA313" s="10">
        <f t="shared" si="29"/>
        <v>0</v>
      </c>
      <c r="BB313" s="17">
        <v>0</v>
      </c>
      <c r="BC313" s="113">
        <f t="shared" si="31"/>
        <v>0</v>
      </c>
    </row>
    <row r="314" spans="1:55" s="119" customFormat="1" ht="13.5" customHeight="1">
      <c r="A314" s="16" t="s">
        <v>48</v>
      </c>
      <c r="B314" s="16" t="s">
        <v>49</v>
      </c>
      <c r="C314" s="16" t="s">
        <v>50</v>
      </c>
      <c r="D314" s="16" t="s">
        <v>51</v>
      </c>
      <c r="E314" s="16" t="s">
        <v>52</v>
      </c>
      <c r="F314" s="16" t="s">
        <v>53</v>
      </c>
      <c r="G314" s="16" t="s">
        <v>54</v>
      </c>
      <c r="H314" s="16" t="s">
        <v>55</v>
      </c>
      <c r="I314" s="23" t="s">
        <v>236</v>
      </c>
      <c r="J314" s="12">
        <v>1</v>
      </c>
      <c r="K314" s="12" t="s">
        <v>2</v>
      </c>
      <c r="L314" s="13">
        <v>1</v>
      </c>
      <c r="M314" s="14">
        <v>0</v>
      </c>
      <c r="N314" s="14">
        <v>1</v>
      </c>
      <c r="O314" s="9">
        <v>2101</v>
      </c>
      <c r="P314" s="9" t="s">
        <v>229</v>
      </c>
      <c r="Q314" s="14">
        <v>1</v>
      </c>
      <c r="R314" s="9">
        <v>0</v>
      </c>
      <c r="S314" s="9">
        <v>0</v>
      </c>
      <c r="T314" s="8" t="s">
        <v>58</v>
      </c>
      <c r="U314" s="85">
        <v>53</v>
      </c>
      <c r="V314" s="8">
        <v>530811</v>
      </c>
      <c r="W314" s="16" t="s">
        <v>254</v>
      </c>
      <c r="X314" s="18">
        <v>250</v>
      </c>
      <c r="Y314" s="18">
        <f>250-0.82</f>
        <v>249.18</v>
      </c>
      <c r="Z314" s="17">
        <v>0</v>
      </c>
      <c r="AA314" s="17">
        <v>0</v>
      </c>
      <c r="AB314" s="17">
        <v>0</v>
      </c>
      <c r="AC314" s="17">
        <v>0</v>
      </c>
      <c r="AD314" s="17">
        <v>0</v>
      </c>
      <c r="AE314" s="17">
        <v>0</v>
      </c>
      <c r="AF314" s="59">
        <v>36.61</v>
      </c>
      <c r="AG314" s="17">
        <v>41</v>
      </c>
      <c r="AH314" s="17">
        <v>0</v>
      </c>
      <c r="AI314" s="17">
        <v>42.92</v>
      </c>
      <c r="AJ314" s="108">
        <v>26.79</v>
      </c>
      <c r="AK314" s="17">
        <v>0</v>
      </c>
      <c r="AL314" s="17">
        <v>0</v>
      </c>
      <c r="AM314" s="17">
        <v>0</v>
      </c>
      <c r="AN314" s="59">
        <v>29.46</v>
      </c>
      <c r="AO314" s="17">
        <v>66.46</v>
      </c>
      <c r="AP314" s="17">
        <v>0</v>
      </c>
      <c r="AQ314" s="17">
        <v>0</v>
      </c>
      <c r="AR314" s="59">
        <v>44.64</v>
      </c>
      <c r="AS314" s="17">
        <v>47.5</v>
      </c>
      <c r="AT314" s="17">
        <v>0</v>
      </c>
      <c r="AU314" s="17">
        <v>0</v>
      </c>
      <c r="AV314" s="59">
        <v>111.68</v>
      </c>
      <c r="AW314" s="17">
        <v>51.3</v>
      </c>
      <c r="AX314" s="19">
        <f t="shared" si="28"/>
        <v>249.18</v>
      </c>
      <c r="AY314" s="10" t="str">
        <f t="shared" si="34"/>
        <v>OK</v>
      </c>
      <c r="AZ314" s="10">
        <f t="shared" si="27"/>
        <v>249.18</v>
      </c>
      <c r="BA314" s="10">
        <f t="shared" si="29"/>
        <v>0</v>
      </c>
      <c r="BB314" s="17">
        <v>83.92</v>
      </c>
      <c r="BC314" s="113">
        <f t="shared" si="31"/>
        <v>165.26</v>
      </c>
    </row>
    <row r="315" spans="1:55" s="119" customFormat="1" ht="13.5" customHeight="1">
      <c r="A315" s="16" t="s">
        <v>48</v>
      </c>
      <c r="B315" s="16" t="s">
        <v>49</v>
      </c>
      <c r="C315" s="16" t="s">
        <v>74</v>
      </c>
      <c r="D315" s="16" t="s">
        <v>75</v>
      </c>
      <c r="E315" s="16" t="s">
        <v>52</v>
      </c>
      <c r="F315" s="16" t="s">
        <v>53</v>
      </c>
      <c r="G315" s="16" t="s">
        <v>306</v>
      </c>
      <c r="H315" s="16" t="s">
        <v>76</v>
      </c>
      <c r="I315" s="63" t="s">
        <v>246</v>
      </c>
      <c r="J315" s="12">
        <v>2</v>
      </c>
      <c r="K315" s="12" t="s">
        <v>2</v>
      </c>
      <c r="L315" s="13">
        <v>1</v>
      </c>
      <c r="M315" s="14">
        <v>0</v>
      </c>
      <c r="N315" s="14">
        <v>1</v>
      </c>
      <c r="O315" s="9">
        <v>2101</v>
      </c>
      <c r="P315" s="9" t="s">
        <v>229</v>
      </c>
      <c r="Q315" s="14">
        <v>1</v>
      </c>
      <c r="R315" s="9">
        <v>0</v>
      </c>
      <c r="S315" s="9">
        <v>0</v>
      </c>
      <c r="T315" s="8" t="s">
        <v>58</v>
      </c>
      <c r="U315" s="85">
        <v>53</v>
      </c>
      <c r="V315" s="8">
        <v>530811</v>
      </c>
      <c r="W315" s="16" t="s">
        <v>254</v>
      </c>
      <c r="X315" s="18">
        <v>300.1599999999998</v>
      </c>
      <c r="Y315" s="89">
        <f>300.16+302.4-602.56</f>
        <v>0</v>
      </c>
      <c r="Z315" s="17">
        <v>0</v>
      </c>
      <c r="AA315" s="17">
        <v>0</v>
      </c>
      <c r="AB315" s="17">
        <v>0</v>
      </c>
      <c r="AC315" s="17">
        <v>0</v>
      </c>
      <c r="AD315" s="17">
        <v>0</v>
      </c>
      <c r="AE315" s="17">
        <v>0</v>
      </c>
      <c r="AF315" s="17">
        <v>0</v>
      </c>
      <c r="AG315" s="17">
        <v>0</v>
      </c>
      <c r="AH315" s="17">
        <v>0</v>
      </c>
      <c r="AI315" s="17">
        <v>0</v>
      </c>
      <c r="AJ315" s="107">
        <v>0</v>
      </c>
      <c r="AK315" s="17">
        <v>0</v>
      </c>
      <c r="AL315" s="17">
        <v>0</v>
      </c>
      <c r="AM315" s="17">
        <v>0</v>
      </c>
      <c r="AN315" s="17">
        <v>0</v>
      </c>
      <c r="AO315" s="17">
        <v>0</v>
      </c>
      <c r="AP315" s="17">
        <v>0</v>
      </c>
      <c r="AQ315" s="17">
        <v>0</v>
      </c>
      <c r="AR315" s="17">
        <v>0</v>
      </c>
      <c r="AS315" s="17">
        <v>0</v>
      </c>
      <c r="AT315" s="17">
        <v>0</v>
      </c>
      <c r="AU315" s="17">
        <v>0</v>
      </c>
      <c r="AV315" s="17">
        <v>0</v>
      </c>
      <c r="AW315" s="17">
        <v>0</v>
      </c>
      <c r="AX315" s="19">
        <f t="shared" si="28"/>
        <v>0</v>
      </c>
      <c r="AY315" s="10" t="str">
        <f t="shared" si="34"/>
        <v>OK</v>
      </c>
      <c r="AZ315" s="10">
        <f t="shared" si="27"/>
        <v>0</v>
      </c>
      <c r="BA315" s="10">
        <f t="shared" si="29"/>
        <v>0</v>
      </c>
      <c r="BB315" s="17">
        <v>0</v>
      </c>
      <c r="BC315" s="113">
        <f t="shared" si="31"/>
        <v>0</v>
      </c>
    </row>
    <row r="316" spans="1:55" s="119" customFormat="1" ht="13.5" customHeight="1">
      <c r="A316" s="16" t="s">
        <v>48</v>
      </c>
      <c r="B316" s="16" t="s">
        <v>49</v>
      </c>
      <c r="C316" s="16" t="s">
        <v>50</v>
      </c>
      <c r="D316" s="16" t="s">
        <v>51</v>
      </c>
      <c r="E316" s="16" t="s">
        <v>52</v>
      </c>
      <c r="F316" s="16" t="s">
        <v>53</v>
      </c>
      <c r="G316" s="16" t="s">
        <v>54</v>
      </c>
      <c r="H316" s="16" t="s">
        <v>55</v>
      </c>
      <c r="I316" s="63" t="s">
        <v>114</v>
      </c>
      <c r="J316" s="12">
        <v>1</v>
      </c>
      <c r="K316" s="12" t="s">
        <v>2</v>
      </c>
      <c r="L316" s="13">
        <v>1</v>
      </c>
      <c r="M316" s="14">
        <v>0</v>
      </c>
      <c r="N316" s="14">
        <v>1</v>
      </c>
      <c r="O316" s="9">
        <v>2101</v>
      </c>
      <c r="P316" s="9" t="s">
        <v>229</v>
      </c>
      <c r="Q316" s="14">
        <v>1</v>
      </c>
      <c r="R316" s="9">
        <v>0</v>
      </c>
      <c r="S316" s="9">
        <v>0</v>
      </c>
      <c r="T316" s="8" t="s">
        <v>58</v>
      </c>
      <c r="U316" s="85">
        <v>53</v>
      </c>
      <c r="V316" s="8">
        <v>530811</v>
      </c>
      <c r="W316" s="16" t="s">
        <v>254</v>
      </c>
      <c r="X316" s="18">
        <v>2200.8</v>
      </c>
      <c r="Y316" s="124">
        <f>2200.8+1000.16-1075.36</f>
        <v>2125.6000000000004</v>
      </c>
      <c r="Z316" s="17">
        <v>0</v>
      </c>
      <c r="AA316" s="17">
        <v>0</v>
      </c>
      <c r="AB316" s="17">
        <v>0</v>
      </c>
      <c r="AC316" s="17">
        <v>0</v>
      </c>
      <c r="AD316" s="17">
        <v>0</v>
      </c>
      <c r="AE316" s="17">
        <v>0</v>
      </c>
      <c r="AF316" s="17">
        <v>0</v>
      </c>
      <c r="AG316" s="17">
        <v>0</v>
      </c>
      <c r="AH316" s="17">
        <v>0</v>
      </c>
      <c r="AI316" s="17">
        <v>0</v>
      </c>
      <c r="AJ316" s="107">
        <v>0</v>
      </c>
      <c r="AK316" s="17">
        <v>0</v>
      </c>
      <c r="AL316" s="17">
        <v>2125.6000000000004</v>
      </c>
      <c r="AM316" s="17">
        <v>2125.6</v>
      </c>
      <c r="AN316" s="17">
        <v>0</v>
      </c>
      <c r="AO316" s="17">
        <v>0</v>
      </c>
      <c r="AP316" s="17">
        <v>0</v>
      </c>
      <c r="AQ316" s="17">
        <v>0</v>
      </c>
      <c r="AR316" s="17">
        <v>0</v>
      </c>
      <c r="AS316" s="17">
        <v>0</v>
      </c>
      <c r="AT316" s="17">
        <v>0</v>
      </c>
      <c r="AU316" s="17">
        <v>0</v>
      </c>
      <c r="AV316" s="17">
        <v>0</v>
      </c>
      <c r="AW316" s="17">
        <v>0</v>
      </c>
      <c r="AX316" s="19">
        <f t="shared" si="28"/>
        <v>2125.6000000000004</v>
      </c>
      <c r="AY316" s="10" t="str">
        <f t="shared" si="34"/>
        <v>OK</v>
      </c>
      <c r="AZ316" s="10">
        <f t="shared" si="27"/>
        <v>2125.6</v>
      </c>
      <c r="BA316" s="10">
        <f t="shared" si="29"/>
        <v>4.547473508864641E-13</v>
      </c>
      <c r="BB316" s="17">
        <v>2125.6</v>
      </c>
      <c r="BC316" s="113">
        <f t="shared" si="31"/>
        <v>0</v>
      </c>
    </row>
    <row r="317" spans="1:55" s="119" customFormat="1" ht="13.5" customHeight="1">
      <c r="A317" s="16" t="s">
        <v>48</v>
      </c>
      <c r="B317" s="16" t="s">
        <v>49</v>
      </c>
      <c r="C317" s="16" t="s">
        <v>74</v>
      </c>
      <c r="D317" s="16" t="s">
        <v>75</v>
      </c>
      <c r="E317" s="16" t="s">
        <v>52</v>
      </c>
      <c r="F317" s="16" t="s">
        <v>53</v>
      </c>
      <c r="G317" s="16" t="s">
        <v>306</v>
      </c>
      <c r="H317" s="16" t="s">
        <v>76</v>
      </c>
      <c r="I317" s="134" t="s">
        <v>292</v>
      </c>
      <c r="J317" s="12">
        <v>2</v>
      </c>
      <c r="K317" s="12" t="s">
        <v>2</v>
      </c>
      <c r="L317" s="13">
        <v>1</v>
      </c>
      <c r="M317" s="14">
        <v>0</v>
      </c>
      <c r="N317" s="14">
        <v>1</v>
      </c>
      <c r="O317" s="9">
        <v>2101</v>
      </c>
      <c r="P317" s="9" t="s">
        <v>229</v>
      </c>
      <c r="Q317" s="14">
        <v>1</v>
      </c>
      <c r="R317" s="9">
        <v>0</v>
      </c>
      <c r="S317" s="9">
        <v>0</v>
      </c>
      <c r="T317" s="8" t="s">
        <v>58</v>
      </c>
      <c r="U317" s="85">
        <v>53</v>
      </c>
      <c r="V317" s="90">
        <v>531404</v>
      </c>
      <c r="W317" s="91" t="s">
        <v>261</v>
      </c>
      <c r="X317" s="18">
        <v>600.3199999999996</v>
      </c>
      <c r="Y317" s="132">
        <f>600.32-70.32</f>
        <v>530</v>
      </c>
      <c r="Z317" s="17">
        <v>0</v>
      </c>
      <c r="AA317" s="17">
        <v>0</v>
      </c>
      <c r="AB317" s="17">
        <v>0</v>
      </c>
      <c r="AC317" s="17">
        <v>0</v>
      </c>
      <c r="AD317" s="17">
        <v>0</v>
      </c>
      <c r="AE317" s="17">
        <v>0</v>
      </c>
      <c r="AF317" s="17">
        <v>0</v>
      </c>
      <c r="AG317" s="17">
        <v>0</v>
      </c>
      <c r="AH317" s="80">
        <v>0</v>
      </c>
      <c r="AI317" s="17">
        <v>0</v>
      </c>
      <c r="AJ317" s="108">
        <v>530</v>
      </c>
      <c r="AK317" s="17">
        <v>0</v>
      </c>
      <c r="AL317" s="17">
        <v>0</v>
      </c>
      <c r="AM317" s="17">
        <v>0</v>
      </c>
      <c r="AN317" s="17">
        <v>0</v>
      </c>
      <c r="AO317" s="17">
        <v>530</v>
      </c>
      <c r="AP317" s="17">
        <v>0</v>
      </c>
      <c r="AQ317" s="17">
        <v>0</v>
      </c>
      <c r="AR317" s="17">
        <v>0</v>
      </c>
      <c r="AS317" s="17">
        <v>0</v>
      </c>
      <c r="AT317" s="17">
        <v>0</v>
      </c>
      <c r="AU317" s="17">
        <v>0</v>
      </c>
      <c r="AV317" s="17">
        <v>0</v>
      </c>
      <c r="AW317" s="17">
        <v>0</v>
      </c>
      <c r="AX317" s="19">
        <f t="shared" si="28"/>
        <v>530</v>
      </c>
      <c r="AY317" s="10" t="str">
        <f t="shared" si="34"/>
        <v>OK</v>
      </c>
      <c r="AZ317" s="10">
        <f t="shared" si="27"/>
        <v>530</v>
      </c>
      <c r="BA317" s="10">
        <f t="shared" si="29"/>
        <v>0</v>
      </c>
      <c r="BB317" s="17">
        <v>530</v>
      </c>
      <c r="BC317" s="113">
        <f t="shared" si="31"/>
        <v>0</v>
      </c>
    </row>
    <row r="318" spans="1:55" s="119" customFormat="1" ht="13.5" customHeight="1">
      <c r="A318" s="16" t="s">
        <v>48</v>
      </c>
      <c r="B318" s="16" t="s">
        <v>49</v>
      </c>
      <c r="C318" s="16" t="s">
        <v>50</v>
      </c>
      <c r="D318" s="16" t="s">
        <v>51</v>
      </c>
      <c r="E318" s="16" t="s">
        <v>52</v>
      </c>
      <c r="F318" s="16" t="s">
        <v>53</v>
      </c>
      <c r="G318" s="16" t="s">
        <v>54</v>
      </c>
      <c r="H318" s="16" t="s">
        <v>55</v>
      </c>
      <c r="I318" s="134" t="s">
        <v>120</v>
      </c>
      <c r="J318" s="12">
        <v>1</v>
      </c>
      <c r="K318" s="12" t="s">
        <v>2</v>
      </c>
      <c r="L318" s="13">
        <v>1</v>
      </c>
      <c r="M318" s="14">
        <v>0</v>
      </c>
      <c r="N318" s="14">
        <v>1</v>
      </c>
      <c r="O318" s="9">
        <v>2101</v>
      </c>
      <c r="P318" s="9" t="s">
        <v>229</v>
      </c>
      <c r="Q318" s="14">
        <v>1</v>
      </c>
      <c r="R318" s="9">
        <v>0</v>
      </c>
      <c r="S318" s="9">
        <v>0</v>
      </c>
      <c r="T318" s="8" t="s">
        <v>58</v>
      </c>
      <c r="U318" s="85">
        <v>53</v>
      </c>
      <c r="V318" s="8">
        <v>530813</v>
      </c>
      <c r="W318" s="16" t="s">
        <v>119</v>
      </c>
      <c r="X318" s="18">
        <v>2934.4</v>
      </c>
      <c r="Y318" s="132">
        <f>2934.4-210.81-291.81</f>
        <v>2431.78</v>
      </c>
      <c r="Z318" s="17">
        <v>0</v>
      </c>
      <c r="AA318" s="17">
        <v>0</v>
      </c>
      <c r="AB318" s="17">
        <v>0</v>
      </c>
      <c r="AC318" s="17">
        <v>0</v>
      </c>
      <c r="AD318" s="17">
        <v>0</v>
      </c>
      <c r="AE318" s="17">
        <v>0</v>
      </c>
      <c r="AF318" s="59">
        <v>1033.76</v>
      </c>
      <c r="AG318" s="17">
        <v>923.53</v>
      </c>
      <c r="AH318" s="17">
        <v>0</v>
      </c>
      <c r="AI318" s="17">
        <v>450.98</v>
      </c>
      <c r="AJ318" s="107">
        <v>0</v>
      </c>
      <c r="AK318" s="17">
        <v>0</v>
      </c>
      <c r="AL318" s="17">
        <v>450.98</v>
      </c>
      <c r="AM318" s="17">
        <v>95.35</v>
      </c>
      <c r="AN318" s="17">
        <v>0</v>
      </c>
      <c r="AO318" s="17">
        <v>0</v>
      </c>
      <c r="AP318" s="17">
        <v>336.91</v>
      </c>
      <c r="AQ318" s="17">
        <v>871.16</v>
      </c>
      <c r="AR318" s="17">
        <v>0</v>
      </c>
      <c r="AS318" s="17">
        <v>0</v>
      </c>
      <c r="AT318" s="17">
        <v>0</v>
      </c>
      <c r="AU318" s="17">
        <v>18.12</v>
      </c>
      <c r="AV318" s="17">
        <v>610.1300000000001</v>
      </c>
      <c r="AW318" s="17">
        <v>72.64</v>
      </c>
      <c r="AX318" s="19">
        <f t="shared" si="28"/>
        <v>2431.78</v>
      </c>
      <c r="AY318" s="10" t="str">
        <f t="shared" si="34"/>
        <v>OK</v>
      </c>
      <c r="AZ318" s="10">
        <f t="shared" si="27"/>
        <v>2431.7799999999997</v>
      </c>
      <c r="BA318" s="10">
        <f t="shared" si="29"/>
        <v>2.1316282072803006E-13</v>
      </c>
      <c r="BB318" s="17">
        <v>2431.78</v>
      </c>
      <c r="BC318" s="113">
        <f t="shared" si="31"/>
        <v>0</v>
      </c>
    </row>
    <row r="319" spans="1:55" s="119" customFormat="1" ht="13.5" customHeight="1">
      <c r="A319" s="16" t="s">
        <v>48</v>
      </c>
      <c r="B319" s="16" t="s">
        <v>49</v>
      </c>
      <c r="C319" s="16" t="s">
        <v>50</v>
      </c>
      <c r="D319" s="16" t="s">
        <v>51</v>
      </c>
      <c r="E319" s="16" t="s">
        <v>52</v>
      </c>
      <c r="F319" s="16" t="s">
        <v>53</v>
      </c>
      <c r="G319" s="16" t="s">
        <v>54</v>
      </c>
      <c r="H319" s="16" t="s">
        <v>55</v>
      </c>
      <c r="I319" s="147" t="s">
        <v>121</v>
      </c>
      <c r="J319" s="12">
        <v>1</v>
      </c>
      <c r="K319" s="12" t="s">
        <v>2</v>
      </c>
      <c r="L319" s="13">
        <v>1</v>
      </c>
      <c r="M319" s="14">
        <v>0</v>
      </c>
      <c r="N319" s="14">
        <v>1</v>
      </c>
      <c r="O319" s="9">
        <v>2101</v>
      </c>
      <c r="P319" s="9" t="s">
        <v>229</v>
      </c>
      <c r="Q319" s="14">
        <v>1</v>
      </c>
      <c r="R319" s="9">
        <v>0</v>
      </c>
      <c r="S319" s="9">
        <v>0</v>
      </c>
      <c r="T319" s="8" t="s">
        <v>58</v>
      </c>
      <c r="U319" s="85">
        <v>53</v>
      </c>
      <c r="V319" s="8">
        <v>530813</v>
      </c>
      <c r="W319" s="16" t="s">
        <v>119</v>
      </c>
      <c r="X319" s="18">
        <v>1000.1599999999996</v>
      </c>
      <c r="Y319" s="146">
        <f>1000.16-0.16</f>
        <v>1000</v>
      </c>
      <c r="Z319" s="17">
        <v>0</v>
      </c>
      <c r="AA319" s="17">
        <v>0</v>
      </c>
      <c r="AB319" s="17">
        <v>0</v>
      </c>
      <c r="AC319" s="17">
        <v>0</v>
      </c>
      <c r="AD319" s="17">
        <v>0</v>
      </c>
      <c r="AE319" s="17">
        <v>0</v>
      </c>
      <c r="AF319" s="17">
        <v>0</v>
      </c>
      <c r="AG319" s="17">
        <v>0</v>
      </c>
      <c r="AH319" s="17">
        <v>0</v>
      </c>
      <c r="AI319" s="17">
        <v>0</v>
      </c>
      <c r="AJ319" s="107">
        <v>0</v>
      </c>
      <c r="AK319" s="17">
        <v>0</v>
      </c>
      <c r="AL319" s="17">
        <v>0</v>
      </c>
      <c r="AM319" s="17">
        <v>0</v>
      </c>
      <c r="AN319" s="17">
        <v>0</v>
      </c>
      <c r="AO319" s="17">
        <v>0</v>
      </c>
      <c r="AP319" s="17">
        <v>0</v>
      </c>
      <c r="AQ319" s="17">
        <v>0</v>
      </c>
      <c r="AR319" s="17">
        <v>1000</v>
      </c>
      <c r="AS319" s="17">
        <v>0</v>
      </c>
      <c r="AT319" s="17">
        <v>0</v>
      </c>
      <c r="AU319" s="17">
        <v>1000</v>
      </c>
      <c r="AV319" s="17">
        <v>0</v>
      </c>
      <c r="AW319" s="17">
        <v>0</v>
      </c>
      <c r="AX319" s="19">
        <f t="shared" si="28"/>
        <v>1000</v>
      </c>
      <c r="AY319" s="10" t="str">
        <f t="shared" si="34"/>
        <v>OK</v>
      </c>
      <c r="AZ319" s="10">
        <f t="shared" si="27"/>
        <v>1000</v>
      </c>
      <c r="BA319" s="10">
        <f t="shared" si="29"/>
        <v>0</v>
      </c>
      <c r="BB319" s="17">
        <v>1000</v>
      </c>
      <c r="BC319" s="113">
        <f t="shared" si="31"/>
        <v>0</v>
      </c>
    </row>
    <row r="320" spans="1:55" s="119" customFormat="1" ht="13.5" customHeight="1">
      <c r="A320" s="16" t="s">
        <v>48</v>
      </c>
      <c r="B320" s="16" t="s">
        <v>49</v>
      </c>
      <c r="C320" s="16" t="s">
        <v>50</v>
      </c>
      <c r="D320" s="16" t="s">
        <v>51</v>
      </c>
      <c r="E320" s="16" t="s">
        <v>52</v>
      </c>
      <c r="F320" s="16" t="s">
        <v>53</v>
      </c>
      <c r="G320" s="16" t="s">
        <v>54</v>
      </c>
      <c r="H320" s="16" t="s">
        <v>55</v>
      </c>
      <c r="I320" s="23" t="s">
        <v>236</v>
      </c>
      <c r="J320" s="12">
        <v>1</v>
      </c>
      <c r="K320" s="12" t="s">
        <v>2</v>
      </c>
      <c r="L320" s="13">
        <v>1</v>
      </c>
      <c r="M320" s="14">
        <v>0</v>
      </c>
      <c r="N320" s="14">
        <v>1</v>
      </c>
      <c r="O320" s="9">
        <v>2101</v>
      </c>
      <c r="P320" s="9" t="s">
        <v>229</v>
      </c>
      <c r="Q320" s="14">
        <v>1</v>
      </c>
      <c r="R320" s="9">
        <v>0</v>
      </c>
      <c r="S320" s="9">
        <v>0</v>
      </c>
      <c r="T320" s="8" t="s">
        <v>58</v>
      </c>
      <c r="U320" s="85">
        <v>53</v>
      </c>
      <c r="V320" s="8">
        <v>530813</v>
      </c>
      <c r="W320" s="16" t="s">
        <v>119</v>
      </c>
      <c r="X320" s="18">
        <v>100</v>
      </c>
      <c r="Y320" s="18">
        <f>100-2.08</f>
        <v>97.92</v>
      </c>
      <c r="Z320" s="17">
        <v>0</v>
      </c>
      <c r="AA320" s="17">
        <v>0</v>
      </c>
      <c r="AB320" s="17">
        <v>0</v>
      </c>
      <c r="AC320" s="17">
        <v>0</v>
      </c>
      <c r="AD320" s="17">
        <v>0</v>
      </c>
      <c r="AE320" s="17">
        <v>0</v>
      </c>
      <c r="AF320" s="59">
        <v>17.86</v>
      </c>
      <c r="AG320" s="17">
        <v>15.92</v>
      </c>
      <c r="AH320" s="17">
        <v>0</v>
      </c>
      <c r="AI320" s="17">
        <v>40</v>
      </c>
      <c r="AJ320" s="107">
        <v>0</v>
      </c>
      <c r="AK320" s="17">
        <v>0</v>
      </c>
      <c r="AL320" s="17">
        <v>0</v>
      </c>
      <c r="AM320" s="17">
        <v>0</v>
      </c>
      <c r="AN320" s="59">
        <v>26.78</v>
      </c>
      <c r="AO320" s="17">
        <v>42</v>
      </c>
      <c r="AP320" s="17">
        <v>0</v>
      </c>
      <c r="AQ320" s="17">
        <v>0</v>
      </c>
      <c r="AR320" s="59">
        <v>26.78</v>
      </c>
      <c r="AS320" s="17">
        <v>0</v>
      </c>
      <c r="AT320" s="17">
        <v>0</v>
      </c>
      <c r="AU320" s="17">
        <v>0</v>
      </c>
      <c r="AV320" s="59">
        <v>26.5</v>
      </c>
      <c r="AW320" s="17">
        <v>0</v>
      </c>
      <c r="AX320" s="19">
        <f t="shared" si="28"/>
        <v>97.92</v>
      </c>
      <c r="AY320" s="10" t="str">
        <f t="shared" si="34"/>
        <v>OK</v>
      </c>
      <c r="AZ320" s="10">
        <f t="shared" si="27"/>
        <v>97.92</v>
      </c>
      <c r="BA320" s="10">
        <f t="shared" si="29"/>
        <v>0</v>
      </c>
      <c r="BB320" s="17">
        <v>55.92</v>
      </c>
      <c r="BC320" s="113">
        <f t="shared" si="31"/>
        <v>42</v>
      </c>
    </row>
    <row r="321" spans="1:55" s="119" customFormat="1" ht="13.5" customHeight="1">
      <c r="A321" s="16" t="s">
        <v>48</v>
      </c>
      <c r="B321" s="16" t="s">
        <v>49</v>
      </c>
      <c r="C321" s="16" t="s">
        <v>50</v>
      </c>
      <c r="D321" s="16" t="s">
        <v>51</v>
      </c>
      <c r="E321" s="16" t="s">
        <v>52</v>
      </c>
      <c r="F321" s="16" t="s">
        <v>53</v>
      </c>
      <c r="G321" s="16" t="s">
        <v>54</v>
      </c>
      <c r="H321" s="16" t="s">
        <v>55</v>
      </c>
      <c r="I321" s="87" t="s">
        <v>247</v>
      </c>
      <c r="J321" s="12">
        <v>1</v>
      </c>
      <c r="K321" s="12" t="s">
        <v>2</v>
      </c>
      <c r="L321" s="13">
        <v>1</v>
      </c>
      <c r="M321" s="14">
        <v>0</v>
      </c>
      <c r="N321" s="14">
        <v>1</v>
      </c>
      <c r="O321" s="9">
        <v>2101</v>
      </c>
      <c r="P321" s="9" t="s">
        <v>229</v>
      </c>
      <c r="Q321" s="14">
        <v>1</v>
      </c>
      <c r="R321" s="9">
        <v>0</v>
      </c>
      <c r="S321" s="9">
        <v>0</v>
      </c>
      <c r="T321" s="8" t="s">
        <v>58</v>
      </c>
      <c r="U321" s="85">
        <v>53</v>
      </c>
      <c r="V321" s="8">
        <v>530813</v>
      </c>
      <c r="W321" s="16" t="s">
        <v>119</v>
      </c>
      <c r="X321" s="18">
        <v>1500.7999999999993</v>
      </c>
      <c r="Y321" s="89">
        <f>1500.8-370.48-1.52</f>
        <v>1128.8</v>
      </c>
      <c r="Z321" s="17">
        <v>0</v>
      </c>
      <c r="AA321" s="17">
        <v>0</v>
      </c>
      <c r="AB321" s="17">
        <v>0</v>
      </c>
      <c r="AC321" s="17">
        <v>0</v>
      </c>
      <c r="AD321" s="17">
        <v>0</v>
      </c>
      <c r="AE321" s="17">
        <v>0</v>
      </c>
      <c r="AF321" s="17">
        <v>0</v>
      </c>
      <c r="AG321" s="17">
        <v>0</v>
      </c>
      <c r="AH321" s="17">
        <v>1128.8</v>
      </c>
      <c r="AI321" s="17">
        <v>1128.8</v>
      </c>
      <c r="AJ321" s="107">
        <v>0</v>
      </c>
      <c r="AK321" s="17">
        <v>0</v>
      </c>
      <c r="AL321" s="17">
        <v>0</v>
      </c>
      <c r="AM321" s="17">
        <v>0</v>
      </c>
      <c r="AN321" s="17">
        <v>0</v>
      </c>
      <c r="AO321" s="17">
        <v>0</v>
      </c>
      <c r="AP321" s="17">
        <v>0</v>
      </c>
      <c r="AQ321" s="17">
        <v>0</v>
      </c>
      <c r="AR321" s="17">
        <v>0</v>
      </c>
      <c r="AS321" s="17">
        <v>0</v>
      </c>
      <c r="AT321" s="17">
        <v>0</v>
      </c>
      <c r="AU321" s="17">
        <v>0</v>
      </c>
      <c r="AV321" s="17">
        <v>0</v>
      </c>
      <c r="AW321" s="17">
        <v>0</v>
      </c>
      <c r="AX321" s="19">
        <f t="shared" si="28"/>
        <v>1128.8</v>
      </c>
      <c r="AY321" s="10" t="str">
        <f t="shared" si="34"/>
        <v>OK</v>
      </c>
      <c r="AZ321" s="10">
        <f t="shared" si="27"/>
        <v>1128.8</v>
      </c>
      <c r="BA321" s="10">
        <f t="shared" si="29"/>
        <v>0</v>
      </c>
      <c r="BB321" s="17">
        <f>1130.32-1.52</f>
        <v>1128.8</v>
      </c>
      <c r="BC321" s="113">
        <f t="shared" si="31"/>
        <v>0</v>
      </c>
    </row>
    <row r="322" spans="1:55" s="119" customFormat="1" ht="13.5" customHeight="1">
      <c r="A322" s="16" t="s">
        <v>48</v>
      </c>
      <c r="B322" s="16" t="s">
        <v>49</v>
      </c>
      <c r="C322" s="16" t="s">
        <v>50</v>
      </c>
      <c r="D322" s="16" t="s">
        <v>51</v>
      </c>
      <c r="E322" s="16" t="s">
        <v>52</v>
      </c>
      <c r="F322" s="16" t="s">
        <v>53</v>
      </c>
      <c r="G322" s="16" t="s">
        <v>54</v>
      </c>
      <c r="H322" s="16" t="s">
        <v>55</v>
      </c>
      <c r="I322" s="147" t="s">
        <v>248</v>
      </c>
      <c r="J322" s="12">
        <v>3</v>
      </c>
      <c r="K322" s="12" t="s">
        <v>2</v>
      </c>
      <c r="L322" s="13">
        <v>1</v>
      </c>
      <c r="M322" s="14">
        <v>0</v>
      </c>
      <c r="N322" s="14">
        <v>1</v>
      </c>
      <c r="O322" s="9">
        <v>2101</v>
      </c>
      <c r="P322" s="9" t="s">
        <v>229</v>
      </c>
      <c r="Q322" s="14">
        <v>1</v>
      </c>
      <c r="R322" s="9">
        <v>0</v>
      </c>
      <c r="S322" s="9">
        <v>0</v>
      </c>
      <c r="T322" s="8" t="s">
        <v>58</v>
      </c>
      <c r="U322" s="85">
        <v>53</v>
      </c>
      <c r="V322" s="8">
        <v>530820</v>
      </c>
      <c r="W322" s="16" t="s">
        <v>124</v>
      </c>
      <c r="X322" s="18">
        <v>500.6399999999998</v>
      </c>
      <c r="Y322" s="146">
        <f>500.64-181.59</f>
        <v>319.04999999999995</v>
      </c>
      <c r="Z322" s="17">
        <v>0</v>
      </c>
      <c r="AA322" s="17">
        <v>0</v>
      </c>
      <c r="AB322" s="17">
        <v>0</v>
      </c>
      <c r="AC322" s="17">
        <v>0</v>
      </c>
      <c r="AD322" s="17">
        <v>0</v>
      </c>
      <c r="AE322" s="17">
        <v>0</v>
      </c>
      <c r="AF322" s="17">
        <v>0</v>
      </c>
      <c r="AG322" s="17">
        <v>0</v>
      </c>
      <c r="AH322" s="17">
        <v>0</v>
      </c>
      <c r="AI322" s="17">
        <v>0</v>
      </c>
      <c r="AJ322" s="107">
        <v>0</v>
      </c>
      <c r="AK322" s="17">
        <v>0</v>
      </c>
      <c r="AL322" s="17">
        <v>0</v>
      </c>
      <c r="AM322" s="17">
        <v>0</v>
      </c>
      <c r="AN322" s="17">
        <v>0</v>
      </c>
      <c r="AO322" s="17">
        <v>0</v>
      </c>
      <c r="AP322" s="17">
        <v>319.04999999999995</v>
      </c>
      <c r="AQ322" s="17">
        <v>319.05</v>
      </c>
      <c r="AR322" s="17">
        <v>0</v>
      </c>
      <c r="AS322" s="17">
        <v>0</v>
      </c>
      <c r="AT322" s="17">
        <v>0</v>
      </c>
      <c r="AU322" s="17">
        <v>0</v>
      </c>
      <c r="AV322" s="17">
        <v>0</v>
      </c>
      <c r="AW322" s="17">
        <v>0</v>
      </c>
      <c r="AX322" s="19">
        <f t="shared" si="28"/>
        <v>319.04999999999995</v>
      </c>
      <c r="AY322" s="10" t="str">
        <f t="shared" si="34"/>
        <v>OK</v>
      </c>
      <c r="AZ322" s="10">
        <f t="shared" si="27"/>
        <v>319.05</v>
      </c>
      <c r="BA322" s="10">
        <f t="shared" si="29"/>
        <v>-5.684341886080802E-14</v>
      </c>
      <c r="BB322" s="17">
        <v>319.05</v>
      </c>
      <c r="BC322" s="113">
        <f t="shared" si="31"/>
        <v>0</v>
      </c>
    </row>
    <row r="323" spans="1:55" s="119" customFormat="1" ht="13.5" customHeight="1">
      <c r="A323" s="16" t="s">
        <v>48</v>
      </c>
      <c r="B323" s="16" t="s">
        <v>49</v>
      </c>
      <c r="C323" s="16" t="s">
        <v>50</v>
      </c>
      <c r="D323" s="16" t="s">
        <v>51</v>
      </c>
      <c r="E323" s="16" t="s">
        <v>52</v>
      </c>
      <c r="F323" s="16" t="s">
        <v>53</v>
      </c>
      <c r="G323" s="16" t="s">
        <v>54</v>
      </c>
      <c r="H323" s="16" t="s">
        <v>55</v>
      </c>
      <c r="I323" s="87" t="s">
        <v>128</v>
      </c>
      <c r="J323" s="12">
        <v>1</v>
      </c>
      <c r="K323" s="12" t="s">
        <v>2</v>
      </c>
      <c r="L323" s="13">
        <v>1</v>
      </c>
      <c r="M323" s="14">
        <v>0</v>
      </c>
      <c r="N323" s="14">
        <v>1</v>
      </c>
      <c r="O323" s="9">
        <v>2101</v>
      </c>
      <c r="P323" s="9" t="s">
        <v>229</v>
      </c>
      <c r="Q323" s="14">
        <v>1</v>
      </c>
      <c r="R323" s="9">
        <v>0</v>
      </c>
      <c r="S323" s="9">
        <v>0</v>
      </c>
      <c r="T323" s="8" t="s">
        <v>58</v>
      </c>
      <c r="U323" s="85">
        <v>53</v>
      </c>
      <c r="V323" s="8">
        <v>530826</v>
      </c>
      <c r="W323" s="16" t="s">
        <v>129</v>
      </c>
      <c r="X323" s="18">
        <v>537.6</v>
      </c>
      <c r="Y323" s="86">
        <f>537.6-250.3</f>
        <v>287.3</v>
      </c>
      <c r="Z323" s="17">
        <v>0</v>
      </c>
      <c r="AA323" s="17">
        <v>0</v>
      </c>
      <c r="AB323" s="17">
        <v>0</v>
      </c>
      <c r="AC323" s="17">
        <v>0</v>
      </c>
      <c r="AD323" s="17">
        <v>287.3</v>
      </c>
      <c r="AE323" s="17">
        <v>287.3</v>
      </c>
      <c r="AF323" s="17">
        <v>0</v>
      </c>
      <c r="AG323" s="17">
        <v>0</v>
      </c>
      <c r="AH323" s="17">
        <v>0</v>
      </c>
      <c r="AI323" s="17">
        <v>0</v>
      </c>
      <c r="AJ323" s="107">
        <v>0</v>
      </c>
      <c r="AK323" s="17">
        <v>0</v>
      </c>
      <c r="AL323" s="17">
        <v>0</v>
      </c>
      <c r="AM323" s="17">
        <v>0</v>
      </c>
      <c r="AN323" s="17">
        <v>0</v>
      </c>
      <c r="AO323" s="17">
        <v>0</v>
      </c>
      <c r="AP323" s="17">
        <v>0</v>
      </c>
      <c r="AQ323" s="17">
        <v>0</v>
      </c>
      <c r="AR323" s="17">
        <v>0</v>
      </c>
      <c r="AS323" s="17">
        <v>0</v>
      </c>
      <c r="AT323" s="17">
        <v>0</v>
      </c>
      <c r="AU323" s="17">
        <v>0</v>
      </c>
      <c r="AV323" s="17">
        <v>0</v>
      </c>
      <c r="AW323" s="17">
        <v>0</v>
      </c>
      <c r="AX323" s="19">
        <f t="shared" si="28"/>
        <v>287.3</v>
      </c>
      <c r="AY323" s="10" t="str">
        <f t="shared" si="34"/>
        <v>OK</v>
      </c>
      <c r="AZ323" s="10">
        <f t="shared" si="27"/>
        <v>287.3</v>
      </c>
      <c r="BA323" s="10">
        <f t="shared" si="29"/>
        <v>0</v>
      </c>
      <c r="BB323" s="17">
        <v>287.3</v>
      </c>
      <c r="BC323" s="113">
        <f t="shared" si="31"/>
        <v>0</v>
      </c>
    </row>
    <row r="324" spans="1:55" s="119" customFormat="1" ht="13.5" customHeight="1">
      <c r="A324" s="16" t="s">
        <v>48</v>
      </c>
      <c r="B324" s="16" t="s">
        <v>49</v>
      </c>
      <c r="C324" s="16" t="s">
        <v>50</v>
      </c>
      <c r="D324" s="16" t="s">
        <v>51</v>
      </c>
      <c r="E324" s="16" t="s">
        <v>52</v>
      </c>
      <c r="F324" s="16" t="s">
        <v>53</v>
      </c>
      <c r="G324" s="16" t="s">
        <v>54</v>
      </c>
      <c r="H324" s="16" t="s">
        <v>55</v>
      </c>
      <c r="I324" s="147" t="s">
        <v>249</v>
      </c>
      <c r="J324" s="12">
        <v>1</v>
      </c>
      <c r="K324" s="12" t="s">
        <v>2</v>
      </c>
      <c r="L324" s="13">
        <v>1</v>
      </c>
      <c r="M324" s="14">
        <v>0</v>
      </c>
      <c r="N324" s="14">
        <v>1</v>
      </c>
      <c r="O324" s="9">
        <v>2101</v>
      </c>
      <c r="P324" s="9" t="s">
        <v>229</v>
      </c>
      <c r="Q324" s="14">
        <v>1</v>
      </c>
      <c r="R324" s="9">
        <v>0</v>
      </c>
      <c r="S324" s="9">
        <v>0</v>
      </c>
      <c r="T324" s="8" t="s">
        <v>58</v>
      </c>
      <c r="U324" s="85">
        <v>57</v>
      </c>
      <c r="V324" s="8">
        <v>570102</v>
      </c>
      <c r="W324" s="16" t="s">
        <v>135</v>
      </c>
      <c r="X324" s="18">
        <v>200</v>
      </c>
      <c r="Y324" s="146">
        <f>200-200</f>
        <v>0</v>
      </c>
      <c r="Z324" s="17">
        <v>0</v>
      </c>
      <c r="AA324" s="17">
        <v>0</v>
      </c>
      <c r="AB324" s="17">
        <v>0</v>
      </c>
      <c r="AC324" s="17">
        <v>0</v>
      </c>
      <c r="AD324" s="17">
        <v>0</v>
      </c>
      <c r="AE324" s="17">
        <v>0</v>
      </c>
      <c r="AF324" s="17">
        <v>0</v>
      </c>
      <c r="AG324" s="17">
        <v>0</v>
      </c>
      <c r="AH324" s="17">
        <v>0</v>
      </c>
      <c r="AI324" s="17">
        <v>0</v>
      </c>
      <c r="AJ324" s="107">
        <v>0</v>
      </c>
      <c r="AK324" s="17">
        <v>0</v>
      </c>
      <c r="AL324" s="17">
        <v>0</v>
      </c>
      <c r="AM324" s="17">
        <v>0</v>
      </c>
      <c r="AN324" s="17">
        <v>0</v>
      </c>
      <c r="AO324" s="17">
        <v>0</v>
      </c>
      <c r="AP324" s="17">
        <v>0</v>
      </c>
      <c r="AQ324" s="17">
        <v>0</v>
      </c>
      <c r="AR324" s="17">
        <v>0</v>
      </c>
      <c r="AS324" s="17">
        <v>0</v>
      </c>
      <c r="AT324" s="17">
        <v>0</v>
      </c>
      <c r="AU324" s="17">
        <v>0</v>
      </c>
      <c r="AV324" s="17">
        <v>0</v>
      </c>
      <c r="AW324" s="17">
        <v>0</v>
      </c>
      <c r="AX324" s="19">
        <f t="shared" si="28"/>
        <v>0</v>
      </c>
      <c r="AY324" s="10" t="str">
        <f>IF(AX324=Y324,"OK",Y324-AX324)</f>
        <v>OK</v>
      </c>
      <c r="AZ324" s="10">
        <f t="shared" si="27"/>
        <v>0</v>
      </c>
      <c r="BA324" s="10">
        <f t="shared" si="29"/>
        <v>0</v>
      </c>
      <c r="BB324" s="17">
        <v>0</v>
      </c>
      <c r="BC324" s="113">
        <f t="shared" si="31"/>
        <v>0</v>
      </c>
    </row>
    <row r="325" spans="1:55" s="119" customFormat="1" ht="13.5" customHeight="1">
      <c r="A325" s="16" t="s">
        <v>48</v>
      </c>
      <c r="B325" s="16" t="s">
        <v>49</v>
      </c>
      <c r="C325" s="16" t="s">
        <v>50</v>
      </c>
      <c r="D325" s="16" t="s">
        <v>51</v>
      </c>
      <c r="E325" s="16" t="s">
        <v>52</v>
      </c>
      <c r="F325" s="16" t="s">
        <v>53</v>
      </c>
      <c r="G325" s="16" t="s">
        <v>54</v>
      </c>
      <c r="H325" s="16" t="s">
        <v>55</v>
      </c>
      <c r="I325" s="23" t="s">
        <v>136</v>
      </c>
      <c r="J325" s="12">
        <v>1</v>
      </c>
      <c r="K325" s="12" t="s">
        <v>2</v>
      </c>
      <c r="L325" s="13">
        <v>1</v>
      </c>
      <c r="M325" s="14">
        <v>0</v>
      </c>
      <c r="N325" s="14">
        <v>1</v>
      </c>
      <c r="O325" s="9">
        <v>2101</v>
      </c>
      <c r="P325" s="9" t="s">
        <v>229</v>
      </c>
      <c r="Q325" s="14">
        <v>1</v>
      </c>
      <c r="R325" s="9">
        <v>0</v>
      </c>
      <c r="S325" s="9">
        <v>0</v>
      </c>
      <c r="T325" s="8" t="s">
        <v>58</v>
      </c>
      <c r="U325" s="85">
        <v>57</v>
      </c>
      <c r="V325" s="8">
        <v>570102</v>
      </c>
      <c r="W325" s="16" t="s">
        <v>135</v>
      </c>
      <c r="X325" s="18">
        <v>500</v>
      </c>
      <c r="Y325" s="18">
        <v>500</v>
      </c>
      <c r="Z325" s="17">
        <v>0</v>
      </c>
      <c r="AA325" s="17">
        <v>0</v>
      </c>
      <c r="AB325" s="17">
        <v>0</v>
      </c>
      <c r="AC325" s="17">
        <v>0</v>
      </c>
      <c r="AD325" s="17">
        <v>500</v>
      </c>
      <c r="AE325" s="17">
        <v>500</v>
      </c>
      <c r="AF325" s="17">
        <v>0</v>
      </c>
      <c r="AG325" s="17">
        <v>0</v>
      </c>
      <c r="AH325" s="17">
        <v>0</v>
      </c>
      <c r="AI325" s="17">
        <v>0</v>
      </c>
      <c r="AJ325" s="107">
        <v>0</v>
      </c>
      <c r="AK325" s="17">
        <v>0</v>
      </c>
      <c r="AL325" s="17">
        <v>0</v>
      </c>
      <c r="AM325" s="17">
        <v>0</v>
      </c>
      <c r="AN325" s="17">
        <v>0</v>
      </c>
      <c r="AO325" s="17">
        <v>0</v>
      </c>
      <c r="AP325" s="17">
        <v>0</v>
      </c>
      <c r="AQ325" s="17">
        <v>0</v>
      </c>
      <c r="AR325" s="17">
        <v>0</v>
      </c>
      <c r="AS325" s="17">
        <v>0</v>
      </c>
      <c r="AT325" s="17">
        <v>0</v>
      </c>
      <c r="AU325" s="17">
        <v>0</v>
      </c>
      <c r="AV325" s="17">
        <v>0</v>
      </c>
      <c r="AW325" s="17">
        <v>0</v>
      </c>
      <c r="AX325" s="19">
        <f t="shared" si="28"/>
        <v>500</v>
      </c>
      <c r="AY325" s="10" t="str">
        <f aca="true" t="shared" si="35" ref="AY325:AY333">IF(AX325=Y325,"OK",Y325-AX325)</f>
        <v>OK</v>
      </c>
      <c r="AZ325" s="10">
        <f t="shared" si="27"/>
        <v>500</v>
      </c>
      <c r="BA325" s="10">
        <f t="shared" si="29"/>
        <v>0</v>
      </c>
      <c r="BB325" s="17">
        <v>500</v>
      </c>
      <c r="BC325" s="113">
        <f t="shared" si="31"/>
        <v>0</v>
      </c>
    </row>
    <row r="326" spans="1:55" s="119" customFormat="1" ht="13.5" customHeight="1">
      <c r="A326" s="16" t="s">
        <v>48</v>
      </c>
      <c r="B326" s="16" t="s">
        <v>49</v>
      </c>
      <c r="C326" s="16" t="s">
        <v>50</v>
      </c>
      <c r="D326" s="16" t="s">
        <v>51</v>
      </c>
      <c r="E326" s="16" t="s">
        <v>52</v>
      </c>
      <c r="F326" s="16" t="s">
        <v>53</v>
      </c>
      <c r="G326" s="16" t="s">
        <v>54</v>
      </c>
      <c r="H326" s="16" t="s">
        <v>55</v>
      </c>
      <c r="I326" s="63" t="s">
        <v>137</v>
      </c>
      <c r="J326" s="12">
        <v>1</v>
      </c>
      <c r="K326" s="12" t="s">
        <v>2</v>
      </c>
      <c r="L326" s="13">
        <v>1</v>
      </c>
      <c r="M326" s="14">
        <v>0</v>
      </c>
      <c r="N326" s="14">
        <v>1</v>
      </c>
      <c r="O326" s="9">
        <v>2101</v>
      </c>
      <c r="P326" s="9" t="s">
        <v>229</v>
      </c>
      <c r="Q326" s="14">
        <v>1</v>
      </c>
      <c r="R326" s="9">
        <v>0</v>
      </c>
      <c r="S326" s="9">
        <v>0</v>
      </c>
      <c r="T326" s="8" t="s">
        <v>58</v>
      </c>
      <c r="U326" s="85">
        <v>57</v>
      </c>
      <c r="V326" s="8">
        <v>570102</v>
      </c>
      <c r="W326" s="16" t="s">
        <v>135</v>
      </c>
      <c r="X326" s="18">
        <v>500</v>
      </c>
      <c r="Y326" s="79">
        <f>500-16.7</f>
        <v>483.3</v>
      </c>
      <c r="Z326" s="17">
        <v>0</v>
      </c>
      <c r="AA326" s="17">
        <v>0</v>
      </c>
      <c r="AB326" s="17">
        <v>0</v>
      </c>
      <c r="AC326" s="17">
        <v>483.3</v>
      </c>
      <c r="AD326" s="76">
        <v>483.3</v>
      </c>
      <c r="AE326" s="17">
        <v>0</v>
      </c>
      <c r="AF326" s="17">
        <v>0</v>
      </c>
      <c r="AG326" s="17">
        <v>0</v>
      </c>
      <c r="AH326" s="17">
        <v>0</v>
      </c>
      <c r="AI326" s="17">
        <v>0</v>
      </c>
      <c r="AJ326" s="107">
        <v>0</v>
      </c>
      <c r="AK326" s="17">
        <v>0</v>
      </c>
      <c r="AL326" s="17">
        <v>0</v>
      </c>
      <c r="AM326" s="17">
        <v>0</v>
      </c>
      <c r="AN326" s="17">
        <v>0</v>
      </c>
      <c r="AO326" s="17">
        <v>0</v>
      </c>
      <c r="AP326" s="17">
        <v>0</v>
      </c>
      <c r="AQ326" s="17">
        <v>0</v>
      </c>
      <c r="AR326" s="17">
        <v>0</v>
      </c>
      <c r="AS326" s="17">
        <v>0</v>
      </c>
      <c r="AT326" s="17">
        <v>0</v>
      </c>
      <c r="AU326" s="17">
        <v>0</v>
      </c>
      <c r="AV326" s="17">
        <v>0</v>
      </c>
      <c r="AW326" s="17">
        <v>0</v>
      </c>
      <c r="AX326" s="19">
        <f t="shared" si="28"/>
        <v>483.3</v>
      </c>
      <c r="AY326" s="10" t="str">
        <f t="shared" si="35"/>
        <v>OK</v>
      </c>
      <c r="AZ326" s="10">
        <f aca="true" t="shared" si="36" ref="AZ326:AZ345">IF($AZ$4="Seleccione el mes",$AZ$4,IF($AZ$4="Enero",AA326,IF($AZ$4="Febrero",AA326+AC326,IF($AZ$4="Marzo",AA326+AC326+AE326,IF($AZ$4="Abril",AA326+AC326+AE326+AG326,IF($AZ$4="Mayo",AA326+AC326+AE326+AG326+AI326,IF($AZ$4="Junio",AA326+AC326+AE326+AG326+AI326+AK326,IF($AZ$4="Julio",AA326+AC326+AE326+AG326+AI326+AK326+AM326,IF($AZ$4="Agosto",AA326+AC326+AE326+AG326+AI326+AK326+AM326+AO326,IF($AZ$4="Septiembre",AA326++AE326++AI326+AK326+AM326+AO326+AQ326,IF($AZ$4="Octubre",AA326+AC326+AE326+AG326+AI326+AK326+AM326+AO326+AQ326+AS326,IF($AZ$4="Noviembre",AA326+AC326+AE326+AG326+AI326+AK326+AM326+AO326+AQ326+AS326+AU326,IF($AZ$4="Diciembre",AA326+AC326+AE326+AG326+AI326+AK326+AM326+AO326+AQ326+AS326+AU326+AW326)))))))))))))</f>
        <v>483.3</v>
      </c>
      <c r="BA326" s="10">
        <f t="shared" si="29"/>
        <v>0</v>
      </c>
      <c r="BB326" s="17">
        <v>483.3</v>
      </c>
      <c r="BC326" s="113">
        <f t="shared" si="31"/>
        <v>0</v>
      </c>
    </row>
    <row r="327" spans="1:55" s="119" customFormat="1" ht="13.5" customHeight="1">
      <c r="A327" s="16" t="s">
        <v>48</v>
      </c>
      <c r="B327" s="16" t="s">
        <v>49</v>
      </c>
      <c r="C327" s="16" t="s">
        <v>50</v>
      </c>
      <c r="D327" s="16" t="s">
        <v>51</v>
      </c>
      <c r="E327" s="16" t="s">
        <v>52</v>
      </c>
      <c r="F327" s="16" t="s">
        <v>53</v>
      </c>
      <c r="G327" s="16" t="s">
        <v>54</v>
      </c>
      <c r="H327" s="16" t="s">
        <v>55</v>
      </c>
      <c r="I327" s="23" t="s">
        <v>236</v>
      </c>
      <c r="J327" s="12">
        <v>1</v>
      </c>
      <c r="K327" s="12" t="s">
        <v>2</v>
      </c>
      <c r="L327" s="13">
        <v>1</v>
      </c>
      <c r="M327" s="14">
        <v>0</v>
      </c>
      <c r="N327" s="14">
        <v>1</v>
      </c>
      <c r="O327" s="9">
        <v>2101</v>
      </c>
      <c r="P327" s="9" t="s">
        <v>229</v>
      </c>
      <c r="Q327" s="14">
        <v>1</v>
      </c>
      <c r="R327" s="9">
        <v>0</v>
      </c>
      <c r="S327" s="9">
        <v>0</v>
      </c>
      <c r="T327" s="8" t="s">
        <v>58</v>
      </c>
      <c r="U327" s="85">
        <v>57</v>
      </c>
      <c r="V327" s="8">
        <v>570102</v>
      </c>
      <c r="W327" s="16" t="s">
        <v>135</v>
      </c>
      <c r="X327" s="18">
        <v>150</v>
      </c>
      <c r="Y327" s="18">
        <f>150-36.34</f>
        <v>113.66</v>
      </c>
      <c r="Z327" s="17">
        <v>0</v>
      </c>
      <c r="AA327" s="17">
        <v>0</v>
      </c>
      <c r="AB327" s="17">
        <v>0</v>
      </c>
      <c r="AC327" s="17">
        <v>0</v>
      </c>
      <c r="AD327" s="17">
        <v>0</v>
      </c>
      <c r="AE327" s="17">
        <v>0</v>
      </c>
      <c r="AF327" s="59">
        <v>40.18</v>
      </c>
      <c r="AG327" s="17">
        <v>49.08</v>
      </c>
      <c r="AH327" s="17">
        <v>0</v>
      </c>
      <c r="AI327" s="17">
        <v>54.08</v>
      </c>
      <c r="AJ327" s="108">
        <v>40.18</v>
      </c>
      <c r="AK327" s="17">
        <v>0</v>
      </c>
      <c r="AL327" s="17">
        <v>0</v>
      </c>
      <c r="AM327" s="17">
        <v>0</v>
      </c>
      <c r="AN327" s="17">
        <v>0</v>
      </c>
      <c r="AO327" s="17">
        <v>10.5</v>
      </c>
      <c r="AP327" s="17">
        <v>0</v>
      </c>
      <c r="AQ327" s="17">
        <v>0</v>
      </c>
      <c r="AR327" s="17">
        <v>0</v>
      </c>
      <c r="AS327" s="17">
        <v>0</v>
      </c>
      <c r="AT327" s="17">
        <v>0</v>
      </c>
      <c r="AU327" s="17">
        <v>0</v>
      </c>
      <c r="AV327" s="59">
        <v>33.3</v>
      </c>
      <c r="AW327" s="17">
        <v>0</v>
      </c>
      <c r="AX327" s="19">
        <f aca="true" t="shared" si="37" ref="AX327:AX345">SUM(Z327+AB327+AD327+AF327+AH327+AJ327+AL327+AN327+AP327+AR327+AT327+AV327)</f>
        <v>113.66</v>
      </c>
      <c r="AY327" s="10" t="str">
        <f t="shared" si="35"/>
        <v>OK</v>
      </c>
      <c r="AZ327" s="10">
        <f t="shared" si="36"/>
        <v>113.66</v>
      </c>
      <c r="BA327" s="10">
        <f aca="true" t="shared" si="38" ref="BA327:BA345">Z327-AA327+AB327-AC327+AD327-AE327+AF327-AG327+AH327-AI327+AJ327-AK327+AL327-AM327+AN327-AO327+AP327-AQ327+AR327-AS327+AT327-AU327+AV327-AW327</f>
        <v>0</v>
      </c>
      <c r="BB327" s="17">
        <v>103.16</v>
      </c>
      <c r="BC327" s="113">
        <f t="shared" si="31"/>
        <v>10.5</v>
      </c>
    </row>
    <row r="328" spans="1:55" s="119" customFormat="1" ht="13.5" customHeight="1">
      <c r="A328" s="16" t="s">
        <v>138</v>
      </c>
      <c r="B328" s="16" t="s">
        <v>139</v>
      </c>
      <c r="C328" s="16" t="s">
        <v>140</v>
      </c>
      <c r="D328" s="16" t="s">
        <v>51</v>
      </c>
      <c r="E328" s="16" t="s">
        <v>52</v>
      </c>
      <c r="F328" s="16" t="s">
        <v>53</v>
      </c>
      <c r="G328" s="16" t="s">
        <v>141</v>
      </c>
      <c r="H328" s="16" t="s">
        <v>142</v>
      </c>
      <c r="I328" s="23" t="s">
        <v>143</v>
      </c>
      <c r="J328" s="12">
        <v>1</v>
      </c>
      <c r="K328" s="12" t="s">
        <v>2</v>
      </c>
      <c r="L328" s="13">
        <v>55</v>
      </c>
      <c r="M328" s="14">
        <v>0</v>
      </c>
      <c r="N328" s="14">
        <v>3</v>
      </c>
      <c r="O328" s="9">
        <v>2101</v>
      </c>
      <c r="P328" s="9" t="s">
        <v>229</v>
      </c>
      <c r="Q328" s="14">
        <v>1</v>
      </c>
      <c r="R328" s="9">
        <v>0</v>
      </c>
      <c r="S328" s="9">
        <v>0</v>
      </c>
      <c r="T328" s="8" t="s">
        <v>58</v>
      </c>
      <c r="U328" s="85">
        <v>53</v>
      </c>
      <c r="V328" s="8">
        <v>530105</v>
      </c>
      <c r="W328" s="16" t="s">
        <v>144</v>
      </c>
      <c r="X328" s="18">
        <v>13100.639999999994</v>
      </c>
      <c r="Y328" s="71">
        <f>13100.64-6242.5</f>
        <v>6858.139999999999</v>
      </c>
      <c r="Z328" s="17">
        <v>6858.139999999999</v>
      </c>
      <c r="AA328" s="17">
        <v>6858.139999999999</v>
      </c>
      <c r="AB328" s="17">
        <v>0</v>
      </c>
      <c r="AC328" s="17">
        <v>0</v>
      </c>
      <c r="AD328" s="17">
        <v>0</v>
      </c>
      <c r="AE328" s="17">
        <v>0</v>
      </c>
      <c r="AF328" s="17">
        <v>0</v>
      </c>
      <c r="AG328" s="17">
        <v>0</v>
      </c>
      <c r="AH328" s="17">
        <v>0</v>
      </c>
      <c r="AI328" s="17">
        <v>0</v>
      </c>
      <c r="AJ328" s="107">
        <v>0</v>
      </c>
      <c r="AK328" s="17">
        <v>0</v>
      </c>
      <c r="AL328" s="17">
        <v>0</v>
      </c>
      <c r="AM328" s="17">
        <v>0</v>
      </c>
      <c r="AN328" s="17">
        <v>0</v>
      </c>
      <c r="AO328" s="17">
        <v>0</v>
      </c>
      <c r="AP328" s="17">
        <v>0</v>
      </c>
      <c r="AQ328" s="17">
        <v>0</v>
      </c>
      <c r="AR328" s="17">
        <v>0</v>
      </c>
      <c r="AS328" s="17">
        <v>0</v>
      </c>
      <c r="AT328" s="17">
        <v>0</v>
      </c>
      <c r="AU328" s="17">
        <v>0</v>
      </c>
      <c r="AV328" s="17">
        <v>0</v>
      </c>
      <c r="AW328" s="17">
        <v>0</v>
      </c>
      <c r="AX328" s="19">
        <f t="shared" si="37"/>
        <v>6858.139999999999</v>
      </c>
      <c r="AY328" s="10" t="str">
        <f t="shared" si="35"/>
        <v>OK</v>
      </c>
      <c r="AZ328" s="10">
        <f t="shared" si="36"/>
        <v>6858.139999999999</v>
      </c>
      <c r="BA328" s="10">
        <f t="shared" si="38"/>
        <v>0</v>
      </c>
      <c r="BB328" s="17">
        <v>6858.14</v>
      </c>
      <c r="BC328" s="113">
        <f t="shared" si="31"/>
        <v>0</v>
      </c>
    </row>
    <row r="329" spans="1:55" s="119" customFormat="1" ht="13.5" customHeight="1">
      <c r="A329" s="16" t="s">
        <v>138</v>
      </c>
      <c r="B329" s="16" t="s">
        <v>139</v>
      </c>
      <c r="C329" s="16" t="s">
        <v>140</v>
      </c>
      <c r="D329" s="16" t="s">
        <v>51</v>
      </c>
      <c r="E329" s="16" t="s">
        <v>52</v>
      </c>
      <c r="F329" s="16" t="s">
        <v>53</v>
      </c>
      <c r="G329" s="16" t="s">
        <v>141</v>
      </c>
      <c r="H329" s="16" t="s">
        <v>142</v>
      </c>
      <c r="I329" s="147" t="s">
        <v>145</v>
      </c>
      <c r="J329" s="12">
        <v>1</v>
      </c>
      <c r="K329" s="12" t="s">
        <v>2</v>
      </c>
      <c r="L329" s="13">
        <v>55</v>
      </c>
      <c r="M329" s="14">
        <v>0</v>
      </c>
      <c r="N329" s="14">
        <v>3</v>
      </c>
      <c r="O329" s="9">
        <v>2101</v>
      </c>
      <c r="P329" s="9" t="s">
        <v>229</v>
      </c>
      <c r="Q329" s="14">
        <v>1</v>
      </c>
      <c r="R329" s="9">
        <v>0</v>
      </c>
      <c r="S329" s="9">
        <v>0</v>
      </c>
      <c r="T329" s="8" t="s">
        <v>58</v>
      </c>
      <c r="U329" s="85">
        <v>53</v>
      </c>
      <c r="V329" s="8">
        <v>530105</v>
      </c>
      <c r="W329" s="16" t="s">
        <v>144</v>
      </c>
      <c r="X329" s="18">
        <v>107430.39999999995</v>
      </c>
      <c r="Y329" s="146">
        <f>107430.4+6242.5-6245.32-8952.27-12780.25-804.55</f>
        <v>84890.50999999998</v>
      </c>
      <c r="Z329" s="17">
        <v>0</v>
      </c>
      <c r="AA329" s="17">
        <v>0</v>
      </c>
      <c r="AB329" s="17">
        <v>8719.999999999998</v>
      </c>
      <c r="AC329" s="17">
        <v>6864.26</v>
      </c>
      <c r="AD329" s="17">
        <v>8719.999999999998</v>
      </c>
      <c r="AE329" s="17">
        <v>6843.6</v>
      </c>
      <c r="AF329" s="17">
        <v>8719.999999999998</v>
      </c>
      <c r="AG329" s="17">
        <v>6850.45</v>
      </c>
      <c r="AH329" s="17">
        <v>8719.999999999998</v>
      </c>
      <c r="AI329" s="17">
        <v>7283.53</v>
      </c>
      <c r="AJ329" s="107">
        <v>8719.999999999998</v>
      </c>
      <c r="AK329" s="17">
        <v>7240.59</v>
      </c>
      <c r="AL329" s="17">
        <v>8719.999999999998</v>
      </c>
      <c r="AM329" s="17">
        <v>7277.19</v>
      </c>
      <c r="AN329" s="17">
        <v>8719.999999999998</v>
      </c>
      <c r="AO329" s="17">
        <v>7285.23</v>
      </c>
      <c r="AP329" s="17">
        <v>8719.999999999998</v>
      </c>
      <c r="AQ329" s="17">
        <v>7239.39</v>
      </c>
      <c r="AR329" s="17">
        <v>8719.999999999998</v>
      </c>
      <c r="AS329" s="17">
        <v>7288.23</v>
      </c>
      <c r="AT329" s="17">
        <v>6410.51</v>
      </c>
      <c r="AU329" s="17">
        <v>7229.39</v>
      </c>
      <c r="AV329" s="17">
        <v>0</v>
      </c>
      <c r="AW329" s="17">
        <v>7189.83</v>
      </c>
      <c r="AX329" s="19">
        <f t="shared" si="37"/>
        <v>84890.50999999998</v>
      </c>
      <c r="AY329" s="10" t="str">
        <f t="shared" si="35"/>
        <v>OK</v>
      </c>
      <c r="AZ329" s="10">
        <f t="shared" si="36"/>
        <v>78591.69</v>
      </c>
      <c r="BA329" s="10">
        <f t="shared" si="38"/>
        <v>6298.81999999998</v>
      </c>
      <c r="BB329" s="17">
        <f>26857.13+71618.18-12780.25</f>
        <v>85695.06</v>
      </c>
      <c r="BC329" s="113">
        <f t="shared" si="31"/>
        <v>-804.5500000000175</v>
      </c>
    </row>
    <row r="330" spans="1:55" s="119" customFormat="1" ht="13.5" customHeight="1">
      <c r="A330" s="16" t="s">
        <v>138</v>
      </c>
      <c r="B330" s="16" t="s">
        <v>139</v>
      </c>
      <c r="C330" s="16" t="s">
        <v>140</v>
      </c>
      <c r="D330" s="16" t="s">
        <v>51</v>
      </c>
      <c r="E330" s="16" t="s">
        <v>52</v>
      </c>
      <c r="F330" s="16" t="s">
        <v>53</v>
      </c>
      <c r="G330" s="16" t="s">
        <v>141</v>
      </c>
      <c r="H330" s="16" t="s">
        <v>142</v>
      </c>
      <c r="I330" s="134" t="s">
        <v>250</v>
      </c>
      <c r="J330" s="12">
        <v>2</v>
      </c>
      <c r="K330" s="12" t="s">
        <v>2</v>
      </c>
      <c r="L330" s="13">
        <v>55</v>
      </c>
      <c r="M330" s="14">
        <v>0</v>
      </c>
      <c r="N330" s="14">
        <v>3</v>
      </c>
      <c r="O330" s="9">
        <v>2101</v>
      </c>
      <c r="P330" s="9" t="s">
        <v>229</v>
      </c>
      <c r="Q330" s="14">
        <v>1</v>
      </c>
      <c r="R330" s="9">
        <v>0</v>
      </c>
      <c r="S330" s="9">
        <v>0</v>
      </c>
      <c r="T330" s="8" t="s">
        <v>58</v>
      </c>
      <c r="U330" s="85">
        <v>53</v>
      </c>
      <c r="V330" s="8">
        <v>530811</v>
      </c>
      <c r="W330" s="16" t="s">
        <v>254</v>
      </c>
      <c r="X330" s="18">
        <v>1500.7999999999993</v>
      </c>
      <c r="Y330" s="132">
        <f>1500.8-222.44-136.97-349.66</f>
        <v>791.7299999999998</v>
      </c>
      <c r="Z330" s="17">
        <v>0</v>
      </c>
      <c r="AA330" s="17">
        <v>0</v>
      </c>
      <c r="AB330" s="17">
        <v>0</v>
      </c>
      <c r="AC330" s="17">
        <v>0</v>
      </c>
      <c r="AD330" s="17">
        <v>0</v>
      </c>
      <c r="AE330" s="17">
        <v>0</v>
      </c>
      <c r="AF330" s="17">
        <v>0</v>
      </c>
      <c r="AG330" s="17">
        <v>0</v>
      </c>
      <c r="AH330" s="80">
        <v>0</v>
      </c>
      <c r="AI330" s="17">
        <v>0</v>
      </c>
      <c r="AJ330" s="107">
        <v>0</v>
      </c>
      <c r="AK330" s="17">
        <v>0</v>
      </c>
      <c r="AL330" s="17">
        <v>0</v>
      </c>
      <c r="AM330" s="17">
        <v>0</v>
      </c>
      <c r="AN330" s="59">
        <v>0</v>
      </c>
      <c r="AO330" s="17">
        <v>0</v>
      </c>
      <c r="AP330" s="17">
        <v>0</v>
      </c>
      <c r="AQ330" s="17">
        <v>0</v>
      </c>
      <c r="AR330" s="59">
        <v>791.7299999999998</v>
      </c>
      <c r="AS330" s="17">
        <v>791.73</v>
      </c>
      <c r="AT330" s="17">
        <v>0</v>
      </c>
      <c r="AU330" s="17">
        <v>0</v>
      </c>
      <c r="AV330" s="17">
        <v>0</v>
      </c>
      <c r="AW330" s="17">
        <v>0</v>
      </c>
      <c r="AX330" s="19">
        <f t="shared" si="37"/>
        <v>791.7299999999998</v>
      </c>
      <c r="AY330" s="10" t="str">
        <f t="shared" si="35"/>
        <v>OK</v>
      </c>
      <c r="AZ330" s="10">
        <f t="shared" si="36"/>
        <v>791.73</v>
      </c>
      <c r="BA330" s="10">
        <f t="shared" si="38"/>
        <v>-2.2737367544323206E-13</v>
      </c>
      <c r="BB330" s="17">
        <f>1141.39-349.66</f>
        <v>791.73</v>
      </c>
      <c r="BC330" s="113">
        <f t="shared" si="31"/>
        <v>0</v>
      </c>
    </row>
    <row r="331" spans="1:55" s="119" customFormat="1" ht="13.5" customHeight="1">
      <c r="A331" s="16" t="s">
        <v>138</v>
      </c>
      <c r="B331" s="16" t="s">
        <v>139</v>
      </c>
      <c r="C331" s="16" t="s">
        <v>140</v>
      </c>
      <c r="D331" s="16" t="s">
        <v>51</v>
      </c>
      <c r="E331" s="16" t="s">
        <v>52</v>
      </c>
      <c r="F331" s="16" t="s">
        <v>53</v>
      </c>
      <c r="G331" s="16" t="s">
        <v>141</v>
      </c>
      <c r="H331" s="16" t="s">
        <v>142</v>
      </c>
      <c r="I331" s="23" t="s">
        <v>113</v>
      </c>
      <c r="J331" s="12">
        <v>2</v>
      </c>
      <c r="K331" s="12" t="s">
        <v>2</v>
      </c>
      <c r="L331" s="13">
        <v>55</v>
      </c>
      <c r="M331" s="14">
        <v>0</v>
      </c>
      <c r="N331" s="14">
        <v>3</v>
      </c>
      <c r="O331" s="9">
        <v>2101</v>
      </c>
      <c r="P331" s="9" t="s">
        <v>229</v>
      </c>
      <c r="Q331" s="14">
        <v>1</v>
      </c>
      <c r="R331" s="9">
        <v>0</v>
      </c>
      <c r="S331" s="9">
        <v>0</v>
      </c>
      <c r="T331" s="8" t="s">
        <v>58</v>
      </c>
      <c r="U331" s="85">
        <v>53</v>
      </c>
      <c r="V331" s="8">
        <v>530811</v>
      </c>
      <c r="W331" s="16" t="s">
        <v>254</v>
      </c>
      <c r="X331" s="18">
        <v>300</v>
      </c>
      <c r="Y331" s="18">
        <f>300-15.1</f>
        <v>284.9</v>
      </c>
      <c r="Z331" s="17">
        <v>0</v>
      </c>
      <c r="AA331" s="17">
        <v>0</v>
      </c>
      <c r="AB331" s="17">
        <v>0</v>
      </c>
      <c r="AC331" s="17">
        <v>0</v>
      </c>
      <c r="AD331" s="17">
        <v>0</v>
      </c>
      <c r="AE331" s="17">
        <v>0</v>
      </c>
      <c r="AF331" s="59">
        <v>44.64</v>
      </c>
      <c r="AG331" s="17">
        <v>50</v>
      </c>
      <c r="AH331" s="17">
        <v>0</v>
      </c>
      <c r="AI331" s="17">
        <v>44</v>
      </c>
      <c r="AJ331" s="108">
        <v>50</v>
      </c>
      <c r="AK331" s="17">
        <v>0</v>
      </c>
      <c r="AL331" s="17">
        <v>0</v>
      </c>
      <c r="AM331" s="17">
        <v>0</v>
      </c>
      <c r="AN331" s="59">
        <v>53.57</v>
      </c>
      <c r="AO331" s="17">
        <v>50</v>
      </c>
      <c r="AP331" s="17">
        <v>0</v>
      </c>
      <c r="AQ331" s="17">
        <v>0</v>
      </c>
      <c r="AR331" s="59">
        <v>53.57</v>
      </c>
      <c r="AS331" s="17">
        <v>57</v>
      </c>
      <c r="AT331" s="17">
        <v>0</v>
      </c>
      <c r="AU331" s="17">
        <v>0</v>
      </c>
      <c r="AV331" s="59">
        <v>83.12</v>
      </c>
      <c r="AW331" s="17">
        <v>83.9</v>
      </c>
      <c r="AX331" s="19">
        <f t="shared" si="37"/>
        <v>284.9</v>
      </c>
      <c r="AY331" s="10" t="str">
        <f t="shared" si="35"/>
        <v>OK</v>
      </c>
      <c r="AZ331" s="10">
        <f t="shared" si="36"/>
        <v>284.9</v>
      </c>
      <c r="BA331" s="10">
        <f t="shared" si="38"/>
        <v>0</v>
      </c>
      <c r="BB331" s="17">
        <v>94</v>
      </c>
      <c r="BC331" s="113">
        <f t="shared" si="31"/>
        <v>190.89999999999998</v>
      </c>
    </row>
    <row r="332" spans="1:55" s="119" customFormat="1" ht="13.5" customHeight="1">
      <c r="A332" s="16" t="s">
        <v>138</v>
      </c>
      <c r="B332" s="16" t="s">
        <v>139</v>
      </c>
      <c r="C332" s="16" t="s">
        <v>140</v>
      </c>
      <c r="D332" s="16" t="s">
        <v>51</v>
      </c>
      <c r="E332" s="16" t="s">
        <v>52</v>
      </c>
      <c r="F332" s="16" t="s">
        <v>53</v>
      </c>
      <c r="G332" s="16" t="s">
        <v>141</v>
      </c>
      <c r="H332" s="16" t="s">
        <v>142</v>
      </c>
      <c r="I332" s="143" t="s">
        <v>228</v>
      </c>
      <c r="J332" s="12">
        <v>2</v>
      </c>
      <c r="K332" s="12" t="s">
        <v>2</v>
      </c>
      <c r="L332" s="13">
        <v>55</v>
      </c>
      <c r="M332" s="14">
        <v>0</v>
      </c>
      <c r="N332" s="14">
        <v>3</v>
      </c>
      <c r="O332" s="9">
        <v>2101</v>
      </c>
      <c r="P332" s="9" t="s">
        <v>229</v>
      </c>
      <c r="Q332" s="14">
        <v>1</v>
      </c>
      <c r="R332" s="9">
        <v>0</v>
      </c>
      <c r="S332" s="9">
        <v>0</v>
      </c>
      <c r="T332" s="8" t="s">
        <v>58</v>
      </c>
      <c r="U332" s="85">
        <v>53</v>
      </c>
      <c r="V332" s="8">
        <v>530813</v>
      </c>
      <c r="W332" s="16" t="s">
        <v>119</v>
      </c>
      <c r="X332" s="18">
        <v>5400.64</v>
      </c>
      <c r="Y332" s="144">
        <f>5400.64+530.17+1302.45-237.51</f>
        <v>6995.75</v>
      </c>
      <c r="Z332" s="17">
        <v>0</v>
      </c>
      <c r="AA332" s="17">
        <v>0</v>
      </c>
      <c r="AB332" s="17">
        <v>0</v>
      </c>
      <c r="AC332" s="17">
        <v>0</v>
      </c>
      <c r="AD332" s="17">
        <v>0</v>
      </c>
      <c r="AE332" s="17">
        <v>0</v>
      </c>
      <c r="AF332" s="17">
        <v>0</v>
      </c>
      <c r="AG332" s="17">
        <v>0</v>
      </c>
      <c r="AH332" s="80">
        <v>0</v>
      </c>
      <c r="AI332" s="17">
        <v>0</v>
      </c>
      <c r="AJ332" s="107">
        <v>0</v>
      </c>
      <c r="AK332" s="17">
        <v>0</v>
      </c>
      <c r="AL332" s="17">
        <v>0</v>
      </c>
      <c r="AM332" s="17">
        <v>0</v>
      </c>
      <c r="AN332" s="59">
        <v>0</v>
      </c>
      <c r="AO332" s="17">
        <v>0</v>
      </c>
      <c r="AP332" s="17">
        <v>0</v>
      </c>
      <c r="AQ332" s="17">
        <v>0</v>
      </c>
      <c r="AR332" s="59">
        <v>6995.75</v>
      </c>
      <c r="AS332" s="17">
        <v>3671.26</v>
      </c>
      <c r="AT332" s="17">
        <v>0</v>
      </c>
      <c r="AU332" s="17">
        <v>0</v>
      </c>
      <c r="AV332" s="17">
        <v>0</v>
      </c>
      <c r="AW332" s="17">
        <v>3324.49</v>
      </c>
      <c r="AX332" s="19">
        <f t="shared" si="37"/>
        <v>6995.75</v>
      </c>
      <c r="AY332" s="10" t="str">
        <f t="shared" si="35"/>
        <v>OK</v>
      </c>
      <c r="AZ332" s="10">
        <f t="shared" si="36"/>
        <v>6995.75</v>
      </c>
      <c r="BA332" s="10">
        <f t="shared" si="38"/>
        <v>0</v>
      </c>
      <c r="BB332" s="17">
        <f>5295.37-1624.11+3324.49</f>
        <v>6995.75</v>
      </c>
      <c r="BC332" s="113">
        <f t="shared" si="31"/>
        <v>0</v>
      </c>
    </row>
    <row r="333" spans="1:55" s="119" customFormat="1" ht="13.5" customHeight="1">
      <c r="A333" s="16" t="s">
        <v>138</v>
      </c>
      <c r="B333" s="16" t="s">
        <v>139</v>
      </c>
      <c r="C333" s="16" t="s">
        <v>140</v>
      </c>
      <c r="D333" s="16" t="s">
        <v>51</v>
      </c>
      <c r="E333" s="16" t="s">
        <v>52</v>
      </c>
      <c r="F333" s="16" t="s">
        <v>53</v>
      </c>
      <c r="G333" s="16" t="s">
        <v>141</v>
      </c>
      <c r="H333" s="22" t="s">
        <v>142</v>
      </c>
      <c r="I333" s="147" t="s">
        <v>260</v>
      </c>
      <c r="J333" s="12">
        <v>1</v>
      </c>
      <c r="K333" s="12" t="s">
        <v>2</v>
      </c>
      <c r="L333" s="13">
        <v>55</v>
      </c>
      <c r="M333" s="14">
        <v>0</v>
      </c>
      <c r="N333" s="14">
        <v>3</v>
      </c>
      <c r="O333" s="9">
        <v>2101</v>
      </c>
      <c r="P333" s="9" t="s">
        <v>229</v>
      </c>
      <c r="Q333" s="14">
        <v>1</v>
      </c>
      <c r="R333" s="9">
        <v>0</v>
      </c>
      <c r="S333" s="9">
        <v>0</v>
      </c>
      <c r="T333" s="8" t="s">
        <v>58</v>
      </c>
      <c r="U333" s="85">
        <v>53</v>
      </c>
      <c r="V333" s="8">
        <v>531404</v>
      </c>
      <c r="W333" s="16" t="s">
        <v>261</v>
      </c>
      <c r="X333" s="127">
        <v>0</v>
      </c>
      <c r="Y333" s="146">
        <f>2206.4-236.4</f>
        <v>1970</v>
      </c>
      <c r="Z333" s="17">
        <v>0</v>
      </c>
      <c r="AA333" s="17">
        <v>0</v>
      </c>
      <c r="AB333" s="17">
        <v>0</v>
      </c>
      <c r="AC333" s="17">
        <v>0</v>
      </c>
      <c r="AD333" s="17">
        <v>1970</v>
      </c>
      <c r="AE333" s="17">
        <v>1970</v>
      </c>
      <c r="AF333" s="17">
        <v>0</v>
      </c>
      <c r="AG333" s="17">
        <v>0</v>
      </c>
      <c r="AH333" s="17">
        <v>0</v>
      </c>
      <c r="AI333" s="17">
        <v>0</v>
      </c>
      <c r="AJ333" s="107">
        <v>0</v>
      </c>
      <c r="AK333" s="17">
        <v>0</v>
      </c>
      <c r="AL333" s="17">
        <v>0</v>
      </c>
      <c r="AM333" s="17">
        <v>0</v>
      </c>
      <c r="AN333" s="17">
        <v>0</v>
      </c>
      <c r="AO333" s="17">
        <v>0</v>
      </c>
      <c r="AP333" s="17">
        <v>0</v>
      </c>
      <c r="AQ333" s="17">
        <v>0</v>
      </c>
      <c r="AR333" s="17">
        <v>0</v>
      </c>
      <c r="AS333" s="17">
        <v>0</v>
      </c>
      <c r="AT333" s="17">
        <v>0</v>
      </c>
      <c r="AU333" s="17">
        <v>0</v>
      </c>
      <c r="AV333" s="17">
        <v>0</v>
      </c>
      <c r="AW333" s="17">
        <v>0</v>
      </c>
      <c r="AX333" s="19">
        <f t="shared" si="37"/>
        <v>1970</v>
      </c>
      <c r="AY333" s="10" t="str">
        <f t="shared" si="35"/>
        <v>OK</v>
      </c>
      <c r="AZ333" s="10">
        <f t="shared" si="36"/>
        <v>1970</v>
      </c>
      <c r="BA333" s="10">
        <f t="shared" si="38"/>
        <v>0</v>
      </c>
      <c r="BB333" s="17">
        <v>1970</v>
      </c>
      <c r="BC333" s="113">
        <f t="shared" si="31"/>
        <v>0</v>
      </c>
    </row>
    <row r="334" spans="1:55" s="119" customFormat="1" ht="13.5" customHeight="1">
      <c r="A334" s="16" t="s">
        <v>138</v>
      </c>
      <c r="B334" s="16" t="s">
        <v>139</v>
      </c>
      <c r="C334" s="16" t="s">
        <v>140</v>
      </c>
      <c r="D334" s="16" t="s">
        <v>51</v>
      </c>
      <c r="E334" s="16" t="s">
        <v>52</v>
      </c>
      <c r="F334" s="16" t="s">
        <v>53</v>
      </c>
      <c r="G334" s="16" t="s">
        <v>141</v>
      </c>
      <c r="H334" s="22" t="s">
        <v>142</v>
      </c>
      <c r="I334" s="147" t="s">
        <v>260</v>
      </c>
      <c r="J334" s="12">
        <v>1</v>
      </c>
      <c r="K334" s="12" t="s">
        <v>2</v>
      </c>
      <c r="L334" s="13">
        <v>55</v>
      </c>
      <c r="M334" s="14">
        <v>0</v>
      </c>
      <c r="N334" s="14">
        <v>3</v>
      </c>
      <c r="O334" s="9">
        <v>2101</v>
      </c>
      <c r="P334" s="9" t="s">
        <v>229</v>
      </c>
      <c r="Q334" s="14">
        <v>1</v>
      </c>
      <c r="R334" s="9">
        <v>0</v>
      </c>
      <c r="S334" s="9">
        <v>0</v>
      </c>
      <c r="T334" s="8" t="s">
        <v>58</v>
      </c>
      <c r="U334" s="85">
        <v>53</v>
      </c>
      <c r="V334" s="8">
        <v>531407</v>
      </c>
      <c r="W334" s="16" t="s">
        <v>262</v>
      </c>
      <c r="X334" s="127">
        <v>0</v>
      </c>
      <c r="Y334" s="146">
        <f>592.48-63.48</f>
        <v>529</v>
      </c>
      <c r="Z334" s="17">
        <v>0</v>
      </c>
      <c r="AA334" s="17">
        <v>0</v>
      </c>
      <c r="AB334" s="17">
        <v>0</v>
      </c>
      <c r="AC334" s="17">
        <v>0</v>
      </c>
      <c r="AD334" s="17">
        <v>529</v>
      </c>
      <c r="AE334" s="17">
        <v>529</v>
      </c>
      <c r="AF334" s="17">
        <v>0</v>
      </c>
      <c r="AG334" s="17">
        <v>0</v>
      </c>
      <c r="AH334" s="17">
        <v>0</v>
      </c>
      <c r="AI334" s="17">
        <v>0</v>
      </c>
      <c r="AJ334" s="107">
        <v>0</v>
      </c>
      <c r="AK334" s="17">
        <v>0</v>
      </c>
      <c r="AL334" s="17">
        <v>0</v>
      </c>
      <c r="AM334" s="17">
        <v>0</v>
      </c>
      <c r="AN334" s="17">
        <v>0</v>
      </c>
      <c r="AO334" s="17">
        <v>0</v>
      </c>
      <c r="AP334" s="17">
        <v>0</v>
      </c>
      <c r="AQ334" s="17">
        <v>0</v>
      </c>
      <c r="AR334" s="17">
        <v>0</v>
      </c>
      <c r="AS334" s="17">
        <v>0</v>
      </c>
      <c r="AT334" s="17">
        <v>0</v>
      </c>
      <c r="AU334" s="17">
        <v>0</v>
      </c>
      <c r="AV334" s="17">
        <v>0</v>
      </c>
      <c r="AW334" s="17">
        <v>0</v>
      </c>
      <c r="AX334" s="19">
        <f t="shared" si="37"/>
        <v>529</v>
      </c>
      <c r="AY334" s="10" t="str">
        <f>IF(AX334=Y334,"OK",Y334-AX334)</f>
        <v>OK</v>
      </c>
      <c r="AZ334" s="10">
        <f t="shared" si="36"/>
        <v>529</v>
      </c>
      <c r="BA334" s="10">
        <f t="shared" si="38"/>
        <v>0</v>
      </c>
      <c r="BB334" s="17">
        <v>529</v>
      </c>
      <c r="BC334" s="113">
        <f t="shared" si="31"/>
        <v>0</v>
      </c>
    </row>
    <row r="335" spans="1:55" s="119" customFormat="1" ht="13.5" customHeight="1">
      <c r="A335" s="16" t="s">
        <v>48</v>
      </c>
      <c r="B335" s="16" t="s">
        <v>49</v>
      </c>
      <c r="C335" s="16" t="s">
        <v>50</v>
      </c>
      <c r="D335" s="16" t="s">
        <v>51</v>
      </c>
      <c r="E335" s="16" t="s">
        <v>52</v>
      </c>
      <c r="F335" s="16" t="s">
        <v>53</v>
      </c>
      <c r="G335" s="16" t="s">
        <v>54</v>
      </c>
      <c r="H335" s="16" t="s">
        <v>55</v>
      </c>
      <c r="I335" s="72" t="s">
        <v>243</v>
      </c>
      <c r="J335" s="12">
        <v>1</v>
      </c>
      <c r="K335" s="12" t="s">
        <v>2</v>
      </c>
      <c r="L335" s="13">
        <v>1</v>
      </c>
      <c r="M335" s="14">
        <v>0</v>
      </c>
      <c r="N335" s="14">
        <v>1</v>
      </c>
      <c r="O335" s="9">
        <v>2101</v>
      </c>
      <c r="P335" s="9" t="s">
        <v>229</v>
      </c>
      <c r="Q335" s="14">
        <v>1</v>
      </c>
      <c r="R335" s="9">
        <v>0</v>
      </c>
      <c r="S335" s="9">
        <v>0</v>
      </c>
      <c r="T335" s="8" t="s">
        <v>58</v>
      </c>
      <c r="U335" s="85">
        <v>53</v>
      </c>
      <c r="V335" s="8">
        <v>530811</v>
      </c>
      <c r="W335" s="16" t="s">
        <v>254</v>
      </c>
      <c r="X335" s="127">
        <v>0</v>
      </c>
      <c r="Y335" s="71">
        <f>680.96-680.96</f>
        <v>0</v>
      </c>
      <c r="Z335" s="17">
        <v>0</v>
      </c>
      <c r="AA335" s="17">
        <v>0</v>
      </c>
      <c r="AB335" s="17">
        <v>0</v>
      </c>
      <c r="AC335" s="17">
        <v>0</v>
      </c>
      <c r="AD335" s="17">
        <v>0</v>
      </c>
      <c r="AE335" s="17">
        <v>0</v>
      </c>
      <c r="AF335" s="17">
        <v>0</v>
      </c>
      <c r="AG335" s="17">
        <v>0</v>
      </c>
      <c r="AH335" s="17">
        <v>0</v>
      </c>
      <c r="AI335" s="17">
        <v>0</v>
      </c>
      <c r="AJ335" s="107">
        <v>0</v>
      </c>
      <c r="AK335" s="17">
        <v>0</v>
      </c>
      <c r="AL335" s="17">
        <v>0</v>
      </c>
      <c r="AM335" s="17">
        <v>0</v>
      </c>
      <c r="AN335" s="17">
        <v>0</v>
      </c>
      <c r="AO335" s="17">
        <v>0</v>
      </c>
      <c r="AP335" s="17">
        <v>0</v>
      </c>
      <c r="AQ335" s="17">
        <v>0</v>
      </c>
      <c r="AR335" s="17">
        <v>0</v>
      </c>
      <c r="AS335" s="17">
        <v>0</v>
      </c>
      <c r="AT335" s="17">
        <v>0</v>
      </c>
      <c r="AU335" s="17">
        <v>0</v>
      </c>
      <c r="AV335" s="17">
        <v>0</v>
      </c>
      <c r="AW335" s="17">
        <v>0</v>
      </c>
      <c r="AX335" s="19">
        <f t="shared" si="37"/>
        <v>0</v>
      </c>
      <c r="AY335" s="10" t="str">
        <f aca="true" t="shared" si="39" ref="AY335:AY345">IF(AX335=Y335,"OK",Y335-AX335)</f>
        <v>OK</v>
      </c>
      <c r="AZ335" s="10">
        <f t="shared" si="36"/>
        <v>0</v>
      </c>
      <c r="BA335" s="10">
        <f t="shared" si="38"/>
        <v>0</v>
      </c>
      <c r="BB335" s="17">
        <v>0</v>
      </c>
      <c r="BC335" s="113">
        <f t="shared" si="31"/>
        <v>0</v>
      </c>
    </row>
    <row r="336" spans="1:55" s="119" customFormat="1" ht="13.5" customHeight="1">
      <c r="A336" s="16" t="s">
        <v>48</v>
      </c>
      <c r="B336" s="16" t="s">
        <v>49</v>
      </c>
      <c r="C336" s="16" t="s">
        <v>50</v>
      </c>
      <c r="D336" s="16" t="s">
        <v>51</v>
      </c>
      <c r="E336" s="16" t="s">
        <v>52</v>
      </c>
      <c r="F336" s="16" t="s">
        <v>53</v>
      </c>
      <c r="G336" s="16" t="s">
        <v>54</v>
      </c>
      <c r="H336" s="22" t="s">
        <v>55</v>
      </c>
      <c r="I336" s="63" t="s">
        <v>279</v>
      </c>
      <c r="J336" s="12">
        <v>1</v>
      </c>
      <c r="K336" s="12" t="s">
        <v>2</v>
      </c>
      <c r="L336" s="13">
        <v>1</v>
      </c>
      <c r="M336" s="14">
        <v>0</v>
      </c>
      <c r="N336" s="14">
        <v>1</v>
      </c>
      <c r="O336" s="9">
        <v>2101</v>
      </c>
      <c r="P336" s="9" t="s">
        <v>229</v>
      </c>
      <c r="Q336" s="14">
        <v>1</v>
      </c>
      <c r="R336" s="9">
        <v>0</v>
      </c>
      <c r="S336" s="9">
        <v>0</v>
      </c>
      <c r="T336" s="8" t="s">
        <v>58</v>
      </c>
      <c r="U336" s="85">
        <v>53</v>
      </c>
      <c r="V336" s="8">
        <v>530804</v>
      </c>
      <c r="W336" s="84" t="s">
        <v>105</v>
      </c>
      <c r="X336" s="127">
        <v>0</v>
      </c>
      <c r="Y336" s="89">
        <f>90+26.28</f>
        <v>116.28</v>
      </c>
      <c r="Z336" s="17">
        <v>0</v>
      </c>
      <c r="AA336" s="17">
        <v>0</v>
      </c>
      <c r="AB336" s="17">
        <v>0</v>
      </c>
      <c r="AC336" s="17">
        <v>0</v>
      </c>
      <c r="AD336" s="17">
        <v>0</v>
      </c>
      <c r="AE336" s="17">
        <v>0</v>
      </c>
      <c r="AF336" s="17">
        <v>0</v>
      </c>
      <c r="AG336" s="17">
        <v>0</v>
      </c>
      <c r="AH336" s="17">
        <v>0</v>
      </c>
      <c r="AI336" s="17">
        <v>0</v>
      </c>
      <c r="AJ336" s="107">
        <v>116.28</v>
      </c>
      <c r="AK336" s="17">
        <v>0</v>
      </c>
      <c r="AL336" s="17">
        <v>0</v>
      </c>
      <c r="AM336" s="17">
        <v>116.28</v>
      </c>
      <c r="AN336" s="17">
        <v>0</v>
      </c>
      <c r="AO336" s="17">
        <v>0</v>
      </c>
      <c r="AP336" s="17">
        <v>0</v>
      </c>
      <c r="AQ336" s="17">
        <v>0</v>
      </c>
      <c r="AR336" s="17">
        <v>0</v>
      </c>
      <c r="AS336" s="17">
        <v>0</v>
      </c>
      <c r="AT336" s="17">
        <v>0</v>
      </c>
      <c r="AU336" s="17">
        <v>0</v>
      </c>
      <c r="AV336" s="17">
        <v>0</v>
      </c>
      <c r="AW336" s="17">
        <v>0</v>
      </c>
      <c r="AX336" s="19">
        <f t="shared" si="37"/>
        <v>116.28</v>
      </c>
      <c r="AY336" s="10" t="str">
        <f t="shared" si="39"/>
        <v>OK</v>
      </c>
      <c r="AZ336" s="10">
        <f t="shared" si="36"/>
        <v>116.28</v>
      </c>
      <c r="BA336" s="10">
        <f t="shared" si="38"/>
        <v>0</v>
      </c>
      <c r="BB336" s="17">
        <v>116.28</v>
      </c>
      <c r="BC336" s="113">
        <f t="shared" si="31"/>
        <v>0</v>
      </c>
    </row>
    <row r="337" spans="1:55" s="119" customFormat="1" ht="13.5" customHeight="1">
      <c r="A337" s="94" t="s">
        <v>48</v>
      </c>
      <c r="B337" s="94" t="s">
        <v>49</v>
      </c>
      <c r="C337" s="94" t="s">
        <v>50</v>
      </c>
      <c r="D337" s="94" t="s">
        <v>51</v>
      </c>
      <c r="E337" s="94" t="s">
        <v>52</v>
      </c>
      <c r="F337" s="94" t="s">
        <v>53</v>
      </c>
      <c r="G337" s="94" t="s">
        <v>54</v>
      </c>
      <c r="H337" s="95" t="s">
        <v>55</v>
      </c>
      <c r="I337" s="96" t="s">
        <v>286</v>
      </c>
      <c r="J337" s="97">
        <v>1</v>
      </c>
      <c r="K337" s="98" t="s">
        <v>2</v>
      </c>
      <c r="L337" s="99">
        <v>1</v>
      </c>
      <c r="M337" s="100">
        <v>0</v>
      </c>
      <c r="N337" s="100">
        <v>1</v>
      </c>
      <c r="O337" s="101">
        <v>2101</v>
      </c>
      <c r="P337" s="101" t="s">
        <v>229</v>
      </c>
      <c r="Q337" s="100">
        <v>1</v>
      </c>
      <c r="R337" s="101">
        <v>0</v>
      </c>
      <c r="S337" s="101">
        <v>0</v>
      </c>
      <c r="T337" s="102" t="s">
        <v>58</v>
      </c>
      <c r="U337" s="103">
        <v>53</v>
      </c>
      <c r="V337" s="102">
        <v>530301</v>
      </c>
      <c r="W337" s="104" t="s">
        <v>83</v>
      </c>
      <c r="X337" s="128">
        <v>0</v>
      </c>
      <c r="Y337" s="105">
        <f>1500-1500</f>
        <v>0</v>
      </c>
      <c r="Z337" s="106">
        <v>0</v>
      </c>
      <c r="AA337" s="106">
        <v>0</v>
      </c>
      <c r="AB337" s="106">
        <v>0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0</v>
      </c>
      <c r="AJ337" s="109">
        <v>0</v>
      </c>
      <c r="AK337" s="106">
        <v>0</v>
      </c>
      <c r="AL337" s="106">
        <v>0</v>
      </c>
      <c r="AM337" s="106">
        <v>0</v>
      </c>
      <c r="AN337" s="106">
        <v>0</v>
      </c>
      <c r="AO337" s="106">
        <v>0</v>
      </c>
      <c r="AP337" s="106">
        <v>0</v>
      </c>
      <c r="AQ337" s="106">
        <v>0</v>
      </c>
      <c r="AR337" s="106">
        <v>0</v>
      </c>
      <c r="AS337" s="106">
        <v>0</v>
      </c>
      <c r="AT337" s="106">
        <v>0</v>
      </c>
      <c r="AU337" s="106">
        <v>0</v>
      </c>
      <c r="AV337" s="106">
        <v>0</v>
      </c>
      <c r="AW337" s="106">
        <v>0</v>
      </c>
      <c r="AX337" s="19">
        <f t="shared" si="37"/>
        <v>0</v>
      </c>
      <c r="AY337" s="10" t="str">
        <f t="shared" si="39"/>
        <v>OK</v>
      </c>
      <c r="AZ337" s="10">
        <f t="shared" si="36"/>
        <v>0</v>
      </c>
      <c r="BA337" s="10">
        <f t="shared" si="38"/>
        <v>0</v>
      </c>
      <c r="BB337" s="106">
        <v>0</v>
      </c>
      <c r="BC337" s="113">
        <f t="shared" si="31"/>
        <v>0</v>
      </c>
    </row>
    <row r="338" spans="1:55" s="119" customFormat="1" ht="13.5" customHeight="1">
      <c r="A338" s="16" t="s">
        <v>48</v>
      </c>
      <c r="B338" s="16" t="s">
        <v>49</v>
      </c>
      <c r="C338" s="16" t="s">
        <v>50</v>
      </c>
      <c r="D338" s="16" t="s">
        <v>51</v>
      </c>
      <c r="E338" s="16" t="s">
        <v>52</v>
      </c>
      <c r="F338" s="16" t="s">
        <v>53</v>
      </c>
      <c r="G338" s="16" t="s">
        <v>54</v>
      </c>
      <c r="H338" s="22" t="s">
        <v>55</v>
      </c>
      <c r="I338" s="87" t="s">
        <v>293</v>
      </c>
      <c r="J338" s="111">
        <v>1</v>
      </c>
      <c r="K338" s="12" t="s">
        <v>2</v>
      </c>
      <c r="L338" s="13">
        <v>1</v>
      </c>
      <c r="M338" s="14">
        <v>0</v>
      </c>
      <c r="N338" s="14">
        <v>1</v>
      </c>
      <c r="O338" s="9">
        <v>2101</v>
      </c>
      <c r="P338" s="9" t="s">
        <v>229</v>
      </c>
      <c r="Q338" s="14">
        <v>1</v>
      </c>
      <c r="R338" s="9">
        <v>0</v>
      </c>
      <c r="S338" s="9">
        <v>0</v>
      </c>
      <c r="T338" s="8" t="s">
        <v>58</v>
      </c>
      <c r="U338" s="85">
        <v>53</v>
      </c>
      <c r="V338" s="8">
        <v>530405</v>
      </c>
      <c r="W338" s="16" t="s">
        <v>96</v>
      </c>
      <c r="X338" s="127">
        <v>0</v>
      </c>
      <c r="Y338" s="86">
        <f>306.77-1.77</f>
        <v>305</v>
      </c>
      <c r="Z338" s="17">
        <v>0</v>
      </c>
      <c r="AA338" s="17">
        <v>0</v>
      </c>
      <c r="AB338" s="17">
        <v>0</v>
      </c>
      <c r="AC338" s="17">
        <v>0</v>
      </c>
      <c r="AD338" s="17">
        <v>0</v>
      </c>
      <c r="AE338" s="17">
        <v>0</v>
      </c>
      <c r="AF338" s="17">
        <v>0</v>
      </c>
      <c r="AG338" s="17">
        <v>0</v>
      </c>
      <c r="AH338" s="17">
        <v>0</v>
      </c>
      <c r="AI338" s="17">
        <v>0</v>
      </c>
      <c r="AJ338" s="107">
        <v>0</v>
      </c>
      <c r="AK338" s="17">
        <v>0</v>
      </c>
      <c r="AL338" s="17">
        <v>0</v>
      </c>
      <c r="AM338" s="17">
        <v>0</v>
      </c>
      <c r="AN338" s="17">
        <v>0</v>
      </c>
      <c r="AO338" s="17">
        <v>0</v>
      </c>
      <c r="AP338" s="17">
        <v>0</v>
      </c>
      <c r="AQ338" s="17">
        <v>0</v>
      </c>
      <c r="AR338" s="17">
        <v>0</v>
      </c>
      <c r="AS338" s="17">
        <v>0</v>
      </c>
      <c r="AT338" s="17">
        <v>0</v>
      </c>
      <c r="AU338" s="17">
        <v>0</v>
      </c>
      <c r="AV338" s="17">
        <v>305</v>
      </c>
      <c r="AW338" s="17">
        <v>305</v>
      </c>
      <c r="AX338" s="19">
        <f t="shared" si="37"/>
        <v>305</v>
      </c>
      <c r="AY338" s="10" t="str">
        <f t="shared" si="39"/>
        <v>OK</v>
      </c>
      <c r="AZ338" s="10">
        <f t="shared" si="36"/>
        <v>305</v>
      </c>
      <c r="BA338" s="10">
        <f t="shared" si="38"/>
        <v>0</v>
      </c>
      <c r="BB338" s="17">
        <v>305</v>
      </c>
      <c r="BC338" s="113">
        <f aca="true" t="shared" si="40" ref="BC338:BC343">Y338-BB338</f>
        <v>0</v>
      </c>
    </row>
    <row r="339" spans="1:55" s="118" customFormat="1" ht="13.5" customHeight="1">
      <c r="A339" s="16" t="s">
        <v>48</v>
      </c>
      <c r="B339" s="16" t="s">
        <v>49</v>
      </c>
      <c r="C339" s="16" t="s">
        <v>74</v>
      </c>
      <c r="D339" s="16" t="s">
        <v>75</v>
      </c>
      <c r="E339" s="16" t="s">
        <v>52</v>
      </c>
      <c r="F339" s="16" t="s">
        <v>53</v>
      </c>
      <c r="G339" s="16" t="s">
        <v>306</v>
      </c>
      <c r="H339" s="22" t="s">
        <v>76</v>
      </c>
      <c r="I339" s="125" t="s">
        <v>301</v>
      </c>
      <c r="J339" s="111">
        <v>1</v>
      </c>
      <c r="K339" s="12" t="s">
        <v>2</v>
      </c>
      <c r="L339" s="13">
        <v>1</v>
      </c>
      <c r="M339" s="14">
        <v>0</v>
      </c>
      <c r="N339" s="14">
        <v>1</v>
      </c>
      <c r="O339" s="9">
        <v>2101</v>
      </c>
      <c r="P339" s="9" t="s">
        <v>229</v>
      </c>
      <c r="Q339" s="14">
        <v>1</v>
      </c>
      <c r="R339" s="9">
        <v>0</v>
      </c>
      <c r="S339" s="9">
        <v>0</v>
      </c>
      <c r="T339" s="8" t="s">
        <v>58</v>
      </c>
      <c r="U339" s="85">
        <v>53</v>
      </c>
      <c r="V339" s="8">
        <v>531403</v>
      </c>
      <c r="W339" s="16" t="s">
        <v>302</v>
      </c>
      <c r="X339" s="127">
        <v>0</v>
      </c>
      <c r="Y339" s="124">
        <f>230-80</f>
        <v>150</v>
      </c>
      <c r="Z339" s="17">
        <v>0</v>
      </c>
      <c r="AA339" s="17">
        <v>0</v>
      </c>
      <c r="AB339" s="17">
        <v>0</v>
      </c>
      <c r="AC339" s="17">
        <v>0</v>
      </c>
      <c r="AD339" s="17">
        <v>0</v>
      </c>
      <c r="AE339" s="17">
        <v>0</v>
      </c>
      <c r="AF339" s="17">
        <v>0</v>
      </c>
      <c r="AG339" s="17">
        <v>0</v>
      </c>
      <c r="AH339" s="17">
        <v>0</v>
      </c>
      <c r="AI339" s="17">
        <v>0</v>
      </c>
      <c r="AJ339" s="107">
        <v>0</v>
      </c>
      <c r="AK339" s="17">
        <v>0</v>
      </c>
      <c r="AL339" s="17">
        <v>0</v>
      </c>
      <c r="AM339" s="17">
        <v>0</v>
      </c>
      <c r="AN339" s="17">
        <v>0</v>
      </c>
      <c r="AO339" s="17">
        <v>0</v>
      </c>
      <c r="AP339" s="17">
        <v>0</v>
      </c>
      <c r="AQ339" s="17">
        <v>0</v>
      </c>
      <c r="AR339" s="17">
        <v>0</v>
      </c>
      <c r="AS339" s="17">
        <v>0</v>
      </c>
      <c r="AT339" s="17">
        <v>0</v>
      </c>
      <c r="AU339" s="17">
        <v>0</v>
      </c>
      <c r="AV339" s="17">
        <v>150</v>
      </c>
      <c r="AW339" s="17">
        <v>0</v>
      </c>
      <c r="AX339" s="19">
        <f t="shared" si="37"/>
        <v>150</v>
      </c>
      <c r="AY339" s="10" t="str">
        <f t="shared" si="39"/>
        <v>OK</v>
      </c>
      <c r="AZ339" s="10">
        <f t="shared" si="36"/>
        <v>0</v>
      </c>
      <c r="BA339" s="10">
        <f t="shared" si="38"/>
        <v>150</v>
      </c>
      <c r="BB339" s="17">
        <v>150</v>
      </c>
      <c r="BC339" s="113">
        <f t="shared" si="40"/>
        <v>0</v>
      </c>
    </row>
    <row r="340" spans="1:55" s="118" customFormat="1" ht="13.5" customHeight="1">
      <c r="A340" s="16" t="s">
        <v>48</v>
      </c>
      <c r="B340" s="16" t="s">
        <v>49</v>
      </c>
      <c r="C340" s="16" t="s">
        <v>50</v>
      </c>
      <c r="D340" s="16" t="s">
        <v>51</v>
      </c>
      <c r="E340" s="16" t="s">
        <v>52</v>
      </c>
      <c r="F340" s="16" t="s">
        <v>53</v>
      </c>
      <c r="G340" s="16" t="s">
        <v>54</v>
      </c>
      <c r="H340" s="22" t="s">
        <v>55</v>
      </c>
      <c r="I340" s="133" t="s">
        <v>98</v>
      </c>
      <c r="J340" s="111">
        <v>1</v>
      </c>
      <c r="K340" s="12" t="s">
        <v>2</v>
      </c>
      <c r="L340" s="13">
        <v>1</v>
      </c>
      <c r="M340" s="14">
        <v>0</v>
      </c>
      <c r="N340" s="14">
        <v>1</v>
      </c>
      <c r="O340" s="9">
        <v>2101</v>
      </c>
      <c r="P340" s="9" t="s">
        <v>229</v>
      </c>
      <c r="Q340" s="14">
        <v>1</v>
      </c>
      <c r="R340" s="9">
        <v>0</v>
      </c>
      <c r="S340" s="9">
        <v>0</v>
      </c>
      <c r="T340" s="8" t="s">
        <v>58</v>
      </c>
      <c r="U340" s="85">
        <v>53</v>
      </c>
      <c r="V340" s="8">
        <v>530811</v>
      </c>
      <c r="W340" s="16" t="s">
        <v>254</v>
      </c>
      <c r="X340" s="127">
        <v>0</v>
      </c>
      <c r="Y340" s="132">
        <f>300-240</f>
        <v>60</v>
      </c>
      <c r="Z340" s="17">
        <v>0</v>
      </c>
      <c r="AA340" s="17">
        <v>0</v>
      </c>
      <c r="AB340" s="17">
        <v>0</v>
      </c>
      <c r="AC340" s="17">
        <v>0</v>
      </c>
      <c r="AD340" s="17">
        <v>0</v>
      </c>
      <c r="AE340" s="17">
        <v>0</v>
      </c>
      <c r="AF340" s="17">
        <v>0</v>
      </c>
      <c r="AG340" s="17">
        <v>0</v>
      </c>
      <c r="AH340" s="17">
        <v>0</v>
      </c>
      <c r="AI340" s="17">
        <v>0</v>
      </c>
      <c r="AJ340" s="107">
        <v>0</v>
      </c>
      <c r="AK340" s="17">
        <v>0</v>
      </c>
      <c r="AL340" s="17">
        <v>0</v>
      </c>
      <c r="AM340" s="17">
        <v>0</v>
      </c>
      <c r="AN340" s="17">
        <v>0</v>
      </c>
      <c r="AO340" s="17">
        <v>0</v>
      </c>
      <c r="AP340" s="17">
        <v>60</v>
      </c>
      <c r="AQ340" s="17">
        <v>60</v>
      </c>
      <c r="AR340" s="17">
        <v>0</v>
      </c>
      <c r="AS340" s="17">
        <v>0</v>
      </c>
      <c r="AT340" s="17">
        <v>0</v>
      </c>
      <c r="AU340" s="17">
        <v>0</v>
      </c>
      <c r="AV340" s="17">
        <v>0</v>
      </c>
      <c r="AW340" s="17">
        <v>0</v>
      </c>
      <c r="AX340" s="19">
        <f t="shared" si="37"/>
        <v>60</v>
      </c>
      <c r="AY340" s="10" t="str">
        <f t="shared" si="39"/>
        <v>OK</v>
      </c>
      <c r="AZ340" s="10">
        <f t="shared" si="36"/>
        <v>60</v>
      </c>
      <c r="BA340" s="10">
        <f t="shared" si="38"/>
        <v>0</v>
      </c>
      <c r="BB340" s="17">
        <v>60</v>
      </c>
      <c r="BC340" s="113">
        <f t="shared" si="40"/>
        <v>0</v>
      </c>
    </row>
    <row r="341" spans="1:55" s="118" customFormat="1" ht="13.5" customHeight="1">
      <c r="A341" s="16" t="s">
        <v>48</v>
      </c>
      <c r="B341" s="16" t="s">
        <v>49</v>
      </c>
      <c r="C341" s="16" t="s">
        <v>50</v>
      </c>
      <c r="D341" s="16" t="s">
        <v>51</v>
      </c>
      <c r="E341" s="16" t="s">
        <v>52</v>
      </c>
      <c r="F341" s="16" t="s">
        <v>53</v>
      </c>
      <c r="G341" s="16" t="s">
        <v>54</v>
      </c>
      <c r="H341" s="22" t="s">
        <v>55</v>
      </c>
      <c r="I341" s="133" t="s">
        <v>98</v>
      </c>
      <c r="J341" s="111">
        <v>1</v>
      </c>
      <c r="K341" s="12" t="s">
        <v>2</v>
      </c>
      <c r="L341" s="13">
        <v>1</v>
      </c>
      <c r="M341" s="14">
        <v>0</v>
      </c>
      <c r="N341" s="14">
        <v>1</v>
      </c>
      <c r="O341" s="9">
        <v>2101</v>
      </c>
      <c r="P341" s="9" t="s">
        <v>229</v>
      </c>
      <c r="Q341" s="14">
        <v>1</v>
      </c>
      <c r="R341" s="9">
        <v>0</v>
      </c>
      <c r="S341" s="9">
        <v>0</v>
      </c>
      <c r="T341" s="8" t="s">
        <v>58</v>
      </c>
      <c r="U341" s="85">
        <v>53</v>
      </c>
      <c r="V341" s="8">
        <v>530813</v>
      </c>
      <c r="W341" s="16" t="s">
        <v>119</v>
      </c>
      <c r="X341" s="127">
        <v>0</v>
      </c>
      <c r="Y341" s="132">
        <f>80-50</f>
        <v>30</v>
      </c>
      <c r="Z341" s="17">
        <v>0</v>
      </c>
      <c r="AA341" s="17">
        <v>0</v>
      </c>
      <c r="AB341" s="17">
        <v>0</v>
      </c>
      <c r="AC341" s="17">
        <v>0</v>
      </c>
      <c r="AD341" s="17">
        <v>0</v>
      </c>
      <c r="AE341" s="17">
        <v>0</v>
      </c>
      <c r="AF341" s="17">
        <v>0</v>
      </c>
      <c r="AG341" s="17">
        <v>0</v>
      </c>
      <c r="AH341" s="17">
        <v>0</v>
      </c>
      <c r="AI341" s="17">
        <v>0</v>
      </c>
      <c r="AJ341" s="107">
        <v>0</v>
      </c>
      <c r="AK341" s="17">
        <v>0</v>
      </c>
      <c r="AL341" s="17">
        <v>0</v>
      </c>
      <c r="AM341" s="17">
        <v>0</v>
      </c>
      <c r="AN341" s="17">
        <v>0</v>
      </c>
      <c r="AO341" s="17">
        <v>0</v>
      </c>
      <c r="AP341" s="17">
        <v>30</v>
      </c>
      <c r="AQ341" s="17">
        <v>30</v>
      </c>
      <c r="AR341" s="17">
        <v>0</v>
      </c>
      <c r="AS341" s="17">
        <v>0</v>
      </c>
      <c r="AT341" s="17">
        <v>0</v>
      </c>
      <c r="AU341" s="17">
        <v>0</v>
      </c>
      <c r="AV341" s="17">
        <v>0</v>
      </c>
      <c r="AW341" s="17">
        <v>0</v>
      </c>
      <c r="AX341" s="19">
        <f t="shared" si="37"/>
        <v>30</v>
      </c>
      <c r="AY341" s="10" t="str">
        <f t="shared" si="39"/>
        <v>OK</v>
      </c>
      <c r="AZ341" s="10">
        <f t="shared" si="36"/>
        <v>30</v>
      </c>
      <c r="BA341" s="10">
        <f t="shared" si="38"/>
        <v>0</v>
      </c>
      <c r="BB341" s="17">
        <v>30</v>
      </c>
      <c r="BC341" s="113">
        <f t="shared" si="40"/>
        <v>0</v>
      </c>
    </row>
    <row r="342" spans="1:55" s="118" customFormat="1" ht="13.5" customHeight="1">
      <c r="A342" s="16" t="s">
        <v>48</v>
      </c>
      <c r="B342" s="16" t="s">
        <v>49</v>
      </c>
      <c r="C342" s="16" t="s">
        <v>74</v>
      </c>
      <c r="D342" s="16" t="s">
        <v>75</v>
      </c>
      <c r="E342" s="16" t="s">
        <v>52</v>
      </c>
      <c r="F342" s="16" t="s">
        <v>53</v>
      </c>
      <c r="G342" s="16" t="s">
        <v>306</v>
      </c>
      <c r="H342" s="22" t="s">
        <v>76</v>
      </c>
      <c r="I342" s="133" t="s">
        <v>311</v>
      </c>
      <c r="J342" s="111">
        <v>1</v>
      </c>
      <c r="K342" s="12" t="s">
        <v>2</v>
      </c>
      <c r="L342" s="13">
        <v>1</v>
      </c>
      <c r="M342" s="14">
        <v>0</v>
      </c>
      <c r="N342" s="14">
        <v>1</v>
      </c>
      <c r="O342" s="9">
        <v>2101</v>
      </c>
      <c r="P342" s="9" t="s">
        <v>229</v>
      </c>
      <c r="Q342" s="14">
        <v>1</v>
      </c>
      <c r="R342" s="9">
        <v>0</v>
      </c>
      <c r="S342" s="9">
        <v>0</v>
      </c>
      <c r="T342" s="8" t="s">
        <v>58</v>
      </c>
      <c r="U342" s="85">
        <v>53</v>
      </c>
      <c r="V342" s="8">
        <v>530811</v>
      </c>
      <c r="W342" s="16" t="s">
        <v>254</v>
      </c>
      <c r="X342" s="127">
        <v>0</v>
      </c>
      <c r="Y342" s="132">
        <v>632</v>
      </c>
      <c r="Z342" s="17">
        <v>0</v>
      </c>
      <c r="AA342" s="17">
        <v>0</v>
      </c>
      <c r="AB342" s="17">
        <v>0</v>
      </c>
      <c r="AC342" s="17">
        <v>0</v>
      </c>
      <c r="AD342" s="17">
        <v>0</v>
      </c>
      <c r="AE342" s="17">
        <v>0</v>
      </c>
      <c r="AF342" s="17">
        <v>0</v>
      </c>
      <c r="AG342" s="17">
        <v>0</v>
      </c>
      <c r="AH342" s="17">
        <v>0</v>
      </c>
      <c r="AI342" s="17">
        <v>0</v>
      </c>
      <c r="AJ342" s="107">
        <v>0</v>
      </c>
      <c r="AK342" s="17">
        <v>0</v>
      </c>
      <c r="AL342" s="17">
        <v>0</v>
      </c>
      <c r="AM342" s="17">
        <v>0</v>
      </c>
      <c r="AN342" s="17">
        <v>0</v>
      </c>
      <c r="AO342" s="17">
        <v>0</v>
      </c>
      <c r="AP342" s="17">
        <v>0</v>
      </c>
      <c r="AQ342" s="17">
        <v>0</v>
      </c>
      <c r="AR342" s="17">
        <v>632</v>
      </c>
      <c r="AS342" s="17">
        <v>632</v>
      </c>
      <c r="AT342" s="17">
        <v>0</v>
      </c>
      <c r="AU342" s="17">
        <v>0</v>
      </c>
      <c r="AV342" s="17">
        <v>0</v>
      </c>
      <c r="AW342" s="17">
        <v>0</v>
      </c>
      <c r="AX342" s="19">
        <f t="shared" si="37"/>
        <v>632</v>
      </c>
      <c r="AY342" s="10" t="str">
        <f t="shared" si="39"/>
        <v>OK</v>
      </c>
      <c r="AZ342" s="10">
        <f t="shared" si="36"/>
        <v>632</v>
      </c>
      <c r="BA342" s="10">
        <f t="shared" si="38"/>
        <v>0</v>
      </c>
      <c r="BB342" s="17">
        <v>632</v>
      </c>
      <c r="BC342" s="113">
        <f t="shared" si="40"/>
        <v>0</v>
      </c>
    </row>
    <row r="343" spans="1:55" s="118" customFormat="1" ht="13.5" customHeight="1">
      <c r="A343" s="16" t="s">
        <v>48</v>
      </c>
      <c r="B343" s="16" t="s">
        <v>49</v>
      </c>
      <c r="C343" s="16" t="s">
        <v>74</v>
      </c>
      <c r="D343" s="16" t="s">
        <v>75</v>
      </c>
      <c r="E343" s="16" t="s">
        <v>52</v>
      </c>
      <c r="F343" s="16" t="s">
        <v>53</v>
      </c>
      <c r="G343" s="16" t="s">
        <v>306</v>
      </c>
      <c r="H343" s="22" t="s">
        <v>76</v>
      </c>
      <c r="I343" s="133" t="s">
        <v>311</v>
      </c>
      <c r="J343" s="111">
        <v>1</v>
      </c>
      <c r="K343" s="12" t="s">
        <v>2</v>
      </c>
      <c r="L343" s="13">
        <v>1</v>
      </c>
      <c r="M343" s="14">
        <v>0</v>
      </c>
      <c r="N343" s="14">
        <v>1</v>
      </c>
      <c r="O343" s="9">
        <v>2101</v>
      </c>
      <c r="P343" s="9" t="s">
        <v>229</v>
      </c>
      <c r="Q343" s="14">
        <v>1</v>
      </c>
      <c r="R343" s="9">
        <v>0</v>
      </c>
      <c r="S343" s="9">
        <v>0</v>
      </c>
      <c r="T343" s="8" t="s">
        <v>58</v>
      </c>
      <c r="U343" s="85">
        <v>53</v>
      </c>
      <c r="V343" s="8">
        <v>530804</v>
      </c>
      <c r="W343" s="16" t="s">
        <v>105</v>
      </c>
      <c r="X343" s="127">
        <v>0</v>
      </c>
      <c r="Y343" s="132">
        <v>481</v>
      </c>
      <c r="Z343" s="17">
        <v>0</v>
      </c>
      <c r="AA343" s="17">
        <v>0</v>
      </c>
      <c r="AB343" s="17">
        <v>0</v>
      </c>
      <c r="AC343" s="17">
        <v>0</v>
      </c>
      <c r="AD343" s="17">
        <v>0</v>
      </c>
      <c r="AE343" s="17">
        <v>0</v>
      </c>
      <c r="AF343" s="17">
        <v>0</v>
      </c>
      <c r="AG343" s="17">
        <v>0</v>
      </c>
      <c r="AH343" s="17">
        <v>0</v>
      </c>
      <c r="AI343" s="17">
        <v>0</v>
      </c>
      <c r="AJ343" s="107">
        <v>0</v>
      </c>
      <c r="AK343" s="17">
        <v>0</v>
      </c>
      <c r="AL343" s="17">
        <v>0</v>
      </c>
      <c r="AM343" s="17">
        <v>0</v>
      </c>
      <c r="AN343" s="17">
        <v>0</v>
      </c>
      <c r="AO343" s="17">
        <v>0</v>
      </c>
      <c r="AP343" s="17">
        <v>0</v>
      </c>
      <c r="AQ343" s="17">
        <v>0</v>
      </c>
      <c r="AR343" s="17">
        <v>481</v>
      </c>
      <c r="AS343" s="17">
        <v>481</v>
      </c>
      <c r="AT343" s="17">
        <v>0</v>
      </c>
      <c r="AU343" s="17">
        <v>0</v>
      </c>
      <c r="AV343" s="17">
        <v>0</v>
      </c>
      <c r="AW343" s="17">
        <v>0</v>
      </c>
      <c r="AX343" s="19">
        <f t="shared" si="37"/>
        <v>481</v>
      </c>
      <c r="AY343" s="10" t="str">
        <f t="shared" si="39"/>
        <v>OK</v>
      </c>
      <c r="AZ343" s="10">
        <f t="shared" si="36"/>
        <v>481</v>
      </c>
      <c r="BA343" s="10">
        <f t="shared" si="38"/>
        <v>0</v>
      </c>
      <c r="BB343" s="17">
        <v>481</v>
      </c>
      <c r="BC343" s="113">
        <f t="shared" si="40"/>
        <v>0</v>
      </c>
    </row>
    <row r="344" spans="1:55" s="118" customFormat="1" ht="13.5" customHeight="1">
      <c r="A344" s="16" t="s">
        <v>48</v>
      </c>
      <c r="B344" s="16" t="s">
        <v>49</v>
      </c>
      <c r="C344" s="16" t="s">
        <v>50</v>
      </c>
      <c r="D344" s="16" t="s">
        <v>51</v>
      </c>
      <c r="E344" s="16" t="s">
        <v>52</v>
      </c>
      <c r="F344" s="16" t="s">
        <v>53</v>
      </c>
      <c r="G344" s="16" t="s">
        <v>54</v>
      </c>
      <c r="H344" s="22" t="s">
        <v>55</v>
      </c>
      <c r="I344" s="133" t="s">
        <v>316</v>
      </c>
      <c r="J344" s="111">
        <v>1</v>
      </c>
      <c r="K344" s="12" t="s">
        <v>2</v>
      </c>
      <c r="L344" s="13">
        <v>1</v>
      </c>
      <c r="M344" s="14">
        <v>0</v>
      </c>
      <c r="N344" s="14">
        <v>1</v>
      </c>
      <c r="O344" s="9">
        <v>2101</v>
      </c>
      <c r="P344" s="9" t="s">
        <v>229</v>
      </c>
      <c r="Q344" s="14">
        <v>1</v>
      </c>
      <c r="R344" s="9">
        <v>0</v>
      </c>
      <c r="S344" s="9">
        <v>0</v>
      </c>
      <c r="T344" s="8" t="s">
        <v>58</v>
      </c>
      <c r="U344" s="85">
        <v>53</v>
      </c>
      <c r="V344" s="8">
        <v>530804</v>
      </c>
      <c r="W344" s="16" t="s">
        <v>105</v>
      </c>
      <c r="X344" s="127">
        <v>0</v>
      </c>
      <c r="Y344" s="132">
        <f>50-50</f>
        <v>0</v>
      </c>
      <c r="Z344" s="17">
        <v>0</v>
      </c>
      <c r="AA344" s="17">
        <v>0</v>
      </c>
      <c r="AB344" s="17">
        <v>0</v>
      </c>
      <c r="AC344" s="17">
        <v>0</v>
      </c>
      <c r="AD344" s="17">
        <v>0</v>
      </c>
      <c r="AE344" s="17">
        <v>0</v>
      </c>
      <c r="AF344" s="17">
        <v>0</v>
      </c>
      <c r="AG344" s="17">
        <v>0</v>
      </c>
      <c r="AH344" s="17">
        <v>0</v>
      </c>
      <c r="AI344" s="17">
        <v>0</v>
      </c>
      <c r="AJ344" s="107">
        <v>0</v>
      </c>
      <c r="AK344" s="17">
        <v>0</v>
      </c>
      <c r="AL344" s="17">
        <v>0</v>
      </c>
      <c r="AM344" s="17">
        <v>0</v>
      </c>
      <c r="AN344" s="17">
        <v>0</v>
      </c>
      <c r="AO344" s="17">
        <v>0</v>
      </c>
      <c r="AP344" s="17">
        <v>0</v>
      </c>
      <c r="AQ344" s="17">
        <v>0</v>
      </c>
      <c r="AR344" s="17">
        <v>0</v>
      </c>
      <c r="AS344" s="17">
        <v>0</v>
      </c>
      <c r="AT344" s="17">
        <v>0</v>
      </c>
      <c r="AU344" s="17">
        <v>0</v>
      </c>
      <c r="AV344" s="17">
        <v>0</v>
      </c>
      <c r="AW344" s="17">
        <v>0</v>
      </c>
      <c r="AX344" s="19">
        <f t="shared" si="37"/>
        <v>0</v>
      </c>
      <c r="AY344" s="10" t="str">
        <f t="shared" si="39"/>
        <v>OK</v>
      </c>
      <c r="AZ344" s="10">
        <f t="shared" si="36"/>
        <v>0</v>
      </c>
      <c r="BA344" s="10">
        <f t="shared" si="38"/>
        <v>0</v>
      </c>
      <c r="BB344" s="17">
        <v>0</v>
      </c>
      <c r="BC344" s="113">
        <f aca="true" t="shared" si="41" ref="BC344:BC345">Y344-BB344</f>
        <v>0</v>
      </c>
    </row>
    <row r="345" spans="1:55" s="118" customFormat="1" ht="13.5" customHeight="1">
      <c r="A345" s="16" t="s">
        <v>48</v>
      </c>
      <c r="B345" s="16" t="s">
        <v>49</v>
      </c>
      <c r="C345" s="16" t="s">
        <v>50</v>
      </c>
      <c r="D345" s="16" t="s">
        <v>51</v>
      </c>
      <c r="E345" s="16" t="s">
        <v>52</v>
      </c>
      <c r="F345" s="16" t="s">
        <v>53</v>
      </c>
      <c r="G345" s="16" t="s">
        <v>54</v>
      </c>
      <c r="H345" s="22" t="s">
        <v>55</v>
      </c>
      <c r="I345" s="133" t="s">
        <v>320</v>
      </c>
      <c r="J345" s="111">
        <v>1</v>
      </c>
      <c r="K345" s="12" t="s">
        <v>2</v>
      </c>
      <c r="L345" s="13">
        <v>1</v>
      </c>
      <c r="M345" s="14">
        <v>0</v>
      </c>
      <c r="N345" s="14">
        <v>1</v>
      </c>
      <c r="O345" s="9">
        <v>2101</v>
      </c>
      <c r="P345" s="9" t="s">
        <v>229</v>
      </c>
      <c r="Q345" s="14">
        <v>1</v>
      </c>
      <c r="R345" s="9">
        <v>0</v>
      </c>
      <c r="S345" s="9">
        <v>0</v>
      </c>
      <c r="T345" s="8" t="s">
        <v>58</v>
      </c>
      <c r="U345" s="85">
        <v>53</v>
      </c>
      <c r="V345" s="8">
        <v>531406</v>
      </c>
      <c r="W345" s="16" t="s">
        <v>133</v>
      </c>
      <c r="X345" s="127">
        <v>0</v>
      </c>
      <c r="Y345" s="132">
        <f>100-100</f>
        <v>0</v>
      </c>
      <c r="Z345" s="17">
        <v>0</v>
      </c>
      <c r="AA345" s="17">
        <v>0</v>
      </c>
      <c r="AB345" s="17">
        <v>0</v>
      </c>
      <c r="AC345" s="17">
        <v>0</v>
      </c>
      <c r="AD345" s="17">
        <v>0</v>
      </c>
      <c r="AE345" s="17">
        <v>0</v>
      </c>
      <c r="AF345" s="17">
        <v>0</v>
      </c>
      <c r="AG345" s="17">
        <v>0</v>
      </c>
      <c r="AH345" s="17">
        <v>0</v>
      </c>
      <c r="AI345" s="17">
        <v>0</v>
      </c>
      <c r="AJ345" s="107">
        <v>0</v>
      </c>
      <c r="AK345" s="17">
        <v>0</v>
      </c>
      <c r="AL345" s="17">
        <v>0</v>
      </c>
      <c r="AM345" s="17">
        <v>0</v>
      </c>
      <c r="AN345" s="17">
        <v>0</v>
      </c>
      <c r="AO345" s="17">
        <v>0</v>
      </c>
      <c r="AP345" s="17">
        <v>0</v>
      </c>
      <c r="AQ345" s="17">
        <v>0</v>
      </c>
      <c r="AR345" s="17">
        <v>0</v>
      </c>
      <c r="AS345" s="17">
        <v>0</v>
      </c>
      <c r="AT345" s="17">
        <v>0</v>
      </c>
      <c r="AU345" s="17">
        <v>0</v>
      </c>
      <c r="AV345" s="17">
        <v>0</v>
      </c>
      <c r="AW345" s="17">
        <v>0</v>
      </c>
      <c r="AX345" s="19">
        <f t="shared" si="37"/>
        <v>0</v>
      </c>
      <c r="AY345" s="10" t="str">
        <f t="shared" si="39"/>
        <v>OK</v>
      </c>
      <c r="AZ345" s="10">
        <f t="shared" si="36"/>
        <v>0</v>
      </c>
      <c r="BA345" s="10">
        <f t="shared" si="38"/>
        <v>0</v>
      </c>
      <c r="BB345" s="17">
        <v>0</v>
      </c>
      <c r="BC345" s="113">
        <f t="shared" si="41"/>
        <v>0</v>
      </c>
    </row>
    <row r="346" spans="1:55" s="120" customFormat="1" ht="15" customHeight="1">
      <c r="A346" s="153" t="s">
        <v>251</v>
      </c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12">
        <f>SUBTOTAL(9,X6:X345)</f>
        <v>5773280.679999996</v>
      </c>
      <c r="Y346" s="112">
        <f>SUBTOTAL(9,Y6:Y345)</f>
        <v>5591021.859999999</v>
      </c>
      <c r="Z346" s="112">
        <f aca="true" t="shared" si="42" ref="Z346:AV346">SUBTOTAL(9,Z6:Z345)</f>
        <v>389845.72999999986</v>
      </c>
      <c r="AA346" s="112">
        <f t="shared" si="42"/>
        <v>377052.3382142856</v>
      </c>
      <c r="AB346" s="112">
        <f t="shared" si="42"/>
        <v>411824.25</v>
      </c>
      <c r="AC346" s="112">
        <f t="shared" si="42"/>
        <v>385938.2099999999</v>
      </c>
      <c r="AD346" s="112">
        <f t="shared" si="42"/>
        <v>450674.24999999994</v>
      </c>
      <c r="AE346" s="112">
        <f t="shared" si="42"/>
        <v>437311.30000000005</v>
      </c>
      <c r="AF346" s="112">
        <f t="shared" si="42"/>
        <v>422485.0199999999</v>
      </c>
      <c r="AG346" s="112">
        <f t="shared" si="42"/>
        <v>402437.8500000001</v>
      </c>
      <c r="AH346" s="112">
        <f t="shared" si="42"/>
        <v>431816.74999999994</v>
      </c>
      <c r="AI346" s="112">
        <f t="shared" si="42"/>
        <v>411695.86</v>
      </c>
      <c r="AJ346" s="112">
        <f t="shared" si="42"/>
        <v>460659.42</v>
      </c>
      <c r="AK346" s="112">
        <f t="shared" si="42"/>
        <v>439079.29000000015</v>
      </c>
      <c r="AL346" s="112">
        <f t="shared" si="42"/>
        <v>441208.8999999999</v>
      </c>
      <c r="AM346" s="112">
        <f t="shared" si="42"/>
        <v>462868.5900000001</v>
      </c>
      <c r="AN346" s="112">
        <f t="shared" si="42"/>
        <v>457389.7300000001</v>
      </c>
      <c r="AO346" s="112">
        <f t="shared" si="42"/>
        <v>464751.3800000001</v>
      </c>
      <c r="AP346" s="112">
        <f t="shared" si="42"/>
        <v>462780.1100000001</v>
      </c>
      <c r="AQ346" s="112">
        <f t="shared" si="42"/>
        <v>470253.75999999995</v>
      </c>
      <c r="AR346" s="112">
        <f t="shared" si="42"/>
        <v>575627.27</v>
      </c>
      <c r="AS346" s="112">
        <f t="shared" si="42"/>
        <v>516303.86</v>
      </c>
      <c r="AT346" s="112">
        <f t="shared" si="42"/>
        <v>704672.71</v>
      </c>
      <c r="AU346" s="112">
        <f t="shared" si="42"/>
        <v>486967.72000000003</v>
      </c>
      <c r="AV346" s="112">
        <f t="shared" si="42"/>
        <v>382037.7199999999</v>
      </c>
      <c r="AW346" s="112">
        <f>SUBTOTAL(9,AW6:AW345)</f>
        <v>705240.4600000002</v>
      </c>
      <c r="AX346" s="112">
        <f>SUBTOTAL(9,AX6:AX345)</f>
        <v>5591021.859999999</v>
      </c>
      <c r="AY346" s="130" t="str">
        <f aca="true" t="shared" si="43" ref="AY346">IF(AX346=Y346,"OK",Y346-AX346)</f>
        <v>OK</v>
      </c>
      <c r="AZ346" s="112">
        <f>SUBTOTAL(9,AZ6:AZ345)</f>
        <v>5559900.618214284</v>
      </c>
      <c r="BA346" s="112">
        <f>SUBTOTAL(9,BA6:BA345)</f>
        <v>31121.241785714243</v>
      </c>
      <c r="BB346" s="112">
        <f aca="true" t="shared" si="44" ref="BB346:BC346">SUBTOTAL(9,BB6:BB345)</f>
        <v>1896114.82</v>
      </c>
      <c r="BC346" s="112">
        <f t="shared" si="44"/>
        <v>3690920.909999999</v>
      </c>
    </row>
    <row r="347" ht="11.25" customHeight="1"/>
    <row r="348" spans="27:47" ht="11.25" customHeight="1">
      <c r="AA348" s="25" t="s">
        <v>329</v>
      </c>
      <c r="AC348" s="25" t="s">
        <v>329</v>
      </c>
      <c r="AE348" s="25" t="s">
        <v>329</v>
      </c>
      <c r="AG348" s="25" t="s">
        <v>329</v>
      </c>
      <c r="AI348" s="25" t="s">
        <v>329</v>
      </c>
      <c r="AK348" s="25" t="s">
        <v>329</v>
      </c>
      <c r="AM348" s="25" t="s">
        <v>329</v>
      </c>
      <c r="AO348" s="25" t="s">
        <v>329</v>
      </c>
      <c r="AQ348" s="25" t="s">
        <v>329</v>
      </c>
      <c r="AS348" s="25" t="s">
        <v>329</v>
      </c>
      <c r="AU348" s="162"/>
    </row>
    <row r="349" ht="11.25" customHeight="1"/>
    <row r="350" ht="11.25" customHeight="1"/>
    <row r="354" spans="54:55" ht="15">
      <c r="BB354" s="2">
        <v>322</v>
      </c>
      <c r="BC354" s="121">
        <v>8.64</v>
      </c>
    </row>
    <row r="355" spans="54:55" ht="15">
      <c r="BB355" s="2">
        <v>129.74</v>
      </c>
      <c r="BC355" s="121">
        <v>12</v>
      </c>
    </row>
    <row r="356" spans="54:55" ht="15">
      <c r="BB356" s="2">
        <v>135</v>
      </c>
      <c r="BC356" s="121">
        <v>39.35</v>
      </c>
    </row>
    <row r="357" spans="54:55" ht="15">
      <c r="BB357" s="2">
        <f>SUBTOTAL(9,BB354:BB356)</f>
        <v>586.74</v>
      </c>
      <c r="BC357" s="121">
        <f>SUBTOTAL(9,BC354:BC356)</f>
        <v>59.99</v>
      </c>
    </row>
  </sheetData>
  <autoFilter ref="A5:BD345"/>
  <mergeCells count="8">
    <mergeCell ref="A1:AY1"/>
    <mergeCell ref="A2:AY2"/>
    <mergeCell ref="A346:W346"/>
    <mergeCell ref="X4:AY4"/>
    <mergeCell ref="A4:D4"/>
    <mergeCell ref="E4:G4"/>
    <mergeCell ref="H4:J4"/>
    <mergeCell ref="K4:W4"/>
  </mergeCells>
  <dataValidations count="1" disablePrompts="1">
    <dataValidation type="list" allowBlank="1" showInputMessage="1" showErrorMessage="1" sqref="AZ4:BA4">
      <formula1>"Seleccione el mes,Enero,Febrero,Marzo,Abril,Mayo,Junio,Julio,Agosto,Septiembre,Octubre,Noviembre,Diciembre"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13" r:id="rId3"/>
  <ignoredErrors>
    <ignoredError sqref="U69:U72 U73:U7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ALE-PC</dc:creator>
  <cp:keywords/>
  <dc:description/>
  <cp:lastModifiedBy>GABRIELA MERA</cp:lastModifiedBy>
  <cp:lastPrinted>2022-03-02T19:56:34Z</cp:lastPrinted>
  <dcterms:created xsi:type="dcterms:W3CDTF">2021-06-07T17:17:17Z</dcterms:created>
  <dcterms:modified xsi:type="dcterms:W3CDTF">2023-01-05T16:35:11Z</dcterms:modified>
  <cp:category/>
  <cp:version/>
  <cp:contentType/>
  <cp:contentStatus/>
</cp:coreProperties>
</file>